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I:\Purchasing\Solicitations\00_Templates\"/>
    </mc:Choice>
  </mc:AlternateContent>
  <xr:revisionPtr revIDLastSave="0" documentId="13_ncr:1_{CB2999AB-6F74-4D4A-9035-251693378916}" xr6:coauthVersionLast="47" xr6:coauthVersionMax="47" xr10:uidLastSave="{00000000-0000-0000-0000-000000000000}"/>
  <bookViews>
    <workbookView xWindow="-120" yWindow="-120" windowWidth="29040" windowHeight="15840" xr2:uid="{00000000-000D-0000-FFFF-FFFF00000000}"/>
  </bookViews>
  <sheets>
    <sheet name="Keyword Search" sheetId="3" r:id="rId1"/>
    <sheet name="NIGP Full List" sheetId="2" r:id="rId2"/>
  </sheets>
  <definedNames>
    <definedName name="_xlnm._FilterDatabase" localSheetId="1" hidden="1">'NIGP Full List'!$A$1:$J$9455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2" l="1"/>
  <c r="E14" i="2"/>
  <c r="E15" i="2"/>
  <c r="E16" i="2"/>
  <c r="E17" i="2"/>
  <c r="E18" i="2"/>
  <c r="E19" i="2"/>
  <c r="E20" i="2"/>
  <c r="E21" i="2"/>
  <c r="E22" i="2"/>
  <c r="E23" i="2"/>
  <c r="E24" i="2"/>
  <c r="E25" i="2"/>
  <c r="E26" i="2"/>
  <c r="E27" i="2"/>
  <c r="E28" i="2"/>
  <c r="E29" i="2"/>
  <c r="E30" i="2"/>
  <c r="E31" i="2"/>
  <c r="E32" i="2"/>
  <c r="E33" i="2"/>
  <c r="E34" i="2"/>
  <c r="E35" i="2"/>
  <c r="E36" i="2"/>
  <c r="E37" i="2"/>
  <c r="E38" i="2"/>
  <c r="E39" i="2"/>
  <c r="E40" i="2"/>
  <c r="E42" i="2"/>
  <c r="E43" i="2"/>
  <c r="E44" i="2"/>
  <c r="E45" i="2"/>
  <c r="E46" i="2"/>
  <c r="E47" i="2"/>
  <c r="E48" i="2"/>
  <c r="E49" i="2"/>
  <c r="E50" i="2"/>
  <c r="E51" i="2"/>
  <c r="E52" i="2"/>
  <c r="E53" i="2"/>
  <c r="E55" i="2"/>
  <c r="E56" i="2"/>
  <c r="E57" i="2"/>
  <c r="E58" i="2"/>
  <c r="E59" i="2"/>
  <c r="E60" i="2"/>
  <c r="E61" i="2"/>
  <c r="E62" i="2"/>
  <c r="E63" i="2"/>
  <c r="E64" i="2"/>
  <c r="E65" i="2"/>
  <c r="E66" i="2"/>
  <c r="E67" i="2"/>
  <c r="E68" i="2"/>
  <c r="E69" i="2"/>
  <c r="E70" i="2"/>
  <c r="E71" i="2"/>
  <c r="E72" i="2"/>
  <c r="E73" i="2"/>
  <c r="E74" i="2"/>
  <c r="E75" i="2"/>
  <c r="E76" i="2"/>
  <c r="E77"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1" i="2"/>
  <c r="E142" i="2"/>
  <c r="E143" i="2"/>
  <c r="E144" i="2"/>
  <c r="E145" i="2"/>
  <c r="E146" i="2"/>
  <c r="E147" i="2"/>
  <c r="E148" i="2"/>
  <c r="E149" i="2"/>
  <c r="E150" i="2"/>
  <c r="E151" i="2"/>
  <c r="E152" i="2"/>
  <c r="E153" i="2"/>
  <c r="E154" i="2"/>
  <c r="E155" i="2"/>
  <c r="E156" i="2"/>
  <c r="E157" i="2"/>
  <c r="E158" i="2"/>
  <c r="E159" i="2"/>
  <c r="E160" i="2"/>
  <c r="E161" i="2"/>
  <c r="E162" i="2"/>
  <c r="E163" i="2"/>
  <c r="E165" i="2"/>
  <c r="E166" i="2"/>
  <c r="E167" i="2"/>
  <c r="E168" i="2"/>
  <c r="E169" i="2"/>
  <c r="E170" i="2"/>
  <c r="E171" i="2"/>
  <c r="E172" i="2"/>
  <c r="E173" i="2"/>
  <c r="E174" i="2"/>
  <c r="E175" i="2"/>
  <c r="E176" i="2"/>
  <c r="E177"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8" i="2"/>
  <c r="E319" i="2"/>
  <c r="E320" i="2"/>
  <c r="E321" i="2"/>
  <c r="E322" i="2"/>
  <c r="E323" i="2"/>
  <c r="E324" i="2"/>
  <c r="E325" i="2"/>
  <c r="E326" i="2"/>
  <c r="E327" i="2"/>
  <c r="E328" i="2"/>
  <c r="E329" i="2"/>
  <c r="E330" i="2"/>
  <c r="E331" i="2"/>
  <c r="E332" i="2"/>
  <c r="E333"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9" i="2"/>
  <c r="E420" i="2"/>
  <c r="E421" i="2"/>
  <c r="E422" i="2"/>
  <c r="E423" i="2"/>
  <c r="E424" i="2"/>
  <c r="E425" i="2"/>
  <c r="E426" i="2"/>
  <c r="E427" i="2"/>
  <c r="E428" i="2"/>
  <c r="E429" i="2"/>
  <c r="E430" i="2"/>
  <c r="E431" i="2"/>
  <c r="E432" i="2"/>
  <c r="E433" i="2"/>
  <c r="E434" i="2"/>
  <c r="E435" i="2"/>
  <c r="E436" i="2"/>
  <c r="E438" i="2"/>
  <c r="E439" i="2"/>
  <c r="E440" i="2"/>
  <c r="E441" i="2"/>
  <c r="E442" i="2"/>
  <c r="E443" i="2"/>
  <c r="E444" i="2"/>
  <c r="E445" i="2"/>
  <c r="E446" i="2"/>
  <c r="E447" i="2"/>
  <c r="E448" i="2"/>
  <c r="E449" i="2"/>
  <c r="E450" i="2"/>
  <c r="E451" i="2"/>
  <c r="E452" i="2"/>
  <c r="E453" i="2"/>
  <c r="E454" i="2"/>
  <c r="E455" i="2"/>
  <c r="E456" i="2"/>
  <c r="E457" i="2"/>
  <c r="E458"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9" i="2"/>
  <c r="E620" i="2"/>
  <c r="E621" i="2"/>
  <c r="E622" i="2"/>
  <c r="E623" i="2"/>
  <c r="E624" i="2"/>
  <c r="E625" i="2"/>
  <c r="E626" i="2"/>
  <c r="E627" i="2"/>
  <c r="E628" i="2"/>
  <c r="E629" i="2"/>
  <c r="E630" i="2"/>
  <c r="E631" i="2"/>
  <c r="E632" i="2"/>
  <c r="E633" i="2"/>
  <c r="E634" i="2"/>
  <c r="E635" i="2"/>
  <c r="E636" i="2"/>
  <c r="E637" i="2"/>
  <c r="E639" i="2"/>
  <c r="E640" i="2"/>
  <c r="E641" i="2"/>
  <c r="E642" i="2"/>
  <c r="E643" i="2"/>
  <c r="E644" i="2"/>
  <c r="E645" i="2"/>
  <c r="E646" i="2"/>
  <c r="E647" i="2"/>
  <c r="E648" i="2"/>
  <c r="E649" i="2"/>
  <c r="E651" i="2"/>
  <c r="E652" i="2"/>
  <c r="E653" i="2"/>
  <c r="E654" i="2"/>
  <c r="E655" i="2"/>
  <c r="E656" i="2"/>
  <c r="E657" i="2"/>
  <c r="E658" i="2"/>
  <c r="E659" i="2"/>
  <c r="E660" i="2"/>
  <c r="E661" i="2"/>
  <c r="E662" i="2"/>
  <c r="E663" i="2"/>
  <c r="E664" i="2"/>
  <c r="E665"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7" i="2"/>
  <c r="E728" i="2"/>
  <c r="E729" i="2"/>
  <c r="E730" i="2"/>
  <c r="E731" i="2"/>
  <c r="E732" i="2"/>
  <c r="E733" i="2"/>
  <c r="E734" i="2"/>
  <c r="E735" i="2"/>
  <c r="E736" i="2"/>
  <c r="E737" i="2"/>
  <c r="E738" i="2"/>
  <c r="E739" i="2"/>
  <c r="E740" i="2"/>
  <c r="E741" i="2"/>
  <c r="E742" i="2"/>
  <c r="E743" i="2"/>
  <c r="E744" i="2"/>
  <c r="E745" i="2"/>
  <c r="E746" i="2"/>
  <c r="E747" i="2"/>
  <c r="E748" i="2"/>
  <c r="E750" i="2"/>
  <c r="E751" i="2"/>
  <c r="E752" i="2"/>
  <c r="E753" i="2"/>
  <c r="E754" i="2"/>
  <c r="E755" i="2"/>
  <c r="E756" i="2"/>
  <c r="E757" i="2"/>
  <c r="E758" i="2"/>
  <c r="E759" i="2"/>
  <c r="E760" i="2"/>
  <c r="E761" i="2"/>
  <c r="E762" i="2"/>
  <c r="E763" i="2"/>
  <c r="E764" i="2"/>
  <c r="E765" i="2"/>
  <c r="E766" i="2"/>
  <c r="E767" i="2"/>
  <c r="E768" i="2"/>
  <c r="E769" i="2"/>
  <c r="E770" i="2"/>
  <c r="E772" i="2"/>
  <c r="E773" i="2"/>
  <c r="E774" i="2"/>
  <c r="E775" i="2"/>
  <c r="E776" i="2"/>
  <c r="E777" i="2"/>
  <c r="E778" i="2"/>
  <c r="E779" i="2"/>
  <c r="E780" i="2"/>
  <c r="E781" i="2"/>
  <c r="E782" i="2"/>
  <c r="E783" i="2"/>
  <c r="E784"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40" i="2"/>
  <c r="E841" i="2"/>
  <c r="E842" i="2"/>
  <c r="E843" i="2"/>
  <c r="E844" i="2"/>
  <c r="E845" i="2"/>
  <c r="E846" i="2"/>
  <c r="E847" i="2"/>
  <c r="E848" i="2"/>
  <c r="E849" i="2"/>
  <c r="E851" i="2"/>
  <c r="E852" i="2"/>
  <c r="E853" i="2"/>
  <c r="E854" i="2"/>
  <c r="E855" i="2"/>
  <c r="E856" i="2"/>
  <c r="E857" i="2"/>
  <c r="E858" i="2"/>
  <c r="E859" i="2"/>
  <c r="E860" i="2"/>
  <c r="E861" i="2"/>
  <c r="E862" i="2"/>
  <c r="E863" i="2"/>
  <c r="E864" i="2"/>
  <c r="E865" i="2"/>
  <c r="E867" i="2"/>
  <c r="E868" i="2"/>
  <c r="E869" i="2"/>
  <c r="E870" i="2"/>
  <c r="E871" i="2"/>
  <c r="E872" i="2"/>
  <c r="E873" i="2"/>
  <c r="E874" i="2"/>
  <c r="E875" i="2"/>
  <c r="E876" i="2"/>
  <c r="E877"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5" i="2"/>
  <c r="E966" i="2"/>
  <c r="E967" i="2"/>
  <c r="E968" i="2"/>
  <c r="E969" i="2"/>
  <c r="E970" i="2"/>
  <c r="E971" i="2"/>
  <c r="E972" i="2"/>
  <c r="E973" i="2"/>
  <c r="E974" i="2"/>
  <c r="E975" i="2"/>
  <c r="E976" i="2"/>
  <c r="E977" i="2"/>
  <c r="E978" i="2"/>
  <c r="E979" i="2"/>
  <c r="E980" i="2"/>
  <c r="E981" i="2"/>
  <c r="E982" i="2"/>
  <c r="E983" i="2"/>
  <c r="E984" i="2"/>
  <c r="E985" i="2"/>
  <c r="E986"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3" i="2"/>
  <c r="E1054" i="2"/>
  <c r="E1055" i="2"/>
  <c r="E1056" i="2"/>
  <c r="E1057" i="2"/>
  <c r="E1058" i="2"/>
  <c r="E1059" i="2"/>
  <c r="E1060" i="2"/>
  <c r="E1061" i="2"/>
  <c r="E1062" i="2"/>
  <c r="E1063" i="2"/>
  <c r="E1064" i="2"/>
  <c r="E1065" i="2"/>
  <c r="E1066" i="2"/>
  <c r="E1067" i="2"/>
  <c r="E1068"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5" i="2"/>
  <c r="E1376" i="2"/>
  <c r="E1377" i="2"/>
  <c r="E1378" i="2"/>
  <c r="E1379" i="2"/>
  <c r="E1380" i="2"/>
  <c r="E1381" i="2"/>
  <c r="E1382" i="2"/>
  <c r="E1383" i="2"/>
  <c r="E1384" i="2"/>
  <c r="E1385" i="2"/>
  <c r="E1386" i="2"/>
  <c r="E1387" i="2"/>
  <c r="E1388" i="2"/>
  <c r="E1389" i="2"/>
  <c r="E1390" i="2"/>
  <c r="E1391" i="2"/>
  <c r="E1392" i="2"/>
  <c r="E1393" i="2"/>
  <c r="E1394" i="2"/>
  <c r="E1395" i="2"/>
  <c r="E1397" i="2"/>
  <c r="E1398" i="2"/>
  <c r="E1399" i="2"/>
  <c r="E1400" i="2"/>
  <c r="E1401" i="2"/>
  <c r="E1402" i="2"/>
  <c r="E1403" i="2"/>
  <c r="E1404" i="2"/>
  <c r="E1405" i="2"/>
  <c r="E1406" i="2"/>
  <c r="E1407" i="2"/>
  <c r="E1408" i="2"/>
  <c r="E1409" i="2"/>
  <c r="E1410" i="2"/>
  <c r="E1411" i="2"/>
  <c r="E1412" i="2"/>
  <c r="E1414" i="2"/>
  <c r="E1415" i="2"/>
  <c r="E1416" i="2"/>
  <c r="E1417" i="2"/>
  <c r="E1418" i="2"/>
  <c r="E1419" i="2"/>
  <c r="E1420" i="2"/>
  <c r="E1421" i="2"/>
  <c r="E1422" i="2"/>
  <c r="E1423" i="2"/>
  <c r="E1424" i="2"/>
  <c r="E1425" i="2"/>
  <c r="E1426" i="2"/>
  <c r="E1427" i="2"/>
  <c r="E1428" i="2"/>
  <c r="E1429" i="2"/>
  <c r="E1430" i="2"/>
  <c r="E1431" i="2"/>
  <c r="E1432" i="2"/>
  <c r="E1433"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5" i="2"/>
  <c r="E1906" i="2"/>
  <c r="E1907" i="2"/>
  <c r="E1908"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9" i="2"/>
  <c r="E1940" i="2"/>
  <c r="E1941" i="2"/>
  <c r="E1942" i="2"/>
  <c r="E1943" i="2"/>
  <c r="E1944" i="2"/>
  <c r="E1945" i="2"/>
  <c r="E1946" i="2"/>
  <c r="E1947" i="2"/>
  <c r="E1948" i="2"/>
  <c r="E1949"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5" i="2"/>
  <c r="E1976" i="2"/>
  <c r="E1977" i="2"/>
  <c r="E1978" i="2"/>
  <c r="E1979" i="2"/>
  <c r="E1980" i="2"/>
  <c r="E1981" i="2"/>
  <c r="E1982" i="2"/>
  <c r="E1983" i="2"/>
  <c r="E1984" i="2"/>
  <c r="E1985" i="2"/>
  <c r="E1986" i="2"/>
  <c r="E1987" i="2"/>
  <c r="E1988" i="2"/>
  <c r="E1989" i="2"/>
  <c r="E1990" i="2"/>
  <c r="E1991" i="2"/>
  <c r="E1992" i="2"/>
  <c r="E1993" i="2"/>
  <c r="E1994" i="2"/>
  <c r="E1995" i="2"/>
  <c r="E1996" i="2"/>
  <c r="E1998" i="2"/>
  <c r="E1999" i="2"/>
  <c r="E2000" i="2"/>
  <c r="E2001" i="2"/>
  <c r="E2002" i="2"/>
  <c r="E2003" i="2"/>
  <c r="E2004" i="2"/>
  <c r="E2006" i="2"/>
  <c r="E2007" i="2"/>
  <c r="E2008" i="2"/>
  <c r="E2009" i="2"/>
  <c r="E2010" i="2"/>
  <c r="E2011" i="2"/>
  <c r="E2012" i="2"/>
  <c r="E2014" i="2"/>
  <c r="E2015" i="2"/>
  <c r="E2016" i="2"/>
  <c r="E2017" i="2"/>
  <c r="E2018" i="2"/>
  <c r="E2019" i="2"/>
  <c r="E2020" i="2"/>
  <c r="E2021" i="2"/>
  <c r="E2022" i="2"/>
  <c r="E2023" i="2"/>
  <c r="E2024" i="2"/>
  <c r="E2025" i="2"/>
  <c r="E2026" i="2"/>
  <c r="E2027" i="2"/>
  <c r="E2028"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2" i="2"/>
  <c r="E2123" i="2"/>
  <c r="E2124" i="2"/>
  <c r="E2125" i="2"/>
  <c r="E2126" i="2"/>
  <c r="E2127" i="2"/>
  <c r="E2128" i="2"/>
  <c r="E2129" i="2"/>
  <c r="E2130"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1" i="2"/>
  <c r="E2202" i="2"/>
  <c r="E2203" i="2"/>
  <c r="E2204" i="2"/>
  <c r="E2205" i="2"/>
  <c r="E2206" i="2"/>
  <c r="E2207" i="2"/>
  <c r="E2208" i="2"/>
  <c r="E2209" i="2"/>
  <c r="E2210" i="2"/>
  <c r="E2211" i="2"/>
  <c r="E2212" i="2"/>
  <c r="E2214" i="2"/>
  <c r="E2215" i="2"/>
  <c r="E2216" i="2"/>
  <c r="E2217" i="2"/>
  <c r="E2218" i="2"/>
  <c r="E2219" i="2"/>
  <c r="E2220" i="2"/>
  <c r="E2221" i="2"/>
  <c r="E2222" i="2"/>
  <c r="E2223" i="2"/>
  <c r="E2224" i="2"/>
  <c r="E2225" i="2"/>
  <c r="E2226" i="2"/>
  <c r="E2227" i="2"/>
  <c r="E2228" i="2"/>
  <c r="E2229" i="2"/>
  <c r="E2230"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4" i="2"/>
  <c r="E2355" i="2"/>
  <c r="E2356" i="2"/>
  <c r="E2357" i="2"/>
  <c r="E2358" i="2"/>
  <c r="E2359" i="2"/>
  <c r="E2360" i="2"/>
  <c r="E2361" i="2"/>
  <c r="E2362" i="2"/>
  <c r="E2363" i="2"/>
  <c r="E2364" i="2"/>
  <c r="E2365" i="2"/>
  <c r="E2366" i="2"/>
  <c r="E2367" i="2"/>
  <c r="E2369" i="2"/>
  <c r="E2370" i="2"/>
  <c r="E2371" i="2"/>
  <c r="E2372" i="2"/>
  <c r="E2373" i="2"/>
  <c r="E2374" i="2"/>
  <c r="E2375"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9" i="2"/>
  <c r="E2460" i="2"/>
  <c r="E2461" i="2"/>
  <c r="E2462" i="2"/>
  <c r="E2463" i="2"/>
  <c r="E2464" i="2"/>
  <c r="E2465" i="2"/>
  <c r="E2466" i="2"/>
  <c r="E2468" i="2"/>
  <c r="E2469" i="2"/>
  <c r="E2470" i="2"/>
  <c r="E2471" i="2"/>
  <c r="E2472" i="2"/>
  <c r="E2473" i="2"/>
  <c r="E2474" i="2"/>
  <c r="E2475" i="2"/>
  <c r="E2476" i="2"/>
  <c r="E2477" i="2"/>
  <c r="E2478" i="2"/>
  <c r="E2480" i="2"/>
  <c r="E2481" i="2"/>
  <c r="E2482" i="2"/>
  <c r="E2483" i="2"/>
  <c r="E2484" i="2"/>
  <c r="E2485" i="2"/>
  <c r="E2486" i="2"/>
  <c r="E2487" i="2"/>
  <c r="E2488" i="2"/>
  <c r="E2489" i="2"/>
  <c r="E2490" i="2"/>
  <c r="E2492" i="2"/>
  <c r="E2493" i="2"/>
  <c r="E2494" i="2"/>
  <c r="E2495" i="2"/>
  <c r="E2496" i="2"/>
  <c r="E2497" i="2"/>
  <c r="E2498" i="2"/>
  <c r="E2499" i="2"/>
  <c r="E2500" i="2"/>
  <c r="E2501" i="2"/>
  <c r="E2502" i="2"/>
  <c r="E2503" i="2"/>
  <c r="E2504" i="2"/>
  <c r="E2505" i="2"/>
  <c r="E2506" i="2"/>
  <c r="E2507"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2" i="2"/>
  <c r="E2573" i="2"/>
  <c r="E2574" i="2"/>
  <c r="E2575" i="2"/>
  <c r="E2576" i="2"/>
  <c r="E2577" i="2"/>
  <c r="E2578" i="2"/>
  <c r="E2579" i="2"/>
  <c r="E2580" i="2"/>
  <c r="E2581" i="2"/>
  <c r="E2582" i="2"/>
  <c r="E2583" i="2"/>
  <c r="E2584" i="2"/>
  <c r="E2585" i="2"/>
  <c r="E2586" i="2"/>
  <c r="E2587" i="2"/>
  <c r="E2588" i="2"/>
  <c r="E2589" i="2"/>
  <c r="E2590"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7" i="2"/>
  <c r="E2698" i="2"/>
  <c r="E2699" i="2"/>
  <c r="E2700" i="2"/>
  <c r="E2701" i="2"/>
  <c r="E2702" i="2"/>
  <c r="E2703" i="2"/>
  <c r="E2704" i="2"/>
  <c r="E2705" i="2"/>
  <c r="E2706"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7" i="2"/>
  <c r="E2748" i="2"/>
  <c r="E2749" i="2"/>
  <c r="E2750" i="2"/>
  <c r="E2751" i="2"/>
  <c r="E2752" i="2"/>
  <c r="E2753" i="2"/>
  <c r="E2754" i="2"/>
  <c r="E2755" i="2"/>
  <c r="E2756"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2" i="2"/>
  <c r="E2803" i="2"/>
  <c r="E2804" i="2"/>
  <c r="E2805" i="2"/>
  <c r="E2806" i="2"/>
  <c r="E2807" i="2"/>
  <c r="E2808" i="2"/>
  <c r="E2810" i="2"/>
  <c r="E2811" i="2"/>
  <c r="E2812" i="2"/>
  <c r="E2813" i="2"/>
  <c r="E2814" i="2"/>
  <c r="E2815" i="2"/>
  <c r="E2816" i="2"/>
  <c r="E2817" i="2"/>
  <c r="E2818" i="2"/>
  <c r="E2819" i="2"/>
  <c r="E2820" i="2"/>
  <c r="E2821"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50" i="2"/>
  <c r="E2951" i="2"/>
  <c r="E2952" i="2"/>
  <c r="E2953" i="2"/>
  <c r="E2954" i="2"/>
  <c r="E2955" i="2"/>
  <c r="E2956" i="2"/>
  <c r="E2957" i="2"/>
  <c r="E2958" i="2"/>
  <c r="E2959" i="2"/>
  <c r="E2960" i="2"/>
  <c r="E2962" i="2"/>
  <c r="E2963" i="2"/>
  <c r="E2964" i="2"/>
  <c r="E2965" i="2"/>
  <c r="E2966" i="2"/>
  <c r="E2967" i="2"/>
  <c r="E2968" i="2"/>
  <c r="E2969" i="2"/>
  <c r="E2970" i="2"/>
  <c r="E2971" i="2"/>
  <c r="E2972" i="2"/>
  <c r="E2973" i="2"/>
  <c r="E2974" i="2"/>
  <c r="E2975" i="2"/>
  <c r="E2976" i="2"/>
  <c r="E2977" i="2"/>
  <c r="E2978" i="2"/>
  <c r="E2979" i="2"/>
  <c r="E2980" i="2"/>
  <c r="E2981" i="2"/>
  <c r="E2982" i="2"/>
  <c r="E2983"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6" i="2"/>
  <c r="E3037" i="2"/>
  <c r="E3038" i="2"/>
  <c r="E3039" i="2"/>
  <c r="E3040" i="2"/>
  <c r="E3041" i="2"/>
  <c r="E3042" i="2"/>
  <c r="E3043" i="2"/>
  <c r="E3044" i="2"/>
  <c r="E3045" i="2"/>
  <c r="E3046" i="2"/>
  <c r="E3047" i="2"/>
  <c r="E3048" i="2"/>
  <c r="E3049" i="2"/>
  <c r="E3050" i="2"/>
  <c r="E3051" i="2"/>
  <c r="E3052" i="2"/>
  <c r="E3053" i="2"/>
  <c r="E3054" i="2"/>
  <c r="E3055" i="2"/>
  <c r="E3056" i="2"/>
  <c r="E3058" i="2"/>
  <c r="E3059" i="2"/>
  <c r="E3060" i="2"/>
  <c r="E3061" i="2"/>
  <c r="E3062" i="2"/>
  <c r="E3063" i="2"/>
  <c r="E3064" i="2"/>
  <c r="E3065" i="2"/>
  <c r="E3066" i="2"/>
  <c r="E3067" i="2"/>
  <c r="E3068" i="2"/>
  <c r="E3069"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2" i="2"/>
  <c r="E3163" i="2"/>
  <c r="E3164" i="2"/>
  <c r="E3165" i="2"/>
  <c r="E3166" i="2"/>
  <c r="E3167" i="2"/>
  <c r="E3168" i="2"/>
  <c r="E3169" i="2"/>
  <c r="E3170" i="2"/>
  <c r="E3171" i="2"/>
  <c r="E3172" i="2"/>
  <c r="E3173" i="2"/>
  <c r="E3174" i="2"/>
  <c r="E3175" i="2"/>
  <c r="E3176" i="2"/>
  <c r="E3177" i="2"/>
  <c r="E3178" i="2"/>
  <c r="E3180" i="2"/>
  <c r="E3181" i="2"/>
  <c r="E3182" i="2"/>
  <c r="E3183" i="2"/>
  <c r="E3184" i="2"/>
  <c r="E3185" i="2"/>
  <c r="E3186" i="2"/>
  <c r="E3187" i="2"/>
  <c r="E3188" i="2"/>
  <c r="E3189" i="2"/>
  <c r="E3190" i="2"/>
  <c r="E3191" i="2"/>
  <c r="E3192" i="2"/>
  <c r="E3193" i="2"/>
  <c r="E3194" i="2"/>
  <c r="E3195" i="2"/>
  <c r="E3196" i="2"/>
  <c r="E3197" i="2"/>
  <c r="E3199" i="2"/>
  <c r="E3200" i="2"/>
  <c r="E3201" i="2"/>
  <c r="E3202" i="2"/>
  <c r="E3203" i="2"/>
  <c r="E3204" i="2"/>
  <c r="E3205" i="2"/>
  <c r="E3206" i="2"/>
  <c r="E3207" i="2"/>
  <c r="E3208" i="2"/>
  <c r="E3209" i="2"/>
  <c r="E3210" i="2"/>
  <c r="E3211" i="2"/>
  <c r="E3212" i="2"/>
  <c r="E3213" i="2"/>
  <c r="E3214" i="2"/>
  <c r="E3215" i="2"/>
  <c r="E3216"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1" i="2"/>
  <c r="E3942" i="2"/>
  <c r="E3943" i="2"/>
  <c r="E3944" i="2"/>
  <c r="E3945" i="2"/>
  <c r="E3946" i="2"/>
  <c r="E3947" i="2"/>
  <c r="E3948" i="2"/>
  <c r="E3949" i="2"/>
  <c r="E3950" i="2"/>
  <c r="E3951" i="2"/>
  <c r="E3952" i="2"/>
  <c r="E3953" i="2"/>
  <c r="E3954" i="2"/>
  <c r="E3955"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8" i="2"/>
  <c r="E4049" i="2"/>
  <c r="E4050" i="2"/>
  <c r="E4051" i="2"/>
  <c r="E4052" i="2"/>
  <c r="E4053" i="2"/>
  <c r="E4054" i="2"/>
  <c r="E4055" i="2"/>
  <c r="E4056" i="2"/>
  <c r="E4057" i="2"/>
  <c r="E4058" i="2"/>
  <c r="E4059" i="2"/>
  <c r="E4060" i="2"/>
  <c r="E4061" i="2"/>
  <c r="E4062" i="2"/>
  <c r="E4063" i="2"/>
  <c r="E4065" i="2"/>
  <c r="E4066" i="2"/>
  <c r="E4067" i="2"/>
  <c r="E4068" i="2"/>
  <c r="E4069" i="2"/>
  <c r="E4070" i="2"/>
  <c r="E4071" i="2"/>
  <c r="E4072" i="2"/>
  <c r="E4073" i="2"/>
  <c r="E4074" i="2"/>
  <c r="E4075"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9" i="2"/>
  <c r="E4260" i="2"/>
  <c r="E4261" i="2"/>
  <c r="E4262" i="2"/>
  <c r="E4263" i="2"/>
  <c r="E4264" i="2"/>
  <c r="E4265" i="2"/>
  <c r="E4266" i="2"/>
  <c r="E4267" i="2"/>
  <c r="E4268" i="2"/>
  <c r="E4269" i="2"/>
  <c r="E4270" i="2"/>
  <c r="E4271" i="2"/>
  <c r="E4273" i="2"/>
  <c r="E4274" i="2"/>
  <c r="E4275" i="2"/>
  <c r="E4276" i="2"/>
  <c r="E4277" i="2"/>
  <c r="E4278" i="2"/>
  <c r="E4279" i="2"/>
  <c r="E4280" i="2"/>
  <c r="E4281" i="2"/>
  <c r="E4282" i="2"/>
  <c r="E4284" i="2"/>
  <c r="E4285" i="2"/>
  <c r="E4286" i="2"/>
  <c r="E4287" i="2"/>
  <c r="E4288" i="2"/>
  <c r="E4289" i="2"/>
  <c r="E4290" i="2"/>
  <c r="E4291" i="2"/>
  <c r="E4292" i="2"/>
  <c r="E4293" i="2"/>
  <c r="E4294"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4" i="2"/>
  <c r="E4335" i="2"/>
  <c r="E4336" i="2"/>
  <c r="E4337" i="2"/>
  <c r="E4338" i="2"/>
  <c r="E4339" i="2"/>
  <c r="E4340" i="2"/>
  <c r="E4341" i="2"/>
  <c r="E4342" i="2"/>
  <c r="E4343" i="2"/>
  <c r="E4344" i="2"/>
  <c r="E4345"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5" i="2"/>
  <c r="E4526" i="2"/>
  <c r="E4527" i="2"/>
  <c r="E4528" i="2"/>
  <c r="E4529" i="2"/>
  <c r="E4530" i="2"/>
  <c r="E4531" i="2"/>
  <c r="E4532" i="2"/>
  <c r="E4533" i="2"/>
  <c r="E4534" i="2"/>
  <c r="E4535" i="2"/>
  <c r="E4536" i="2"/>
  <c r="E4537" i="2"/>
  <c r="E4538" i="2"/>
  <c r="E4539" i="2"/>
  <c r="E4540"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7" i="2"/>
  <c r="E4598" i="2"/>
  <c r="E4599" i="2"/>
  <c r="E4600" i="2"/>
  <c r="E4601" i="2"/>
  <c r="E4602" i="2"/>
  <c r="E4603" i="2"/>
  <c r="E4604" i="2"/>
  <c r="E4605" i="2"/>
  <c r="E4606" i="2"/>
  <c r="E4607" i="2"/>
  <c r="E4608" i="2"/>
  <c r="E4609" i="2"/>
  <c r="E4610" i="2"/>
  <c r="E4611" i="2"/>
  <c r="E4612" i="2"/>
  <c r="E4613" i="2"/>
  <c r="E4614"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4" i="2"/>
  <c r="E4655" i="2"/>
  <c r="E4656" i="2"/>
  <c r="E4657" i="2"/>
  <c r="E4658" i="2"/>
  <c r="E4659" i="2"/>
  <c r="E4660" i="2"/>
  <c r="E4661" i="2"/>
  <c r="E4662" i="2"/>
  <c r="E4663"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8" i="2"/>
  <c r="E4799" i="2"/>
  <c r="E4800" i="2"/>
  <c r="E4801" i="2"/>
  <c r="E4802" i="2"/>
  <c r="E4803" i="2"/>
  <c r="E4804" i="2"/>
  <c r="E4805" i="2"/>
  <c r="E4806" i="2"/>
  <c r="E4807" i="2"/>
  <c r="E4808" i="2"/>
  <c r="E4809" i="2"/>
  <c r="E4810" i="2"/>
  <c r="E4811" i="2"/>
  <c r="E4812" i="2"/>
  <c r="E4813" i="2"/>
  <c r="E4814" i="2"/>
  <c r="E4815" i="2"/>
  <c r="E4816"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6" i="2"/>
  <c r="E4937" i="2"/>
  <c r="E4938" i="2"/>
  <c r="E4939" i="2"/>
  <c r="E4940" i="2"/>
  <c r="E4941" i="2"/>
  <c r="E4942" i="2"/>
  <c r="E4943" i="2"/>
  <c r="E4944" i="2"/>
  <c r="E4945" i="2"/>
  <c r="E4946" i="2"/>
  <c r="E4947" i="2"/>
  <c r="E4948" i="2"/>
  <c r="E4949" i="2"/>
  <c r="E4950" i="2"/>
  <c r="E4951"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8" i="2"/>
  <c r="E5069" i="2"/>
  <c r="E5070" i="2"/>
  <c r="E5071" i="2"/>
  <c r="E5072" i="2"/>
  <c r="E5073" i="2"/>
  <c r="E5074" i="2"/>
  <c r="E5075" i="2"/>
  <c r="E5076" i="2"/>
  <c r="E5077" i="2"/>
  <c r="E5078" i="2"/>
  <c r="E5079" i="2"/>
  <c r="E5080" i="2"/>
  <c r="E5081" i="2"/>
  <c r="E5082" i="2"/>
  <c r="E5083" i="2"/>
  <c r="E5084"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7" i="2"/>
  <c r="E5368" i="2"/>
  <c r="E5369" i="2"/>
  <c r="E5370" i="2"/>
  <c r="E5371" i="2"/>
  <c r="E5372" i="2"/>
  <c r="E5373" i="2"/>
  <c r="E5374" i="2"/>
  <c r="E5375" i="2"/>
  <c r="E5376" i="2"/>
  <c r="E5377" i="2"/>
  <c r="E5378"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1" i="2"/>
  <c r="E5492" i="2"/>
  <c r="E5493" i="2"/>
  <c r="E5494" i="2"/>
  <c r="E5495" i="2"/>
  <c r="E5496" i="2"/>
  <c r="E5497" i="2"/>
  <c r="E5498" i="2"/>
  <c r="E5499" i="2"/>
  <c r="E5500" i="2"/>
  <c r="E5501" i="2"/>
  <c r="E5502" i="2"/>
  <c r="E5503" i="2"/>
  <c r="E5504"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1" i="2"/>
  <c r="E5572" i="2"/>
  <c r="E5573" i="2"/>
  <c r="E5574" i="2"/>
  <c r="E5575" i="2"/>
  <c r="E5576" i="2"/>
  <c r="E5577" i="2"/>
  <c r="E5578" i="2"/>
  <c r="E5579" i="2"/>
  <c r="E5580" i="2"/>
  <c r="E5581" i="2"/>
  <c r="E5582" i="2"/>
  <c r="E5583" i="2"/>
  <c r="E5584" i="2"/>
  <c r="E5585" i="2"/>
  <c r="E5586" i="2"/>
  <c r="E5587" i="2"/>
  <c r="E5588" i="2"/>
  <c r="E5589" i="2"/>
  <c r="E5590"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6" i="2"/>
  <c r="E5627" i="2"/>
  <c r="E5628" i="2"/>
  <c r="E5629" i="2"/>
  <c r="E5630" i="2"/>
  <c r="E5631" i="2"/>
  <c r="E5632" i="2"/>
  <c r="E5633" i="2"/>
  <c r="E5634" i="2"/>
  <c r="E5635" i="2"/>
  <c r="E5636"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90" i="2"/>
  <c r="E5691" i="2"/>
  <c r="E5692" i="2"/>
  <c r="E5693" i="2"/>
  <c r="E5694" i="2"/>
  <c r="E5695" i="2"/>
  <c r="E5696" i="2"/>
  <c r="E5697" i="2"/>
  <c r="E5698" i="2"/>
  <c r="E5699" i="2"/>
  <c r="E5700" i="2"/>
  <c r="E5701" i="2"/>
  <c r="E5702"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9" i="2"/>
  <c r="E5800" i="2"/>
  <c r="E5801" i="2"/>
  <c r="E5802" i="2"/>
  <c r="E5803" i="2"/>
  <c r="E5804" i="2"/>
  <c r="E5805" i="2"/>
  <c r="E5806" i="2"/>
  <c r="E5807" i="2"/>
  <c r="E5808" i="2"/>
  <c r="E5809" i="2"/>
  <c r="E5810" i="2"/>
  <c r="E5811" i="2"/>
  <c r="E5812" i="2"/>
  <c r="E5813" i="2"/>
  <c r="E5814" i="2"/>
  <c r="E5815" i="2"/>
  <c r="E5816" i="2"/>
  <c r="E5817" i="2"/>
  <c r="E5818" i="2"/>
  <c r="E5820" i="2"/>
  <c r="E5821" i="2"/>
  <c r="E5822" i="2"/>
  <c r="E5823" i="2"/>
  <c r="E5824" i="2"/>
  <c r="E5826" i="2"/>
  <c r="E5827" i="2"/>
  <c r="E5828" i="2"/>
  <c r="E5829" i="2"/>
  <c r="E5830" i="2"/>
  <c r="E5831" i="2"/>
  <c r="E5832" i="2"/>
  <c r="E5833" i="2"/>
  <c r="E5834" i="2"/>
  <c r="E5835" i="2"/>
  <c r="E5836" i="2"/>
  <c r="E5837" i="2"/>
  <c r="E5838" i="2"/>
  <c r="E5839" i="2"/>
  <c r="E5840" i="2"/>
  <c r="E5841" i="2"/>
  <c r="E5842" i="2"/>
  <c r="E5843" i="2"/>
  <c r="E5844" i="2"/>
  <c r="E5845" i="2"/>
  <c r="E5846" i="2"/>
  <c r="E5847"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2" i="2"/>
  <c r="E6063" i="2"/>
  <c r="E6064" i="2"/>
  <c r="E6065" i="2"/>
  <c r="E6066" i="2"/>
  <c r="E6067" i="2"/>
  <c r="E6068" i="2"/>
  <c r="E6069" i="2"/>
  <c r="E6070" i="2"/>
  <c r="E6071" i="2"/>
  <c r="E6072"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4" i="2"/>
  <c r="E6145" i="2"/>
  <c r="E6146" i="2"/>
  <c r="E6147" i="2"/>
  <c r="E6148" i="2"/>
  <c r="E6149" i="2"/>
  <c r="E6150" i="2"/>
  <c r="E6151" i="2"/>
  <c r="E6152" i="2"/>
  <c r="E6153" i="2"/>
  <c r="E6154" i="2"/>
  <c r="E6155" i="2"/>
  <c r="E6156" i="2"/>
  <c r="E6157" i="2"/>
  <c r="E6158" i="2"/>
  <c r="E6159" i="2"/>
  <c r="E6160" i="2"/>
  <c r="E6161" i="2"/>
  <c r="E6162" i="2"/>
  <c r="E6163" i="2"/>
  <c r="E6164"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9" i="2"/>
  <c r="E6200" i="2"/>
  <c r="E6201" i="2"/>
  <c r="E6202" i="2"/>
  <c r="E6203" i="2"/>
  <c r="E6204" i="2"/>
  <c r="E6205" i="2"/>
  <c r="E6206" i="2"/>
  <c r="E6207" i="2"/>
  <c r="E6208" i="2"/>
  <c r="E6209" i="2"/>
  <c r="E6210" i="2"/>
  <c r="E6211" i="2"/>
  <c r="E6212" i="2"/>
  <c r="E6213" i="2"/>
  <c r="E6214" i="2"/>
  <c r="E6215" i="2"/>
  <c r="E6216" i="2"/>
  <c r="E6217" i="2"/>
  <c r="E6218" i="2"/>
  <c r="E6219" i="2"/>
  <c r="E6220"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6" i="2"/>
  <c r="E6287" i="2"/>
  <c r="E6288" i="2"/>
  <c r="E6289" i="2"/>
  <c r="E6290" i="2"/>
  <c r="E6291" i="2"/>
  <c r="E6292" i="2"/>
  <c r="E6293" i="2"/>
  <c r="E6294" i="2"/>
  <c r="E6295"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7" i="2"/>
  <c r="E6358" i="2"/>
  <c r="E6359" i="2"/>
  <c r="E6360" i="2"/>
  <c r="E6361" i="2"/>
  <c r="E6362" i="2"/>
  <c r="E6363" i="2"/>
  <c r="E6364" i="2"/>
  <c r="E6365" i="2"/>
  <c r="E6366" i="2"/>
  <c r="E6367" i="2"/>
  <c r="E6368" i="2"/>
  <c r="E6369" i="2"/>
  <c r="E6370" i="2"/>
  <c r="E6371" i="2"/>
  <c r="E6372"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2" i="2"/>
  <c r="E6583" i="2"/>
  <c r="E6584" i="2"/>
  <c r="E6585" i="2"/>
  <c r="E6586" i="2"/>
  <c r="E6587" i="2"/>
  <c r="E6588" i="2"/>
  <c r="E6589" i="2"/>
  <c r="E6590" i="2"/>
  <c r="E6591" i="2"/>
  <c r="E6592" i="2"/>
  <c r="E6593" i="2"/>
  <c r="E6594" i="2"/>
  <c r="E6595" i="2"/>
  <c r="E6596" i="2"/>
  <c r="E6597" i="2"/>
  <c r="E6598" i="2"/>
  <c r="E6599" i="2"/>
  <c r="E6600" i="2"/>
  <c r="E6601" i="2"/>
  <c r="E6602" i="2"/>
  <c r="E6603"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5" i="2"/>
  <c r="E6726" i="2"/>
  <c r="E6727" i="2"/>
  <c r="E6728" i="2"/>
  <c r="E6729" i="2"/>
  <c r="E6730" i="2"/>
  <c r="E6731" i="2"/>
  <c r="E6732" i="2"/>
  <c r="E6733" i="2"/>
  <c r="E6734" i="2"/>
  <c r="E6735" i="2"/>
  <c r="E6736" i="2"/>
  <c r="E6737" i="2"/>
  <c r="E6738" i="2"/>
  <c r="E6739" i="2"/>
  <c r="E6740" i="2"/>
  <c r="E6741" i="2"/>
  <c r="E6742" i="2"/>
  <c r="E6744" i="2"/>
  <c r="E6745" i="2"/>
  <c r="E6746" i="2"/>
  <c r="E6747" i="2"/>
  <c r="E6748" i="2"/>
  <c r="E6749" i="2"/>
  <c r="E6750" i="2"/>
  <c r="E6751" i="2"/>
  <c r="E6753" i="2"/>
  <c r="E6754" i="2"/>
  <c r="E6755" i="2"/>
  <c r="E6756" i="2"/>
  <c r="E6757" i="2"/>
  <c r="E6758" i="2"/>
  <c r="E6759" i="2"/>
  <c r="E6760" i="2"/>
  <c r="E6761" i="2"/>
  <c r="E6762" i="2"/>
  <c r="E6763" i="2"/>
  <c r="E6764" i="2"/>
  <c r="E6766" i="2"/>
  <c r="E6767" i="2"/>
  <c r="E6768" i="2"/>
  <c r="E6769" i="2"/>
  <c r="E6770" i="2"/>
  <c r="E6771" i="2"/>
  <c r="E6772" i="2"/>
  <c r="E6773" i="2"/>
  <c r="E6774" i="2"/>
  <c r="E6776" i="2"/>
  <c r="E6777" i="2"/>
  <c r="E6778" i="2"/>
  <c r="E6779" i="2"/>
  <c r="E6780" i="2"/>
  <c r="E6781" i="2"/>
  <c r="E6782" i="2"/>
  <c r="E6783" i="2"/>
  <c r="E6784" i="2"/>
  <c r="E6785" i="2"/>
  <c r="E6786" i="2"/>
  <c r="E6787" i="2"/>
  <c r="E6789" i="2"/>
  <c r="E6790" i="2"/>
  <c r="E6791" i="2"/>
  <c r="E6792" i="2"/>
  <c r="E6793" i="2"/>
  <c r="E6794" i="2"/>
  <c r="E6795" i="2"/>
  <c r="E6796" i="2"/>
  <c r="E6797" i="2"/>
  <c r="E6798" i="2"/>
  <c r="E6799" i="2"/>
  <c r="E6800" i="2"/>
  <c r="E6801" i="2"/>
  <c r="E6802" i="2"/>
  <c r="E6804" i="2"/>
  <c r="E6805" i="2"/>
  <c r="E6806" i="2"/>
  <c r="E6807" i="2"/>
  <c r="E6808" i="2"/>
  <c r="E6809" i="2"/>
  <c r="E6810" i="2"/>
  <c r="E6811" i="2"/>
  <c r="E6812" i="2"/>
  <c r="E6813" i="2"/>
  <c r="E6814" i="2"/>
  <c r="E6815" i="2"/>
  <c r="E6816" i="2"/>
  <c r="E6817" i="2"/>
  <c r="E6818" i="2"/>
  <c r="E6819" i="2"/>
  <c r="E6820" i="2"/>
  <c r="E6821" i="2"/>
  <c r="E6822" i="2"/>
  <c r="E6823" i="2"/>
  <c r="E6825" i="2"/>
  <c r="E6826" i="2"/>
  <c r="E6827" i="2"/>
  <c r="E6828" i="2"/>
  <c r="E6829" i="2"/>
  <c r="E6830" i="2"/>
  <c r="E6831" i="2"/>
  <c r="E6832" i="2"/>
  <c r="E6833" i="2"/>
  <c r="E6834" i="2"/>
  <c r="E6835" i="2"/>
  <c r="E6836" i="2"/>
  <c r="E6837" i="2"/>
  <c r="E6838" i="2"/>
  <c r="E6839" i="2"/>
  <c r="E6840" i="2"/>
  <c r="E6841" i="2"/>
  <c r="E6842" i="2"/>
  <c r="E6843" i="2"/>
  <c r="E6844" i="2"/>
  <c r="E6846" i="2"/>
  <c r="E6847" i="2"/>
  <c r="E6848" i="2"/>
  <c r="E6849" i="2"/>
  <c r="E6850" i="2"/>
  <c r="E6851" i="2"/>
  <c r="E6852" i="2"/>
  <c r="E6853"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100" i="2"/>
  <c r="E7101" i="2"/>
  <c r="E7102" i="2"/>
  <c r="E7103" i="2"/>
  <c r="E7104" i="2"/>
  <c r="E7105" i="2"/>
  <c r="E7106" i="2"/>
  <c r="E7107" i="2"/>
  <c r="E7108" i="2"/>
  <c r="E7110" i="2"/>
  <c r="E7111" i="2"/>
  <c r="E7112" i="2"/>
  <c r="E7113" i="2"/>
  <c r="E7114" i="2"/>
  <c r="E7115" i="2"/>
  <c r="E7116" i="2"/>
  <c r="E7117" i="2"/>
  <c r="E7118" i="2"/>
  <c r="E7119" i="2"/>
  <c r="E7120" i="2"/>
  <c r="E7121"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6" i="2"/>
  <c r="E7467" i="2"/>
  <c r="E7468" i="2"/>
  <c r="E7469"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6" i="2"/>
  <c r="E7537" i="2"/>
  <c r="E7538" i="2"/>
  <c r="E7539" i="2"/>
  <c r="E7540" i="2"/>
  <c r="E7541" i="2"/>
  <c r="E7542" i="2"/>
  <c r="E7543" i="2"/>
  <c r="E7544" i="2"/>
  <c r="E7545" i="2"/>
  <c r="E7546" i="2"/>
  <c r="E7547" i="2"/>
  <c r="E7548" i="2"/>
  <c r="E7549" i="2"/>
  <c r="E7550" i="2"/>
  <c r="E7551" i="2"/>
  <c r="E7552" i="2"/>
  <c r="E7553" i="2"/>
  <c r="E7554" i="2"/>
  <c r="E7555" i="2"/>
  <c r="E7556" i="2"/>
  <c r="E7557" i="2"/>
  <c r="E7558" i="2"/>
  <c r="E7559" i="2"/>
  <c r="E7560" i="2"/>
  <c r="E7561" i="2"/>
  <c r="E7562" i="2"/>
  <c r="E7563" i="2"/>
  <c r="E7564" i="2"/>
  <c r="E7565" i="2"/>
  <c r="E7566" i="2"/>
  <c r="E7567" i="2"/>
  <c r="E7568" i="2"/>
  <c r="E7569" i="2"/>
  <c r="E7570" i="2"/>
  <c r="E7571" i="2"/>
  <c r="E7572" i="2"/>
  <c r="E7573" i="2"/>
  <c r="E7574" i="2"/>
  <c r="E7575" i="2"/>
  <c r="E7576" i="2"/>
  <c r="E7577" i="2"/>
  <c r="E7578" i="2"/>
  <c r="E7579" i="2"/>
  <c r="E7580" i="2"/>
  <c r="E7581" i="2"/>
  <c r="E7582" i="2"/>
  <c r="E7583" i="2"/>
  <c r="E7584" i="2"/>
  <c r="E7585" i="2"/>
  <c r="E7586" i="2"/>
  <c r="E7587" i="2"/>
  <c r="E7588" i="2"/>
  <c r="E7589" i="2"/>
  <c r="E7590" i="2"/>
  <c r="E7591" i="2"/>
  <c r="E7592" i="2"/>
  <c r="E7593" i="2"/>
  <c r="E7594" i="2"/>
  <c r="E7595" i="2"/>
  <c r="E7596" i="2"/>
  <c r="E7597" i="2"/>
  <c r="E7598" i="2"/>
  <c r="E7599" i="2"/>
  <c r="E7600" i="2"/>
  <c r="E7601" i="2"/>
  <c r="E7602" i="2"/>
  <c r="E7603" i="2"/>
  <c r="E7604" i="2"/>
  <c r="E7605" i="2"/>
  <c r="E7606" i="2"/>
  <c r="E7607" i="2"/>
  <c r="E7608" i="2"/>
  <c r="E7609" i="2"/>
  <c r="E7610" i="2"/>
  <c r="E7611" i="2"/>
  <c r="E7612" i="2"/>
  <c r="E7613" i="2"/>
  <c r="E7614" i="2"/>
  <c r="E7616" i="2"/>
  <c r="E7617" i="2"/>
  <c r="E7618" i="2"/>
  <c r="E7619" i="2"/>
  <c r="E7620" i="2"/>
  <c r="E7621" i="2"/>
  <c r="E7622" i="2"/>
  <c r="E7623" i="2"/>
  <c r="E7624" i="2"/>
  <c r="E7625" i="2"/>
  <c r="E7626" i="2"/>
  <c r="E7627" i="2"/>
  <c r="E7628" i="2"/>
  <c r="E7629" i="2"/>
  <c r="E7630" i="2"/>
  <c r="E7631" i="2"/>
  <c r="E7632" i="2"/>
  <c r="E7633" i="2"/>
  <c r="E7634" i="2"/>
  <c r="E7635" i="2"/>
  <c r="E7636" i="2"/>
  <c r="E7637" i="2"/>
  <c r="E7638" i="2"/>
  <c r="E7639" i="2"/>
  <c r="E7640" i="2"/>
  <c r="E7641" i="2"/>
  <c r="E7642" i="2"/>
  <c r="E7643" i="2"/>
  <c r="E7644" i="2"/>
  <c r="E7645" i="2"/>
  <c r="E7646" i="2"/>
  <c r="E7647" i="2"/>
  <c r="E7648" i="2"/>
  <c r="E7649" i="2"/>
  <c r="E7650" i="2"/>
  <c r="E7651" i="2"/>
  <c r="E7652" i="2"/>
  <c r="E7653" i="2"/>
  <c r="E7654" i="2"/>
  <c r="E7655" i="2"/>
  <c r="E7656" i="2"/>
  <c r="E7657" i="2"/>
  <c r="E7658" i="2"/>
  <c r="E7659" i="2"/>
  <c r="E7660" i="2"/>
  <c r="E7661" i="2"/>
  <c r="E7662" i="2"/>
  <c r="E7663" i="2"/>
  <c r="E7664" i="2"/>
  <c r="E7665" i="2"/>
  <c r="E7666" i="2"/>
  <c r="E7667" i="2"/>
  <c r="E7668" i="2"/>
  <c r="E7669" i="2"/>
  <c r="E7670" i="2"/>
  <c r="E7671" i="2"/>
  <c r="E7672" i="2"/>
  <c r="E7674" i="2"/>
  <c r="E7675" i="2"/>
  <c r="E7676" i="2"/>
  <c r="E7677" i="2"/>
  <c r="E7678" i="2"/>
  <c r="E7679" i="2"/>
  <c r="E7680" i="2"/>
  <c r="E7681" i="2"/>
  <c r="E7682" i="2"/>
  <c r="E7683" i="2"/>
  <c r="E7684" i="2"/>
  <c r="E7685" i="2"/>
  <c r="E7686" i="2"/>
  <c r="E7687" i="2"/>
  <c r="E7688" i="2"/>
  <c r="E7689" i="2"/>
  <c r="E7690" i="2"/>
  <c r="E7691" i="2"/>
  <c r="E7692" i="2"/>
  <c r="E7693" i="2"/>
  <c r="E7695" i="2"/>
  <c r="E7696" i="2"/>
  <c r="E7697" i="2"/>
  <c r="E7698" i="2"/>
  <c r="E7699" i="2"/>
  <c r="E7700" i="2"/>
  <c r="E7701" i="2"/>
  <c r="E7702" i="2"/>
  <c r="E7703" i="2"/>
  <c r="E7704" i="2"/>
  <c r="E7705" i="2"/>
  <c r="E7706" i="2"/>
  <c r="E7707" i="2"/>
  <c r="E7708" i="2"/>
  <c r="E7709" i="2"/>
  <c r="E7710" i="2"/>
  <c r="E7711" i="2"/>
  <c r="E7712" i="2"/>
  <c r="E7713" i="2"/>
  <c r="E7714" i="2"/>
  <c r="E7715" i="2"/>
  <c r="E7716" i="2"/>
  <c r="E7717" i="2"/>
  <c r="E7718" i="2"/>
  <c r="E7719" i="2"/>
  <c r="E7720" i="2"/>
  <c r="E7721" i="2"/>
  <c r="E7722" i="2"/>
  <c r="E7723" i="2"/>
  <c r="E7724" i="2"/>
  <c r="E7725" i="2"/>
  <c r="E7726" i="2"/>
  <c r="E7727" i="2"/>
  <c r="E7728" i="2"/>
  <c r="E7729" i="2"/>
  <c r="E7730" i="2"/>
  <c r="E7731" i="2"/>
  <c r="E7732" i="2"/>
  <c r="E7733" i="2"/>
  <c r="E7734" i="2"/>
  <c r="E7735" i="2"/>
  <c r="E7736" i="2"/>
  <c r="E7737" i="2"/>
  <c r="E7738" i="2"/>
  <c r="E7739" i="2"/>
  <c r="E7740" i="2"/>
  <c r="E7741" i="2"/>
  <c r="E7742" i="2"/>
  <c r="E7743" i="2"/>
  <c r="E7744" i="2"/>
  <c r="E7745" i="2"/>
  <c r="E7746" i="2"/>
  <c r="E7747" i="2"/>
  <c r="E7748" i="2"/>
  <c r="E7749" i="2"/>
  <c r="E7750" i="2"/>
  <c r="E7751" i="2"/>
  <c r="E7752" i="2"/>
  <c r="E7753" i="2"/>
  <c r="E7754" i="2"/>
  <c r="E7755" i="2"/>
  <c r="E7756" i="2"/>
  <c r="E7757" i="2"/>
  <c r="E7758" i="2"/>
  <c r="E7759" i="2"/>
  <c r="E7760" i="2"/>
  <c r="E7761" i="2"/>
  <c r="E7762" i="2"/>
  <c r="E7763" i="2"/>
  <c r="E7764" i="2"/>
  <c r="E7766" i="2"/>
  <c r="E7767" i="2"/>
  <c r="E7768" i="2"/>
  <c r="E7769" i="2"/>
  <c r="E7770" i="2"/>
  <c r="E7771" i="2"/>
  <c r="E7772" i="2"/>
  <c r="E7773" i="2"/>
  <c r="E7774" i="2"/>
  <c r="E7775" i="2"/>
  <c r="E7776" i="2"/>
  <c r="E7777" i="2"/>
  <c r="E7778" i="2"/>
  <c r="E7779" i="2"/>
  <c r="E7780" i="2"/>
  <c r="E7781" i="2"/>
  <c r="E7782" i="2"/>
  <c r="E7783" i="2"/>
  <c r="E7784" i="2"/>
  <c r="E7785" i="2"/>
  <c r="E7786" i="2"/>
  <c r="E7787" i="2"/>
  <c r="E7788" i="2"/>
  <c r="E7789" i="2"/>
  <c r="E7790" i="2"/>
  <c r="E7791" i="2"/>
  <c r="E7792" i="2"/>
  <c r="E7793" i="2"/>
  <c r="E7794" i="2"/>
  <c r="E7795" i="2"/>
  <c r="E7796" i="2"/>
  <c r="E7797" i="2"/>
  <c r="E7798" i="2"/>
  <c r="E7799" i="2"/>
  <c r="E7800" i="2"/>
  <c r="E7801" i="2"/>
  <c r="E7802" i="2"/>
  <c r="E7803" i="2"/>
  <c r="E7804" i="2"/>
  <c r="E7805" i="2"/>
  <c r="E7806" i="2"/>
  <c r="E7807" i="2"/>
  <c r="E7808" i="2"/>
  <c r="E7810" i="2"/>
  <c r="E7811" i="2"/>
  <c r="E7812" i="2"/>
  <c r="E7813" i="2"/>
  <c r="E7814" i="2"/>
  <c r="E7815" i="2"/>
  <c r="E7816" i="2"/>
  <c r="E7817" i="2"/>
  <c r="E7818" i="2"/>
  <c r="E7819" i="2"/>
  <c r="E7820" i="2"/>
  <c r="E7821" i="2"/>
  <c r="E7822" i="2"/>
  <c r="E7823" i="2"/>
  <c r="E7824" i="2"/>
  <c r="E7825" i="2"/>
  <c r="E7826" i="2"/>
  <c r="E7827" i="2"/>
  <c r="E7828" i="2"/>
  <c r="E7829" i="2"/>
  <c r="E7830" i="2"/>
  <c r="E7831" i="2"/>
  <c r="E7832" i="2"/>
  <c r="E7833" i="2"/>
  <c r="E7834" i="2"/>
  <c r="E7835" i="2"/>
  <c r="E7836" i="2"/>
  <c r="E7837" i="2"/>
  <c r="E7838" i="2"/>
  <c r="E7839" i="2"/>
  <c r="E7840" i="2"/>
  <c r="E7841" i="2"/>
  <c r="E7842" i="2"/>
  <c r="E7843" i="2"/>
  <c r="E7844" i="2"/>
  <c r="E7845" i="2"/>
  <c r="E7846" i="2"/>
  <c r="E7847" i="2"/>
  <c r="E7848" i="2"/>
  <c r="E7849" i="2"/>
  <c r="E7850" i="2"/>
  <c r="E7851" i="2"/>
  <c r="E7852" i="2"/>
  <c r="E7854" i="2"/>
  <c r="E7855" i="2"/>
  <c r="E7856" i="2"/>
  <c r="E7857" i="2"/>
  <c r="E7858" i="2"/>
  <c r="E7859" i="2"/>
  <c r="E7860" i="2"/>
  <c r="E7861" i="2"/>
  <c r="E7862" i="2"/>
  <c r="E7863" i="2"/>
  <c r="E7864" i="2"/>
  <c r="E7865" i="2"/>
  <c r="E7866" i="2"/>
  <c r="E7867" i="2"/>
  <c r="E7868" i="2"/>
  <c r="E7869" i="2"/>
  <c r="E7870" i="2"/>
  <c r="E7871" i="2"/>
  <c r="E7872" i="2"/>
  <c r="E7873" i="2"/>
  <c r="E7874" i="2"/>
  <c r="E7875" i="2"/>
  <c r="E7876" i="2"/>
  <c r="E7877" i="2"/>
  <c r="E7878" i="2"/>
  <c r="E7879" i="2"/>
  <c r="E7880" i="2"/>
  <c r="E7881" i="2"/>
  <c r="E7882" i="2"/>
  <c r="E7883" i="2"/>
  <c r="E7884" i="2"/>
  <c r="E7885" i="2"/>
  <c r="E7886" i="2"/>
  <c r="E7887" i="2"/>
  <c r="E7888" i="2"/>
  <c r="E7889" i="2"/>
  <c r="E7890" i="2"/>
  <c r="E7891" i="2"/>
  <c r="E7893" i="2"/>
  <c r="E7894" i="2"/>
  <c r="E7895" i="2"/>
  <c r="E7896" i="2"/>
  <c r="E7897" i="2"/>
  <c r="E7898" i="2"/>
  <c r="E7899" i="2"/>
  <c r="E7900" i="2"/>
  <c r="E7901" i="2"/>
  <c r="E7902" i="2"/>
  <c r="E7903" i="2"/>
  <c r="E7904" i="2"/>
  <c r="E7905" i="2"/>
  <c r="E7906" i="2"/>
  <c r="E7907" i="2"/>
  <c r="E7908" i="2"/>
  <c r="E7909" i="2"/>
  <c r="E7910" i="2"/>
  <c r="E7911" i="2"/>
  <c r="E7912" i="2"/>
  <c r="E7913" i="2"/>
  <c r="E7915" i="2"/>
  <c r="E7916" i="2"/>
  <c r="E7917" i="2"/>
  <c r="E7918" i="2"/>
  <c r="E7919" i="2"/>
  <c r="E7920" i="2"/>
  <c r="E7921" i="2"/>
  <c r="E7922" i="2"/>
  <c r="E7923" i="2"/>
  <c r="E7924" i="2"/>
  <c r="E7925" i="2"/>
  <c r="E7926" i="2"/>
  <c r="E7928" i="2"/>
  <c r="E7929" i="2"/>
  <c r="E7930" i="2"/>
  <c r="E7931" i="2"/>
  <c r="E7932" i="2"/>
  <c r="E7933" i="2"/>
  <c r="E7934" i="2"/>
  <c r="E7935" i="2"/>
  <c r="E7936" i="2"/>
  <c r="E7937" i="2"/>
  <c r="E7938" i="2"/>
  <c r="E7939" i="2"/>
  <c r="E7940" i="2"/>
  <c r="E7941" i="2"/>
  <c r="E7942" i="2"/>
  <c r="E7943" i="2"/>
  <c r="E7944" i="2"/>
  <c r="E7945" i="2"/>
  <c r="E7946" i="2"/>
  <c r="E7947" i="2"/>
  <c r="E7948" i="2"/>
  <c r="E7949" i="2"/>
  <c r="E7950" i="2"/>
  <c r="E7951" i="2"/>
  <c r="E7952" i="2"/>
  <c r="E7953" i="2"/>
  <c r="E7954" i="2"/>
  <c r="E7955" i="2"/>
  <c r="E7956" i="2"/>
  <c r="E7957" i="2"/>
  <c r="E7958" i="2"/>
  <c r="E7959" i="2"/>
  <c r="E7960" i="2"/>
  <c r="E7961" i="2"/>
  <c r="E7962" i="2"/>
  <c r="E7963" i="2"/>
  <c r="E7964" i="2"/>
  <c r="E7965" i="2"/>
  <c r="E7966" i="2"/>
  <c r="E7967" i="2"/>
  <c r="E7968" i="2"/>
  <c r="E7969" i="2"/>
  <c r="E7970" i="2"/>
  <c r="E7971" i="2"/>
  <c r="E7972" i="2"/>
  <c r="E7973" i="2"/>
  <c r="E7974" i="2"/>
  <c r="E7975" i="2"/>
  <c r="E7976" i="2"/>
  <c r="E7977" i="2"/>
  <c r="E7978" i="2"/>
  <c r="E7979" i="2"/>
  <c r="E7980" i="2"/>
  <c r="E7981" i="2"/>
  <c r="E7982" i="2"/>
  <c r="E7983" i="2"/>
  <c r="E7984" i="2"/>
  <c r="E7985" i="2"/>
  <c r="E7986" i="2"/>
  <c r="E7987" i="2"/>
  <c r="E7988" i="2"/>
  <c r="E7989" i="2"/>
  <c r="E7990" i="2"/>
  <c r="E7991" i="2"/>
  <c r="E7992" i="2"/>
  <c r="E7993" i="2"/>
  <c r="E7994" i="2"/>
  <c r="E7995" i="2"/>
  <c r="E7996" i="2"/>
  <c r="E7997" i="2"/>
  <c r="E7998" i="2"/>
  <c r="E7999" i="2"/>
  <c r="E8000" i="2"/>
  <c r="E8001" i="2"/>
  <c r="E8002" i="2"/>
  <c r="E8004" i="2"/>
  <c r="E8005" i="2"/>
  <c r="E8006" i="2"/>
  <c r="E8007" i="2"/>
  <c r="E8008" i="2"/>
  <c r="E8009" i="2"/>
  <c r="E8010" i="2"/>
  <c r="E8011" i="2"/>
  <c r="E8012" i="2"/>
  <c r="E8013" i="2"/>
  <c r="E8014" i="2"/>
  <c r="E8015" i="2"/>
  <c r="E8016" i="2"/>
  <c r="E8017" i="2"/>
  <c r="E8018" i="2"/>
  <c r="E8019" i="2"/>
  <c r="E8020" i="2"/>
  <c r="E8021" i="2"/>
  <c r="E8022" i="2"/>
  <c r="E8023" i="2"/>
  <c r="E8024" i="2"/>
  <c r="E8025" i="2"/>
  <c r="E8026" i="2"/>
  <c r="E8028" i="2"/>
  <c r="E8029" i="2"/>
  <c r="E8030" i="2"/>
  <c r="E8031" i="2"/>
  <c r="E8032" i="2"/>
  <c r="E8033" i="2"/>
  <c r="E8034" i="2"/>
  <c r="E8035" i="2"/>
  <c r="E8036" i="2"/>
  <c r="E8037" i="2"/>
  <c r="E8038" i="2"/>
  <c r="E8039" i="2"/>
  <c r="E8040" i="2"/>
  <c r="E8041" i="2"/>
  <c r="E8042" i="2"/>
  <c r="E8043" i="2"/>
  <c r="E8044" i="2"/>
  <c r="E8045" i="2"/>
  <c r="E8046" i="2"/>
  <c r="E8047" i="2"/>
  <c r="E8048" i="2"/>
  <c r="E8049" i="2"/>
  <c r="E8050" i="2"/>
  <c r="E8051" i="2"/>
  <c r="E8052" i="2"/>
  <c r="E8054" i="2"/>
  <c r="E8055" i="2"/>
  <c r="E8056" i="2"/>
  <c r="E8057" i="2"/>
  <c r="E8058" i="2"/>
  <c r="E8059" i="2"/>
  <c r="E8060" i="2"/>
  <c r="E8061" i="2"/>
  <c r="E8062" i="2"/>
  <c r="E8063" i="2"/>
  <c r="E8064" i="2"/>
  <c r="E8065" i="2"/>
  <c r="E8066" i="2"/>
  <c r="E8067" i="2"/>
  <c r="E8068" i="2"/>
  <c r="E8069" i="2"/>
  <c r="E8070" i="2"/>
  <c r="E8071" i="2"/>
  <c r="E8072" i="2"/>
  <c r="E8073" i="2"/>
  <c r="E8075" i="2"/>
  <c r="E8076" i="2"/>
  <c r="E8077" i="2"/>
  <c r="E8078" i="2"/>
  <c r="E8079" i="2"/>
  <c r="E8080" i="2"/>
  <c r="E8081" i="2"/>
  <c r="E8082" i="2"/>
  <c r="E8083" i="2"/>
  <c r="E8084" i="2"/>
  <c r="E8085" i="2"/>
  <c r="E8086" i="2"/>
  <c r="E8087" i="2"/>
  <c r="E8088" i="2"/>
  <c r="E8089" i="2"/>
  <c r="E8090" i="2"/>
  <c r="E8091" i="2"/>
  <c r="E8092" i="2"/>
  <c r="E8093" i="2"/>
  <c r="E8094" i="2"/>
  <c r="E8095" i="2"/>
  <c r="E8096" i="2"/>
  <c r="E8097" i="2"/>
  <c r="E8098" i="2"/>
  <c r="E8100" i="2"/>
  <c r="E8101" i="2"/>
  <c r="E8102" i="2"/>
  <c r="E8103" i="2"/>
  <c r="E8104" i="2"/>
  <c r="E8105" i="2"/>
  <c r="E8106" i="2"/>
  <c r="E8107" i="2"/>
  <c r="E8108" i="2"/>
  <c r="E8109" i="2"/>
  <c r="E8110" i="2"/>
  <c r="E8111" i="2"/>
  <c r="E8112" i="2"/>
  <c r="E8113" i="2"/>
  <c r="E8114" i="2"/>
  <c r="E8115" i="2"/>
  <c r="E8116" i="2"/>
  <c r="E8117" i="2"/>
  <c r="E8118" i="2"/>
  <c r="E8119" i="2"/>
  <c r="E8120" i="2"/>
  <c r="E8122" i="2"/>
  <c r="E8123" i="2"/>
  <c r="E8124" i="2"/>
  <c r="E8125" i="2"/>
  <c r="E8126" i="2"/>
  <c r="E8127" i="2"/>
  <c r="E8128" i="2"/>
  <c r="E8129" i="2"/>
  <c r="E8130" i="2"/>
  <c r="E8131" i="2"/>
  <c r="E8132" i="2"/>
  <c r="E8133" i="2"/>
  <c r="E8134" i="2"/>
  <c r="E8135" i="2"/>
  <c r="E8137" i="2"/>
  <c r="E8138" i="2"/>
  <c r="E8139" i="2"/>
  <c r="E8140" i="2"/>
  <c r="E8141" i="2"/>
  <c r="E8142" i="2"/>
  <c r="E8143" i="2"/>
  <c r="E8144" i="2"/>
  <c r="E8145" i="2"/>
  <c r="E8146" i="2"/>
  <c r="E8147" i="2"/>
  <c r="E8148" i="2"/>
  <c r="E8149" i="2"/>
  <c r="E8150" i="2"/>
  <c r="E8151" i="2"/>
  <c r="E8152" i="2"/>
  <c r="E8153" i="2"/>
  <c r="E8154" i="2"/>
  <c r="E8155" i="2"/>
  <c r="E8156" i="2"/>
  <c r="E8157" i="2"/>
  <c r="E8158" i="2"/>
  <c r="E8159" i="2"/>
  <c r="E8160" i="2"/>
  <c r="E8161" i="2"/>
  <c r="E8162" i="2"/>
  <c r="E8163" i="2"/>
  <c r="E8164" i="2"/>
  <c r="E8165" i="2"/>
  <c r="E8166" i="2"/>
  <c r="E8167" i="2"/>
  <c r="E8168" i="2"/>
  <c r="E8169" i="2"/>
  <c r="E8170" i="2"/>
  <c r="E8171" i="2"/>
  <c r="E8172" i="2"/>
  <c r="E8173" i="2"/>
  <c r="E8175" i="2"/>
  <c r="E8176" i="2"/>
  <c r="E8177" i="2"/>
  <c r="E8178" i="2"/>
  <c r="E8179" i="2"/>
  <c r="E8180" i="2"/>
  <c r="E8181" i="2"/>
  <c r="E8182" i="2"/>
  <c r="E8183" i="2"/>
  <c r="E8184" i="2"/>
  <c r="E8186" i="2"/>
  <c r="E8187" i="2"/>
  <c r="E8188" i="2"/>
  <c r="E8189" i="2"/>
  <c r="E8190" i="2"/>
  <c r="E8191" i="2"/>
  <c r="E8192" i="2"/>
  <c r="E8193" i="2"/>
  <c r="E8194" i="2"/>
  <c r="E8195" i="2"/>
  <c r="E8196" i="2"/>
  <c r="E8197" i="2"/>
  <c r="E8198" i="2"/>
  <c r="E8199" i="2"/>
  <c r="E8200" i="2"/>
  <c r="E8201" i="2"/>
  <c r="E8202" i="2"/>
  <c r="E8203" i="2"/>
  <c r="E8204" i="2"/>
  <c r="E8205" i="2"/>
  <c r="E8206" i="2"/>
  <c r="E8207" i="2"/>
  <c r="E8208" i="2"/>
  <c r="E8209" i="2"/>
  <c r="E8210" i="2"/>
  <c r="E8211" i="2"/>
  <c r="E8212" i="2"/>
  <c r="E8213" i="2"/>
  <c r="E8214" i="2"/>
  <c r="E8215" i="2"/>
  <c r="E8216" i="2"/>
  <c r="E8217" i="2"/>
  <c r="E8218" i="2"/>
  <c r="E8219" i="2"/>
  <c r="E8220" i="2"/>
  <c r="E8221" i="2"/>
  <c r="E8222" i="2"/>
  <c r="E8223" i="2"/>
  <c r="E8224" i="2"/>
  <c r="E8225" i="2"/>
  <c r="E8226" i="2"/>
  <c r="E8227" i="2"/>
  <c r="E8228" i="2"/>
  <c r="E8229" i="2"/>
  <c r="E8231" i="2"/>
  <c r="E8232" i="2"/>
  <c r="E8233" i="2"/>
  <c r="E8234" i="2"/>
  <c r="E8235" i="2"/>
  <c r="E8236" i="2"/>
  <c r="E8237" i="2"/>
  <c r="E8238" i="2"/>
  <c r="E8239" i="2"/>
  <c r="E8240" i="2"/>
  <c r="E8241" i="2"/>
  <c r="E8242" i="2"/>
  <c r="E8243" i="2"/>
  <c r="E8244" i="2"/>
  <c r="E8245" i="2"/>
  <c r="E8246" i="2"/>
  <c r="E8247" i="2"/>
  <c r="E8248" i="2"/>
  <c r="E8249" i="2"/>
  <c r="E8250" i="2"/>
  <c r="E8251" i="2"/>
  <c r="E8252" i="2"/>
  <c r="E8253" i="2"/>
  <c r="E8254" i="2"/>
  <c r="E8255" i="2"/>
  <c r="E8256" i="2"/>
  <c r="E8257" i="2"/>
  <c r="E8258" i="2"/>
  <c r="E8259" i="2"/>
  <c r="E8260" i="2"/>
  <c r="E8261" i="2"/>
  <c r="E8262" i="2"/>
  <c r="E8263" i="2"/>
  <c r="E8264" i="2"/>
  <c r="E8265" i="2"/>
  <c r="E8266" i="2"/>
  <c r="E8267" i="2"/>
  <c r="E8268" i="2"/>
  <c r="E8269" i="2"/>
  <c r="E8270" i="2"/>
  <c r="E8271" i="2"/>
  <c r="E8272" i="2"/>
  <c r="E8273" i="2"/>
  <c r="E8274" i="2"/>
  <c r="E8275" i="2"/>
  <c r="E8276" i="2"/>
  <c r="E8277" i="2"/>
  <c r="E8278" i="2"/>
  <c r="E8279" i="2"/>
  <c r="E8280" i="2"/>
  <c r="E8281" i="2"/>
  <c r="E8282" i="2"/>
  <c r="E8283" i="2"/>
  <c r="E8284" i="2"/>
  <c r="E8285" i="2"/>
  <c r="E8286" i="2"/>
  <c r="E8287" i="2"/>
  <c r="E8288" i="2"/>
  <c r="E8289" i="2"/>
  <c r="E8290" i="2"/>
  <c r="E8291" i="2"/>
  <c r="E8292" i="2"/>
  <c r="E8293" i="2"/>
  <c r="E8294" i="2"/>
  <c r="E8295" i="2"/>
  <c r="E8296" i="2"/>
  <c r="E8297" i="2"/>
  <c r="E8298" i="2"/>
  <c r="E8300" i="2"/>
  <c r="E8301" i="2"/>
  <c r="E8302" i="2"/>
  <c r="E8303" i="2"/>
  <c r="E8304" i="2"/>
  <c r="E8305" i="2"/>
  <c r="E8306" i="2"/>
  <c r="E8307" i="2"/>
  <c r="E8308" i="2"/>
  <c r="E8309" i="2"/>
  <c r="E8310" i="2"/>
  <c r="E8311" i="2"/>
  <c r="E8312" i="2"/>
  <c r="E8313" i="2"/>
  <c r="E8314" i="2"/>
  <c r="E8315" i="2"/>
  <c r="E8316" i="2"/>
  <c r="E8317" i="2"/>
  <c r="E8318" i="2"/>
  <c r="E8319" i="2"/>
  <c r="E8320" i="2"/>
  <c r="E8321" i="2"/>
  <c r="E8322" i="2"/>
  <c r="E8323" i="2"/>
  <c r="E8324" i="2"/>
  <c r="E8325" i="2"/>
  <c r="E8326" i="2"/>
  <c r="E8327" i="2"/>
  <c r="E8328" i="2"/>
  <c r="E8329" i="2"/>
  <c r="E8330" i="2"/>
  <c r="E8331" i="2"/>
  <c r="E8332" i="2"/>
  <c r="E8333" i="2"/>
  <c r="E8334" i="2"/>
  <c r="E8336" i="2"/>
  <c r="E8337" i="2"/>
  <c r="E8338" i="2"/>
  <c r="E8339" i="2"/>
  <c r="E8340" i="2"/>
  <c r="E8341" i="2"/>
  <c r="E8342" i="2"/>
  <c r="E8343" i="2"/>
  <c r="E8344" i="2"/>
  <c r="E8345" i="2"/>
  <c r="E8346" i="2"/>
  <c r="E8347" i="2"/>
  <c r="E8348" i="2"/>
  <c r="E8349" i="2"/>
  <c r="E8350" i="2"/>
  <c r="E8351" i="2"/>
  <c r="E8352" i="2"/>
  <c r="E8353" i="2"/>
  <c r="E8354" i="2"/>
  <c r="E8355" i="2"/>
  <c r="E8356" i="2"/>
  <c r="E8357" i="2"/>
  <c r="E8358" i="2"/>
  <c r="E8359" i="2"/>
  <c r="E8360" i="2"/>
  <c r="E8361" i="2"/>
  <c r="E8362" i="2"/>
  <c r="E8363" i="2"/>
  <c r="E8364" i="2"/>
  <c r="E8365" i="2"/>
  <c r="E8366" i="2"/>
  <c r="E8367" i="2"/>
  <c r="E8368" i="2"/>
  <c r="E8369" i="2"/>
  <c r="E8370" i="2"/>
  <c r="E8372" i="2"/>
  <c r="E8373" i="2"/>
  <c r="E8374" i="2"/>
  <c r="E8375" i="2"/>
  <c r="E8376" i="2"/>
  <c r="E8377" i="2"/>
  <c r="E8378" i="2"/>
  <c r="E8379" i="2"/>
  <c r="E8380" i="2"/>
  <c r="E8381" i="2"/>
  <c r="E8382" i="2"/>
  <c r="E8383" i="2"/>
  <c r="E8384" i="2"/>
  <c r="E8385" i="2"/>
  <c r="E8386" i="2"/>
  <c r="E8387" i="2"/>
  <c r="E8388" i="2"/>
  <c r="E8389" i="2"/>
  <c r="E8390" i="2"/>
  <c r="E8391" i="2"/>
  <c r="E8392" i="2"/>
  <c r="E8393" i="2"/>
  <c r="E8394" i="2"/>
  <c r="E8395" i="2"/>
  <c r="E8396" i="2"/>
  <c r="E8397" i="2"/>
  <c r="E8398" i="2"/>
  <c r="E8399" i="2"/>
  <c r="E8400" i="2"/>
  <c r="E8401" i="2"/>
  <c r="E8402" i="2"/>
  <c r="E8403" i="2"/>
  <c r="E8404" i="2"/>
  <c r="E8405" i="2"/>
  <c r="E8406" i="2"/>
  <c r="E8407" i="2"/>
  <c r="E8408" i="2"/>
  <c r="E8409" i="2"/>
  <c r="E8410" i="2"/>
  <c r="E8411" i="2"/>
  <c r="E8412" i="2"/>
  <c r="E8413" i="2"/>
  <c r="E8414" i="2"/>
  <c r="E8415" i="2"/>
  <c r="E8416" i="2"/>
  <c r="E8417" i="2"/>
  <c r="E8418" i="2"/>
  <c r="E8419" i="2"/>
  <c r="E8420" i="2"/>
  <c r="E8421" i="2"/>
  <c r="E8422" i="2"/>
  <c r="E8423" i="2"/>
  <c r="E8424" i="2"/>
  <c r="E8425" i="2"/>
  <c r="E8426" i="2"/>
  <c r="E8427" i="2"/>
  <c r="E8428" i="2"/>
  <c r="E8429" i="2"/>
  <c r="E8430" i="2"/>
  <c r="E8431" i="2"/>
  <c r="E8432" i="2"/>
  <c r="E8433" i="2"/>
  <c r="E8434" i="2"/>
  <c r="E8435" i="2"/>
  <c r="E8436" i="2"/>
  <c r="E8437" i="2"/>
  <c r="E8438" i="2"/>
  <c r="E8439" i="2"/>
  <c r="E8440" i="2"/>
  <c r="E8441" i="2"/>
  <c r="E8442" i="2"/>
  <c r="E8443" i="2"/>
  <c r="E8444" i="2"/>
  <c r="E8445" i="2"/>
  <c r="E8446" i="2"/>
  <c r="E8447" i="2"/>
  <c r="E8448" i="2"/>
  <c r="E8449" i="2"/>
  <c r="E8451" i="2"/>
  <c r="E8452" i="2"/>
  <c r="E8453" i="2"/>
  <c r="E8454" i="2"/>
  <c r="E8455" i="2"/>
  <c r="E8456" i="2"/>
  <c r="E8457" i="2"/>
  <c r="E8458" i="2"/>
  <c r="E8459" i="2"/>
  <c r="E8460" i="2"/>
  <c r="E8461" i="2"/>
  <c r="E8462" i="2"/>
  <c r="E8463" i="2"/>
  <c r="E8464" i="2"/>
  <c r="E8465" i="2"/>
  <c r="E8466" i="2"/>
  <c r="E8467" i="2"/>
  <c r="E8468" i="2"/>
  <c r="E8469" i="2"/>
  <c r="E8470" i="2"/>
  <c r="E8471" i="2"/>
  <c r="E8472" i="2"/>
  <c r="E8473" i="2"/>
  <c r="E8474" i="2"/>
  <c r="E8475" i="2"/>
  <c r="E8476" i="2"/>
  <c r="E8477" i="2"/>
  <c r="E8478" i="2"/>
  <c r="E8479" i="2"/>
  <c r="E8480" i="2"/>
  <c r="E8481" i="2"/>
  <c r="E8483" i="2"/>
  <c r="E8484" i="2"/>
  <c r="E8485" i="2"/>
  <c r="E8486" i="2"/>
  <c r="E8487" i="2"/>
  <c r="E8488" i="2"/>
  <c r="E8490" i="2"/>
  <c r="E8491" i="2"/>
  <c r="E8492" i="2"/>
  <c r="E8493" i="2"/>
  <c r="E8494" i="2"/>
  <c r="E8495" i="2"/>
  <c r="E8496" i="2"/>
  <c r="E8497" i="2"/>
  <c r="E8498" i="2"/>
  <c r="E8499" i="2"/>
  <c r="E8500" i="2"/>
  <c r="E8501" i="2"/>
  <c r="E8502" i="2"/>
  <c r="E8503" i="2"/>
  <c r="E8504" i="2"/>
  <c r="E8506" i="2"/>
  <c r="E8507" i="2"/>
  <c r="E8508" i="2"/>
  <c r="E8509" i="2"/>
  <c r="E8510" i="2"/>
  <c r="E8511" i="2"/>
  <c r="E8512" i="2"/>
  <c r="E8513" i="2"/>
  <c r="E8514" i="2"/>
  <c r="E8515" i="2"/>
  <c r="E8516" i="2"/>
  <c r="E8517" i="2"/>
  <c r="E8518" i="2"/>
  <c r="E8519" i="2"/>
  <c r="E8520" i="2"/>
  <c r="E8521" i="2"/>
  <c r="E8522" i="2"/>
  <c r="E8523" i="2"/>
  <c r="E8524" i="2"/>
  <c r="E8525" i="2"/>
  <c r="E8526" i="2"/>
  <c r="E8527" i="2"/>
  <c r="E8528" i="2"/>
  <c r="E8529" i="2"/>
  <c r="E8530" i="2"/>
  <c r="E8531" i="2"/>
  <c r="E8532" i="2"/>
  <c r="E8533" i="2"/>
  <c r="E8534" i="2"/>
  <c r="E8535" i="2"/>
  <c r="E8536" i="2"/>
  <c r="E8537" i="2"/>
  <c r="E8538" i="2"/>
  <c r="E8539" i="2"/>
  <c r="E8540" i="2"/>
  <c r="E8541" i="2"/>
  <c r="E8542" i="2"/>
  <c r="E8543" i="2"/>
  <c r="E8544" i="2"/>
  <c r="E8545" i="2"/>
  <c r="E8546" i="2"/>
  <c r="E8547" i="2"/>
  <c r="E8548" i="2"/>
  <c r="E8549" i="2"/>
  <c r="E8550" i="2"/>
  <c r="E8551" i="2"/>
  <c r="E8552" i="2"/>
  <c r="E8553" i="2"/>
  <c r="E8554" i="2"/>
  <c r="E8555" i="2"/>
  <c r="E8556" i="2"/>
  <c r="E8557" i="2"/>
  <c r="E8558" i="2"/>
  <c r="E8559" i="2"/>
  <c r="E8560" i="2"/>
  <c r="E8561" i="2"/>
  <c r="E8562" i="2"/>
  <c r="E8563" i="2"/>
  <c r="E8564" i="2"/>
  <c r="E8565" i="2"/>
  <c r="E8566" i="2"/>
  <c r="E8567" i="2"/>
  <c r="E8568" i="2"/>
  <c r="E8570" i="2"/>
  <c r="E8571" i="2"/>
  <c r="E8572" i="2"/>
  <c r="E8573" i="2"/>
  <c r="E8574" i="2"/>
  <c r="E8575" i="2"/>
  <c r="E8576" i="2"/>
  <c r="E8577" i="2"/>
  <c r="E8578" i="2"/>
  <c r="E8579" i="2"/>
  <c r="E8580" i="2"/>
  <c r="E8581" i="2"/>
  <c r="E8582" i="2"/>
  <c r="E8583" i="2"/>
  <c r="E8584" i="2"/>
  <c r="E8585" i="2"/>
  <c r="E8586" i="2"/>
  <c r="E8587" i="2"/>
  <c r="E8588" i="2"/>
  <c r="E8589" i="2"/>
  <c r="E8590" i="2"/>
  <c r="E8591" i="2"/>
  <c r="E8592" i="2"/>
  <c r="E8593" i="2"/>
  <c r="E8594" i="2"/>
  <c r="E8595" i="2"/>
  <c r="E8596" i="2"/>
  <c r="E8597" i="2"/>
  <c r="E8598" i="2"/>
  <c r="E8599" i="2"/>
  <c r="E8600" i="2"/>
  <c r="E8602" i="2"/>
  <c r="E8603" i="2"/>
  <c r="E8604" i="2"/>
  <c r="E8605" i="2"/>
  <c r="E8606" i="2"/>
  <c r="E8607" i="2"/>
  <c r="E8608" i="2"/>
  <c r="E8609" i="2"/>
  <c r="E8610" i="2"/>
  <c r="E8611" i="2"/>
  <c r="E8612" i="2"/>
  <c r="E8613" i="2"/>
  <c r="E8614" i="2"/>
  <c r="E8615" i="2"/>
  <c r="E8616" i="2"/>
  <c r="E8617" i="2"/>
  <c r="E8618" i="2"/>
  <c r="E8619" i="2"/>
  <c r="E8620" i="2"/>
  <c r="E8621" i="2"/>
  <c r="E8622" i="2"/>
  <c r="E8623" i="2"/>
  <c r="E8624" i="2"/>
  <c r="E8625" i="2"/>
  <c r="E8626" i="2"/>
  <c r="E8627" i="2"/>
  <c r="E8628" i="2"/>
  <c r="E8629" i="2"/>
  <c r="E8630" i="2"/>
  <c r="E8631" i="2"/>
  <c r="E8632" i="2"/>
  <c r="E8633" i="2"/>
  <c r="E8634" i="2"/>
  <c r="E8635" i="2"/>
  <c r="E8636" i="2"/>
  <c r="E8637" i="2"/>
  <c r="E8638" i="2"/>
  <c r="E8639" i="2"/>
  <c r="E8640" i="2"/>
  <c r="E8641" i="2"/>
  <c r="E8642" i="2"/>
  <c r="E8643" i="2"/>
  <c r="E8644" i="2"/>
  <c r="E8645" i="2"/>
  <c r="E8646" i="2"/>
  <c r="E8647" i="2"/>
  <c r="E8648" i="2"/>
  <c r="E8649" i="2"/>
  <c r="E8650" i="2"/>
  <c r="E8651" i="2"/>
  <c r="E8652" i="2"/>
  <c r="E8653" i="2"/>
  <c r="E8654" i="2"/>
  <c r="E8655" i="2"/>
  <c r="E8656" i="2"/>
  <c r="E8657" i="2"/>
  <c r="E8658" i="2"/>
  <c r="E8659" i="2"/>
  <c r="E8660" i="2"/>
  <c r="E8661" i="2"/>
  <c r="E8662" i="2"/>
  <c r="E8663" i="2"/>
  <c r="E8664" i="2"/>
  <c r="E8665" i="2"/>
  <c r="E8666" i="2"/>
  <c r="E8667" i="2"/>
  <c r="E8668" i="2"/>
  <c r="E8669" i="2"/>
  <c r="E8670" i="2"/>
  <c r="E8671" i="2"/>
  <c r="E8672" i="2"/>
  <c r="E8673" i="2"/>
  <c r="E8674" i="2"/>
  <c r="E8675" i="2"/>
  <c r="E8676" i="2"/>
  <c r="E8677" i="2"/>
  <c r="E8678" i="2"/>
  <c r="E8679" i="2"/>
  <c r="E8680" i="2"/>
  <c r="E8681" i="2"/>
  <c r="E8682" i="2"/>
  <c r="E8683" i="2"/>
  <c r="E8684" i="2"/>
  <c r="E8685" i="2"/>
  <c r="E8686" i="2"/>
  <c r="E8687" i="2"/>
  <c r="E8688" i="2"/>
  <c r="E8689" i="2"/>
  <c r="E8690" i="2"/>
  <c r="E8691" i="2"/>
  <c r="E8692" i="2"/>
  <c r="E8693" i="2"/>
  <c r="E8694" i="2"/>
  <c r="E8695" i="2"/>
  <c r="E8696" i="2"/>
  <c r="E8697" i="2"/>
  <c r="E8699" i="2"/>
  <c r="E8700" i="2"/>
  <c r="E8701" i="2"/>
  <c r="E8702" i="2"/>
  <c r="E8703" i="2"/>
  <c r="E8704" i="2"/>
  <c r="E8705" i="2"/>
  <c r="E8706" i="2"/>
  <c r="E8707" i="2"/>
  <c r="E8708" i="2"/>
  <c r="E8709" i="2"/>
  <c r="E8710" i="2"/>
  <c r="E8711" i="2"/>
  <c r="E8712" i="2"/>
  <c r="E8713" i="2"/>
  <c r="E8714" i="2"/>
  <c r="E8715" i="2"/>
  <c r="E8716" i="2"/>
  <c r="E8717" i="2"/>
  <c r="E8718" i="2"/>
  <c r="E8719" i="2"/>
  <c r="E8720" i="2"/>
  <c r="E8721" i="2"/>
  <c r="E8722" i="2"/>
  <c r="E8723" i="2"/>
  <c r="E8724" i="2"/>
  <c r="E8725" i="2"/>
  <c r="E8726" i="2"/>
  <c r="E8727" i="2"/>
  <c r="E8728" i="2"/>
  <c r="E8729" i="2"/>
  <c r="E8730" i="2"/>
  <c r="E8731" i="2"/>
  <c r="E8732" i="2"/>
  <c r="E8733" i="2"/>
  <c r="E8734" i="2"/>
  <c r="E8735" i="2"/>
  <c r="E8736" i="2"/>
  <c r="E8737" i="2"/>
  <c r="E8738" i="2"/>
  <c r="E8739" i="2"/>
  <c r="E8740" i="2"/>
  <c r="E8741" i="2"/>
  <c r="E8742" i="2"/>
  <c r="E8743" i="2"/>
  <c r="E8744" i="2"/>
  <c r="E8745" i="2"/>
  <c r="E8746" i="2"/>
  <c r="E8747" i="2"/>
  <c r="E8748" i="2"/>
  <c r="E8749" i="2"/>
  <c r="E8750" i="2"/>
  <c r="E8751" i="2"/>
  <c r="E8752" i="2"/>
  <c r="E8753" i="2"/>
  <c r="E8754" i="2"/>
  <c r="E8755" i="2"/>
  <c r="E8756" i="2"/>
  <c r="E8757" i="2"/>
  <c r="E8758" i="2"/>
  <c r="E8759" i="2"/>
  <c r="E8760" i="2"/>
  <c r="E8761" i="2"/>
  <c r="E8762" i="2"/>
  <c r="E8763" i="2"/>
  <c r="E8764" i="2"/>
  <c r="E8765" i="2"/>
  <c r="E8766" i="2"/>
  <c r="E8767" i="2"/>
  <c r="E8768" i="2"/>
  <c r="E8769" i="2"/>
  <c r="E8770" i="2"/>
  <c r="E8771" i="2"/>
  <c r="E8772" i="2"/>
  <c r="E8773" i="2"/>
  <c r="E8774" i="2"/>
  <c r="E8775" i="2"/>
  <c r="E8776" i="2"/>
  <c r="E8777" i="2"/>
  <c r="E8778" i="2"/>
  <c r="E8779" i="2"/>
  <c r="E8780" i="2"/>
  <c r="E8781" i="2"/>
  <c r="E8782" i="2"/>
  <c r="E8783" i="2"/>
  <c r="E8784" i="2"/>
  <c r="E8785" i="2"/>
  <c r="E8786" i="2"/>
  <c r="E8787" i="2"/>
  <c r="E8788" i="2"/>
  <c r="E8789" i="2"/>
  <c r="E8790" i="2"/>
  <c r="E8791" i="2"/>
  <c r="E8792" i="2"/>
  <c r="E8793" i="2"/>
  <c r="E8795" i="2"/>
  <c r="E8796" i="2"/>
  <c r="E8797" i="2"/>
  <c r="E8798" i="2"/>
  <c r="E8799" i="2"/>
  <c r="E8800" i="2"/>
  <c r="E8801" i="2"/>
  <c r="E8802" i="2"/>
  <c r="E8803" i="2"/>
  <c r="E8804" i="2"/>
  <c r="E8805" i="2"/>
  <c r="E8806" i="2"/>
  <c r="E8807" i="2"/>
  <c r="E8808" i="2"/>
  <c r="E8809" i="2"/>
  <c r="E8810" i="2"/>
  <c r="E8811" i="2"/>
  <c r="E8812" i="2"/>
  <c r="E8813" i="2"/>
  <c r="E8814" i="2"/>
  <c r="E8815" i="2"/>
  <c r="E8816" i="2"/>
  <c r="E8817" i="2"/>
  <c r="E8818" i="2"/>
  <c r="E8819" i="2"/>
  <c r="E8820" i="2"/>
  <c r="E8821" i="2"/>
  <c r="E8823" i="2"/>
  <c r="E8824" i="2"/>
  <c r="E8825" i="2"/>
  <c r="E8826" i="2"/>
  <c r="E8827" i="2"/>
  <c r="E8828" i="2"/>
  <c r="E8829" i="2"/>
  <c r="E8830" i="2"/>
  <c r="E8831" i="2"/>
  <c r="E8832" i="2"/>
  <c r="E8833" i="2"/>
  <c r="E8834" i="2"/>
  <c r="E8835" i="2"/>
  <c r="E8836" i="2"/>
  <c r="E8837" i="2"/>
  <c r="E8839" i="2"/>
  <c r="E8840" i="2"/>
  <c r="E8841" i="2"/>
  <c r="E8842" i="2"/>
  <c r="E8843" i="2"/>
  <c r="E8844" i="2"/>
  <c r="E8845" i="2"/>
  <c r="E8846" i="2"/>
  <c r="E8847" i="2"/>
  <c r="E8848" i="2"/>
  <c r="E8849" i="2"/>
  <c r="E8850" i="2"/>
  <c r="E8851" i="2"/>
  <c r="E8852" i="2"/>
  <c r="E8853" i="2"/>
  <c r="E8854" i="2"/>
  <c r="E8855" i="2"/>
  <c r="E8856" i="2"/>
  <c r="E8857" i="2"/>
  <c r="E8858" i="2"/>
  <c r="E8859" i="2"/>
  <c r="E8860" i="2"/>
  <c r="E8861" i="2"/>
  <c r="E8862" i="2"/>
  <c r="E8863" i="2"/>
  <c r="E8864" i="2"/>
  <c r="E8865" i="2"/>
  <c r="E8866" i="2"/>
  <c r="E8867" i="2"/>
  <c r="E8868" i="2"/>
  <c r="E8869" i="2"/>
  <c r="E8870" i="2"/>
  <c r="E8871" i="2"/>
  <c r="E8872" i="2"/>
  <c r="E8873" i="2"/>
  <c r="E8874" i="2"/>
  <c r="E8875" i="2"/>
  <c r="E8876" i="2"/>
  <c r="E8877" i="2"/>
  <c r="E8878" i="2"/>
  <c r="E8879" i="2"/>
  <c r="E8880" i="2"/>
  <c r="E8881" i="2"/>
  <c r="E8882" i="2"/>
  <c r="E8883" i="2"/>
  <c r="E8884" i="2"/>
  <c r="E8885" i="2"/>
  <c r="E8886" i="2"/>
  <c r="E8887" i="2"/>
  <c r="E8889" i="2"/>
  <c r="E8890" i="2"/>
  <c r="E8891" i="2"/>
  <c r="E8892" i="2"/>
  <c r="E8893" i="2"/>
  <c r="E8894" i="2"/>
  <c r="E8895" i="2"/>
  <c r="E8896" i="2"/>
  <c r="E8897" i="2"/>
  <c r="E8898" i="2"/>
  <c r="E8899" i="2"/>
  <c r="E8900" i="2"/>
  <c r="E8901" i="2"/>
  <c r="E8902" i="2"/>
  <c r="E8903" i="2"/>
  <c r="E8904" i="2"/>
  <c r="E8905" i="2"/>
  <c r="E8906" i="2"/>
  <c r="E8907" i="2"/>
  <c r="E8908" i="2"/>
  <c r="E8909" i="2"/>
  <c r="E8910" i="2"/>
  <c r="E8911" i="2"/>
  <c r="E8912" i="2"/>
  <c r="E8913" i="2"/>
  <c r="E8914" i="2"/>
  <c r="E8915" i="2"/>
  <c r="E8916" i="2"/>
  <c r="E8917" i="2"/>
  <c r="E8918" i="2"/>
  <c r="E8919" i="2"/>
  <c r="E8920" i="2"/>
  <c r="E8921" i="2"/>
  <c r="E8922" i="2"/>
  <c r="E8923" i="2"/>
  <c r="E8924" i="2"/>
  <c r="E8925" i="2"/>
  <c r="E8926" i="2"/>
  <c r="E8927" i="2"/>
  <c r="E8928" i="2"/>
  <c r="E8929" i="2"/>
  <c r="E8930" i="2"/>
  <c r="E8931" i="2"/>
  <c r="E8932" i="2"/>
  <c r="E8933" i="2"/>
  <c r="E8934" i="2"/>
  <c r="E8935" i="2"/>
  <c r="E8936" i="2"/>
  <c r="E8937" i="2"/>
  <c r="E8938" i="2"/>
  <c r="E8939" i="2"/>
  <c r="E8940" i="2"/>
  <c r="E8941" i="2"/>
  <c r="E8942" i="2"/>
  <c r="E8943" i="2"/>
  <c r="E8945" i="2"/>
  <c r="E8946" i="2"/>
  <c r="E8947" i="2"/>
  <c r="E8948" i="2"/>
  <c r="E8949" i="2"/>
  <c r="E8950" i="2"/>
  <c r="E8951" i="2"/>
  <c r="E8952" i="2"/>
  <c r="E8953" i="2"/>
  <c r="E8954" i="2"/>
  <c r="E8955" i="2"/>
  <c r="E8956" i="2"/>
  <c r="E8957" i="2"/>
  <c r="E8958" i="2"/>
  <c r="E8959" i="2"/>
  <c r="E8960" i="2"/>
  <c r="E8961" i="2"/>
  <c r="E8962" i="2"/>
  <c r="E8963" i="2"/>
  <c r="E8964" i="2"/>
  <c r="E8965" i="2"/>
  <c r="E8966" i="2"/>
  <c r="E8967" i="2"/>
  <c r="E8968" i="2"/>
  <c r="E8969" i="2"/>
  <c r="E8970" i="2"/>
  <c r="E8971" i="2"/>
  <c r="E8972" i="2"/>
  <c r="E8973" i="2"/>
  <c r="E8974" i="2"/>
  <c r="E8975" i="2"/>
  <c r="E8976" i="2"/>
  <c r="E8977" i="2"/>
  <c r="E8978" i="2"/>
  <c r="E8979" i="2"/>
  <c r="E8980" i="2"/>
  <c r="E8981" i="2"/>
  <c r="E8982" i="2"/>
  <c r="E8983" i="2"/>
  <c r="E8984" i="2"/>
  <c r="E8985" i="2"/>
  <c r="E8986" i="2"/>
  <c r="E8987" i="2"/>
  <c r="E8988" i="2"/>
  <c r="E8989" i="2"/>
  <c r="E8990" i="2"/>
  <c r="E8991" i="2"/>
  <c r="E8992" i="2"/>
  <c r="E8994" i="2"/>
  <c r="E8995" i="2"/>
  <c r="E8996" i="2"/>
  <c r="E8997" i="2"/>
  <c r="E8998" i="2"/>
  <c r="E8999" i="2"/>
  <c r="E9000" i="2"/>
  <c r="E9001" i="2"/>
  <c r="E9002" i="2"/>
  <c r="E9003" i="2"/>
  <c r="E9004" i="2"/>
  <c r="E9005" i="2"/>
  <c r="E9006" i="2"/>
  <c r="E9007" i="2"/>
  <c r="E9008" i="2"/>
  <c r="E9010" i="2"/>
  <c r="E9011" i="2"/>
  <c r="E9012" i="2"/>
  <c r="E9013" i="2"/>
  <c r="E9014" i="2"/>
  <c r="E9015" i="2"/>
  <c r="E9016" i="2"/>
  <c r="E9017" i="2"/>
  <c r="E9018" i="2"/>
  <c r="E9019" i="2"/>
  <c r="E9020" i="2"/>
  <c r="E9021" i="2"/>
  <c r="E9022" i="2"/>
  <c r="E9023" i="2"/>
  <c r="E9024" i="2"/>
  <c r="E9025" i="2"/>
  <c r="E9026" i="2"/>
  <c r="E9027" i="2"/>
  <c r="E9028" i="2"/>
  <c r="E9029" i="2"/>
  <c r="E9030" i="2"/>
  <c r="E9031" i="2"/>
  <c r="E9032" i="2"/>
  <c r="E9034" i="2"/>
  <c r="E9035" i="2"/>
  <c r="E9036" i="2"/>
  <c r="E9037" i="2"/>
  <c r="E9038" i="2"/>
  <c r="E9039" i="2"/>
  <c r="E9040" i="2"/>
  <c r="E9041" i="2"/>
  <c r="E9042" i="2"/>
  <c r="E9043" i="2"/>
  <c r="E9044" i="2"/>
  <c r="E9045" i="2"/>
  <c r="E9046" i="2"/>
  <c r="E9047" i="2"/>
  <c r="E9048" i="2"/>
  <c r="E9049" i="2"/>
  <c r="E9050" i="2"/>
  <c r="E9051" i="2"/>
  <c r="E9052" i="2"/>
  <c r="E9053" i="2"/>
  <c r="E9054" i="2"/>
  <c r="E9055" i="2"/>
  <c r="E9056" i="2"/>
  <c r="E9057" i="2"/>
  <c r="E9058" i="2"/>
  <c r="E9059" i="2"/>
  <c r="E9060" i="2"/>
  <c r="E9061" i="2"/>
  <c r="E9062" i="2"/>
  <c r="E9063" i="2"/>
  <c r="E9065" i="2"/>
  <c r="E9066" i="2"/>
  <c r="E9067" i="2"/>
  <c r="E9068" i="2"/>
  <c r="E9069" i="2"/>
  <c r="E9070" i="2"/>
  <c r="E9071" i="2"/>
  <c r="E9072" i="2"/>
  <c r="E9073" i="2"/>
  <c r="E9074" i="2"/>
  <c r="E9075" i="2"/>
  <c r="E9076" i="2"/>
  <c r="E9077" i="2"/>
  <c r="E9078" i="2"/>
  <c r="E9079" i="2"/>
  <c r="E9080" i="2"/>
  <c r="E9081" i="2"/>
  <c r="E9082" i="2"/>
  <c r="E9083" i="2"/>
  <c r="E9084" i="2"/>
  <c r="E9085" i="2"/>
  <c r="E9086" i="2"/>
  <c r="E9087" i="2"/>
  <c r="E9088" i="2"/>
  <c r="E9089" i="2"/>
  <c r="E9090" i="2"/>
  <c r="E9091" i="2"/>
  <c r="E9092" i="2"/>
  <c r="E9093" i="2"/>
  <c r="E9094" i="2"/>
  <c r="E9095" i="2"/>
  <c r="E9096" i="2"/>
  <c r="E9097" i="2"/>
  <c r="E9098" i="2"/>
  <c r="E9099" i="2"/>
  <c r="E9100" i="2"/>
  <c r="E9101" i="2"/>
  <c r="E9102" i="2"/>
  <c r="E9103" i="2"/>
  <c r="E9104" i="2"/>
  <c r="E9105" i="2"/>
  <c r="E9107" i="2"/>
  <c r="E9108" i="2"/>
  <c r="E9109" i="2"/>
  <c r="E9110" i="2"/>
  <c r="E9111" i="2"/>
  <c r="E9112" i="2"/>
  <c r="E9113" i="2"/>
  <c r="E9114" i="2"/>
  <c r="E9115" i="2"/>
  <c r="E9116" i="2"/>
  <c r="E9117" i="2"/>
  <c r="E9118" i="2"/>
  <c r="E9119" i="2"/>
  <c r="E9120" i="2"/>
  <c r="E9121" i="2"/>
  <c r="E9122" i="2"/>
  <c r="E9123" i="2"/>
  <c r="E9125" i="2"/>
  <c r="E9126" i="2"/>
  <c r="E9127" i="2"/>
  <c r="E9128" i="2"/>
  <c r="E9129" i="2"/>
  <c r="E9130" i="2"/>
  <c r="E9131" i="2"/>
  <c r="E9132" i="2"/>
  <c r="E9133" i="2"/>
  <c r="E9134" i="2"/>
  <c r="E9135" i="2"/>
  <c r="E9136" i="2"/>
  <c r="E9137" i="2"/>
  <c r="E9138" i="2"/>
  <c r="E9139" i="2"/>
  <c r="E9141" i="2"/>
  <c r="E9142" i="2"/>
  <c r="E9143" i="2"/>
  <c r="E9144" i="2"/>
  <c r="E9145" i="2"/>
  <c r="E9146" i="2"/>
  <c r="E9147" i="2"/>
  <c r="E9148" i="2"/>
  <c r="E9149" i="2"/>
  <c r="E9150" i="2"/>
  <c r="E9151" i="2"/>
  <c r="E9152" i="2"/>
  <c r="E9153" i="2"/>
  <c r="E9154" i="2"/>
  <c r="E9155" i="2"/>
  <c r="E9156" i="2"/>
  <c r="E9157" i="2"/>
  <c r="E9158" i="2"/>
  <c r="E9159" i="2"/>
  <c r="E9160" i="2"/>
  <c r="E9161" i="2"/>
  <c r="E9162" i="2"/>
  <c r="E9163" i="2"/>
  <c r="E9164" i="2"/>
  <c r="E9165" i="2"/>
  <c r="E9166" i="2"/>
  <c r="E9167" i="2"/>
  <c r="E9168" i="2"/>
  <c r="E9169" i="2"/>
  <c r="E9170" i="2"/>
  <c r="E9171" i="2"/>
  <c r="E9172" i="2"/>
  <c r="E9173" i="2"/>
  <c r="E9174" i="2"/>
  <c r="E9176" i="2"/>
  <c r="E9177" i="2"/>
  <c r="E9178" i="2"/>
  <c r="E9179" i="2"/>
  <c r="E9180" i="2"/>
  <c r="E9181" i="2"/>
  <c r="E9182" i="2"/>
  <c r="E9183" i="2"/>
  <c r="E9184" i="2"/>
  <c r="E9185" i="2"/>
  <c r="E9186" i="2"/>
  <c r="E9187" i="2"/>
  <c r="E9188" i="2"/>
  <c r="E9190" i="2"/>
  <c r="E9191" i="2"/>
  <c r="E9192" i="2"/>
  <c r="E9193" i="2"/>
  <c r="E9194" i="2"/>
  <c r="E9195" i="2"/>
  <c r="E9196" i="2"/>
  <c r="E9197" i="2"/>
  <c r="E9198" i="2"/>
  <c r="E9199" i="2"/>
  <c r="E9200" i="2"/>
  <c r="E9201" i="2"/>
  <c r="E9202" i="2"/>
  <c r="E9203" i="2"/>
  <c r="E9204" i="2"/>
  <c r="E9206" i="2"/>
  <c r="E9207" i="2"/>
  <c r="E9208" i="2"/>
  <c r="E9209" i="2"/>
  <c r="E9210" i="2"/>
  <c r="E9211" i="2"/>
  <c r="E9212" i="2"/>
  <c r="E9213" i="2"/>
  <c r="E9214" i="2"/>
  <c r="E9215" i="2"/>
  <c r="E9216" i="2"/>
  <c r="E9217" i="2"/>
  <c r="E9218" i="2"/>
  <c r="E9219" i="2"/>
  <c r="E9220" i="2"/>
  <c r="E9221" i="2"/>
  <c r="E9222" i="2"/>
  <c r="E9223" i="2"/>
  <c r="E9224" i="2"/>
  <c r="E9225" i="2"/>
  <c r="E9226" i="2"/>
  <c r="E9227" i="2"/>
  <c r="E9228" i="2"/>
  <c r="E9229" i="2"/>
  <c r="E9230" i="2"/>
  <c r="E9231" i="2"/>
  <c r="E9232" i="2"/>
  <c r="E9233" i="2"/>
  <c r="E9234" i="2"/>
  <c r="E9235" i="2"/>
  <c r="E9237" i="2"/>
  <c r="E9238" i="2"/>
  <c r="E9239" i="2"/>
  <c r="E9240" i="2"/>
  <c r="E9241" i="2"/>
  <c r="E9242" i="2"/>
  <c r="E9243" i="2"/>
  <c r="E9244" i="2"/>
  <c r="E9245" i="2"/>
  <c r="E9246" i="2"/>
  <c r="E9247" i="2"/>
  <c r="E9248" i="2"/>
  <c r="E9249" i="2"/>
  <c r="E9250" i="2"/>
  <c r="E9251" i="2"/>
  <c r="E9252" i="2"/>
  <c r="E9253" i="2"/>
  <c r="E9254" i="2"/>
  <c r="E9255" i="2"/>
  <c r="E9256" i="2"/>
  <c r="E9257" i="2"/>
  <c r="E9258" i="2"/>
  <c r="E9259" i="2"/>
  <c r="E9260" i="2"/>
  <c r="E9261" i="2"/>
  <c r="E9262" i="2"/>
  <c r="E9263" i="2"/>
  <c r="E9264" i="2"/>
  <c r="E9265" i="2"/>
  <c r="E9266" i="2"/>
  <c r="E9267" i="2"/>
  <c r="E9268" i="2"/>
  <c r="E9269" i="2"/>
  <c r="E9271" i="2"/>
  <c r="E9272" i="2"/>
  <c r="E9273" i="2"/>
  <c r="E9274" i="2"/>
  <c r="E9275" i="2"/>
  <c r="E9276" i="2"/>
  <c r="E9277" i="2"/>
  <c r="E9278" i="2"/>
  <c r="E9280" i="2"/>
  <c r="E9281" i="2"/>
  <c r="E9282" i="2"/>
  <c r="E9283" i="2"/>
  <c r="E9284" i="2"/>
  <c r="E9285" i="2"/>
  <c r="E9286" i="2"/>
  <c r="E9287" i="2"/>
  <c r="E9288" i="2"/>
  <c r="E9289" i="2"/>
  <c r="E9290" i="2"/>
  <c r="E9291" i="2"/>
  <c r="E9292" i="2"/>
  <c r="E9293" i="2"/>
  <c r="E9294" i="2"/>
  <c r="E9295" i="2"/>
  <c r="E9296" i="2"/>
  <c r="E9297" i="2"/>
  <c r="E9298" i="2"/>
  <c r="E9299" i="2"/>
  <c r="E9300" i="2"/>
  <c r="E9301" i="2"/>
  <c r="E9302" i="2"/>
  <c r="E9303" i="2"/>
  <c r="E9304" i="2"/>
  <c r="E9305" i="2"/>
  <c r="E9306" i="2"/>
  <c r="E9307" i="2"/>
  <c r="E9308" i="2"/>
  <c r="E9309" i="2"/>
  <c r="E9310" i="2"/>
  <c r="E9311" i="2"/>
  <c r="E9312" i="2"/>
  <c r="E9313" i="2"/>
  <c r="E9314" i="2"/>
  <c r="E9315" i="2"/>
  <c r="E9317" i="2"/>
  <c r="E9318" i="2"/>
  <c r="E9319" i="2"/>
  <c r="E9320" i="2"/>
  <c r="E9321" i="2"/>
  <c r="E9322" i="2"/>
  <c r="E9323" i="2"/>
  <c r="E9324" i="2"/>
  <c r="E9325" i="2"/>
  <c r="E9326" i="2"/>
  <c r="E9327" i="2"/>
  <c r="E9328" i="2"/>
  <c r="E9329" i="2"/>
  <c r="E9330" i="2"/>
  <c r="E9331" i="2"/>
  <c r="E9332" i="2"/>
  <c r="E9333" i="2"/>
  <c r="E9334" i="2"/>
  <c r="E9335" i="2"/>
  <c r="E9336" i="2"/>
  <c r="E9337" i="2"/>
  <c r="E9338" i="2"/>
  <c r="E9339" i="2"/>
  <c r="E9340" i="2"/>
  <c r="E9341" i="2"/>
  <c r="E9342" i="2"/>
  <c r="E9343" i="2"/>
  <c r="E9345" i="2"/>
  <c r="E9346" i="2"/>
  <c r="E9347" i="2"/>
  <c r="E9348" i="2"/>
  <c r="E9349" i="2"/>
  <c r="E9350" i="2"/>
  <c r="E9351" i="2"/>
  <c r="E9352" i="2"/>
  <c r="E9353" i="2"/>
  <c r="E9354" i="2"/>
  <c r="E9355" i="2"/>
  <c r="E9356" i="2"/>
  <c r="E9357" i="2"/>
  <c r="E9358" i="2"/>
  <c r="E9359" i="2"/>
  <c r="E9360" i="2"/>
  <c r="E9361" i="2"/>
  <c r="E9362" i="2"/>
  <c r="E9363" i="2"/>
  <c r="E9364" i="2"/>
  <c r="E9365" i="2"/>
  <c r="E9366" i="2"/>
  <c r="E9367" i="2"/>
  <c r="E9368" i="2"/>
  <c r="E9369" i="2"/>
  <c r="E9370" i="2"/>
  <c r="E9371" i="2"/>
  <c r="E9372" i="2"/>
  <c r="E9373" i="2"/>
  <c r="E9374" i="2"/>
  <c r="E9375" i="2"/>
  <c r="E9376" i="2"/>
  <c r="E9377" i="2"/>
  <c r="E9378" i="2"/>
  <c r="E9379" i="2"/>
  <c r="E9380" i="2"/>
  <c r="E9381" i="2"/>
  <c r="E9382" i="2"/>
  <c r="E9384" i="2"/>
  <c r="E9385" i="2"/>
  <c r="E9386" i="2"/>
  <c r="E9387" i="2"/>
  <c r="E9388" i="2"/>
  <c r="E9389" i="2"/>
  <c r="E9390" i="2"/>
  <c r="E9391" i="2"/>
  <c r="E9392" i="2"/>
  <c r="E9393" i="2"/>
  <c r="E9394" i="2"/>
  <c r="E9395" i="2"/>
  <c r="E9396" i="2"/>
  <c r="E9397" i="2"/>
  <c r="E9398" i="2"/>
  <c r="E9399" i="2"/>
  <c r="E9400" i="2"/>
  <c r="E9401" i="2"/>
  <c r="E9402" i="2"/>
  <c r="E9403" i="2"/>
  <c r="E9404" i="2"/>
  <c r="E9405" i="2"/>
  <c r="E9406" i="2"/>
  <c r="E9407" i="2"/>
  <c r="E9408" i="2"/>
  <c r="E9409" i="2"/>
  <c r="E9410" i="2"/>
  <c r="E9411" i="2"/>
  <c r="E9412" i="2"/>
  <c r="E9413" i="2"/>
  <c r="E9414" i="2"/>
  <c r="E9415" i="2"/>
  <c r="E9416" i="2"/>
  <c r="E9417" i="2"/>
  <c r="E9418" i="2"/>
  <c r="E9419" i="2"/>
  <c r="E9420" i="2"/>
  <c r="E9421" i="2"/>
  <c r="E9422" i="2"/>
  <c r="E9423" i="2"/>
  <c r="E9424" i="2"/>
  <c r="E9425" i="2"/>
  <c r="E9426" i="2"/>
  <c r="E9427" i="2"/>
  <c r="E9428" i="2"/>
  <c r="E9429" i="2"/>
  <c r="E9430" i="2"/>
  <c r="E9431" i="2"/>
  <c r="E9432" i="2"/>
  <c r="E9433" i="2"/>
  <c r="E9434" i="2"/>
  <c r="E9435" i="2"/>
  <c r="E9436" i="2"/>
  <c r="E9437" i="2"/>
  <c r="E9438" i="2"/>
  <c r="E9439" i="2"/>
  <c r="E9440" i="2"/>
  <c r="E9441" i="2"/>
  <c r="E9442" i="2"/>
  <c r="E9443" i="2"/>
  <c r="E9444" i="2"/>
  <c r="E9445" i="2"/>
  <c r="E9446" i="2"/>
  <c r="E9447" i="2"/>
  <c r="E9448" i="2"/>
  <c r="E9449" i="2"/>
  <c r="E9450" i="2"/>
  <c r="E9451" i="2"/>
  <c r="E9452" i="2"/>
  <c r="E9453" i="2"/>
  <c r="E9454" i="2"/>
  <c r="E9455" i="2"/>
  <c r="E4" i="2"/>
  <c r="E5" i="2"/>
  <c r="E6" i="2"/>
  <c r="E7" i="2"/>
  <c r="E8" i="2"/>
  <c r="E9" i="2"/>
  <c r="E10" i="2"/>
  <c r="E11" i="2"/>
  <c r="E12" i="2"/>
  <c r="B9455" i="2" l="1"/>
  <c r="A9455" i="2"/>
  <c r="B9454" i="2"/>
  <c r="A9454" i="2"/>
  <c r="B9453" i="2"/>
  <c r="A9453" i="2"/>
  <c r="B9452" i="2"/>
  <c r="A9452" i="2"/>
  <c r="B9451" i="2"/>
  <c r="A9451" i="2"/>
  <c r="B9450" i="2"/>
  <c r="A9450" i="2"/>
  <c r="B9449" i="2"/>
  <c r="A9449" i="2"/>
  <c r="B9448" i="2"/>
  <c r="A9448" i="2"/>
  <c r="B9447" i="2"/>
  <c r="A9447" i="2"/>
  <c r="C9447" i="2" s="1"/>
  <c r="G9447" i="2" s="1"/>
  <c r="B9446" i="2"/>
  <c r="A9446" i="2"/>
  <c r="B9445" i="2"/>
  <c r="A9445" i="2"/>
  <c r="B9444" i="2"/>
  <c r="A9444" i="2"/>
  <c r="B9443" i="2"/>
  <c r="A9443" i="2"/>
  <c r="C9443" i="2" s="1"/>
  <c r="G9443" i="2" s="1"/>
  <c r="B9442" i="2"/>
  <c r="A9442" i="2"/>
  <c r="B9441" i="2"/>
  <c r="A9441" i="2"/>
  <c r="B9440" i="2"/>
  <c r="A9440" i="2"/>
  <c r="B9439" i="2"/>
  <c r="A9439" i="2"/>
  <c r="B9438" i="2"/>
  <c r="A9438" i="2"/>
  <c r="B9437" i="2"/>
  <c r="A9437" i="2"/>
  <c r="B9436" i="2"/>
  <c r="A9436" i="2"/>
  <c r="B9435" i="2"/>
  <c r="A9435" i="2"/>
  <c r="B9434" i="2"/>
  <c r="A9434" i="2"/>
  <c r="B9433" i="2"/>
  <c r="A9433" i="2"/>
  <c r="B9432" i="2"/>
  <c r="A9432" i="2"/>
  <c r="B9431" i="2"/>
  <c r="A9431" i="2"/>
  <c r="B9430" i="2"/>
  <c r="A9430" i="2"/>
  <c r="B9429" i="2"/>
  <c r="A9429" i="2"/>
  <c r="B9428" i="2"/>
  <c r="A9428" i="2"/>
  <c r="B9427" i="2"/>
  <c r="A9427" i="2"/>
  <c r="B9426" i="2"/>
  <c r="A9426" i="2"/>
  <c r="B9425" i="2"/>
  <c r="A9425" i="2"/>
  <c r="B9424" i="2"/>
  <c r="A9424" i="2"/>
  <c r="B9423" i="2"/>
  <c r="A9423" i="2"/>
  <c r="B9422" i="2"/>
  <c r="A9422" i="2"/>
  <c r="B9421" i="2"/>
  <c r="A9421" i="2"/>
  <c r="B9420" i="2"/>
  <c r="A9420" i="2"/>
  <c r="B9419" i="2"/>
  <c r="A9419" i="2"/>
  <c r="B9418" i="2"/>
  <c r="A9418" i="2"/>
  <c r="B9417" i="2"/>
  <c r="A9417" i="2"/>
  <c r="B9416" i="2"/>
  <c r="A9416" i="2"/>
  <c r="B9415" i="2"/>
  <c r="A9415" i="2"/>
  <c r="B9414" i="2"/>
  <c r="A9414" i="2"/>
  <c r="B9413" i="2"/>
  <c r="A9413" i="2"/>
  <c r="B9412" i="2"/>
  <c r="A9412" i="2"/>
  <c r="B9411" i="2"/>
  <c r="A9411" i="2"/>
  <c r="B9410" i="2"/>
  <c r="C9410" i="2" s="1"/>
  <c r="G9410" i="2" s="1"/>
  <c r="A9410" i="2"/>
  <c r="B9409" i="2"/>
  <c r="A9409" i="2"/>
  <c r="B9408" i="2"/>
  <c r="A9408" i="2"/>
  <c r="B9407" i="2"/>
  <c r="A9407" i="2"/>
  <c r="C9406" i="2"/>
  <c r="G9406" i="2" s="1"/>
  <c r="B9406" i="2"/>
  <c r="A9406" i="2"/>
  <c r="B9405" i="2"/>
  <c r="A9405" i="2"/>
  <c r="B9404" i="2"/>
  <c r="A9404" i="2"/>
  <c r="B9403" i="2"/>
  <c r="A9403" i="2"/>
  <c r="B9402" i="2"/>
  <c r="A9402" i="2"/>
  <c r="B9401" i="2"/>
  <c r="A9401" i="2"/>
  <c r="B9400" i="2"/>
  <c r="A9400" i="2"/>
  <c r="B9399" i="2"/>
  <c r="A9399" i="2"/>
  <c r="B9398" i="2"/>
  <c r="A9398" i="2"/>
  <c r="B9397" i="2"/>
  <c r="A9397" i="2"/>
  <c r="B9396" i="2"/>
  <c r="A9396" i="2"/>
  <c r="B9395" i="2"/>
  <c r="A9395" i="2"/>
  <c r="B9394" i="2"/>
  <c r="A9394" i="2"/>
  <c r="B9393" i="2"/>
  <c r="A9393" i="2"/>
  <c r="B9392" i="2"/>
  <c r="A9392" i="2"/>
  <c r="B9391" i="2"/>
  <c r="A9391" i="2"/>
  <c r="C9391" i="2" s="1"/>
  <c r="G9391" i="2" s="1"/>
  <c r="B9390" i="2"/>
  <c r="A9390" i="2"/>
  <c r="B9389" i="2"/>
  <c r="A9389" i="2"/>
  <c r="B9388" i="2"/>
  <c r="A9388" i="2"/>
  <c r="B9387" i="2"/>
  <c r="A9387" i="2"/>
  <c r="C9387" i="2" s="1"/>
  <c r="G9387" i="2" s="1"/>
  <c r="B9386" i="2"/>
  <c r="A9386" i="2"/>
  <c r="B9385" i="2"/>
  <c r="A9385" i="2"/>
  <c r="B9384" i="2"/>
  <c r="A9384" i="2"/>
  <c r="B9383" i="2"/>
  <c r="A9383" i="2"/>
  <c r="B9382" i="2"/>
  <c r="A9382" i="2"/>
  <c r="B9381" i="2"/>
  <c r="A9381" i="2"/>
  <c r="B9380" i="2"/>
  <c r="A9380" i="2"/>
  <c r="B9379" i="2"/>
  <c r="A9379" i="2"/>
  <c r="C9379" i="2" s="1"/>
  <c r="G9379" i="2" s="1"/>
  <c r="B9378" i="2"/>
  <c r="A9378" i="2"/>
  <c r="C9378" i="2" s="1"/>
  <c r="G9378" i="2" s="1"/>
  <c r="B9377" i="2"/>
  <c r="A9377" i="2"/>
  <c r="B9376" i="2"/>
  <c r="A9376" i="2"/>
  <c r="B9375" i="2"/>
  <c r="A9375" i="2"/>
  <c r="B9374" i="2"/>
  <c r="A9374" i="2"/>
  <c r="B9373" i="2"/>
  <c r="A9373" i="2"/>
  <c r="B9372" i="2"/>
  <c r="A9372" i="2"/>
  <c r="B9371" i="2"/>
  <c r="A9371" i="2"/>
  <c r="B9370" i="2"/>
  <c r="A9370" i="2"/>
  <c r="B9369" i="2"/>
  <c r="A9369" i="2"/>
  <c r="B9368" i="2"/>
  <c r="A9368" i="2"/>
  <c r="B9367" i="2"/>
  <c r="A9367" i="2"/>
  <c r="B9366" i="2"/>
  <c r="A9366" i="2"/>
  <c r="B9365" i="2"/>
  <c r="A9365" i="2"/>
  <c r="B9364" i="2"/>
  <c r="A9364" i="2"/>
  <c r="B9363" i="2"/>
  <c r="A9363" i="2"/>
  <c r="C9363" i="2" s="1"/>
  <c r="G9363" i="2" s="1"/>
  <c r="B9362" i="2"/>
  <c r="A9362" i="2"/>
  <c r="B9361" i="2"/>
  <c r="A9361" i="2"/>
  <c r="B9360" i="2"/>
  <c r="A9360" i="2"/>
  <c r="B9359" i="2"/>
  <c r="A9359" i="2"/>
  <c r="C9359" i="2" s="1"/>
  <c r="G9359" i="2" s="1"/>
  <c r="B9358" i="2"/>
  <c r="A9358" i="2"/>
  <c r="C9358" i="2" s="1"/>
  <c r="G9358" i="2" s="1"/>
  <c r="B9357" i="2"/>
  <c r="A9357" i="2"/>
  <c r="B9356" i="2"/>
  <c r="A9356" i="2"/>
  <c r="B9355" i="2"/>
  <c r="A9355" i="2"/>
  <c r="B9354" i="2"/>
  <c r="A9354" i="2"/>
  <c r="B9353" i="2"/>
  <c r="A9353" i="2"/>
  <c r="B9352" i="2"/>
  <c r="A9352" i="2"/>
  <c r="B9351" i="2"/>
  <c r="A9351" i="2"/>
  <c r="C9351" i="2" s="1"/>
  <c r="G9351" i="2" s="1"/>
  <c r="B9350" i="2"/>
  <c r="A9350" i="2"/>
  <c r="C9350" i="2" s="1"/>
  <c r="G9350" i="2" s="1"/>
  <c r="B9349" i="2"/>
  <c r="A9349" i="2"/>
  <c r="B9348" i="2"/>
  <c r="A9348" i="2"/>
  <c r="B9347" i="2"/>
  <c r="A9347" i="2"/>
  <c r="B9346" i="2"/>
  <c r="A9346" i="2"/>
  <c r="C9346" i="2" s="1"/>
  <c r="G9346" i="2" s="1"/>
  <c r="B9345" i="2"/>
  <c r="A9345" i="2"/>
  <c r="B9344" i="2"/>
  <c r="A9344" i="2"/>
  <c r="B9343" i="2"/>
  <c r="A9343" i="2"/>
  <c r="B9342" i="2"/>
  <c r="A9342" i="2"/>
  <c r="B9341" i="2"/>
  <c r="C9341" i="2" s="1"/>
  <c r="G9341" i="2" s="1"/>
  <c r="A9341" i="2"/>
  <c r="B9340" i="2"/>
  <c r="A9340" i="2"/>
  <c r="B9339" i="2"/>
  <c r="A9339" i="2"/>
  <c r="B9338" i="2"/>
  <c r="A9338" i="2"/>
  <c r="C9338" i="2" s="1"/>
  <c r="G9338" i="2" s="1"/>
  <c r="B9337" i="2"/>
  <c r="A9337" i="2"/>
  <c r="B9336" i="2"/>
  <c r="A9336" i="2"/>
  <c r="B9335" i="2"/>
  <c r="C9335" i="2" s="1"/>
  <c r="G9335" i="2" s="1"/>
  <c r="A9335" i="2"/>
  <c r="B9334" i="2"/>
  <c r="A9334" i="2"/>
  <c r="C9334" i="2" s="1"/>
  <c r="G9334" i="2" s="1"/>
  <c r="B9333" i="2"/>
  <c r="C9333" i="2" s="1"/>
  <c r="G9333" i="2" s="1"/>
  <c r="A9333" i="2"/>
  <c r="B9332" i="2"/>
  <c r="A9332" i="2"/>
  <c r="C9332" i="2" s="1"/>
  <c r="G9332" i="2" s="1"/>
  <c r="B9331" i="2"/>
  <c r="A9331" i="2"/>
  <c r="C9331" i="2" s="1"/>
  <c r="G9331" i="2" s="1"/>
  <c r="B9330" i="2"/>
  <c r="A9330" i="2"/>
  <c r="B9329" i="2"/>
  <c r="A9329" i="2"/>
  <c r="B9328" i="2"/>
  <c r="A9328" i="2"/>
  <c r="B9327" i="2"/>
  <c r="A9327" i="2"/>
  <c r="C9327" i="2" s="1"/>
  <c r="G9327" i="2" s="1"/>
  <c r="B9326" i="2"/>
  <c r="A9326" i="2"/>
  <c r="C9326" i="2" s="1"/>
  <c r="G9326" i="2" s="1"/>
  <c r="B9325" i="2"/>
  <c r="A9325" i="2"/>
  <c r="B9324" i="2"/>
  <c r="A9324" i="2"/>
  <c r="B9323" i="2"/>
  <c r="A9323" i="2"/>
  <c r="B9322" i="2"/>
  <c r="A9322" i="2"/>
  <c r="B9321" i="2"/>
  <c r="A9321" i="2"/>
  <c r="B9320" i="2"/>
  <c r="A9320" i="2"/>
  <c r="C9320" i="2" s="1"/>
  <c r="G9320" i="2" s="1"/>
  <c r="B9319" i="2"/>
  <c r="A9319" i="2"/>
  <c r="B9318" i="2"/>
  <c r="A9318" i="2"/>
  <c r="B9317" i="2"/>
  <c r="A9317" i="2"/>
  <c r="B9316" i="2"/>
  <c r="A9316" i="2"/>
  <c r="B9315" i="2"/>
  <c r="A9315" i="2"/>
  <c r="B9314" i="2"/>
  <c r="A9314" i="2"/>
  <c r="B9313" i="2"/>
  <c r="A9313" i="2"/>
  <c r="B9312" i="2"/>
  <c r="A9312" i="2"/>
  <c r="B9311" i="2"/>
  <c r="A9311" i="2"/>
  <c r="C9311" i="2" s="1"/>
  <c r="G9311" i="2" s="1"/>
  <c r="B9310" i="2"/>
  <c r="A9310" i="2"/>
  <c r="C9310" i="2" s="1"/>
  <c r="G9310" i="2" s="1"/>
  <c r="B9309" i="2"/>
  <c r="A9309" i="2"/>
  <c r="B9308" i="2"/>
  <c r="A9308" i="2"/>
  <c r="B9307" i="2"/>
  <c r="A9307" i="2"/>
  <c r="B9306" i="2"/>
  <c r="A9306" i="2"/>
  <c r="B9305" i="2"/>
  <c r="A9305" i="2"/>
  <c r="B9304" i="2"/>
  <c r="A9304" i="2"/>
  <c r="B9303" i="2"/>
  <c r="A9303" i="2"/>
  <c r="C9303" i="2" s="1"/>
  <c r="G9303" i="2" s="1"/>
  <c r="B9302" i="2"/>
  <c r="A9302" i="2"/>
  <c r="B9301" i="2"/>
  <c r="A9301" i="2"/>
  <c r="B9300" i="2"/>
  <c r="A9300" i="2"/>
  <c r="B9299" i="2"/>
  <c r="A9299" i="2"/>
  <c r="C9299" i="2" s="1"/>
  <c r="G9299" i="2" s="1"/>
  <c r="B9298" i="2"/>
  <c r="A9298" i="2"/>
  <c r="B9297" i="2"/>
  <c r="A9297" i="2"/>
  <c r="B9296" i="2"/>
  <c r="A9296" i="2"/>
  <c r="B9295" i="2"/>
  <c r="A9295" i="2"/>
  <c r="B9294" i="2"/>
  <c r="A9294" i="2"/>
  <c r="C9294" i="2" s="1"/>
  <c r="G9294" i="2" s="1"/>
  <c r="B9293" i="2"/>
  <c r="A9293" i="2"/>
  <c r="B9292" i="2"/>
  <c r="A9292" i="2"/>
  <c r="B9291" i="2"/>
  <c r="A9291" i="2"/>
  <c r="C9291" i="2" s="1"/>
  <c r="G9291" i="2" s="1"/>
  <c r="B9290" i="2"/>
  <c r="A9290" i="2"/>
  <c r="C9290" i="2" s="1"/>
  <c r="G9290" i="2" s="1"/>
  <c r="B9289" i="2"/>
  <c r="A9289" i="2"/>
  <c r="B9288" i="2"/>
  <c r="A9288" i="2"/>
  <c r="B9287" i="2"/>
  <c r="A9287" i="2"/>
  <c r="B9286" i="2"/>
  <c r="C9286" i="2" s="1"/>
  <c r="G9286" i="2" s="1"/>
  <c r="A9286" i="2"/>
  <c r="B9285" i="2"/>
  <c r="A9285" i="2"/>
  <c r="B9284" i="2"/>
  <c r="A9284" i="2"/>
  <c r="B9283" i="2"/>
  <c r="A9283" i="2"/>
  <c r="C9283" i="2" s="1"/>
  <c r="G9283" i="2" s="1"/>
  <c r="B9282" i="2"/>
  <c r="A9282" i="2"/>
  <c r="B9281" i="2"/>
  <c r="A9281" i="2"/>
  <c r="B9280" i="2"/>
  <c r="A9280" i="2"/>
  <c r="C9280" i="2" s="1"/>
  <c r="G9280" i="2" s="1"/>
  <c r="B9279" i="2"/>
  <c r="A9279" i="2"/>
  <c r="B9278" i="2"/>
  <c r="A9278" i="2"/>
  <c r="B9277" i="2"/>
  <c r="A9277" i="2"/>
  <c r="B9276" i="2"/>
  <c r="A9276" i="2"/>
  <c r="B9275" i="2"/>
  <c r="A9275" i="2"/>
  <c r="B9274" i="2"/>
  <c r="A9274" i="2"/>
  <c r="B9273" i="2"/>
  <c r="A9273" i="2"/>
  <c r="C9273" i="2" s="1"/>
  <c r="G9273" i="2" s="1"/>
  <c r="B9272" i="2"/>
  <c r="A9272" i="2"/>
  <c r="B9271" i="2"/>
  <c r="A9271" i="2"/>
  <c r="C9271" i="2" s="1"/>
  <c r="G9271" i="2" s="1"/>
  <c r="B9270" i="2"/>
  <c r="A9270" i="2"/>
  <c r="B9269" i="2"/>
  <c r="A9269" i="2"/>
  <c r="B9268" i="2"/>
  <c r="A9268" i="2"/>
  <c r="B9267" i="2"/>
  <c r="A9267" i="2"/>
  <c r="C9266" i="2"/>
  <c r="G9266" i="2" s="1"/>
  <c r="B9266" i="2"/>
  <c r="A9266" i="2"/>
  <c r="B9265" i="2"/>
  <c r="A9265" i="2"/>
  <c r="B9264" i="2"/>
  <c r="A9264" i="2"/>
  <c r="B9263" i="2"/>
  <c r="A9263" i="2"/>
  <c r="B9262" i="2"/>
  <c r="A9262" i="2"/>
  <c r="B9261" i="2"/>
  <c r="A9261" i="2"/>
  <c r="B9260" i="2"/>
  <c r="A9260" i="2"/>
  <c r="B9259" i="2"/>
  <c r="A9259" i="2"/>
  <c r="B9258" i="2"/>
  <c r="A9258" i="2"/>
  <c r="C9258" i="2" s="1"/>
  <c r="G9258" i="2" s="1"/>
  <c r="B9257" i="2"/>
  <c r="A9257" i="2"/>
  <c r="B9256" i="2"/>
  <c r="A9256" i="2"/>
  <c r="B9255" i="2"/>
  <c r="A9255" i="2"/>
  <c r="B9254" i="2"/>
  <c r="A9254" i="2"/>
  <c r="B9253" i="2"/>
  <c r="A9253" i="2"/>
  <c r="B9252" i="2"/>
  <c r="A9252" i="2"/>
  <c r="B9251" i="2"/>
  <c r="A9251" i="2"/>
  <c r="B9250" i="2"/>
  <c r="A9250" i="2"/>
  <c r="B9249" i="2"/>
  <c r="A9249" i="2"/>
  <c r="B9248" i="2"/>
  <c r="A9248" i="2"/>
  <c r="B9247" i="2"/>
  <c r="A9247" i="2"/>
  <c r="B9246" i="2"/>
  <c r="A9246" i="2"/>
  <c r="B9245" i="2"/>
  <c r="C9245" i="2" s="1"/>
  <c r="G9245" i="2" s="1"/>
  <c r="A9245" i="2"/>
  <c r="B9244" i="2"/>
  <c r="A9244" i="2"/>
  <c r="B9243" i="2"/>
  <c r="A9243" i="2"/>
  <c r="B9242" i="2"/>
  <c r="A9242" i="2"/>
  <c r="B9241" i="2"/>
  <c r="A9241" i="2"/>
  <c r="B9240" i="2"/>
  <c r="A9240" i="2"/>
  <c r="B9239" i="2"/>
  <c r="A9239" i="2"/>
  <c r="B9238" i="2"/>
  <c r="A9238" i="2"/>
  <c r="C9238" i="2" s="1"/>
  <c r="G9238" i="2" s="1"/>
  <c r="B9237" i="2"/>
  <c r="A9237" i="2"/>
  <c r="C9237" i="2" s="1"/>
  <c r="G9237" i="2" s="1"/>
  <c r="B9236" i="2"/>
  <c r="A9236" i="2"/>
  <c r="B9235" i="2"/>
  <c r="A9235" i="2"/>
  <c r="B9234" i="2"/>
  <c r="A9234" i="2"/>
  <c r="B9233" i="2"/>
  <c r="A9233" i="2"/>
  <c r="B9232" i="2"/>
  <c r="A9232" i="2"/>
  <c r="B9231" i="2"/>
  <c r="A9231" i="2"/>
  <c r="B9230" i="2"/>
  <c r="A9230" i="2"/>
  <c r="B9229" i="2"/>
  <c r="A9229" i="2"/>
  <c r="B9228" i="2"/>
  <c r="A9228" i="2"/>
  <c r="B9227" i="2"/>
  <c r="A9227" i="2"/>
  <c r="B9226" i="2"/>
  <c r="A9226" i="2"/>
  <c r="B9225" i="2"/>
  <c r="A9225" i="2"/>
  <c r="B9224" i="2"/>
  <c r="A9224" i="2"/>
  <c r="B9223" i="2"/>
  <c r="C9223" i="2" s="1"/>
  <c r="G9223" i="2" s="1"/>
  <c r="A9223" i="2"/>
  <c r="B9222" i="2"/>
  <c r="A9222" i="2"/>
  <c r="B9221" i="2"/>
  <c r="A9221" i="2"/>
  <c r="B9220" i="2"/>
  <c r="A9220" i="2"/>
  <c r="B9219" i="2"/>
  <c r="A9219" i="2"/>
  <c r="B9218" i="2"/>
  <c r="A9218" i="2"/>
  <c r="B9217" i="2"/>
  <c r="A9217" i="2"/>
  <c r="B9216" i="2"/>
  <c r="A9216" i="2"/>
  <c r="C9215" i="2"/>
  <c r="G9215" i="2" s="1"/>
  <c r="B9215" i="2"/>
  <c r="A9215" i="2"/>
  <c r="B9214" i="2"/>
  <c r="A9214" i="2"/>
  <c r="B9213" i="2"/>
  <c r="A9213" i="2"/>
  <c r="B9212" i="2"/>
  <c r="A9212" i="2"/>
  <c r="B9211" i="2"/>
  <c r="A9211" i="2"/>
  <c r="B9210" i="2"/>
  <c r="A9210" i="2"/>
  <c r="B9209" i="2"/>
  <c r="A9209" i="2"/>
  <c r="B9208" i="2"/>
  <c r="A9208" i="2"/>
  <c r="B9207" i="2"/>
  <c r="A9207" i="2"/>
  <c r="C9207" i="2" s="1"/>
  <c r="G9207" i="2" s="1"/>
  <c r="B9206" i="2"/>
  <c r="A9206" i="2"/>
  <c r="C9206" i="2" s="1"/>
  <c r="G9206" i="2" s="1"/>
  <c r="B9205" i="2"/>
  <c r="A9205" i="2"/>
  <c r="B9204" i="2"/>
  <c r="A9204" i="2"/>
  <c r="B9203" i="2"/>
  <c r="A9203" i="2"/>
  <c r="B9202" i="2"/>
  <c r="A9202" i="2"/>
  <c r="B9201" i="2"/>
  <c r="A9201" i="2"/>
  <c r="B9200" i="2"/>
  <c r="A9200" i="2"/>
  <c r="B9199" i="2"/>
  <c r="A9199" i="2"/>
  <c r="B9198" i="2"/>
  <c r="A9198" i="2"/>
  <c r="B9197" i="2"/>
  <c r="A9197" i="2"/>
  <c r="B9196" i="2"/>
  <c r="A9196" i="2"/>
  <c r="B9195" i="2"/>
  <c r="A9195" i="2"/>
  <c r="B9194" i="2"/>
  <c r="A9194" i="2"/>
  <c r="B9193" i="2"/>
  <c r="A9193" i="2"/>
  <c r="B9192" i="2"/>
  <c r="A9192" i="2"/>
  <c r="B9191" i="2"/>
  <c r="A9191" i="2"/>
  <c r="C9191" i="2" s="1"/>
  <c r="G9191" i="2" s="1"/>
  <c r="B9190" i="2"/>
  <c r="A9190" i="2"/>
  <c r="B9189" i="2"/>
  <c r="A9189" i="2"/>
  <c r="B9188" i="2"/>
  <c r="A9188" i="2"/>
  <c r="B9187" i="2"/>
  <c r="A9187" i="2"/>
  <c r="B9186" i="2"/>
  <c r="A9186" i="2"/>
  <c r="B9185" i="2"/>
  <c r="A9185" i="2"/>
  <c r="B9184" i="2"/>
  <c r="A9184" i="2"/>
  <c r="B9183" i="2"/>
  <c r="A9183" i="2"/>
  <c r="C9183" i="2" s="1"/>
  <c r="G9183" i="2" s="1"/>
  <c r="B9182" i="2"/>
  <c r="A9182" i="2"/>
  <c r="B9181" i="2"/>
  <c r="A9181" i="2"/>
  <c r="B9180" i="2"/>
  <c r="A9180" i="2"/>
  <c r="B9179" i="2"/>
  <c r="A9179" i="2"/>
  <c r="C9179" i="2" s="1"/>
  <c r="G9179" i="2" s="1"/>
  <c r="B9178" i="2"/>
  <c r="A9178" i="2"/>
  <c r="C9178" i="2" s="1"/>
  <c r="G9178" i="2" s="1"/>
  <c r="B9177" i="2"/>
  <c r="A9177" i="2"/>
  <c r="B9176" i="2"/>
  <c r="A9176" i="2"/>
  <c r="B9175" i="2"/>
  <c r="A9175" i="2"/>
  <c r="B9174" i="2"/>
  <c r="A9174" i="2"/>
  <c r="C9174" i="2" s="1"/>
  <c r="G9174" i="2" s="1"/>
  <c r="B9173" i="2"/>
  <c r="A9173" i="2"/>
  <c r="C9173" i="2" s="1"/>
  <c r="G9173" i="2" s="1"/>
  <c r="B9172" i="2"/>
  <c r="A9172" i="2"/>
  <c r="B9171" i="2"/>
  <c r="A9171" i="2"/>
  <c r="B9170" i="2"/>
  <c r="A9170" i="2"/>
  <c r="B9169" i="2"/>
  <c r="A9169" i="2"/>
  <c r="B9168" i="2"/>
  <c r="A9168" i="2"/>
  <c r="C9167" i="2"/>
  <c r="G9167" i="2" s="1"/>
  <c r="B9167" i="2"/>
  <c r="A9167" i="2"/>
  <c r="B9166" i="2"/>
  <c r="A9166" i="2"/>
  <c r="B9165" i="2"/>
  <c r="C9165" i="2" s="1"/>
  <c r="G9165" i="2" s="1"/>
  <c r="A9165" i="2"/>
  <c r="B9164" i="2"/>
  <c r="A9164" i="2"/>
  <c r="B9163" i="2"/>
  <c r="A9163" i="2"/>
  <c r="C9163" i="2" s="1"/>
  <c r="G9163" i="2" s="1"/>
  <c r="B9162" i="2"/>
  <c r="A9162" i="2"/>
  <c r="B9161" i="2"/>
  <c r="A9161" i="2"/>
  <c r="B9160" i="2"/>
  <c r="A9160" i="2"/>
  <c r="B9159" i="2"/>
  <c r="A9159" i="2"/>
  <c r="C9159" i="2" s="1"/>
  <c r="G9159" i="2" s="1"/>
  <c r="B9158" i="2"/>
  <c r="A9158" i="2"/>
  <c r="B9157" i="2"/>
  <c r="A9157" i="2"/>
  <c r="B9156" i="2"/>
  <c r="A9156" i="2"/>
  <c r="B9155" i="2"/>
  <c r="A9155" i="2"/>
  <c r="B9154" i="2"/>
  <c r="A9154" i="2"/>
  <c r="B9153" i="2"/>
  <c r="A9153" i="2"/>
  <c r="B9152" i="2"/>
  <c r="A9152" i="2"/>
  <c r="B9151" i="2"/>
  <c r="A9151" i="2"/>
  <c r="C9151" i="2" s="1"/>
  <c r="G9151" i="2" s="1"/>
  <c r="B9150" i="2"/>
  <c r="A9150" i="2"/>
  <c r="B9149" i="2"/>
  <c r="A9149" i="2"/>
  <c r="B9148" i="2"/>
  <c r="A9148" i="2"/>
  <c r="B9147" i="2"/>
  <c r="A9147" i="2"/>
  <c r="B9146" i="2"/>
  <c r="A9146" i="2"/>
  <c r="B9145" i="2"/>
  <c r="A9145" i="2"/>
  <c r="B9144" i="2"/>
  <c r="A9144" i="2"/>
  <c r="B9143" i="2"/>
  <c r="A9143" i="2"/>
  <c r="B9142" i="2"/>
  <c r="A9142" i="2"/>
  <c r="B9141" i="2"/>
  <c r="C9141" i="2" s="1"/>
  <c r="G9141" i="2" s="1"/>
  <c r="A9141" i="2"/>
  <c r="B9140" i="2"/>
  <c r="A9140" i="2"/>
  <c r="B9139" i="2"/>
  <c r="A9139" i="2"/>
  <c r="B9138" i="2"/>
  <c r="A9138" i="2"/>
  <c r="B9137" i="2"/>
  <c r="A9137" i="2"/>
  <c r="B9136" i="2"/>
  <c r="A9136" i="2"/>
  <c r="B9135" i="2"/>
  <c r="A9135" i="2"/>
  <c r="B9134" i="2"/>
  <c r="A9134" i="2"/>
  <c r="B9133" i="2"/>
  <c r="A9133" i="2"/>
  <c r="B9132" i="2"/>
  <c r="A9132" i="2"/>
  <c r="B9131" i="2"/>
  <c r="A9131" i="2"/>
  <c r="C9130" i="2"/>
  <c r="G9130" i="2" s="1"/>
  <c r="B9130" i="2"/>
  <c r="A9130" i="2"/>
  <c r="B9129" i="2"/>
  <c r="A9129" i="2"/>
  <c r="B9128" i="2"/>
  <c r="A9128" i="2"/>
  <c r="B9127" i="2"/>
  <c r="A9127" i="2"/>
  <c r="B9126" i="2"/>
  <c r="A9126" i="2"/>
  <c r="B9125" i="2"/>
  <c r="A9125" i="2"/>
  <c r="B9124" i="2"/>
  <c r="A9124" i="2"/>
  <c r="B9123" i="2"/>
  <c r="A9123" i="2"/>
  <c r="B9122" i="2"/>
  <c r="A9122" i="2"/>
  <c r="B9121" i="2"/>
  <c r="A9121" i="2"/>
  <c r="B9120" i="2"/>
  <c r="A9120" i="2"/>
  <c r="B9119" i="2"/>
  <c r="A9119" i="2"/>
  <c r="B9118" i="2"/>
  <c r="C9118" i="2" s="1"/>
  <c r="G9118" i="2" s="1"/>
  <c r="A9118" i="2"/>
  <c r="B9117" i="2"/>
  <c r="A9117" i="2"/>
  <c r="C9117" i="2" s="1"/>
  <c r="G9117" i="2" s="1"/>
  <c r="B9116" i="2"/>
  <c r="A9116" i="2"/>
  <c r="B9115" i="2"/>
  <c r="A9115" i="2"/>
  <c r="B9114" i="2"/>
  <c r="A9114" i="2"/>
  <c r="B9113" i="2"/>
  <c r="A9113" i="2"/>
  <c r="B9112" i="2"/>
  <c r="A9112" i="2"/>
  <c r="B9111" i="2"/>
  <c r="A9111" i="2"/>
  <c r="B9110" i="2"/>
  <c r="A9110" i="2"/>
  <c r="B9109" i="2"/>
  <c r="A9109" i="2"/>
  <c r="B9108" i="2"/>
  <c r="A9108" i="2"/>
  <c r="B9107" i="2"/>
  <c r="A9107" i="2"/>
  <c r="B9106" i="2"/>
  <c r="A9106" i="2"/>
  <c r="B9105" i="2"/>
  <c r="A9105" i="2"/>
  <c r="B9104" i="2"/>
  <c r="A9104" i="2"/>
  <c r="B9103" i="2"/>
  <c r="A9103" i="2"/>
  <c r="B9102" i="2"/>
  <c r="A9102" i="2"/>
  <c r="B9101" i="2"/>
  <c r="A9101" i="2"/>
  <c r="B9100" i="2"/>
  <c r="A9100" i="2"/>
  <c r="B9099" i="2"/>
  <c r="A9099" i="2"/>
  <c r="B9098" i="2"/>
  <c r="C9098" i="2" s="1"/>
  <c r="G9098" i="2" s="1"/>
  <c r="A9098" i="2"/>
  <c r="B9097" i="2"/>
  <c r="A9097" i="2"/>
  <c r="B9096" i="2"/>
  <c r="A9096" i="2"/>
  <c r="B9095" i="2"/>
  <c r="A9095" i="2"/>
  <c r="B9094" i="2"/>
  <c r="A9094" i="2"/>
  <c r="B9093" i="2"/>
  <c r="A9093" i="2"/>
  <c r="B9092" i="2"/>
  <c r="A9092" i="2"/>
  <c r="B9091" i="2"/>
  <c r="A9091" i="2"/>
  <c r="B9090" i="2"/>
  <c r="C9090" i="2" s="1"/>
  <c r="G9090" i="2" s="1"/>
  <c r="A9090" i="2"/>
  <c r="B9089" i="2"/>
  <c r="A9089" i="2"/>
  <c r="B9088" i="2"/>
  <c r="A9088" i="2"/>
  <c r="B9087" i="2"/>
  <c r="A9087" i="2"/>
  <c r="B9086" i="2"/>
  <c r="A9086" i="2"/>
  <c r="B9085" i="2"/>
  <c r="A9085" i="2"/>
  <c r="B9084" i="2"/>
  <c r="A9084" i="2"/>
  <c r="B9083" i="2"/>
  <c r="A9083" i="2"/>
  <c r="B9082" i="2"/>
  <c r="A9082" i="2"/>
  <c r="B9081" i="2"/>
  <c r="A9081" i="2"/>
  <c r="B9080" i="2"/>
  <c r="A9080" i="2"/>
  <c r="B9079" i="2"/>
  <c r="A9079" i="2"/>
  <c r="B9078" i="2"/>
  <c r="A9078" i="2"/>
  <c r="C9078" i="2" s="1"/>
  <c r="G9078" i="2" s="1"/>
  <c r="B9077" i="2"/>
  <c r="A9077" i="2"/>
  <c r="B9076" i="2"/>
  <c r="A9076" i="2"/>
  <c r="B9075" i="2"/>
  <c r="A9075" i="2"/>
  <c r="B9074" i="2"/>
  <c r="A9074" i="2"/>
  <c r="B9073" i="2"/>
  <c r="A9073" i="2"/>
  <c r="B9072" i="2"/>
  <c r="A9072" i="2"/>
  <c r="B9071" i="2"/>
  <c r="A9071" i="2"/>
  <c r="B9070" i="2"/>
  <c r="A9070" i="2"/>
  <c r="C9070" i="2" s="1"/>
  <c r="G9070" i="2" s="1"/>
  <c r="B9069" i="2"/>
  <c r="A9069" i="2"/>
  <c r="B9068" i="2"/>
  <c r="A9068" i="2"/>
  <c r="B9067" i="2"/>
  <c r="A9067" i="2"/>
  <c r="B9066" i="2"/>
  <c r="A9066" i="2"/>
  <c r="C9066" i="2" s="1"/>
  <c r="G9066" i="2" s="1"/>
  <c r="B9065" i="2"/>
  <c r="A9065" i="2"/>
  <c r="B9064" i="2"/>
  <c r="A9064" i="2"/>
  <c r="C9063" i="2"/>
  <c r="G9063" i="2" s="1"/>
  <c r="B9063" i="2"/>
  <c r="A9063" i="2"/>
  <c r="B9062" i="2"/>
  <c r="A9062" i="2"/>
  <c r="B9061" i="2"/>
  <c r="A9061" i="2"/>
  <c r="B9060" i="2"/>
  <c r="A9060" i="2"/>
  <c r="B9059" i="2"/>
  <c r="A9059" i="2"/>
  <c r="B9058" i="2"/>
  <c r="A9058" i="2"/>
  <c r="B9057" i="2"/>
  <c r="A9057" i="2"/>
  <c r="B9056" i="2"/>
  <c r="A9056" i="2"/>
  <c r="B9055" i="2"/>
  <c r="A9055" i="2"/>
  <c r="B9054" i="2"/>
  <c r="A9054" i="2"/>
  <c r="B9053" i="2"/>
  <c r="A9053" i="2"/>
  <c r="C9053" i="2" s="1"/>
  <c r="G9053" i="2" s="1"/>
  <c r="B9052" i="2"/>
  <c r="A9052" i="2"/>
  <c r="C9052" i="2" s="1"/>
  <c r="G9052" i="2" s="1"/>
  <c r="B9051" i="2"/>
  <c r="A9051" i="2"/>
  <c r="B9050" i="2"/>
  <c r="C9050" i="2" s="1"/>
  <c r="G9050" i="2" s="1"/>
  <c r="A9050" i="2"/>
  <c r="B9049" i="2"/>
  <c r="A9049" i="2"/>
  <c r="B9048" i="2"/>
  <c r="A9048" i="2"/>
  <c r="B9047" i="2"/>
  <c r="A9047" i="2"/>
  <c r="B9046" i="2"/>
  <c r="A9046" i="2"/>
  <c r="B9045" i="2"/>
  <c r="A9045" i="2"/>
  <c r="B9044" i="2"/>
  <c r="A9044" i="2"/>
  <c r="B9043" i="2"/>
  <c r="A9043" i="2"/>
  <c r="B9042" i="2"/>
  <c r="A9042" i="2"/>
  <c r="B9041" i="2"/>
  <c r="A9041" i="2"/>
  <c r="B9040" i="2"/>
  <c r="A9040" i="2"/>
  <c r="B9039" i="2"/>
  <c r="A9039" i="2"/>
  <c r="B9038" i="2"/>
  <c r="A9038" i="2"/>
  <c r="B9037" i="2"/>
  <c r="A9037" i="2"/>
  <c r="B9036" i="2"/>
  <c r="A9036" i="2"/>
  <c r="B9035" i="2"/>
  <c r="A9035" i="2"/>
  <c r="B9034" i="2"/>
  <c r="A9034" i="2"/>
  <c r="B9033" i="2"/>
  <c r="A9033" i="2"/>
  <c r="B9032" i="2"/>
  <c r="A9032" i="2"/>
  <c r="B9031" i="2"/>
  <c r="A9031" i="2"/>
  <c r="C9030" i="2"/>
  <c r="G9030" i="2" s="1"/>
  <c r="B9030" i="2"/>
  <c r="A9030" i="2"/>
  <c r="B9029" i="2"/>
  <c r="A9029" i="2"/>
  <c r="B9028" i="2"/>
  <c r="A9028" i="2"/>
  <c r="B9027" i="2"/>
  <c r="A9027" i="2"/>
  <c r="C9027" i="2" s="1"/>
  <c r="G9027" i="2" s="1"/>
  <c r="B9026" i="2"/>
  <c r="A9026" i="2"/>
  <c r="C9026" i="2" s="1"/>
  <c r="G9026" i="2" s="1"/>
  <c r="B9025" i="2"/>
  <c r="A9025" i="2"/>
  <c r="B9024" i="2"/>
  <c r="A9024" i="2"/>
  <c r="B9023" i="2"/>
  <c r="A9023" i="2"/>
  <c r="B9022" i="2"/>
  <c r="A9022" i="2"/>
  <c r="B9021" i="2"/>
  <c r="A9021" i="2"/>
  <c r="B9020" i="2"/>
  <c r="A9020" i="2"/>
  <c r="B9019" i="2"/>
  <c r="A9019" i="2"/>
  <c r="B9018" i="2"/>
  <c r="A9018" i="2"/>
  <c r="B9017" i="2"/>
  <c r="A9017" i="2"/>
  <c r="B9016" i="2"/>
  <c r="A9016" i="2"/>
  <c r="B9015" i="2"/>
  <c r="A9015" i="2"/>
  <c r="B9014" i="2"/>
  <c r="A9014" i="2"/>
  <c r="B9013" i="2"/>
  <c r="C9013" i="2" s="1"/>
  <c r="G9013" i="2" s="1"/>
  <c r="A9013" i="2"/>
  <c r="B9012" i="2"/>
  <c r="A9012" i="2"/>
  <c r="B9011" i="2"/>
  <c r="A9011" i="2"/>
  <c r="B9010" i="2"/>
  <c r="A9010" i="2"/>
  <c r="C9010" i="2" s="1"/>
  <c r="G9010" i="2" s="1"/>
  <c r="B9009" i="2"/>
  <c r="A9009" i="2"/>
  <c r="B9008" i="2"/>
  <c r="A9008" i="2"/>
  <c r="B9007" i="2"/>
  <c r="A9007" i="2"/>
  <c r="B9006" i="2"/>
  <c r="A9006" i="2"/>
  <c r="B9005" i="2"/>
  <c r="A9005" i="2"/>
  <c r="B9004" i="2"/>
  <c r="A9004" i="2"/>
  <c r="B9003" i="2"/>
  <c r="A9003" i="2"/>
  <c r="B9002" i="2"/>
  <c r="A9002" i="2"/>
  <c r="B9001" i="2"/>
  <c r="A9001" i="2"/>
  <c r="B9000" i="2"/>
  <c r="A9000" i="2"/>
  <c r="B8999" i="2"/>
  <c r="A8999" i="2"/>
  <c r="C8999" i="2" s="1"/>
  <c r="G8999" i="2" s="1"/>
  <c r="B8998" i="2"/>
  <c r="A8998" i="2"/>
  <c r="C8998" i="2" s="1"/>
  <c r="G8998" i="2" s="1"/>
  <c r="B8997" i="2"/>
  <c r="C8997" i="2" s="1"/>
  <c r="G8997" i="2" s="1"/>
  <c r="A8997" i="2"/>
  <c r="B8996" i="2"/>
  <c r="A8996" i="2"/>
  <c r="B8995" i="2"/>
  <c r="A8995" i="2"/>
  <c r="B8994" i="2"/>
  <c r="A8994" i="2"/>
  <c r="B8993" i="2"/>
  <c r="A8993" i="2"/>
  <c r="B8992" i="2"/>
  <c r="A8992" i="2"/>
  <c r="B8991" i="2"/>
  <c r="A8991" i="2"/>
  <c r="B8990" i="2"/>
  <c r="A8990" i="2"/>
  <c r="C8990" i="2" s="1"/>
  <c r="G8990" i="2" s="1"/>
  <c r="B8989" i="2"/>
  <c r="A8989" i="2"/>
  <c r="B8988" i="2"/>
  <c r="A8988" i="2"/>
  <c r="B8987" i="2"/>
  <c r="A8987" i="2"/>
  <c r="B8986" i="2"/>
  <c r="A8986" i="2"/>
  <c r="B8985" i="2"/>
  <c r="A8985" i="2"/>
  <c r="B8984" i="2"/>
  <c r="A8984" i="2"/>
  <c r="B8983" i="2"/>
  <c r="A8983" i="2"/>
  <c r="B8982" i="2"/>
  <c r="A8982" i="2"/>
  <c r="B8981" i="2"/>
  <c r="A8981" i="2"/>
  <c r="B8980" i="2"/>
  <c r="A8980" i="2"/>
  <c r="B8979" i="2"/>
  <c r="A8979" i="2"/>
  <c r="B8978" i="2"/>
  <c r="A8978" i="2"/>
  <c r="C8978" i="2" s="1"/>
  <c r="G8978" i="2" s="1"/>
  <c r="B8977" i="2"/>
  <c r="A8977" i="2"/>
  <c r="B8976" i="2"/>
  <c r="A8976" i="2"/>
  <c r="B8975" i="2"/>
  <c r="A8975" i="2"/>
  <c r="B8974" i="2"/>
  <c r="A8974" i="2"/>
  <c r="B8973" i="2"/>
  <c r="C8973" i="2" s="1"/>
  <c r="G8973" i="2" s="1"/>
  <c r="A8973" i="2"/>
  <c r="B8972" i="2"/>
  <c r="A8972" i="2"/>
  <c r="B8971" i="2"/>
  <c r="A8971" i="2"/>
  <c r="B8970" i="2"/>
  <c r="A8970" i="2"/>
  <c r="B8969" i="2"/>
  <c r="A8969" i="2"/>
  <c r="B8968" i="2"/>
  <c r="A8968" i="2"/>
  <c r="B8967" i="2"/>
  <c r="A8967" i="2"/>
  <c r="B8966" i="2"/>
  <c r="A8966" i="2"/>
  <c r="C8966" i="2" s="1"/>
  <c r="G8966" i="2" s="1"/>
  <c r="B8965" i="2"/>
  <c r="A8965" i="2"/>
  <c r="B8964" i="2"/>
  <c r="A8964" i="2"/>
  <c r="B8963" i="2"/>
  <c r="A8963" i="2"/>
  <c r="B8962" i="2"/>
  <c r="A8962" i="2"/>
  <c r="C8962" i="2" s="1"/>
  <c r="G8962" i="2" s="1"/>
  <c r="B8961" i="2"/>
  <c r="A8961" i="2"/>
  <c r="B8960" i="2"/>
  <c r="A8960" i="2"/>
  <c r="B8959" i="2"/>
  <c r="A8959" i="2"/>
  <c r="C8959" i="2" s="1"/>
  <c r="G8959" i="2" s="1"/>
  <c r="B8958" i="2"/>
  <c r="A8958" i="2"/>
  <c r="B8957" i="2"/>
  <c r="A8957" i="2"/>
  <c r="B8956" i="2"/>
  <c r="A8956" i="2"/>
  <c r="B8955" i="2"/>
  <c r="A8955" i="2"/>
  <c r="B8954" i="2"/>
  <c r="A8954" i="2"/>
  <c r="C8954" i="2" s="1"/>
  <c r="G8954" i="2" s="1"/>
  <c r="B8953" i="2"/>
  <c r="A8953" i="2"/>
  <c r="B8952" i="2"/>
  <c r="A8952" i="2"/>
  <c r="B8951" i="2"/>
  <c r="A8951" i="2"/>
  <c r="C8951" i="2" s="1"/>
  <c r="G8951" i="2" s="1"/>
  <c r="B8950" i="2"/>
  <c r="A8950" i="2"/>
  <c r="C8950" i="2" s="1"/>
  <c r="G8950" i="2" s="1"/>
  <c r="B8949" i="2"/>
  <c r="A8949" i="2"/>
  <c r="B8948" i="2"/>
  <c r="A8948" i="2"/>
  <c r="B8947" i="2"/>
  <c r="A8947" i="2"/>
  <c r="B8946" i="2"/>
  <c r="A8946" i="2"/>
  <c r="C8946" i="2" s="1"/>
  <c r="G8946" i="2" s="1"/>
  <c r="B8945" i="2"/>
  <c r="A8945" i="2"/>
  <c r="B8944" i="2"/>
  <c r="A8944" i="2"/>
  <c r="B8943" i="2"/>
  <c r="A8943" i="2"/>
  <c r="B8942" i="2"/>
  <c r="A8942" i="2"/>
  <c r="B8941" i="2"/>
  <c r="A8941" i="2"/>
  <c r="B8940" i="2"/>
  <c r="A8940" i="2"/>
  <c r="B8939" i="2"/>
  <c r="A8939" i="2"/>
  <c r="B8938" i="2"/>
  <c r="A8938" i="2"/>
  <c r="B8937" i="2"/>
  <c r="A8937" i="2"/>
  <c r="B8936" i="2"/>
  <c r="A8936" i="2"/>
  <c r="B8935" i="2"/>
  <c r="A8935" i="2"/>
  <c r="B8934" i="2"/>
  <c r="A8934" i="2"/>
  <c r="B8933" i="2"/>
  <c r="A8933" i="2"/>
  <c r="B8932" i="2"/>
  <c r="A8932" i="2"/>
  <c r="B8931" i="2"/>
  <c r="A8931" i="2"/>
  <c r="B8930" i="2"/>
  <c r="C8930" i="2" s="1"/>
  <c r="G8930" i="2" s="1"/>
  <c r="A8930" i="2"/>
  <c r="B8929" i="2"/>
  <c r="A8929" i="2"/>
  <c r="B8928" i="2"/>
  <c r="A8928" i="2"/>
  <c r="B8927" i="2"/>
  <c r="A8927" i="2"/>
  <c r="B8926" i="2"/>
  <c r="A8926" i="2"/>
  <c r="B8925" i="2"/>
  <c r="A8925" i="2"/>
  <c r="B8924" i="2"/>
  <c r="A8924" i="2"/>
  <c r="B8923" i="2"/>
  <c r="A8923" i="2"/>
  <c r="B8922" i="2"/>
  <c r="A8922" i="2"/>
  <c r="B8921" i="2"/>
  <c r="A8921" i="2"/>
  <c r="B8920" i="2"/>
  <c r="A8920" i="2"/>
  <c r="B8919" i="2"/>
  <c r="A8919" i="2"/>
  <c r="B8918" i="2"/>
  <c r="A8918" i="2"/>
  <c r="B8917" i="2"/>
  <c r="A8917" i="2"/>
  <c r="B8916" i="2"/>
  <c r="A8916" i="2"/>
  <c r="B8915" i="2"/>
  <c r="A8915" i="2"/>
  <c r="B8914" i="2"/>
  <c r="A8914" i="2"/>
  <c r="B8913" i="2"/>
  <c r="A8913" i="2"/>
  <c r="B8912" i="2"/>
  <c r="A8912" i="2"/>
  <c r="C8912" i="2" s="1"/>
  <c r="G8912" i="2" s="1"/>
  <c r="B8911" i="2"/>
  <c r="A8911" i="2"/>
  <c r="B8910" i="2"/>
  <c r="A8910" i="2"/>
  <c r="B8909" i="2"/>
  <c r="A8909" i="2"/>
  <c r="B8908" i="2"/>
  <c r="A8908" i="2"/>
  <c r="C8908" i="2" s="1"/>
  <c r="G8908" i="2" s="1"/>
  <c r="B8907" i="2"/>
  <c r="A8907" i="2"/>
  <c r="B8906" i="2"/>
  <c r="C8906" i="2" s="1"/>
  <c r="G8906" i="2" s="1"/>
  <c r="A8906" i="2"/>
  <c r="B8905" i="2"/>
  <c r="A8905" i="2"/>
  <c r="B8904" i="2"/>
  <c r="A8904" i="2"/>
  <c r="B8903" i="2"/>
  <c r="A8903" i="2"/>
  <c r="B8902" i="2"/>
  <c r="C8902" i="2" s="1"/>
  <c r="G8902" i="2" s="1"/>
  <c r="A8902" i="2"/>
  <c r="B8901" i="2"/>
  <c r="A8901" i="2"/>
  <c r="B8900" i="2"/>
  <c r="A8900" i="2"/>
  <c r="B8899" i="2"/>
  <c r="A8899" i="2"/>
  <c r="B8898" i="2"/>
  <c r="A8898" i="2"/>
  <c r="B8897" i="2"/>
  <c r="A8897" i="2"/>
  <c r="B8896" i="2"/>
  <c r="A8896" i="2"/>
  <c r="B8895" i="2"/>
  <c r="A8895" i="2"/>
  <c r="B8894" i="2"/>
  <c r="C8894" i="2" s="1"/>
  <c r="G8894" i="2" s="1"/>
  <c r="A8894" i="2"/>
  <c r="B8893" i="2"/>
  <c r="A8893" i="2"/>
  <c r="C8893" i="2" s="1"/>
  <c r="G8893" i="2" s="1"/>
  <c r="B8892" i="2"/>
  <c r="A8892" i="2"/>
  <c r="B8891" i="2"/>
  <c r="A8891" i="2"/>
  <c r="B8890" i="2"/>
  <c r="A8890" i="2"/>
  <c r="B8889" i="2"/>
  <c r="A8889" i="2"/>
  <c r="B8888" i="2"/>
  <c r="A8888" i="2"/>
  <c r="B8887" i="2"/>
  <c r="A8887" i="2"/>
  <c r="B8886" i="2"/>
  <c r="A8886" i="2"/>
  <c r="B8885" i="2"/>
  <c r="A8885" i="2"/>
  <c r="B8884" i="2"/>
  <c r="A8884" i="2"/>
  <c r="B8883" i="2"/>
  <c r="A8883" i="2"/>
  <c r="B8882" i="2"/>
  <c r="A8882" i="2"/>
  <c r="B8881" i="2"/>
  <c r="A8881" i="2"/>
  <c r="B8880" i="2"/>
  <c r="A8880" i="2"/>
  <c r="B8879" i="2"/>
  <c r="A8879" i="2"/>
  <c r="B8878" i="2"/>
  <c r="A8878" i="2"/>
  <c r="B8877" i="2"/>
  <c r="A8877" i="2"/>
  <c r="B8876" i="2"/>
  <c r="A8876" i="2"/>
  <c r="B8875" i="2"/>
  <c r="A8875" i="2"/>
  <c r="B8874" i="2"/>
  <c r="A8874" i="2"/>
  <c r="B8873" i="2"/>
  <c r="A8873" i="2"/>
  <c r="B8872" i="2"/>
  <c r="A8872" i="2"/>
  <c r="B8871" i="2"/>
  <c r="C8871" i="2" s="1"/>
  <c r="G8871" i="2" s="1"/>
  <c r="A8871" i="2"/>
  <c r="B8870" i="2"/>
  <c r="A8870" i="2"/>
  <c r="B8869" i="2"/>
  <c r="A8869" i="2"/>
  <c r="B8868" i="2"/>
  <c r="A8868" i="2"/>
  <c r="B8867" i="2"/>
  <c r="A8867" i="2"/>
  <c r="B8866" i="2"/>
  <c r="A8866" i="2"/>
  <c r="B8865" i="2"/>
  <c r="A8865" i="2"/>
  <c r="B8864" i="2"/>
  <c r="A8864" i="2"/>
  <c r="B8863" i="2"/>
  <c r="A8863" i="2"/>
  <c r="B8862" i="2"/>
  <c r="C8862" i="2" s="1"/>
  <c r="G8862" i="2" s="1"/>
  <c r="A8862" i="2"/>
  <c r="B8861" i="2"/>
  <c r="A8861" i="2"/>
  <c r="B8860" i="2"/>
  <c r="A8860" i="2"/>
  <c r="B8859" i="2"/>
  <c r="A8859" i="2"/>
  <c r="B8858" i="2"/>
  <c r="A8858" i="2"/>
  <c r="B8857" i="2"/>
  <c r="A8857" i="2"/>
  <c r="B8856" i="2"/>
  <c r="A8856" i="2"/>
  <c r="B8855" i="2"/>
  <c r="A8855" i="2"/>
  <c r="B8854" i="2"/>
  <c r="A8854" i="2"/>
  <c r="B8853" i="2"/>
  <c r="A8853" i="2"/>
  <c r="B8852" i="2"/>
  <c r="A8852" i="2"/>
  <c r="B8851" i="2"/>
  <c r="A8851" i="2"/>
  <c r="B8850" i="2"/>
  <c r="A8850" i="2"/>
  <c r="B8849" i="2"/>
  <c r="A8849" i="2"/>
  <c r="B8848" i="2"/>
  <c r="A8848" i="2"/>
  <c r="B8847" i="2"/>
  <c r="A8847" i="2"/>
  <c r="C8847" i="2" s="1"/>
  <c r="G8847" i="2" s="1"/>
  <c r="B8846" i="2"/>
  <c r="A8846" i="2"/>
  <c r="B8845" i="2"/>
  <c r="A8845" i="2"/>
  <c r="B8844" i="2"/>
  <c r="A8844" i="2"/>
  <c r="C8844" i="2" s="1"/>
  <c r="G8844" i="2" s="1"/>
  <c r="B8843" i="2"/>
  <c r="A8843" i="2"/>
  <c r="B8842" i="2"/>
  <c r="A8842" i="2"/>
  <c r="C8842" i="2" s="1"/>
  <c r="G8842" i="2" s="1"/>
  <c r="B8841" i="2"/>
  <c r="A8841" i="2"/>
  <c r="B8840" i="2"/>
  <c r="A8840" i="2"/>
  <c r="B8839" i="2"/>
  <c r="A8839" i="2"/>
  <c r="B8838" i="2"/>
  <c r="A8838" i="2"/>
  <c r="B8837" i="2"/>
  <c r="A8837" i="2"/>
  <c r="B8836" i="2"/>
  <c r="A8836" i="2"/>
  <c r="B8835" i="2"/>
  <c r="A8835" i="2"/>
  <c r="B8834" i="2"/>
  <c r="A8834" i="2"/>
  <c r="B8833" i="2"/>
  <c r="A8833" i="2"/>
  <c r="B8832" i="2"/>
  <c r="A8832" i="2"/>
  <c r="B8831" i="2"/>
  <c r="C8831" i="2" s="1"/>
  <c r="G8831" i="2" s="1"/>
  <c r="A8831" i="2"/>
  <c r="B8830" i="2"/>
  <c r="A8830" i="2"/>
  <c r="B8829" i="2"/>
  <c r="A8829" i="2"/>
  <c r="B8828" i="2"/>
  <c r="A8828" i="2"/>
  <c r="B8827" i="2"/>
  <c r="A8827" i="2"/>
  <c r="B8826" i="2"/>
  <c r="A8826" i="2"/>
  <c r="B8825" i="2"/>
  <c r="A8825" i="2"/>
  <c r="B8824" i="2"/>
  <c r="A8824" i="2"/>
  <c r="B8823" i="2"/>
  <c r="A8823" i="2"/>
  <c r="B8822" i="2"/>
  <c r="A8822" i="2"/>
  <c r="B8821" i="2"/>
  <c r="A8821" i="2"/>
  <c r="C8821" i="2" s="1"/>
  <c r="G8821" i="2" s="1"/>
  <c r="B8820" i="2"/>
  <c r="A8820" i="2"/>
  <c r="B8819" i="2"/>
  <c r="C8819" i="2" s="1"/>
  <c r="G8819" i="2" s="1"/>
  <c r="A8819" i="2"/>
  <c r="C8818" i="2"/>
  <c r="G8818" i="2" s="1"/>
  <c r="B8818" i="2"/>
  <c r="A8818" i="2"/>
  <c r="B8817" i="2"/>
  <c r="A8817" i="2"/>
  <c r="B8816" i="2"/>
  <c r="C8816" i="2" s="1"/>
  <c r="G8816" i="2" s="1"/>
  <c r="A8816" i="2"/>
  <c r="B8815" i="2"/>
  <c r="C8815" i="2" s="1"/>
  <c r="G8815" i="2" s="1"/>
  <c r="A8815" i="2"/>
  <c r="B8814" i="2"/>
  <c r="A8814" i="2"/>
  <c r="B8813" i="2"/>
  <c r="A8813" i="2"/>
  <c r="B8812" i="2"/>
  <c r="A8812" i="2"/>
  <c r="B8811" i="2"/>
  <c r="A8811" i="2"/>
  <c r="B8810" i="2"/>
  <c r="A8810" i="2"/>
  <c r="C8810" i="2" s="1"/>
  <c r="G8810" i="2" s="1"/>
  <c r="B8809" i="2"/>
  <c r="A8809" i="2"/>
  <c r="B8808" i="2"/>
  <c r="A8808" i="2"/>
  <c r="B8807" i="2"/>
  <c r="C8807" i="2" s="1"/>
  <c r="G8807" i="2" s="1"/>
  <c r="A8807" i="2"/>
  <c r="B8806" i="2"/>
  <c r="A8806" i="2"/>
  <c r="B8805" i="2"/>
  <c r="A8805" i="2"/>
  <c r="B8804" i="2"/>
  <c r="A8804" i="2"/>
  <c r="B8803" i="2"/>
  <c r="A8803" i="2"/>
  <c r="B8802" i="2"/>
  <c r="A8802" i="2"/>
  <c r="B8801" i="2"/>
  <c r="A8801" i="2"/>
  <c r="B8800" i="2"/>
  <c r="A8800" i="2"/>
  <c r="B8799" i="2"/>
  <c r="A8799" i="2"/>
  <c r="B8798" i="2"/>
  <c r="A8798" i="2"/>
  <c r="B8797" i="2"/>
  <c r="A8797" i="2"/>
  <c r="B8796" i="2"/>
  <c r="A8796" i="2"/>
  <c r="B8795" i="2"/>
  <c r="A8795" i="2"/>
  <c r="B8794" i="2"/>
  <c r="A8794" i="2"/>
  <c r="B8793" i="2"/>
  <c r="A8793" i="2"/>
  <c r="B8792" i="2"/>
  <c r="A8792" i="2"/>
  <c r="B8791" i="2"/>
  <c r="A8791" i="2"/>
  <c r="B8790" i="2"/>
  <c r="A8790" i="2"/>
  <c r="B8789" i="2"/>
  <c r="A8789" i="2"/>
  <c r="B8788" i="2"/>
  <c r="A8788" i="2"/>
  <c r="B8787" i="2"/>
  <c r="A8787" i="2"/>
  <c r="B8786" i="2"/>
  <c r="A8786" i="2"/>
  <c r="C8786" i="2" s="1"/>
  <c r="G8786" i="2" s="1"/>
  <c r="B8785" i="2"/>
  <c r="A8785" i="2"/>
  <c r="B8784" i="2"/>
  <c r="A8784" i="2"/>
  <c r="B8783" i="2"/>
  <c r="A8783" i="2"/>
  <c r="B8782" i="2"/>
  <c r="A8782" i="2"/>
  <c r="B8781" i="2"/>
  <c r="A8781" i="2"/>
  <c r="B8780" i="2"/>
  <c r="A8780" i="2"/>
  <c r="B8779" i="2"/>
  <c r="A8779" i="2"/>
  <c r="B8778" i="2"/>
  <c r="A8778" i="2"/>
  <c r="C8778" i="2" s="1"/>
  <c r="G8778" i="2" s="1"/>
  <c r="B8777" i="2"/>
  <c r="A8777" i="2"/>
  <c r="B8776" i="2"/>
  <c r="A8776" i="2"/>
  <c r="B8775" i="2"/>
  <c r="A8775" i="2"/>
  <c r="B8774" i="2"/>
  <c r="A8774" i="2"/>
  <c r="B8773" i="2"/>
  <c r="A8773" i="2"/>
  <c r="B8772" i="2"/>
  <c r="A8772" i="2"/>
  <c r="B8771" i="2"/>
  <c r="A8771" i="2"/>
  <c r="B8770" i="2"/>
  <c r="A8770" i="2"/>
  <c r="B8769" i="2"/>
  <c r="A8769" i="2"/>
  <c r="B8768" i="2"/>
  <c r="A8768" i="2"/>
  <c r="B8767" i="2"/>
  <c r="A8767" i="2"/>
  <c r="B8766" i="2"/>
  <c r="A8766" i="2"/>
  <c r="B8765" i="2"/>
  <c r="A8765" i="2"/>
  <c r="B8764" i="2"/>
  <c r="A8764" i="2"/>
  <c r="B8763" i="2"/>
  <c r="A8763" i="2"/>
  <c r="B8762" i="2"/>
  <c r="A8762" i="2"/>
  <c r="B8761" i="2"/>
  <c r="A8761" i="2"/>
  <c r="B8760" i="2"/>
  <c r="A8760" i="2"/>
  <c r="C8759" i="2"/>
  <c r="G8759" i="2" s="1"/>
  <c r="B8759" i="2"/>
  <c r="A8759" i="2"/>
  <c r="B8758" i="2"/>
  <c r="A8758" i="2"/>
  <c r="B8757" i="2"/>
  <c r="A8757" i="2"/>
  <c r="B8756" i="2"/>
  <c r="A8756" i="2"/>
  <c r="B8755" i="2"/>
  <c r="A8755" i="2"/>
  <c r="C8755" i="2" s="1"/>
  <c r="G8755" i="2" s="1"/>
  <c r="B8754" i="2"/>
  <c r="A8754" i="2"/>
  <c r="B8753" i="2"/>
  <c r="A8753" i="2"/>
  <c r="B8752" i="2"/>
  <c r="A8752" i="2"/>
  <c r="B8751" i="2"/>
  <c r="A8751" i="2"/>
  <c r="B8750" i="2"/>
  <c r="A8750" i="2"/>
  <c r="B8749" i="2"/>
  <c r="A8749" i="2"/>
  <c r="B8748" i="2"/>
  <c r="A8748" i="2"/>
  <c r="C8748" i="2" s="1"/>
  <c r="G8748" i="2" s="1"/>
  <c r="B8747" i="2"/>
  <c r="A8747" i="2"/>
  <c r="B8746" i="2"/>
  <c r="A8746" i="2"/>
  <c r="B8745" i="2"/>
  <c r="A8745" i="2"/>
  <c r="B8744" i="2"/>
  <c r="A8744" i="2"/>
  <c r="B8743" i="2"/>
  <c r="A8743" i="2"/>
  <c r="C8742" i="2"/>
  <c r="G8742" i="2" s="1"/>
  <c r="B8742" i="2"/>
  <c r="A8742" i="2"/>
  <c r="B8741" i="2"/>
  <c r="A8741" i="2"/>
  <c r="B8740" i="2"/>
  <c r="A8740" i="2"/>
  <c r="B8739" i="2"/>
  <c r="A8739" i="2"/>
  <c r="C8739" i="2" s="1"/>
  <c r="G8739" i="2" s="1"/>
  <c r="B8738" i="2"/>
  <c r="C8738" i="2" s="1"/>
  <c r="G8738" i="2" s="1"/>
  <c r="A8738" i="2"/>
  <c r="B8737" i="2"/>
  <c r="C8737" i="2" s="1"/>
  <c r="G8737" i="2" s="1"/>
  <c r="A8737" i="2"/>
  <c r="B8736" i="2"/>
  <c r="A8736" i="2"/>
  <c r="B8735" i="2"/>
  <c r="A8735" i="2"/>
  <c r="B8734" i="2"/>
  <c r="A8734" i="2"/>
  <c r="B8733" i="2"/>
  <c r="A8733" i="2"/>
  <c r="B8732" i="2"/>
  <c r="A8732" i="2"/>
  <c r="B8731" i="2"/>
  <c r="A8731" i="2"/>
  <c r="B8730" i="2"/>
  <c r="A8730" i="2"/>
  <c r="B8729" i="2"/>
  <c r="C8729" i="2" s="1"/>
  <c r="G8729" i="2" s="1"/>
  <c r="A8729" i="2"/>
  <c r="B8728" i="2"/>
  <c r="A8728" i="2"/>
  <c r="B8727" i="2"/>
  <c r="A8727" i="2"/>
  <c r="C8727" i="2" s="1"/>
  <c r="G8727" i="2" s="1"/>
  <c r="B8726" i="2"/>
  <c r="A8726" i="2"/>
  <c r="B8725" i="2"/>
  <c r="A8725" i="2"/>
  <c r="B8724" i="2"/>
  <c r="A8724" i="2"/>
  <c r="B8723" i="2"/>
  <c r="A8723" i="2"/>
  <c r="C8722" i="2"/>
  <c r="G8722" i="2" s="1"/>
  <c r="B8722" i="2"/>
  <c r="A8722" i="2"/>
  <c r="B8721" i="2"/>
  <c r="A8721" i="2"/>
  <c r="B8720" i="2"/>
  <c r="A8720" i="2"/>
  <c r="B8719" i="2"/>
  <c r="A8719" i="2"/>
  <c r="B8718" i="2"/>
  <c r="A8718" i="2"/>
  <c r="B8717" i="2"/>
  <c r="A8717" i="2"/>
  <c r="B8716" i="2"/>
  <c r="A8716" i="2"/>
  <c r="B8715" i="2"/>
  <c r="A8715" i="2"/>
  <c r="B8714" i="2"/>
  <c r="A8714" i="2"/>
  <c r="B8713" i="2"/>
  <c r="A8713" i="2"/>
  <c r="C8713" i="2" s="1"/>
  <c r="G8713" i="2" s="1"/>
  <c r="B8712" i="2"/>
  <c r="A8712" i="2"/>
  <c r="B8711" i="2"/>
  <c r="A8711" i="2"/>
  <c r="B8710" i="2"/>
  <c r="A8710" i="2"/>
  <c r="B8709" i="2"/>
  <c r="A8709" i="2"/>
  <c r="B8708" i="2"/>
  <c r="A8708" i="2"/>
  <c r="C8708" i="2" s="1"/>
  <c r="G8708" i="2" s="1"/>
  <c r="B8707" i="2"/>
  <c r="A8707" i="2"/>
  <c r="B8706" i="2"/>
  <c r="A8706" i="2"/>
  <c r="B8705" i="2"/>
  <c r="A8705" i="2"/>
  <c r="B8704" i="2"/>
  <c r="A8704" i="2"/>
  <c r="B8703" i="2"/>
  <c r="A8703" i="2"/>
  <c r="B8702" i="2"/>
  <c r="A8702" i="2"/>
  <c r="B8701" i="2"/>
  <c r="A8701" i="2"/>
  <c r="C8701" i="2" s="1"/>
  <c r="G8701" i="2" s="1"/>
  <c r="B8700" i="2"/>
  <c r="A8700" i="2"/>
  <c r="B8699" i="2"/>
  <c r="A8699" i="2"/>
  <c r="B8698" i="2"/>
  <c r="A8698" i="2"/>
  <c r="B8697" i="2"/>
  <c r="A8697" i="2"/>
  <c r="B8696" i="2"/>
  <c r="A8696" i="2"/>
  <c r="B8695" i="2"/>
  <c r="A8695" i="2"/>
  <c r="B8694" i="2"/>
  <c r="A8694" i="2"/>
  <c r="B8693" i="2"/>
  <c r="A8693" i="2"/>
  <c r="B8692" i="2"/>
  <c r="A8692" i="2"/>
  <c r="B8691" i="2"/>
  <c r="A8691" i="2"/>
  <c r="B8690" i="2"/>
  <c r="A8690" i="2"/>
  <c r="B8689" i="2"/>
  <c r="A8689" i="2"/>
  <c r="B8688" i="2"/>
  <c r="A8688" i="2"/>
  <c r="B8687" i="2"/>
  <c r="A8687" i="2"/>
  <c r="B8686" i="2"/>
  <c r="A8686" i="2"/>
  <c r="B8685" i="2"/>
  <c r="A8685" i="2"/>
  <c r="B8684" i="2"/>
  <c r="A8684" i="2"/>
  <c r="B8683" i="2"/>
  <c r="A8683" i="2"/>
  <c r="B8682" i="2"/>
  <c r="A8682" i="2"/>
  <c r="C8681" i="2"/>
  <c r="G8681" i="2" s="1"/>
  <c r="B8681" i="2"/>
  <c r="A8681" i="2"/>
  <c r="B8680" i="2"/>
  <c r="A8680" i="2"/>
  <c r="B8679" i="2"/>
  <c r="A8679" i="2"/>
  <c r="B8678" i="2"/>
  <c r="A8678" i="2"/>
  <c r="B8677" i="2"/>
  <c r="A8677" i="2"/>
  <c r="B8676" i="2"/>
  <c r="A8676" i="2"/>
  <c r="C8676" i="2" s="1"/>
  <c r="G8676" i="2" s="1"/>
  <c r="B8675" i="2"/>
  <c r="A8675" i="2"/>
  <c r="B8674" i="2"/>
  <c r="A8674" i="2"/>
  <c r="B8673" i="2"/>
  <c r="A8673" i="2"/>
  <c r="C8673" i="2" s="1"/>
  <c r="G8673" i="2" s="1"/>
  <c r="B8672" i="2"/>
  <c r="A8672" i="2"/>
  <c r="B8671" i="2"/>
  <c r="A8671" i="2"/>
  <c r="B8670" i="2"/>
  <c r="A8670" i="2"/>
  <c r="B8669" i="2"/>
  <c r="A8669" i="2"/>
  <c r="C8669" i="2" s="1"/>
  <c r="G8669" i="2" s="1"/>
  <c r="B8668" i="2"/>
  <c r="A8668" i="2"/>
  <c r="B8667" i="2"/>
  <c r="A8667" i="2"/>
  <c r="B8666" i="2"/>
  <c r="A8666" i="2"/>
  <c r="B8665" i="2"/>
  <c r="A8665" i="2"/>
  <c r="B8664" i="2"/>
  <c r="A8664" i="2"/>
  <c r="B8663" i="2"/>
  <c r="A8663" i="2"/>
  <c r="B8662" i="2"/>
  <c r="A8662" i="2"/>
  <c r="B8661" i="2"/>
  <c r="A8661" i="2"/>
  <c r="B8660" i="2"/>
  <c r="A8660" i="2"/>
  <c r="B8659" i="2"/>
  <c r="A8659" i="2"/>
  <c r="B8658" i="2"/>
  <c r="A8658" i="2"/>
  <c r="B8657" i="2"/>
  <c r="A8657" i="2"/>
  <c r="B8656" i="2"/>
  <c r="A8656" i="2"/>
  <c r="B8655" i="2"/>
  <c r="A8655" i="2"/>
  <c r="B8654" i="2"/>
  <c r="A8654" i="2"/>
  <c r="B8653" i="2"/>
  <c r="A8653" i="2"/>
  <c r="B8652" i="2"/>
  <c r="A8652" i="2"/>
  <c r="B8651" i="2"/>
  <c r="A8651" i="2"/>
  <c r="B8650" i="2"/>
  <c r="A8650" i="2"/>
  <c r="B8649" i="2"/>
  <c r="A8649" i="2"/>
  <c r="B8648" i="2"/>
  <c r="A8648" i="2"/>
  <c r="C8648" i="2" s="1"/>
  <c r="G8648" i="2" s="1"/>
  <c r="B8647" i="2"/>
  <c r="A8647" i="2"/>
  <c r="B8646" i="2"/>
  <c r="A8646" i="2"/>
  <c r="B8645" i="2"/>
  <c r="A8645" i="2"/>
  <c r="B8644" i="2"/>
  <c r="A8644" i="2"/>
  <c r="C8644" i="2" s="1"/>
  <c r="G8644" i="2" s="1"/>
  <c r="B8643" i="2"/>
  <c r="A8643" i="2"/>
  <c r="B8642" i="2"/>
  <c r="A8642" i="2"/>
  <c r="B8641" i="2"/>
  <c r="A8641" i="2"/>
  <c r="B8640" i="2"/>
  <c r="A8640" i="2"/>
  <c r="B8639" i="2"/>
  <c r="A8639" i="2"/>
  <c r="B8638" i="2"/>
  <c r="A8638" i="2"/>
  <c r="B8637" i="2"/>
  <c r="A8637" i="2"/>
  <c r="B8636" i="2"/>
  <c r="A8636" i="2"/>
  <c r="B8635" i="2"/>
  <c r="A8635" i="2"/>
  <c r="B8634" i="2"/>
  <c r="A8634" i="2"/>
  <c r="B8633" i="2"/>
  <c r="A8633" i="2"/>
  <c r="B8632" i="2"/>
  <c r="A8632" i="2"/>
  <c r="B8631" i="2"/>
  <c r="A8631" i="2"/>
  <c r="B8630" i="2"/>
  <c r="A8630" i="2"/>
  <c r="B8629" i="2"/>
  <c r="A8629" i="2"/>
  <c r="B8628" i="2"/>
  <c r="A8628" i="2"/>
  <c r="B8627" i="2"/>
  <c r="A8627" i="2"/>
  <c r="B8626" i="2"/>
  <c r="C8626" i="2" s="1"/>
  <c r="G8626" i="2" s="1"/>
  <c r="A8626" i="2"/>
  <c r="B8625" i="2"/>
  <c r="A8625" i="2"/>
  <c r="C8625" i="2" s="1"/>
  <c r="G8625" i="2" s="1"/>
  <c r="B8624" i="2"/>
  <c r="A8624" i="2"/>
  <c r="B8623" i="2"/>
  <c r="A8623" i="2"/>
  <c r="B8622" i="2"/>
  <c r="A8622" i="2"/>
  <c r="B8621" i="2"/>
  <c r="A8621" i="2"/>
  <c r="B8620" i="2"/>
  <c r="A8620" i="2"/>
  <c r="B8619" i="2"/>
  <c r="A8619" i="2"/>
  <c r="B8618" i="2"/>
  <c r="A8618" i="2"/>
  <c r="B8617" i="2"/>
  <c r="A8617" i="2"/>
  <c r="C8617" i="2" s="1"/>
  <c r="G8617" i="2" s="1"/>
  <c r="B8616" i="2"/>
  <c r="A8616" i="2"/>
  <c r="B8615" i="2"/>
  <c r="A8615" i="2"/>
  <c r="B8614" i="2"/>
  <c r="A8614" i="2"/>
  <c r="B8613" i="2"/>
  <c r="A8613" i="2"/>
  <c r="C8613" i="2" s="1"/>
  <c r="G8613" i="2" s="1"/>
  <c r="B8612" i="2"/>
  <c r="A8612" i="2"/>
  <c r="B8611" i="2"/>
  <c r="A8611" i="2"/>
  <c r="C8611" i="2" s="1"/>
  <c r="G8611" i="2" s="1"/>
  <c r="B8610" i="2"/>
  <c r="A8610" i="2"/>
  <c r="B8609" i="2"/>
  <c r="A8609" i="2"/>
  <c r="B8608" i="2"/>
  <c r="A8608" i="2"/>
  <c r="B8607" i="2"/>
  <c r="A8607" i="2"/>
  <c r="B8606" i="2"/>
  <c r="A8606" i="2"/>
  <c r="B8605" i="2"/>
  <c r="A8605" i="2"/>
  <c r="C8605" i="2" s="1"/>
  <c r="G8605" i="2" s="1"/>
  <c r="B8604" i="2"/>
  <c r="A8604" i="2"/>
  <c r="B8603" i="2"/>
  <c r="A8603" i="2"/>
  <c r="B8602" i="2"/>
  <c r="A8602" i="2"/>
  <c r="B8601" i="2"/>
  <c r="A8601" i="2"/>
  <c r="B8600" i="2"/>
  <c r="A8600" i="2"/>
  <c r="B8599" i="2"/>
  <c r="A8599" i="2"/>
  <c r="B8598" i="2"/>
  <c r="A8598" i="2"/>
  <c r="B8597" i="2"/>
  <c r="A8597" i="2"/>
  <c r="B8596" i="2"/>
  <c r="A8596" i="2"/>
  <c r="B8595" i="2"/>
  <c r="A8595" i="2"/>
  <c r="B8594" i="2"/>
  <c r="A8594" i="2"/>
  <c r="B8593" i="2"/>
  <c r="A8593" i="2"/>
  <c r="B8592" i="2"/>
  <c r="A8592" i="2"/>
  <c r="B8591" i="2"/>
  <c r="A8591" i="2"/>
  <c r="B8590" i="2"/>
  <c r="A8590" i="2"/>
  <c r="B8589" i="2"/>
  <c r="A8589" i="2"/>
  <c r="B8588" i="2"/>
  <c r="A8588" i="2"/>
  <c r="B8587" i="2"/>
  <c r="A8587" i="2"/>
  <c r="B8586" i="2"/>
  <c r="A8586" i="2"/>
  <c r="C8586" i="2" s="1"/>
  <c r="G8586" i="2" s="1"/>
  <c r="B8585" i="2"/>
  <c r="A8585" i="2"/>
  <c r="B8584" i="2"/>
  <c r="A8584" i="2"/>
  <c r="B8583" i="2"/>
  <c r="A8583" i="2"/>
  <c r="C8583" i="2" s="1"/>
  <c r="G8583" i="2" s="1"/>
  <c r="B8582" i="2"/>
  <c r="A8582" i="2"/>
  <c r="B8581" i="2"/>
  <c r="A8581" i="2"/>
  <c r="B8580" i="2"/>
  <c r="A8580" i="2"/>
  <c r="B8579" i="2"/>
  <c r="A8579" i="2"/>
  <c r="C8579" i="2" s="1"/>
  <c r="G8579" i="2" s="1"/>
  <c r="B8578" i="2"/>
  <c r="A8578" i="2"/>
  <c r="B8577" i="2"/>
  <c r="A8577" i="2"/>
  <c r="B8576" i="2"/>
  <c r="A8576" i="2"/>
  <c r="B8575" i="2"/>
  <c r="A8575" i="2"/>
  <c r="C8575" i="2" s="1"/>
  <c r="G8575" i="2" s="1"/>
  <c r="B8574" i="2"/>
  <c r="A8574" i="2"/>
  <c r="B8573" i="2"/>
  <c r="A8573" i="2"/>
  <c r="B8572" i="2"/>
  <c r="A8572" i="2"/>
  <c r="B8571" i="2"/>
  <c r="A8571" i="2"/>
  <c r="C8571" i="2" s="1"/>
  <c r="G8571" i="2" s="1"/>
  <c r="B8570" i="2"/>
  <c r="A8570" i="2"/>
  <c r="C8570" i="2" s="1"/>
  <c r="G8570" i="2" s="1"/>
  <c r="B8569" i="2"/>
  <c r="A8569" i="2"/>
  <c r="B8568" i="2"/>
  <c r="A8568" i="2"/>
  <c r="B8567" i="2"/>
  <c r="A8567" i="2"/>
  <c r="B8566" i="2"/>
  <c r="A8566" i="2"/>
  <c r="B8565" i="2"/>
  <c r="A8565" i="2"/>
  <c r="B8564" i="2"/>
  <c r="A8564" i="2"/>
  <c r="B8563" i="2"/>
  <c r="A8563" i="2"/>
  <c r="B8562" i="2"/>
  <c r="A8562" i="2"/>
  <c r="B8561" i="2"/>
  <c r="A8561" i="2"/>
  <c r="B8560" i="2"/>
  <c r="A8560" i="2"/>
  <c r="B8559" i="2"/>
  <c r="A8559" i="2"/>
  <c r="B8558" i="2"/>
  <c r="A8558" i="2"/>
  <c r="B8557" i="2"/>
  <c r="A8557" i="2"/>
  <c r="B8556" i="2"/>
  <c r="A8556" i="2"/>
  <c r="B8555" i="2"/>
  <c r="A8555" i="2"/>
  <c r="B8554" i="2"/>
  <c r="A8554" i="2"/>
  <c r="B8553" i="2"/>
  <c r="A8553" i="2"/>
  <c r="C8553" i="2" s="1"/>
  <c r="G8553" i="2" s="1"/>
  <c r="B8552" i="2"/>
  <c r="A8552" i="2"/>
  <c r="B8551" i="2"/>
  <c r="A8551" i="2"/>
  <c r="B8550" i="2"/>
  <c r="A8550" i="2"/>
  <c r="C8550" i="2" s="1"/>
  <c r="G8550" i="2" s="1"/>
  <c r="B8549" i="2"/>
  <c r="A8549" i="2"/>
  <c r="B8548" i="2"/>
  <c r="A8548" i="2"/>
  <c r="C8547" i="2"/>
  <c r="G8547" i="2" s="1"/>
  <c r="B8547" i="2"/>
  <c r="A8547" i="2"/>
  <c r="B8546" i="2"/>
  <c r="A8546" i="2"/>
  <c r="B8545" i="2"/>
  <c r="A8545" i="2"/>
  <c r="B8544" i="2"/>
  <c r="A8544" i="2"/>
  <c r="B8543" i="2"/>
  <c r="A8543" i="2"/>
  <c r="B8542" i="2"/>
  <c r="A8542" i="2"/>
  <c r="B8541" i="2"/>
  <c r="A8541" i="2"/>
  <c r="B8540" i="2"/>
  <c r="A8540" i="2"/>
  <c r="B8539" i="2"/>
  <c r="A8539" i="2"/>
  <c r="C8539" i="2" s="1"/>
  <c r="G8539" i="2" s="1"/>
  <c r="B8538" i="2"/>
  <c r="A8538" i="2"/>
  <c r="C8538" i="2" s="1"/>
  <c r="G8538" i="2" s="1"/>
  <c r="B8537" i="2"/>
  <c r="A8537" i="2"/>
  <c r="B8536" i="2"/>
  <c r="A8536" i="2"/>
  <c r="B8535" i="2"/>
  <c r="A8535" i="2"/>
  <c r="B8534" i="2"/>
  <c r="A8534" i="2"/>
  <c r="B8533" i="2"/>
  <c r="A8533" i="2"/>
  <c r="B8532" i="2"/>
  <c r="A8532" i="2"/>
  <c r="B8531" i="2"/>
  <c r="A8531" i="2"/>
  <c r="B8530" i="2"/>
  <c r="A8530" i="2"/>
  <c r="B8529" i="2"/>
  <c r="A8529" i="2"/>
  <c r="B8528" i="2"/>
  <c r="A8528" i="2"/>
  <c r="B8527" i="2"/>
  <c r="A8527" i="2"/>
  <c r="B8526" i="2"/>
  <c r="A8526" i="2"/>
  <c r="C8526" i="2" s="1"/>
  <c r="G8526" i="2" s="1"/>
  <c r="B8525" i="2"/>
  <c r="A8525" i="2"/>
  <c r="B8524" i="2"/>
  <c r="A8524" i="2"/>
  <c r="B8523" i="2"/>
  <c r="A8523" i="2"/>
  <c r="B8522" i="2"/>
  <c r="A8522" i="2"/>
  <c r="B8521" i="2"/>
  <c r="A8521" i="2"/>
  <c r="B8520" i="2"/>
  <c r="A8520" i="2"/>
  <c r="B8519" i="2"/>
  <c r="A8519" i="2"/>
  <c r="B8518" i="2"/>
  <c r="A8518" i="2"/>
  <c r="B8517" i="2"/>
  <c r="A8517" i="2"/>
  <c r="B8516" i="2"/>
  <c r="A8516" i="2"/>
  <c r="B8515" i="2"/>
  <c r="A8515" i="2"/>
  <c r="C8515" i="2" s="1"/>
  <c r="G8515" i="2" s="1"/>
  <c r="B8514" i="2"/>
  <c r="A8514" i="2"/>
  <c r="B8513" i="2"/>
  <c r="A8513" i="2"/>
  <c r="B8512" i="2"/>
  <c r="A8512" i="2"/>
  <c r="B8511" i="2"/>
  <c r="A8511" i="2"/>
  <c r="B8510" i="2"/>
  <c r="A8510" i="2"/>
  <c r="B8509" i="2"/>
  <c r="A8509" i="2"/>
  <c r="B8508" i="2"/>
  <c r="A8508" i="2"/>
  <c r="B8507" i="2"/>
  <c r="A8507" i="2"/>
  <c r="B8506" i="2"/>
  <c r="A8506" i="2"/>
  <c r="B8505" i="2"/>
  <c r="A8505" i="2"/>
  <c r="B8504" i="2"/>
  <c r="C8504" i="2" s="1"/>
  <c r="G8504" i="2" s="1"/>
  <c r="A8504" i="2"/>
  <c r="B8503" i="2"/>
  <c r="A8503" i="2"/>
  <c r="B8502" i="2"/>
  <c r="A8502" i="2"/>
  <c r="B8501" i="2"/>
  <c r="A8501" i="2"/>
  <c r="B8500" i="2"/>
  <c r="A8500" i="2"/>
  <c r="B8499" i="2"/>
  <c r="A8499" i="2"/>
  <c r="B8498" i="2"/>
  <c r="A8498" i="2"/>
  <c r="B8497" i="2"/>
  <c r="A8497" i="2"/>
  <c r="C8497" i="2" s="1"/>
  <c r="G8497" i="2" s="1"/>
  <c r="B8496" i="2"/>
  <c r="A8496" i="2"/>
  <c r="B8495" i="2"/>
  <c r="A8495" i="2"/>
  <c r="B8494" i="2"/>
  <c r="A8494" i="2"/>
  <c r="B8493" i="2"/>
  <c r="A8493" i="2"/>
  <c r="C8493" i="2" s="1"/>
  <c r="G8493" i="2" s="1"/>
  <c r="B8492" i="2"/>
  <c r="A8492" i="2"/>
  <c r="B8491" i="2"/>
  <c r="A8491" i="2"/>
  <c r="C8490" i="2"/>
  <c r="G8490" i="2" s="1"/>
  <c r="B8490" i="2"/>
  <c r="A8490" i="2"/>
  <c r="B8489" i="2"/>
  <c r="A8489" i="2"/>
  <c r="B8488" i="2"/>
  <c r="A8488" i="2"/>
  <c r="B8487" i="2"/>
  <c r="A8487" i="2"/>
  <c r="C8487" i="2" s="1"/>
  <c r="G8487" i="2" s="1"/>
  <c r="B8486" i="2"/>
  <c r="A8486" i="2"/>
  <c r="B8485" i="2"/>
  <c r="C8485" i="2" s="1"/>
  <c r="G8485" i="2" s="1"/>
  <c r="A8485" i="2"/>
  <c r="B8484" i="2"/>
  <c r="A8484" i="2"/>
  <c r="C8484" i="2" s="1"/>
  <c r="G8484" i="2" s="1"/>
  <c r="B8483" i="2"/>
  <c r="C8483" i="2" s="1"/>
  <c r="G8483" i="2" s="1"/>
  <c r="A8483" i="2"/>
  <c r="B8482" i="2"/>
  <c r="A8482" i="2"/>
  <c r="B8481" i="2"/>
  <c r="A8481" i="2"/>
  <c r="B8480" i="2"/>
  <c r="A8480" i="2"/>
  <c r="B8479" i="2"/>
  <c r="A8479" i="2"/>
  <c r="B8478" i="2"/>
  <c r="A8478" i="2"/>
  <c r="B8477" i="2"/>
  <c r="A8477" i="2"/>
  <c r="C8477" i="2" s="1"/>
  <c r="G8477" i="2" s="1"/>
  <c r="B8476" i="2"/>
  <c r="A8476" i="2"/>
  <c r="B8475" i="2"/>
  <c r="A8475" i="2"/>
  <c r="B8474" i="2"/>
  <c r="A8474" i="2"/>
  <c r="B8473" i="2"/>
  <c r="A8473" i="2"/>
  <c r="C8473" i="2" s="1"/>
  <c r="G8473" i="2" s="1"/>
  <c r="B8472" i="2"/>
  <c r="A8472" i="2"/>
  <c r="C8472" i="2" s="1"/>
  <c r="G8472" i="2" s="1"/>
  <c r="B8471" i="2"/>
  <c r="A8471" i="2"/>
  <c r="B8470" i="2"/>
  <c r="A8470" i="2"/>
  <c r="B8469" i="2"/>
  <c r="A8469" i="2"/>
  <c r="B8468" i="2"/>
  <c r="A8468" i="2"/>
  <c r="B8467" i="2"/>
  <c r="A8467" i="2"/>
  <c r="B8466" i="2"/>
  <c r="A8466" i="2"/>
  <c r="B8465" i="2"/>
  <c r="A8465" i="2"/>
  <c r="B8464" i="2"/>
  <c r="A8464" i="2"/>
  <c r="B8463" i="2"/>
  <c r="A8463" i="2"/>
  <c r="B8462" i="2"/>
  <c r="A8462" i="2"/>
  <c r="B8461" i="2"/>
  <c r="A8461" i="2"/>
  <c r="C8461" i="2" s="1"/>
  <c r="G8461" i="2" s="1"/>
  <c r="B8460" i="2"/>
  <c r="A8460" i="2"/>
  <c r="B8459" i="2"/>
  <c r="A8459" i="2"/>
  <c r="B8458" i="2"/>
  <c r="A8458" i="2"/>
  <c r="B8457" i="2"/>
  <c r="A8457" i="2"/>
  <c r="C8457" i="2" s="1"/>
  <c r="G8457" i="2" s="1"/>
  <c r="B8456" i="2"/>
  <c r="A8456" i="2"/>
  <c r="B8455" i="2"/>
  <c r="A8455" i="2"/>
  <c r="B8454" i="2"/>
  <c r="A8454" i="2"/>
  <c r="B8453" i="2"/>
  <c r="A8453" i="2"/>
  <c r="B8452" i="2"/>
  <c r="A8452" i="2"/>
  <c r="B8451" i="2"/>
  <c r="A8451" i="2"/>
  <c r="C8451" i="2" s="1"/>
  <c r="G8451" i="2" s="1"/>
  <c r="B8450" i="2"/>
  <c r="A8450" i="2"/>
  <c r="B8449" i="2"/>
  <c r="A8449" i="2"/>
  <c r="B8448" i="2"/>
  <c r="A8448" i="2"/>
  <c r="B8447" i="2"/>
  <c r="A8447" i="2"/>
  <c r="C8447" i="2" s="1"/>
  <c r="G8447" i="2" s="1"/>
  <c r="B8446" i="2"/>
  <c r="A8446" i="2"/>
  <c r="B8445" i="2"/>
  <c r="A8445" i="2"/>
  <c r="B8444" i="2"/>
  <c r="A8444" i="2"/>
  <c r="B8443" i="2"/>
  <c r="A8443" i="2"/>
  <c r="C8443" i="2" s="1"/>
  <c r="G8443" i="2" s="1"/>
  <c r="B8442" i="2"/>
  <c r="A8442" i="2"/>
  <c r="B8441" i="2"/>
  <c r="A8441" i="2"/>
  <c r="B8440" i="2"/>
  <c r="A8440" i="2"/>
  <c r="B8439" i="2"/>
  <c r="A8439" i="2"/>
  <c r="B8438" i="2"/>
  <c r="A8438" i="2"/>
  <c r="B8437" i="2"/>
  <c r="A8437" i="2"/>
  <c r="B8436" i="2"/>
  <c r="A8436" i="2"/>
  <c r="B8435" i="2"/>
  <c r="A8435" i="2"/>
  <c r="C8435" i="2" s="1"/>
  <c r="G8435" i="2" s="1"/>
  <c r="B8434" i="2"/>
  <c r="A8434" i="2"/>
  <c r="B8433" i="2"/>
  <c r="A8433" i="2"/>
  <c r="B8432" i="2"/>
  <c r="A8432" i="2"/>
  <c r="B8431" i="2"/>
  <c r="A8431" i="2"/>
  <c r="B8430" i="2"/>
  <c r="A8430" i="2"/>
  <c r="B8429" i="2"/>
  <c r="A8429" i="2"/>
  <c r="B8428" i="2"/>
  <c r="A8428" i="2"/>
  <c r="B8427" i="2"/>
  <c r="A8427" i="2"/>
  <c r="B8426" i="2"/>
  <c r="A8426" i="2"/>
  <c r="C8426" i="2" s="1"/>
  <c r="G8426" i="2" s="1"/>
  <c r="B8425" i="2"/>
  <c r="A8425" i="2"/>
  <c r="B8424" i="2"/>
  <c r="A8424" i="2"/>
  <c r="B8423" i="2"/>
  <c r="A8423" i="2"/>
  <c r="B8422" i="2"/>
  <c r="A8422" i="2"/>
  <c r="C8422" i="2" s="1"/>
  <c r="G8422" i="2" s="1"/>
  <c r="B8421" i="2"/>
  <c r="A8421" i="2"/>
  <c r="B8420" i="2"/>
  <c r="A8420" i="2"/>
  <c r="B8419" i="2"/>
  <c r="A8419" i="2"/>
  <c r="B8418" i="2"/>
  <c r="A8418" i="2"/>
  <c r="B8417" i="2"/>
  <c r="A8417" i="2"/>
  <c r="B8416" i="2"/>
  <c r="C8416" i="2" s="1"/>
  <c r="G8416" i="2" s="1"/>
  <c r="A8416" i="2"/>
  <c r="B8415" i="2"/>
  <c r="A8415" i="2"/>
  <c r="B8414" i="2"/>
  <c r="A8414" i="2"/>
  <c r="B8413" i="2"/>
  <c r="A8413" i="2"/>
  <c r="B8412" i="2"/>
  <c r="A8412" i="2"/>
  <c r="B8411" i="2"/>
  <c r="A8411" i="2"/>
  <c r="B8410" i="2"/>
  <c r="A8410" i="2"/>
  <c r="B8409" i="2"/>
  <c r="A8409" i="2"/>
  <c r="B8408" i="2"/>
  <c r="A8408" i="2"/>
  <c r="B8407" i="2"/>
  <c r="A8407" i="2"/>
  <c r="B8406" i="2"/>
  <c r="A8406" i="2"/>
  <c r="B8405" i="2"/>
  <c r="A8405" i="2"/>
  <c r="C8405" i="2" s="1"/>
  <c r="G8405" i="2" s="1"/>
  <c r="C8404" i="2"/>
  <c r="G8404" i="2" s="1"/>
  <c r="B8404" i="2"/>
  <c r="A8404" i="2"/>
  <c r="B8403" i="2"/>
  <c r="A8403" i="2"/>
  <c r="B8402" i="2"/>
  <c r="A8402" i="2"/>
  <c r="B8401" i="2"/>
  <c r="A8401" i="2"/>
  <c r="B8400" i="2"/>
  <c r="A8400" i="2"/>
  <c r="B8399" i="2"/>
  <c r="A8399" i="2"/>
  <c r="B8398" i="2"/>
  <c r="A8398" i="2"/>
  <c r="B8397" i="2"/>
  <c r="A8397" i="2"/>
  <c r="B8396" i="2"/>
  <c r="C8396" i="2" s="1"/>
  <c r="G8396" i="2" s="1"/>
  <c r="A8396" i="2"/>
  <c r="B8395" i="2"/>
  <c r="A8395" i="2"/>
  <c r="B8394" i="2"/>
  <c r="A8394" i="2"/>
  <c r="B8393" i="2"/>
  <c r="A8393" i="2"/>
  <c r="B8392" i="2"/>
  <c r="A8392" i="2"/>
  <c r="B8391" i="2"/>
  <c r="A8391" i="2"/>
  <c r="B8390" i="2"/>
  <c r="A8390" i="2"/>
  <c r="B8389" i="2"/>
  <c r="A8389" i="2"/>
  <c r="B8388" i="2"/>
  <c r="A8388" i="2"/>
  <c r="B8387" i="2"/>
  <c r="A8387" i="2"/>
  <c r="B8386" i="2"/>
  <c r="A8386" i="2"/>
  <c r="B8385" i="2"/>
  <c r="A8385" i="2"/>
  <c r="B8384" i="2"/>
  <c r="A8384" i="2"/>
  <c r="B8383" i="2"/>
  <c r="A8383" i="2"/>
  <c r="B8382" i="2"/>
  <c r="A8382" i="2"/>
  <c r="B8381" i="2"/>
  <c r="A8381" i="2"/>
  <c r="B8380" i="2"/>
  <c r="A8380" i="2"/>
  <c r="C8380" i="2" s="1"/>
  <c r="G8380" i="2" s="1"/>
  <c r="B8379" i="2"/>
  <c r="A8379" i="2"/>
  <c r="B8378" i="2"/>
  <c r="A8378" i="2"/>
  <c r="B8377" i="2"/>
  <c r="A8377" i="2"/>
  <c r="B8376" i="2"/>
  <c r="A8376" i="2"/>
  <c r="C8376" i="2" s="1"/>
  <c r="G8376" i="2" s="1"/>
  <c r="B8375" i="2"/>
  <c r="A8375" i="2"/>
  <c r="B8374" i="2"/>
  <c r="A8374" i="2"/>
  <c r="B8373" i="2"/>
  <c r="A8373" i="2"/>
  <c r="B8372" i="2"/>
  <c r="A8372" i="2"/>
  <c r="C8372" i="2" s="1"/>
  <c r="G8372" i="2" s="1"/>
  <c r="B8371" i="2"/>
  <c r="A8371" i="2"/>
  <c r="B8370" i="2"/>
  <c r="A8370" i="2"/>
  <c r="B8369" i="2"/>
  <c r="A8369" i="2"/>
  <c r="B8368" i="2"/>
  <c r="A8368" i="2"/>
  <c r="B8367" i="2"/>
  <c r="A8367" i="2"/>
  <c r="B8366" i="2"/>
  <c r="A8366" i="2"/>
  <c r="B8365" i="2"/>
  <c r="A8365" i="2"/>
  <c r="B8364" i="2"/>
  <c r="C8364" i="2" s="1"/>
  <c r="G8364" i="2" s="1"/>
  <c r="A8364" i="2"/>
  <c r="B8363" i="2"/>
  <c r="A8363" i="2"/>
  <c r="B8362" i="2"/>
  <c r="A8362" i="2"/>
  <c r="B8361" i="2"/>
  <c r="A8361" i="2"/>
  <c r="C8361" i="2" s="1"/>
  <c r="G8361" i="2" s="1"/>
  <c r="B8360" i="2"/>
  <c r="A8360" i="2"/>
  <c r="B8359" i="2"/>
  <c r="A8359" i="2"/>
  <c r="B8358" i="2"/>
  <c r="A8358" i="2"/>
  <c r="B8357" i="2"/>
  <c r="A8357" i="2"/>
  <c r="B8356" i="2"/>
  <c r="A8356" i="2"/>
  <c r="B8355" i="2"/>
  <c r="A8355" i="2"/>
  <c r="B8354" i="2"/>
  <c r="A8354" i="2"/>
  <c r="B8353" i="2"/>
  <c r="A8353" i="2"/>
  <c r="C8353" i="2" s="1"/>
  <c r="G8353" i="2" s="1"/>
  <c r="B8352" i="2"/>
  <c r="A8352" i="2"/>
  <c r="B8351" i="2"/>
  <c r="A8351" i="2"/>
  <c r="B8350" i="2"/>
  <c r="A8350" i="2"/>
  <c r="B8349" i="2"/>
  <c r="A8349" i="2"/>
  <c r="B8348" i="2"/>
  <c r="A8348" i="2"/>
  <c r="B8347" i="2"/>
  <c r="A8347" i="2"/>
  <c r="B8346" i="2"/>
  <c r="A8346" i="2"/>
  <c r="B8345" i="2"/>
  <c r="A8345" i="2"/>
  <c r="C8345" i="2" s="1"/>
  <c r="G8345" i="2" s="1"/>
  <c r="B8344" i="2"/>
  <c r="A8344" i="2"/>
  <c r="B8343" i="2"/>
  <c r="A8343" i="2"/>
  <c r="B8342" i="2"/>
  <c r="A8342" i="2"/>
  <c r="B8341" i="2"/>
  <c r="A8341" i="2"/>
  <c r="C8341" i="2" s="1"/>
  <c r="G8341" i="2" s="1"/>
  <c r="B8340" i="2"/>
  <c r="C8340" i="2" s="1"/>
  <c r="G8340" i="2" s="1"/>
  <c r="A8340" i="2"/>
  <c r="B8339" i="2"/>
  <c r="A8339" i="2"/>
  <c r="B8338" i="2"/>
  <c r="A8338" i="2"/>
  <c r="B8337" i="2"/>
  <c r="A8337" i="2"/>
  <c r="B8336" i="2"/>
  <c r="A8336" i="2"/>
  <c r="B8335" i="2"/>
  <c r="A8335" i="2"/>
  <c r="B8334" i="2"/>
  <c r="A8334" i="2"/>
  <c r="B8333" i="2"/>
  <c r="A8333" i="2"/>
  <c r="C8333" i="2" s="1"/>
  <c r="G8333" i="2" s="1"/>
  <c r="C8332" i="2"/>
  <c r="G8332" i="2" s="1"/>
  <c r="B8332" i="2"/>
  <c r="A8332" i="2"/>
  <c r="B8331" i="2"/>
  <c r="A8331" i="2"/>
  <c r="B8330" i="2"/>
  <c r="A8330" i="2"/>
  <c r="B8329" i="2"/>
  <c r="A8329" i="2"/>
  <c r="C8329" i="2" s="1"/>
  <c r="G8329" i="2" s="1"/>
  <c r="B8328" i="2"/>
  <c r="A8328" i="2"/>
  <c r="B8327" i="2"/>
  <c r="A8327" i="2"/>
  <c r="B8326" i="2"/>
  <c r="A8326" i="2"/>
  <c r="B8325" i="2"/>
  <c r="A8325" i="2"/>
  <c r="B8324" i="2"/>
  <c r="A8324" i="2"/>
  <c r="B8323" i="2"/>
  <c r="A8323" i="2"/>
  <c r="B8322" i="2"/>
  <c r="A8322" i="2"/>
  <c r="B8321" i="2"/>
  <c r="A8321" i="2"/>
  <c r="B8320" i="2"/>
  <c r="A8320" i="2"/>
  <c r="B8319" i="2"/>
  <c r="C8319" i="2" s="1"/>
  <c r="G8319" i="2" s="1"/>
  <c r="A8319" i="2"/>
  <c r="B8318" i="2"/>
  <c r="A8318" i="2"/>
  <c r="B8317" i="2"/>
  <c r="A8317" i="2"/>
  <c r="C8317" i="2" s="1"/>
  <c r="G8317" i="2" s="1"/>
  <c r="B8316" i="2"/>
  <c r="A8316" i="2"/>
  <c r="B8315" i="2"/>
  <c r="C8315" i="2" s="1"/>
  <c r="G8315" i="2" s="1"/>
  <c r="A8315" i="2"/>
  <c r="B8314" i="2"/>
  <c r="A8314" i="2"/>
  <c r="B8313" i="2"/>
  <c r="A8313" i="2"/>
  <c r="B8312" i="2"/>
  <c r="A8312" i="2"/>
  <c r="C8312" i="2" s="1"/>
  <c r="G8312" i="2" s="1"/>
  <c r="B8311" i="2"/>
  <c r="A8311" i="2"/>
  <c r="B8310" i="2"/>
  <c r="A8310" i="2"/>
  <c r="C8310" i="2" s="1"/>
  <c r="G8310" i="2" s="1"/>
  <c r="B8309" i="2"/>
  <c r="A8309" i="2"/>
  <c r="B8308" i="2"/>
  <c r="A8308" i="2"/>
  <c r="C8308" i="2" s="1"/>
  <c r="G8308" i="2" s="1"/>
  <c r="B8307" i="2"/>
  <c r="A8307" i="2"/>
  <c r="B8306" i="2"/>
  <c r="A8306" i="2"/>
  <c r="B8305" i="2"/>
  <c r="A8305" i="2"/>
  <c r="B8304" i="2"/>
  <c r="A8304" i="2"/>
  <c r="C8304" i="2" s="1"/>
  <c r="G8304" i="2" s="1"/>
  <c r="B8303" i="2"/>
  <c r="A8303" i="2"/>
  <c r="B8302" i="2"/>
  <c r="A8302" i="2"/>
  <c r="B8301" i="2"/>
  <c r="A8301" i="2"/>
  <c r="B8300" i="2"/>
  <c r="A8300" i="2"/>
  <c r="C8300" i="2" s="1"/>
  <c r="G8300" i="2" s="1"/>
  <c r="B8299" i="2"/>
  <c r="A8299" i="2"/>
  <c r="B8298" i="2"/>
  <c r="A8298" i="2"/>
  <c r="B8297" i="2"/>
  <c r="A8297" i="2"/>
  <c r="B8296" i="2"/>
  <c r="A8296" i="2"/>
  <c r="C8296" i="2" s="1"/>
  <c r="G8296" i="2" s="1"/>
  <c r="B8295" i="2"/>
  <c r="C8295" i="2" s="1"/>
  <c r="G8295" i="2" s="1"/>
  <c r="A8295" i="2"/>
  <c r="B8294" i="2"/>
  <c r="A8294" i="2"/>
  <c r="B8293" i="2"/>
  <c r="A8293" i="2"/>
  <c r="B8292" i="2"/>
  <c r="A8292" i="2"/>
  <c r="C8292" i="2" s="1"/>
  <c r="G8292" i="2" s="1"/>
  <c r="C8291" i="2"/>
  <c r="G8291" i="2" s="1"/>
  <c r="B8291" i="2"/>
  <c r="A8291" i="2"/>
  <c r="B8290" i="2"/>
  <c r="A8290" i="2"/>
  <c r="B8289" i="2"/>
  <c r="A8289" i="2"/>
  <c r="C8289" i="2" s="1"/>
  <c r="G8289" i="2" s="1"/>
  <c r="B8288" i="2"/>
  <c r="C8288" i="2" s="1"/>
  <c r="G8288" i="2" s="1"/>
  <c r="A8288" i="2"/>
  <c r="B8287" i="2"/>
  <c r="A8287" i="2"/>
  <c r="B8286" i="2"/>
  <c r="A8286" i="2"/>
  <c r="B8285" i="2"/>
  <c r="A8285" i="2"/>
  <c r="C8285" i="2" s="1"/>
  <c r="G8285" i="2" s="1"/>
  <c r="C8284" i="2"/>
  <c r="G8284" i="2" s="1"/>
  <c r="B8284" i="2"/>
  <c r="A8284" i="2"/>
  <c r="B8283" i="2"/>
  <c r="A8283" i="2"/>
  <c r="B8282" i="2"/>
  <c r="A8282" i="2"/>
  <c r="C8282" i="2" s="1"/>
  <c r="G8282" i="2" s="1"/>
  <c r="B8281" i="2"/>
  <c r="A8281" i="2"/>
  <c r="B8280" i="2"/>
  <c r="A8280" i="2"/>
  <c r="B8279" i="2"/>
  <c r="A8279" i="2"/>
  <c r="B8278" i="2"/>
  <c r="A8278" i="2"/>
  <c r="B8277" i="2"/>
  <c r="A8277" i="2"/>
  <c r="C8276" i="2"/>
  <c r="G8276" i="2" s="1"/>
  <c r="B8276" i="2"/>
  <c r="A8276" i="2"/>
  <c r="B8275" i="2"/>
  <c r="A8275" i="2"/>
  <c r="B8274" i="2"/>
  <c r="A8274" i="2"/>
  <c r="B8273" i="2"/>
  <c r="A8273" i="2"/>
  <c r="B8272" i="2"/>
  <c r="A8272" i="2"/>
  <c r="B8271" i="2"/>
  <c r="A8271" i="2"/>
  <c r="B8270" i="2"/>
  <c r="A8270" i="2"/>
  <c r="B8269" i="2"/>
  <c r="A8269" i="2"/>
  <c r="B8268" i="2"/>
  <c r="A8268" i="2"/>
  <c r="B8267" i="2"/>
  <c r="A8267" i="2"/>
  <c r="B8266" i="2"/>
  <c r="A8266" i="2"/>
  <c r="C8266" i="2" s="1"/>
  <c r="G8266" i="2" s="1"/>
  <c r="B8265" i="2"/>
  <c r="A8265" i="2"/>
  <c r="B8264" i="2"/>
  <c r="A8264" i="2"/>
  <c r="B8263" i="2"/>
  <c r="A8263" i="2"/>
  <c r="B8262" i="2"/>
  <c r="A8262" i="2"/>
  <c r="B8261" i="2"/>
  <c r="A8261" i="2"/>
  <c r="B8260" i="2"/>
  <c r="A8260" i="2"/>
  <c r="C8260" i="2" s="1"/>
  <c r="G8260" i="2" s="1"/>
  <c r="B8259" i="2"/>
  <c r="C8259" i="2" s="1"/>
  <c r="G8259" i="2" s="1"/>
  <c r="A8259" i="2"/>
  <c r="B8258" i="2"/>
  <c r="A8258" i="2"/>
  <c r="B8257" i="2"/>
  <c r="A8257" i="2"/>
  <c r="B8256" i="2"/>
  <c r="A8256" i="2"/>
  <c r="B8255" i="2"/>
  <c r="A8255" i="2"/>
  <c r="B8254" i="2"/>
  <c r="A8254" i="2"/>
  <c r="B8253" i="2"/>
  <c r="A8253" i="2"/>
  <c r="B8252" i="2"/>
  <c r="A8252" i="2"/>
  <c r="C8252" i="2" s="1"/>
  <c r="G8252" i="2" s="1"/>
  <c r="B8251" i="2"/>
  <c r="A8251" i="2"/>
  <c r="B8250" i="2"/>
  <c r="A8250" i="2"/>
  <c r="B8249" i="2"/>
  <c r="A8249" i="2"/>
  <c r="B8248" i="2"/>
  <c r="A8248" i="2"/>
  <c r="B8247" i="2"/>
  <c r="A8247" i="2"/>
  <c r="B8246" i="2"/>
  <c r="A8246" i="2"/>
  <c r="C8246" i="2" s="1"/>
  <c r="G8246" i="2" s="1"/>
  <c r="B8245" i="2"/>
  <c r="A8245" i="2"/>
  <c r="B8244" i="2"/>
  <c r="A8244" i="2"/>
  <c r="C8243" i="2"/>
  <c r="G8243" i="2" s="1"/>
  <c r="B8243" i="2"/>
  <c r="A8243" i="2"/>
  <c r="B8242" i="2"/>
  <c r="A8242" i="2"/>
  <c r="C8242" i="2" s="1"/>
  <c r="G8242" i="2" s="1"/>
  <c r="B8241" i="2"/>
  <c r="A8241" i="2"/>
  <c r="C8240" i="2"/>
  <c r="G8240" i="2" s="1"/>
  <c r="B8240" i="2"/>
  <c r="A8240" i="2"/>
  <c r="B8239" i="2"/>
  <c r="A8239" i="2"/>
  <c r="B8238" i="2"/>
  <c r="A8238" i="2"/>
  <c r="B8237" i="2"/>
  <c r="A8237" i="2"/>
  <c r="C8236" i="2"/>
  <c r="G8236" i="2" s="1"/>
  <c r="B8236" i="2"/>
  <c r="A8236" i="2"/>
  <c r="B8235" i="2"/>
  <c r="A8235" i="2"/>
  <c r="B8234" i="2"/>
  <c r="A8234" i="2"/>
  <c r="B8233" i="2"/>
  <c r="A8233" i="2"/>
  <c r="B8232" i="2"/>
  <c r="A8232" i="2"/>
  <c r="C8232" i="2" s="1"/>
  <c r="G8232" i="2" s="1"/>
  <c r="B8231" i="2"/>
  <c r="A8231" i="2"/>
  <c r="B8230" i="2"/>
  <c r="A8230" i="2"/>
  <c r="B8229" i="2"/>
  <c r="A8229" i="2"/>
  <c r="B8228" i="2"/>
  <c r="A8228" i="2"/>
  <c r="C8228" i="2" s="1"/>
  <c r="G8228" i="2" s="1"/>
  <c r="B8227" i="2"/>
  <c r="A8227" i="2"/>
  <c r="C8227" i="2" s="1"/>
  <c r="G8227" i="2" s="1"/>
  <c r="B8226" i="2"/>
  <c r="A8226" i="2"/>
  <c r="B8225" i="2"/>
  <c r="A8225" i="2"/>
  <c r="B8224" i="2"/>
  <c r="A8224" i="2"/>
  <c r="C8224" i="2" s="1"/>
  <c r="G8224" i="2" s="1"/>
  <c r="B8223" i="2"/>
  <c r="A8223" i="2"/>
  <c r="B8222" i="2"/>
  <c r="A8222" i="2"/>
  <c r="B8221" i="2"/>
  <c r="A8221" i="2"/>
  <c r="B8220" i="2"/>
  <c r="A8220" i="2"/>
  <c r="C8220" i="2" s="1"/>
  <c r="G8220" i="2" s="1"/>
  <c r="B8219" i="2"/>
  <c r="A8219" i="2"/>
  <c r="B8218" i="2"/>
  <c r="A8218" i="2"/>
  <c r="B8217" i="2"/>
  <c r="A8217" i="2"/>
  <c r="B8216" i="2"/>
  <c r="A8216" i="2"/>
  <c r="C8216" i="2" s="1"/>
  <c r="G8216" i="2" s="1"/>
  <c r="B8215" i="2"/>
  <c r="A8215" i="2"/>
  <c r="B8214" i="2"/>
  <c r="A8214" i="2"/>
  <c r="B8213" i="2"/>
  <c r="A8213" i="2"/>
  <c r="B8212" i="2"/>
  <c r="A8212" i="2"/>
  <c r="B8211" i="2"/>
  <c r="A8211" i="2"/>
  <c r="B8210" i="2"/>
  <c r="A8210" i="2"/>
  <c r="B8209" i="2"/>
  <c r="A8209" i="2"/>
  <c r="B8208" i="2"/>
  <c r="A8208" i="2"/>
  <c r="C8208" i="2" s="1"/>
  <c r="G8208" i="2" s="1"/>
  <c r="B8207" i="2"/>
  <c r="A8207" i="2"/>
  <c r="B8206" i="2"/>
  <c r="A8206" i="2"/>
  <c r="B8205" i="2"/>
  <c r="A8205" i="2"/>
  <c r="B8204" i="2"/>
  <c r="A8204" i="2"/>
  <c r="B8203" i="2"/>
  <c r="A8203" i="2"/>
  <c r="B8202" i="2"/>
  <c r="A8202" i="2"/>
  <c r="B8201" i="2"/>
  <c r="A8201" i="2"/>
  <c r="B8200" i="2"/>
  <c r="A8200" i="2"/>
  <c r="C8200" i="2" s="1"/>
  <c r="G8200" i="2" s="1"/>
  <c r="B8199" i="2"/>
  <c r="A8199" i="2"/>
  <c r="B8198" i="2"/>
  <c r="A8198" i="2"/>
  <c r="B8197" i="2"/>
  <c r="A8197" i="2"/>
  <c r="B8196" i="2"/>
  <c r="A8196" i="2"/>
  <c r="B8195" i="2"/>
  <c r="C8195" i="2" s="1"/>
  <c r="G8195" i="2" s="1"/>
  <c r="A8195" i="2"/>
  <c r="B8194" i="2"/>
  <c r="A8194" i="2"/>
  <c r="B8193" i="2"/>
  <c r="A8193" i="2"/>
  <c r="B8192" i="2"/>
  <c r="A8192" i="2"/>
  <c r="B8191" i="2"/>
  <c r="A8191" i="2"/>
  <c r="B8190" i="2"/>
  <c r="A8190" i="2"/>
  <c r="B8189" i="2"/>
  <c r="A8189" i="2"/>
  <c r="B8188" i="2"/>
  <c r="A8188" i="2"/>
  <c r="C8188" i="2" s="1"/>
  <c r="G8188" i="2" s="1"/>
  <c r="B8187" i="2"/>
  <c r="A8187" i="2"/>
  <c r="B8186" i="2"/>
  <c r="A8186" i="2"/>
  <c r="B8185" i="2"/>
  <c r="A8185" i="2"/>
  <c r="B8184" i="2"/>
  <c r="A8184" i="2"/>
  <c r="C8184" i="2" s="1"/>
  <c r="G8184" i="2" s="1"/>
  <c r="B8183" i="2"/>
  <c r="A8183" i="2"/>
  <c r="C8183" i="2" s="1"/>
  <c r="G8183" i="2" s="1"/>
  <c r="B8182" i="2"/>
  <c r="C8182" i="2" s="1"/>
  <c r="G8182" i="2" s="1"/>
  <c r="A8182" i="2"/>
  <c r="B8181" i="2"/>
  <c r="A8181" i="2"/>
  <c r="B8180" i="2"/>
  <c r="A8180" i="2"/>
  <c r="B8179" i="2"/>
  <c r="A8179" i="2"/>
  <c r="B8178" i="2"/>
  <c r="A8178" i="2"/>
  <c r="B8177" i="2"/>
  <c r="A8177" i="2"/>
  <c r="B8176" i="2"/>
  <c r="A8176" i="2"/>
  <c r="C8176" i="2" s="1"/>
  <c r="G8176" i="2" s="1"/>
  <c r="B8175" i="2"/>
  <c r="A8175" i="2"/>
  <c r="B8174" i="2"/>
  <c r="A8174" i="2"/>
  <c r="B8173" i="2"/>
  <c r="A8173" i="2"/>
  <c r="B8172" i="2"/>
  <c r="A8172" i="2"/>
  <c r="B8171" i="2"/>
  <c r="A8171" i="2"/>
  <c r="B8170" i="2"/>
  <c r="A8170" i="2"/>
  <c r="B8169" i="2"/>
  <c r="A8169" i="2"/>
  <c r="B8168" i="2"/>
  <c r="A8168" i="2"/>
  <c r="C8168" i="2" s="1"/>
  <c r="G8168" i="2" s="1"/>
  <c r="B8167" i="2"/>
  <c r="A8167" i="2"/>
  <c r="B8166" i="2"/>
  <c r="A8166" i="2"/>
  <c r="B8165" i="2"/>
  <c r="A8165" i="2"/>
  <c r="B8164" i="2"/>
  <c r="A8164" i="2"/>
  <c r="C8164" i="2" s="1"/>
  <c r="G8164" i="2" s="1"/>
  <c r="B8163" i="2"/>
  <c r="A8163" i="2"/>
  <c r="B8162" i="2"/>
  <c r="A8162" i="2"/>
  <c r="B8161" i="2"/>
  <c r="A8161" i="2"/>
  <c r="B8160" i="2"/>
  <c r="A8160" i="2"/>
  <c r="C8160" i="2" s="1"/>
  <c r="G8160" i="2" s="1"/>
  <c r="B8159" i="2"/>
  <c r="A8159" i="2"/>
  <c r="B8158" i="2"/>
  <c r="A8158" i="2"/>
  <c r="B8157" i="2"/>
  <c r="A8157" i="2"/>
  <c r="B8156" i="2"/>
  <c r="A8156" i="2"/>
  <c r="B8155" i="2"/>
  <c r="A8155" i="2"/>
  <c r="B8154" i="2"/>
  <c r="A8154" i="2"/>
  <c r="B8153" i="2"/>
  <c r="A8153" i="2"/>
  <c r="B8152" i="2"/>
  <c r="A8152" i="2"/>
  <c r="B8151" i="2"/>
  <c r="A8151" i="2"/>
  <c r="B8150" i="2"/>
  <c r="A8150" i="2"/>
  <c r="B8149" i="2"/>
  <c r="A8149" i="2"/>
  <c r="B8148" i="2"/>
  <c r="A8148" i="2"/>
  <c r="B8147" i="2"/>
  <c r="A8147" i="2"/>
  <c r="B8146" i="2"/>
  <c r="A8146" i="2"/>
  <c r="B8145" i="2"/>
  <c r="A8145" i="2"/>
  <c r="B8144" i="2"/>
  <c r="A8144" i="2"/>
  <c r="B8143" i="2"/>
  <c r="A8143" i="2"/>
  <c r="B8142" i="2"/>
  <c r="A8142" i="2"/>
  <c r="B8141" i="2"/>
  <c r="A8141" i="2"/>
  <c r="B8140" i="2"/>
  <c r="A8140" i="2"/>
  <c r="B8139" i="2"/>
  <c r="A8139" i="2"/>
  <c r="B8138" i="2"/>
  <c r="A8138" i="2"/>
  <c r="B8137" i="2"/>
  <c r="A8137" i="2"/>
  <c r="B8136" i="2"/>
  <c r="A8136" i="2"/>
  <c r="B8135" i="2"/>
  <c r="A8135" i="2"/>
  <c r="C8135" i="2" s="1"/>
  <c r="G8135" i="2" s="1"/>
  <c r="B8134" i="2"/>
  <c r="A8134" i="2"/>
  <c r="B8133" i="2"/>
  <c r="A8133" i="2"/>
  <c r="B8132" i="2"/>
  <c r="A8132" i="2"/>
  <c r="B8131" i="2"/>
  <c r="A8131" i="2"/>
  <c r="B8130" i="2"/>
  <c r="A8130" i="2"/>
  <c r="B8129" i="2"/>
  <c r="A8129" i="2"/>
  <c r="B8128" i="2"/>
  <c r="C8128" i="2" s="1"/>
  <c r="G8128" i="2" s="1"/>
  <c r="A8128" i="2"/>
  <c r="B8127" i="2"/>
  <c r="A8127" i="2"/>
  <c r="B8126" i="2"/>
  <c r="A8126" i="2"/>
  <c r="B8125" i="2"/>
  <c r="A8125" i="2"/>
  <c r="B8124" i="2"/>
  <c r="A8124" i="2"/>
  <c r="B8123" i="2"/>
  <c r="A8123" i="2"/>
  <c r="B8122" i="2"/>
  <c r="A8122" i="2"/>
  <c r="C8122" i="2" s="1"/>
  <c r="G8122" i="2" s="1"/>
  <c r="B8121" i="2"/>
  <c r="A8121" i="2"/>
  <c r="B8120" i="2"/>
  <c r="C8120" i="2" s="1"/>
  <c r="G8120" i="2" s="1"/>
  <c r="A8120" i="2"/>
  <c r="B8119" i="2"/>
  <c r="A8119" i="2"/>
  <c r="C8119" i="2" s="1"/>
  <c r="G8119" i="2" s="1"/>
  <c r="B8118" i="2"/>
  <c r="A8118" i="2"/>
  <c r="B8117" i="2"/>
  <c r="A8117" i="2"/>
  <c r="B8116" i="2"/>
  <c r="A8116" i="2"/>
  <c r="B8115" i="2"/>
  <c r="A8115" i="2"/>
  <c r="B8114" i="2"/>
  <c r="A8114" i="2"/>
  <c r="B8113" i="2"/>
  <c r="A8113" i="2"/>
  <c r="B8112" i="2"/>
  <c r="A8112" i="2"/>
  <c r="B8111" i="2"/>
  <c r="A8111" i="2"/>
  <c r="B8110" i="2"/>
  <c r="A8110" i="2"/>
  <c r="B8109" i="2"/>
  <c r="A8109" i="2"/>
  <c r="B8108" i="2"/>
  <c r="A8108" i="2"/>
  <c r="B8107" i="2"/>
  <c r="A8107" i="2"/>
  <c r="B8106" i="2"/>
  <c r="A8106" i="2"/>
  <c r="B8105" i="2"/>
  <c r="A8105" i="2"/>
  <c r="B8104" i="2"/>
  <c r="A8104" i="2"/>
  <c r="B8103" i="2"/>
  <c r="A8103" i="2"/>
  <c r="C8103" i="2" s="1"/>
  <c r="G8103" i="2" s="1"/>
  <c r="B8102" i="2"/>
  <c r="A8102" i="2"/>
  <c r="B8101" i="2"/>
  <c r="A8101" i="2"/>
  <c r="B8100" i="2"/>
  <c r="A8100" i="2"/>
  <c r="B8099" i="2"/>
  <c r="A8099" i="2"/>
  <c r="B8098" i="2"/>
  <c r="A8098" i="2"/>
  <c r="B8097" i="2"/>
  <c r="A8097" i="2"/>
  <c r="B8096" i="2"/>
  <c r="A8096" i="2"/>
  <c r="B8095" i="2"/>
  <c r="A8095" i="2"/>
  <c r="B8094" i="2"/>
  <c r="A8094" i="2"/>
  <c r="B8093" i="2"/>
  <c r="A8093" i="2"/>
  <c r="B8092" i="2"/>
  <c r="A8092" i="2"/>
  <c r="B8091" i="2"/>
  <c r="A8091" i="2"/>
  <c r="B8090" i="2"/>
  <c r="A8090" i="2"/>
  <c r="B8089" i="2"/>
  <c r="A8089" i="2"/>
  <c r="B8088" i="2"/>
  <c r="C8088" i="2" s="1"/>
  <c r="G8088" i="2" s="1"/>
  <c r="A8088" i="2"/>
  <c r="B8087" i="2"/>
  <c r="A8087" i="2"/>
  <c r="B8086" i="2"/>
  <c r="A8086" i="2"/>
  <c r="C8086" i="2" s="1"/>
  <c r="G8086" i="2" s="1"/>
  <c r="B8085" i="2"/>
  <c r="A8085" i="2"/>
  <c r="B8084" i="2"/>
  <c r="A8084" i="2"/>
  <c r="B8083" i="2"/>
  <c r="A8083" i="2"/>
  <c r="B8082" i="2"/>
  <c r="A8082" i="2"/>
  <c r="B8081" i="2"/>
  <c r="A8081" i="2"/>
  <c r="B8080" i="2"/>
  <c r="A8080" i="2"/>
  <c r="B8079" i="2"/>
  <c r="A8079" i="2"/>
  <c r="B8078" i="2"/>
  <c r="A8078" i="2"/>
  <c r="C8078" i="2" s="1"/>
  <c r="G8078" i="2" s="1"/>
  <c r="B8077" i="2"/>
  <c r="A8077" i="2"/>
  <c r="B8076" i="2"/>
  <c r="A8076" i="2"/>
  <c r="B8075" i="2"/>
  <c r="A8075" i="2"/>
  <c r="B8074" i="2"/>
  <c r="A8074" i="2"/>
  <c r="B8073" i="2"/>
  <c r="A8073" i="2"/>
  <c r="B8072" i="2"/>
  <c r="A8072" i="2"/>
  <c r="B8071" i="2"/>
  <c r="A8071" i="2"/>
  <c r="B8070" i="2"/>
  <c r="A8070" i="2"/>
  <c r="B8069" i="2"/>
  <c r="A8069" i="2"/>
  <c r="B8068" i="2"/>
  <c r="A8068" i="2"/>
  <c r="B8067" i="2"/>
  <c r="A8067" i="2"/>
  <c r="B8066" i="2"/>
  <c r="A8066" i="2"/>
  <c r="B8065" i="2"/>
  <c r="A8065" i="2"/>
  <c r="B8064" i="2"/>
  <c r="C8064" i="2" s="1"/>
  <c r="G8064" i="2" s="1"/>
  <c r="A8064" i="2"/>
  <c r="B8063" i="2"/>
  <c r="A8063" i="2"/>
  <c r="B8062" i="2"/>
  <c r="A8062" i="2"/>
  <c r="C8062" i="2" s="1"/>
  <c r="G8062" i="2" s="1"/>
  <c r="B8061" i="2"/>
  <c r="A8061" i="2"/>
  <c r="B8060" i="2"/>
  <c r="A8060" i="2"/>
  <c r="B8059" i="2"/>
  <c r="A8059" i="2"/>
  <c r="B8058" i="2"/>
  <c r="A8058" i="2"/>
  <c r="C8058" i="2" s="1"/>
  <c r="G8058" i="2" s="1"/>
  <c r="B8057" i="2"/>
  <c r="A8057" i="2"/>
  <c r="C8056" i="2"/>
  <c r="G8056" i="2" s="1"/>
  <c r="B8056" i="2"/>
  <c r="A8056" i="2"/>
  <c r="B8055" i="2"/>
  <c r="A8055" i="2"/>
  <c r="B8054" i="2"/>
  <c r="A8054" i="2"/>
  <c r="B8053" i="2"/>
  <c r="A8053" i="2"/>
  <c r="B8052" i="2"/>
  <c r="A8052" i="2"/>
  <c r="B8051" i="2"/>
  <c r="A8051" i="2"/>
  <c r="B8050" i="2"/>
  <c r="A8050" i="2"/>
  <c r="B8049" i="2"/>
  <c r="A8049" i="2"/>
  <c r="B8048" i="2"/>
  <c r="A8048" i="2"/>
  <c r="B8047" i="2"/>
  <c r="A8047" i="2"/>
  <c r="B8046" i="2"/>
  <c r="A8046" i="2"/>
  <c r="B8045" i="2"/>
  <c r="A8045" i="2"/>
  <c r="B8044" i="2"/>
  <c r="A8044" i="2"/>
  <c r="B8043" i="2"/>
  <c r="A8043" i="2"/>
  <c r="B8042" i="2"/>
  <c r="A8042" i="2"/>
  <c r="B8041" i="2"/>
  <c r="A8041" i="2"/>
  <c r="B8040" i="2"/>
  <c r="A8040" i="2"/>
  <c r="B8039" i="2"/>
  <c r="A8039" i="2"/>
  <c r="B8038" i="2"/>
  <c r="A8038" i="2"/>
  <c r="B8037" i="2"/>
  <c r="A8037" i="2"/>
  <c r="B8036" i="2"/>
  <c r="A8036" i="2"/>
  <c r="B8035" i="2"/>
  <c r="A8035" i="2"/>
  <c r="B8034" i="2"/>
  <c r="A8034" i="2"/>
  <c r="B8033" i="2"/>
  <c r="A8033" i="2"/>
  <c r="B8032" i="2"/>
  <c r="A8032" i="2"/>
  <c r="B8031" i="2"/>
  <c r="A8031" i="2"/>
  <c r="B8030" i="2"/>
  <c r="A8030" i="2"/>
  <c r="B8029" i="2"/>
  <c r="A8029" i="2"/>
  <c r="B8028" i="2"/>
  <c r="A8028" i="2"/>
  <c r="B8027" i="2"/>
  <c r="A8027" i="2"/>
  <c r="B8026" i="2"/>
  <c r="A8026" i="2"/>
  <c r="B8025" i="2"/>
  <c r="A8025" i="2"/>
  <c r="B8024" i="2"/>
  <c r="A8024" i="2"/>
  <c r="B8023" i="2"/>
  <c r="A8023" i="2"/>
  <c r="B8022" i="2"/>
  <c r="A8022" i="2"/>
  <c r="B8021" i="2"/>
  <c r="A8021" i="2"/>
  <c r="B8020" i="2"/>
  <c r="A8020" i="2"/>
  <c r="B8019" i="2"/>
  <c r="A8019" i="2"/>
  <c r="B8018" i="2"/>
  <c r="A8018" i="2"/>
  <c r="B8017" i="2"/>
  <c r="A8017" i="2"/>
  <c r="B8016" i="2"/>
  <c r="A8016" i="2"/>
  <c r="B8015" i="2"/>
  <c r="A8015" i="2"/>
  <c r="B8014" i="2"/>
  <c r="A8014" i="2"/>
  <c r="B8013" i="2"/>
  <c r="A8013" i="2"/>
  <c r="B8012" i="2"/>
  <c r="A8012" i="2"/>
  <c r="B8011" i="2"/>
  <c r="A8011" i="2"/>
  <c r="C8011" i="2" s="1"/>
  <c r="G8011" i="2" s="1"/>
  <c r="B8010" i="2"/>
  <c r="A8010" i="2"/>
  <c r="B8009" i="2"/>
  <c r="A8009" i="2"/>
  <c r="B8008" i="2"/>
  <c r="A8008" i="2"/>
  <c r="B8007" i="2"/>
  <c r="A8007" i="2"/>
  <c r="B8006" i="2"/>
  <c r="A8006" i="2"/>
  <c r="B8005" i="2"/>
  <c r="A8005" i="2"/>
  <c r="B8004" i="2"/>
  <c r="A8004" i="2"/>
  <c r="B8003" i="2"/>
  <c r="A8003" i="2"/>
  <c r="B8002" i="2"/>
  <c r="A8002" i="2"/>
  <c r="B8001" i="2"/>
  <c r="A8001" i="2"/>
  <c r="B8000" i="2"/>
  <c r="A8000" i="2"/>
  <c r="B7999" i="2"/>
  <c r="A7999" i="2"/>
  <c r="B7998" i="2"/>
  <c r="A7998" i="2"/>
  <c r="B7997" i="2"/>
  <c r="A7997" i="2"/>
  <c r="B7996" i="2"/>
  <c r="A7996" i="2"/>
  <c r="B7995" i="2"/>
  <c r="A7995" i="2"/>
  <c r="B7994" i="2"/>
  <c r="A7994" i="2"/>
  <c r="B7993" i="2"/>
  <c r="A7993" i="2"/>
  <c r="B7992" i="2"/>
  <c r="A7992" i="2"/>
  <c r="B7991" i="2"/>
  <c r="A7991" i="2"/>
  <c r="B7990" i="2"/>
  <c r="A7990" i="2"/>
  <c r="B7989" i="2"/>
  <c r="A7989" i="2"/>
  <c r="B7988" i="2"/>
  <c r="A7988" i="2"/>
  <c r="B7987" i="2"/>
  <c r="A7987" i="2"/>
  <c r="B7986" i="2"/>
  <c r="A7986" i="2"/>
  <c r="B7985" i="2"/>
  <c r="A7985" i="2"/>
  <c r="B7984" i="2"/>
  <c r="A7984" i="2"/>
  <c r="B7983" i="2"/>
  <c r="A7983" i="2"/>
  <c r="B7982" i="2"/>
  <c r="C7982" i="2" s="1"/>
  <c r="G7982" i="2" s="1"/>
  <c r="A7982" i="2"/>
  <c r="B7981" i="2"/>
  <c r="A7981" i="2"/>
  <c r="C7981" i="2" s="1"/>
  <c r="G7981" i="2" s="1"/>
  <c r="B7980" i="2"/>
  <c r="A7980" i="2"/>
  <c r="B7979" i="2"/>
  <c r="A7979" i="2"/>
  <c r="B7978" i="2"/>
  <c r="A7978" i="2"/>
  <c r="B7977" i="2"/>
  <c r="A7977" i="2"/>
  <c r="C7977" i="2" s="1"/>
  <c r="G7977" i="2" s="1"/>
  <c r="B7976" i="2"/>
  <c r="C7976" i="2" s="1"/>
  <c r="G7976" i="2" s="1"/>
  <c r="A7976" i="2"/>
  <c r="B7975" i="2"/>
  <c r="A7975" i="2"/>
  <c r="B7974" i="2"/>
  <c r="A7974" i="2"/>
  <c r="B7973" i="2"/>
  <c r="A7973" i="2"/>
  <c r="B7972" i="2"/>
  <c r="A7972" i="2"/>
  <c r="B7971" i="2"/>
  <c r="A7971" i="2"/>
  <c r="B7970" i="2"/>
  <c r="A7970" i="2"/>
  <c r="B7969" i="2"/>
  <c r="A7969" i="2"/>
  <c r="B7968" i="2"/>
  <c r="C7968" i="2" s="1"/>
  <c r="G7968" i="2" s="1"/>
  <c r="A7968" i="2"/>
  <c r="B7967" i="2"/>
  <c r="A7967" i="2"/>
  <c r="B7966" i="2"/>
  <c r="A7966" i="2"/>
  <c r="B7965" i="2"/>
  <c r="A7965" i="2"/>
  <c r="C7965" i="2" s="1"/>
  <c r="G7965" i="2" s="1"/>
  <c r="B7964" i="2"/>
  <c r="A7964" i="2"/>
  <c r="B7963" i="2"/>
  <c r="A7963" i="2"/>
  <c r="B7962" i="2"/>
  <c r="A7962" i="2"/>
  <c r="B7961" i="2"/>
  <c r="A7961" i="2"/>
  <c r="C7961" i="2" s="1"/>
  <c r="G7961" i="2" s="1"/>
  <c r="B7960" i="2"/>
  <c r="A7960" i="2"/>
  <c r="B7959" i="2"/>
  <c r="A7959" i="2"/>
  <c r="B7958" i="2"/>
  <c r="A7958" i="2"/>
  <c r="B7957" i="2"/>
  <c r="A7957" i="2"/>
  <c r="B7956" i="2"/>
  <c r="A7956" i="2"/>
  <c r="B7955" i="2"/>
  <c r="A7955" i="2"/>
  <c r="B7954" i="2"/>
  <c r="A7954" i="2"/>
  <c r="B7953" i="2"/>
  <c r="A7953" i="2"/>
  <c r="B7952" i="2"/>
  <c r="A7952" i="2"/>
  <c r="B7951" i="2"/>
  <c r="C7951" i="2" s="1"/>
  <c r="G7951" i="2" s="1"/>
  <c r="A7951" i="2"/>
  <c r="B7950" i="2"/>
  <c r="A7950" i="2"/>
  <c r="B7949" i="2"/>
  <c r="A7949" i="2"/>
  <c r="B7948" i="2"/>
  <c r="A7948" i="2"/>
  <c r="B7947" i="2"/>
  <c r="A7947" i="2"/>
  <c r="B7946" i="2"/>
  <c r="A7946" i="2"/>
  <c r="B7945" i="2"/>
  <c r="A7945" i="2"/>
  <c r="B7944" i="2"/>
  <c r="A7944" i="2"/>
  <c r="B7943" i="2"/>
  <c r="A7943" i="2"/>
  <c r="B7942" i="2"/>
  <c r="A7942" i="2"/>
  <c r="B7941" i="2"/>
  <c r="A7941" i="2"/>
  <c r="B7940" i="2"/>
  <c r="A7940" i="2"/>
  <c r="B7939" i="2"/>
  <c r="A7939" i="2"/>
  <c r="B7938" i="2"/>
  <c r="A7938" i="2"/>
  <c r="B7937" i="2"/>
  <c r="A7937" i="2"/>
  <c r="B7936" i="2"/>
  <c r="A7936" i="2"/>
  <c r="B7935" i="2"/>
  <c r="A7935" i="2"/>
  <c r="B7934" i="2"/>
  <c r="A7934" i="2"/>
  <c r="B7933" i="2"/>
  <c r="A7933" i="2"/>
  <c r="B7932" i="2"/>
  <c r="A7932" i="2"/>
  <c r="B7931" i="2"/>
  <c r="A7931" i="2"/>
  <c r="B7930" i="2"/>
  <c r="A7930" i="2"/>
  <c r="B7929" i="2"/>
  <c r="A7929" i="2"/>
  <c r="B7928" i="2"/>
  <c r="A7928" i="2"/>
  <c r="B7927" i="2"/>
  <c r="A7927" i="2"/>
  <c r="B7926" i="2"/>
  <c r="A7926" i="2"/>
  <c r="B7925" i="2"/>
  <c r="A7925" i="2"/>
  <c r="B7924" i="2"/>
  <c r="A7924" i="2"/>
  <c r="B7923" i="2"/>
  <c r="A7923" i="2"/>
  <c r="B7922" i="2"/>
  <c r="A7922" i="2"/>
  <c r="B7921" i="2"/>
  <c r="A7921" i="2"/>
  <c r="B7920" i="2"/>
  <c r="A7920" i="2"/>
  <c r="B7919" i="2"/>
  <c r="A7919" i="2"/>
  <c r="B7918" i="2"/>
  <c r="A7918" i="2"/>
  <c r="C7918" i="2" s="1"/>
  <c r="G7918" i="2" s="1"/>
  <c r="B7917" i="2"/>
  <c r="A7917" i="2"/>
  <c r="B7916" i="2"/>
  <c r="A7916" i="2"/>
  <c r="B7915" i="2"/>
  <c r="C7915" i="2" s="1"/>
  <c r="G7915" i="2" s="1"/>
  <c r="A7915" i="2"/>
  <c r="B7914" i="2"/>
  <c r="A7914" i="2"/>
  <c r="B7913" i="2"/>
  <c r="A7913" i="2"/>
  <c r="B7912" i="2"/>
  <c r="A7912" i="2"/>
  <c r="B7911" i="2"/>
  <c r="C7911" i="2" s="1"/>
  <c r="G7911" i="2" s="1"/>
  <c r="A7911" i="2"/>
  <c r="B7910" i="2"/>
  <c r="C7910" i="2" s="1"/>
  <c r="G7910" i="2" s="1"/>
  <c r="A7910" i="2"/>
  <c r="B7909" i="2"/>
  <c r="A7909" i="2"/>
  <c r="C7909" i="2" s="1"/>
  <c r="G7909" i="2" s="1"/>
  <c r="B7908" i="2"/>
  <c r="A7908" i="2"/>
  <c r="B7907" i="2"/>
  <c r="A7907" i="2"/>
  <c r="B7906" i="2"/>
  <c r="A7906" i="2"/>
  <c r="B7905" i="2"/>
  <c r="A7905" i="2"/>
  <c r="C7905" i="2" s="1"/>
  <c r="G7905" i="2" s="1"/>
  <c r="B7904" i="2"/>
  <c r="A7904" i="2"/>
  <c r="B7903" i="2"/>
  <c r="A7903" i="2"/>
  <c r="B7902" i="2"/>
  <c r="A7902" i="2"/>
  <c r="B7901" i="2"/>
  <c r="A7901" i="2"/>
  <c r="B7900" i="2"/>
  <c r="A7900" i="2"/>
  <c r="B7899" i="2"/>
  <c r="A7899" i="2"/>
  <c r="B7898" i="2"/>
  <c r="A7898" i="2"/>
  <c r="B7897" i="2"/>
  <c r="A7897" i="2"/>
  <c r="B7896" i="2"/>
  <c r="A7896" i="2"/>
  <c r="B7895" i="2"/>
  <c r="A7895" i="2"/>
  <c r="B7894" i="2"/>
  <c r="A7894" i="2"/>
  <c r="B7893" i="2"/>
  <c r="A7893" i="2"/>
  <c r="B7892" i="2"/>
  <c r="A7892" i="2"/>
  <c r="B7891" i="2"/>
  <c r="A7891" i="2"/>
  <c r="B7890" i="2"/>
  <c r="A7890" i="2"/>
  <c r="B7889" i="2"/>
  <c r="A7889" i="2"/>
  <c r="C7889" i="2" s="1"/>
  <c r="G7889" i="2" s="1"/>
  <c r="B7888" i="2"/>
  <c r="A7888" i="2"/>
  <c r="B7887" i="2"/>
  <c r="A7887" i="2"/>
  <c r="B7886" i="2"/>
  <c r="A7886" i="2"/>
  <c r="B7885" i="2"/>
  <c r="A7885" i="2"/>
  <c r="B7884" i="2"/>
  <c r="A7884" i="2"/>
  <c r="B7883" i="2"/>
  <c r="A7883" i="2"/>
  <c r="B7882" i="2"/>
  <c r="A7882" i="2"/>
  <c r="C7882" i="2" s="1"/>
  <c r="G7882" i="2" s="1"/>
  <c r="B7881" i="2"/>
  <c r="A7881" i="2"/>
  <c r="B7880" i="2"/>
  <c r="A7880" i="2"/>
  <c r="B7879" i="2"/>
  <c r="A7879" i="2"/>
  <c r="B7878" i="2"/>
  <c r="A7878" i="2"/>
  <c r="B7877" i="2"/>
  <c r="A7877" i="2"/>
  <c r="C7877" i="2" s="1"/>
  <c r="G7877" i="2" s="1"/>
  <c r="B7876" i="2"/>
  <c r="A7876" i="2"/>
  <c r="B7875" i="2"/>
  <c r="A7875" i="2"/>
  <c r="B7874" i="2"/>
  <c r="A7874" i="2"/>
  <c r="B7873" i="2"/>
  <c r="A7873" i="2"/>
  <c r="B7872" i="2"/>
  <c r="A7872" i="2"/>
  <c r="C7872" i="2" s="1"/>
  <c r="G7872" i="2" s="1"/>
  <c r="B7871" i="2"/>
  <c r="A7871" i="2"/>
  <c r="B7870" i="2"/>
  <c r="A7870" i="2"/>
  <c r="B7869" i="2"/>
  <c r="A7869" i="2"/>
  <c r="B7868" i="2"/>
  <c r="A7868" i="2"/>
  <c r="B7867" i="2"/>
  <c r="A7867" i="2"/>
  <c r="B7866" i="2"/>
  <c r="A7866" i="2"/>
  <c r="B7865" i="2"/>
  <c r="A7865" i="2"/>
  <c r="B7864" i="2"/>
  <c r="A7864" i="2"/>
  <c r="C7864" i="2" s="1"/>
  <c r="G7864" i="2" s="1"/>
  <c r="B7863" i="2"/>
  <c r="A7863" i="2"/>
  <c r="B7862" i="2"/>
  <c r="A7862" i="2"/>
  <c r="B7861" i="2"/>
  <c r="A7861" i="2"/>
  <c r="B7860" i="2"/>
  <c r="A7860" i="2"/>
  <c r="C7860" i="2" s="1"/>
  <c r="G7860" i="2" s="1"/>
  <c r="B7859" i="2"/>
  <c r="A7859" i="2"/>
  <c r="B7858" i="2"/>
  <c r="A7858" i="2"/>
  <c r="B7857" i="2"/>
  <c r="A7857" i="2"/>
  <c r="B7856" i="2"/>
  <c r="A7856" i="2"/>
  <c r="C7856" i="2" s="1"/>
  <c r="G7856" i="2" s="1"/>
  <c r="B7855" i="2"/>
  <c r="A7855" i="2"/>
  <c r="B7854" i="2"/>
  <c r="A7854" i="2"/>
  <c r="C7854" i="2" s="1"/>
  <c r="G7854" i="2" s="1"/>
  <c r="B7853" i="2"/>
  <c r="A7853" i="2"/>
  <c r="B7852" i="2"/>
  <c r="A7852" i="2"/>
  <c r="B7851" i="2"/>
  <c r="A7851" i="2"/>
  <c r="B7850" i="2"/>
  <c r="A7850" i="2"/>
  <c r="B7849" i="2"/>
  <c r="A7849" i="2"/>
  <c r="B7848" i="2"/>
  <c r="A7848" i="2"/>
  <c r="B7847" i="2"/>
  <c r="A7847" i="2"/>
  <c r="B7846" i="2"/>
  <c r="A7846" i="2"/>
  <c r="C7846" i="2" s="1"/>
  <c r="G7846" i="2" s="1"/>
  <c r="B7845" i="2"/>
  <c r="A7845" i="2"/>
  <c r="B7844" i="2"/>
  <c r="A7844" i="2"/>
  <c r="B7843" i="2"/>
  <c r="C7843" i="2" s="1"/>
  <c r="G7843" i="2" s="1"/>
  <c r="A7843" i="2"/>
  <c r="B7842" i="2"/>
  <c r="A7842" i="2"/>
  <c r="B7841" i="2"/>
  <c r="A7841" i="2"/>
  <c r="B7840" i="2"/>
  <c r="A7840" i="2"/>
  <c r="B7839" i="2"/>
  <c r="C7839" i="2" s="1"/>
  <c r="G7839" i="2" s="1"/>
  <c r="A7839" i="2"/>
  <c r="C7838" i="2"/>
  <c r="G7838" i="2" s="1"/>
  <c r="B7838" i="2"/>
  <c r="A7838" i="2"/>
  <c r="B7837" i="2"/>
  <c r="A7837" i="2"/>
  <c r="B7836" i="2"/>
  <c r="A7836" i="2"/>
  <c r="B7835" i="2"/>
  <c r="A7835" i="2"/>
  <c r="B7834" i="2"/>
  <c r="A7834" i="2"/>
  <c r="B7833" i="2"/>
  <c r="A7833" i="2"/>
  <c r="B7832" i="2"/>
  <c r="A7832" i="2"/>
  <c r="B7831" i="2"/>
  <c r="A7831" i="2"/>
  <c r="B7830" i="2"/>
  <c r="A7830" i="2"/>
  <c r="B7829" i="2"/>
  <c r="A7829" i="2"/>
  <c r="B7828" i="2"/>
  <c r="A7828" i="2"/>
  <c r="B7827" i="2"/>
  <c r="A7827" i="2"/>
  <c r="C7827" i="2" s="1"/>
  <c r="G7827" i="2" s="1"/>
  <c r="B7826" i="2"/>
  <c r="A7826" i="2"/>
  <c r="C7826" i="2" s="1"/>
  <c r="G7826" i="2" s="1"/>
  <c r="B7825" i="2"/>
  <c r="A7825" i="2"/>
  <c r="B7824" i="2"/>
  <c r="A7824" i="2"/>
  <c r="B7823" i="2"/>
  <c r="A7823" i="2"/>
  <c r="B7822" i="2"/>
  <c r="A7822" i="2"/>
  <c r="B7821" i="2"/>
  <c r="A7821" i="2"/>
  <c r="B7820" i="2"/>
  <c r="A7820" i="2"/>
  <c r="B7819" i="2"/>
  <c r="A7819" i="2"/>
  <c r="B7818" i="2"/>
  <c r="A7818" i="2"/>
  <c r="B7817" i="2"/>
  <c r="A7817" i="2"/>
  <c r="B7816" i="2"/>
  <c r="A7816" i="2"/>
  <c r="B7815" i="2"/>
  <c r="A7815" i="2"/>
  <c r="B7814" i="2"/>
  <c r="A7814" i="2"/>
  <c r="B7813" i="2"/>
  <c r="A7813" i="2"/>
  <c r="B7812" i="2"/>
  <c r="A7812" i="2"/>
  <c r="B7811" i="2"/>
  <c r="A7811" i="2"/>
  <c r="B7810" i="2"/>
  <c r="A7810" i="2"/>
  <c r="C7810" i="2" s="1"/>
  <c r="G7810" i="2" s="1"/>
  <c r="B7809" i="2"/>
  <c r="A7809" i="2"/>
  <c r="B7808" i="2"/>
  <c r="A7808" i="2"/>
  <c r="B7807" i="2"/>
  <c r="A7807" i="2"/>
  <c r="B7806" i="2"/>
  <c r="A7806" i="2"/>
  <c r="B7805" i="2"/>
  <c r="A7805" i="2"/>
  <c r="B7804" i="2"/>
  <c r="A7804" i="2"/>
  <c r="B7803" i="2"/>
  <c r="A7803" i="2"/>
  <c r="B7802" i="2"/>
  <c r="A7802" i="2"/>
  <c r="B7801" i="2"/>
  <c r="A7801" i="2"/>
  <c r="B7800" i="2"/>
  <c r="A7800" i="2"/>
  <c r="B7799" i="2"/>
  <c r="A7799" i="2"/>
  <c r="B7798" i="2"/>
  <c r="A7798" i="2"/>
  <c r="B7797" i="2"/>
  <c r="A7797" i="2"/>
  <c r="B7796" i="2"/>
  <c r="A7796" i="2"/>
  <c r="B7795" i="2"/>
  <c r="A7795" i="2"/>
  <c r="B7794" i="2"/>
  <c r="A7794" i="2"/>
  <c r="C7794" i="2" s="1"/>
  <c r="G7794" i="2" s="1"/>
  <c r="B7793" i="2"/>
  <c r="A7793" i="2"/>
  <c r="B7792" i="2"/>
  <c r="C7792" i="2" s="1"/>
  <c r="G7792" i="2" s="1"/>
  <c r="A7792" i="2"/>
  <c r="B7791" i="2"/>
  <c r="A7791" i="2"/>
  <c r="B7790" i="2"/>
  <c r="A7790" i="2"/>
  <c r="C7790" i="2" s="1"/>
  <c r="G7790" i="2" s="1"/>
  <c r="B7789" i="2"/>
  <c r="A7789" i="2"/>
  <c r="B7788" i="2"/>
  <c r="A7788" i="2"/>
  <c r="B7787" i="2"/>
  <c r="A7787" i="2"/>
  <c r="B7786" i="2"/>
  <c r="A7786" i="2"/>
  <c r="C7786" i="2" s="1"/>
  <c r="G7786" i="2" s="1"/>
  <c r="B7785" i="2"/>
  <c r="A7785" i="2"/>
  <c r="B7784" i="2"/>
  <c r="A7784" i="2"/>
  <c r="B7783" i="2"/>
  <c r="A7783" i="2"/>
  <c r="B7782" i="2"/>
  <c r="A7782" i="2"/>
  <c r="C7782" i="2" s="1"/>
  <c r="G7782" i="2" s="1"/>
  <c r="B7781" i="2"/>
  <c r="A7781" i="2"/>
  <c r="B7780" i="2"/>
  <c r="A7780" i="2"/>
  <c r="B7779" i="2"/>
  <c r="A7779" i="2"/>
  <c r="B7778" i="2"/>
  <c r="A7778" i="2"/>
  <c r="C7778" i="2" s="1"/>
  <c r="G7778" i="2" s="1"/>
  <c r="B7777" i="2"/>
  <c r="A7777" i="2"/>
  <c r="B7776" i="2"/>
  <c r="A7776" i="2"/>
  <c r="B7775" i="2"/>
  <c r="A7775" i="2"/>
  <c r="B7774" i="2"/>
  <c r="A7774" i="2"/>
  <c r="C7774" i="2" s="1"/>
  <c r="G7774" i="2" s="1"/>
  <c r="B7773" i="2"/>
  <c r="A7773" i="2"/>
  <c r="B7772" i="2"/>
  <c r="A7772" i="2"/>
  <c r="B7771" i="2"/>
  <c r="A7771" i="2"/>
  <c r="B7770" i="2"/>
  <c r="A7770" i="2"/>
  <c r="C7770" i="2" s="1"/>
  <c r="G7770" i="2" s="1"/>
  <c r="B7769" i="2"/>
  <c r="A7769" i="2"/>
  <c r="B7768" i="2"/>
  <c r="A7768" i="2"/>
  <c r="B7767" i="2"/>
  <c r="A7767" i="2"/>
  <c r="B7766" i="2"/>
  <c r="A7766" i="2"/>
  <c r="B7765" i="2"/>
  <c r="A7765" i="2"/>
  <c r="B7764" i="2"/>
  <c r="A7764" i="2"/>
  <c r="B7763" i="2"/>
  <c r="A7763" i="2"/>
  <c r="B7762" i="2"/>
  <c r="A7762" i="2"/>
  <c r="C7762" i="2" s="1"/>
  <c r="G7762" i="2" s="1"/>
  <c r="B7761" i="2"/>
  <c r="A7761" i="2"/>
  <c r="B7760" i="2"/>
  <c r="C7760" i="2" s="1"/>
  <c r="G7760" i="2" s="1"/>
  <c r="A7760" i="2"/>
  <c r="B7759" i="2"/>
  <c r="A7759" i="2"/>
  <c r="B7758" i="2"/>
  <c r="A7758" i="2"/>
  <c r="C7758" i="2" s="1"/>
  <c r="G7758" i="2" s="1"/>
  <c r="B7757" i="2"/>
  <c r="A7757" i="2"/>
  <c r="B7756" i="2"/>
  <c r="A7756" i="2"/>
  <c r="B7755" i="2"/>
  <c r="A7755" i="2"/>
  <c r="B7754" i="2"/>
  <c r="A7754" i="2"/>
  <c r="C7754" i="2" s="1"/>
  <c r="G7754" i="2" s="1"/>
  <c r="B7753" i="2"/>
  <c r="A7753" i="2"/>
  <c r="B7752" i="2"/>
  <c r="A7752" i="2"/>
  <c r="B7751" i="2"/>
  <c r="A7751" i="2"/>
  <c r="B7750" i="2"/>
  <c r="A7750" i="2"/>
  <c r="B7749" i="2"/>
  <c r="A7749" i="2"/>
  <c r="B7748" i="2"/>
  <c r="A7748" i="2"/>
  <c r="B7747" i="2"/>
  <c r="A7747" i="2"/>
  <c r="B7746" i="2"/>
  <c r="A7746" i="2"/>
  <c r="B7745" i="2"/>
  <c r="A7745" i="2"/>
  <c r="B7744" i="2"/>
  <c r="A7744" i="2"/>
  <c r="C7744" i="2" s="1"/>
  <c r="G7744" i="2" s="1"/>
  <c r="B7743" i="2"/>
  <c r="A7743" i="2"/>
  <c r="B7742" i="2"/>
  <c r="C7742" i="2" s="1"/>
  <c r="G7742" i="2" s="1"/>
  <c r="A7742" i="2"/>
  <c r="B7741" i="2"/>
  <c r="A7741" i="2"/>
  <c r="B7740" i="2"/>
  <c r="A7740" i="2"/>
  <c r="C7740" i="2" s="1"/>
  <c r="G7740" i="2" s="1"/>
  <c r="B7739" i="2"/>
  <c r="A7739" i="2"/>
  <c r="B7738" i="2"/>
  <c r="A7738" i="2"/>
  <c r="B7737" i="2"/>
  <c r="A7737" i="2"/>
  <c r="B7736" i="2"/>
  <c r="A7736" i="2"/>
  <c r="C7736" i="2" s="1"/>
  <c r="G7736" i="2" s="1"/>
  <c r="B7735" i="2"/>
  <c r="A7735" i="2"/>
  <c r="B7734" i="2"/>
  <c r="A7734" i="2"/>
  <c r="B7733" i="2"/>
  <c r="A7733" i="2"/>
  <c r="C7733" i="2" s="1"/>
  <c r="G7733" i="2" s="1"/>
  <c r="B7732" i="2"/>
  <c r="A7732" i="2"/>
  <c r="B7731" i="2"/>
  <c r="A7731" i="2"/>
  <c r="B7730" i="2"/>
  <c r="A7730" i="2"/>
  <c r="B7729" i="2"/>
  <c r="A7729" i="2"/>
  <c r="C7729" i="2" s="1"/>
  <c r="G7729" i="2" s="1"/>
  <c r="B7728" i="2"/>
  <c r="A7728" i="2"/>
  <c r="C7728" i="2" s="1"/>
  <c r="G7728" i="2" s="1"/>
  <c r="B7727" i="2"/>
  <c r="C7727" i="2" s="1"/>
  <c r="G7727" i="2" s="1"/>
  <c r="A7727" i="2"/>
  <c r="B7726" i="2"/>
  <c r="A7726" i="2"/>
  <c r="B7725" i="2"/>
  <c r="A7725" i="2"/>
  <c r="B7724" i="2"/>
  <c r="A7724" i="2"/>
  <c r="B7723" i="2"/>
  <c r="A7723" i="2"/>
  <c r="B7722" i="2"/>
  <c r="A7722" i="2"/>
  <c r="B7721" i="2"/>
  <c r="A7721" i="2"/>
  <c r="B7720" i="2"/>
  <c r="A7720" i="2"/>
  <c r="C7720" i="2" s="1"/>
  <c r="G7720" i="2" s="1"/>
  <c r="B7719" i="2"/>
  <c r="C7719" i="2" s="1"/>
  <c r="G7719" i="2" s="1"/>
  <c r="A7719" i="2"/>
  <c r="B7718" i="2"/>
  <c r="A7718" i="2"/>
  <c r="B7717" i="2"/>
  <c r="A7717" i="2"/>
  <c r="B7716" i="2"/>
  <c r="A7716" i="2"/>
  <c r="C7716" i="2" s="1"/>
  <c r="G7716" i="2" s="1"/>
  <c r="B7715" i="2"/>
  <c r="C7715" i="2" s="1"/>
  <c r="G7715" i="2" s="1"/>
  <c r="A7715" i="2"/>
  <c r="B7714" i="2"/>
  <c r="A7714" i="2"/>
  <c r="B7713" i="2"/>
  <c r="A7713" i="2"/>
  <c r="B7712" i="2"/>
  <c r="A7712" i="2"/>
  <c r="B7711" i="2"/>
  <c r="C7711" i="2" s="1"/>
  <c r="G7711" i="2" s="1"/>
  <c r="A7711" i="2"/>
  <c r="B7710" i="2"/>
  <c r="A7710" i="2"/>
  <c r="B7709" i="2"/>
  <c r="A7709" i="2"/>
  <c r="C7709" i="2" s="1"/>
  <c r="G7709" i="2" s="1"/>
  <c r="B7708" i="2"/>
  <c r="A7708" i="2"/>
  <c r="B7707" i="2"/>
  <c r="A7707" i="2"/>
  <c r="B7706" i="2"/>
  <c r="A7706" i="2"/>
  <c r="B7705" i="2"/>
  <c r="A7705" i="2"/>
  <c r="B7704" i="2"/>
  <c r="A7704" i="2"/>
  <c r="B7703" i="2"/>
  <c r="A7703" i="2"/>
  <c r="B7702" i="2"/>
  <c r="A7702" i="2"/>
  <c r="B7701" i="2"/>
  <c r="A7701" i="2"/>
  <c r="B7700" i="2"/>
  <c r="A7700" i="2"/>
  <c r="B7699" i="2"/>
  <c r="A7699" i="2"/>
  <c r="B7698" i="2"/>
  <c r="A7698" i="2"/>
  <c r="B7697" i="2"/>
  <c r="A7697" i="2"/>
  <c r="B7696" i="2"/>
  <c r="A7696" i="2"/>
  <c r="B7695" i="2"/>
  <c r="A7695" i="2"/>
  <c r="B7694" i="2"/>
  <c r="A7694" i="2"/>
  <c r="B7693" i="2"/>
  <c r="A7693" i="2"/>
  <c r="B7692" i="2"/>
  <c r="A7692" i="2"/>
  <c r="C7692" i="2" s="1"/>
  <c r="G7692" i="2" s="1"/>
  <c r="B7691" i="2"/>
  <c r="A7691" i="2"/>
  <c r="B7690" i="2"/>
  <c r="A7690" i="2"/>
  <c r="B7689" i="2"/>
  <c r="A7689" i="2"/>
  <c r="B7688" i="2"/>
  <c r="A7688" i="2"/>
  <c r="B7687" i="2"/>
  <c r="A7687" i="2"/>
  <c r="B7686" i="2"/>
  <c r="A7686" i="2"/>
  <c r="B7685" i="2"/>
  <c r="A7685" i="2"/>
  <c r="B7684" i="2"/>
  <c r="A7684" i="2"/>
  <c r="B7683" i="2"/>
  <c r="A7683" i="2"/>
  <c r="B7682" i="2"/>
  <c r="A7682" i="2"/>
  <c r="B7681" i="2"/>
  <c r="A7681" i="2"/>
  <c r="B7680" i="2"/>
  <c r="A7680" i="2"/>
  <c r="B7679" i="2"/>
  <c r="A7679" i="2"/>
  <c r="B7678" i="2"/>
  <c r="A7678" i="2"/>
  <c r="B7677" i="2"/>
  <c r="A7677" i="2"/>
  <c r="C7676" i="2"/>
  <c r="G7676" i="2" s="1"/>
  <c r="B7676" i="2"/>
  <c r="A7676" i="2"/>
  <c r="B7675" i="2"/>
  <c r="A7675" i="2"/>
  <c r="B7674" i="2"/>
  <c r="A7674" i="2"/>
  <c r="B7673" i="2"/>
  <c r="A7673" i="2"/>
  <c r="B7672" i="2"/>
  <c r="A7672" i="2"/>
  <c r="B7671" i="2"/>
  <c r="A7671" i="2"/>
  <c r="B7670" i="2"/>
  <c r="A7670" i="2"/>
  <c r="B7669" i="2"/>
  <c r="A7669" i="2"/>
  <c r="B7668" i="2"/>
  <c r="A7668" i="2"/>
  <c r="B7667" i="2"/>
  <c r="A7667" i="2"/>
  <c r="B7666" i="2"/>
  <c r="A7666" i="2"/>
  <c r="B7665" i="2"/>
  <c r="A7665" i="2"/>
  <c r="B7664" i="2"/>
  <c r="A7664" i="2"/>
  <c r="B7663" i="2"/>
  <c r="A7663" i="2"/>
  <c r="B7662" i="2"/>
  <c r="A7662" i="2"/>
  <c r="B7661" i="2"/>
  <c r="A7661" i="2"/>
  <c r="B7660" i="2"/>
  <c r="A7660" i="2"/>
  <c r="B7659" i="2"/>
  <c r="A7659" i="2"/>
  <c r="B7658" i="2"/>
  <c r="A7658" i="2"/>
  <c r="B7657" i="2"/>
  <c r="A7657" i="2"/>
  <c r="B7656" i="2"/>
  <c r="A7656" i="2"/>
  <c r="B7655" i="2"/>
  <c r="A7655" i="2"/>
  <c r="B7654" i="2"/>
  <c r="A7654" i="2"/>
  <c r="B7653" i="2"/>
  <c r="A7653" i="2"/>
  <c r="C7653" i="2" s="1"/>
  <c r="G7653" i="2" s="1"/>
  <c r="B7652" i="2"/>
  <c r="A7652" i="2"/>
  <c r="B7651" i="2"/>
  <c r="A7651" i="2"/>
  <c r="B7650" i="2"/>
  <c r="A7650" i="2"/>
  <c r="B7649" i="2"/>
  <c r="A7649" i="2"/>
  <c r="C7649" i="2" s="1"/>
  <c r="G7649" i="2" s="1"/>
  <c r="B7648" i="2"/>
  <c r="A7648" i="2"/>
  <c r="B7647" i="2"/>
  <c r="A7647" i="2"/>
  <c r="B7646" i="2"/>
  <c r="A7646" i="2"/>
  <c r="B7645" i="2"/>
  <c r="A7645" i="2"/>
  <c r="C7645" i="2" s="1"/>
  <c r="G7645" i="2" s="1"/>
  <c r="B7644" i="2"/>
  <c r="A7644" i="2"/>
  <c r="B7643" i="2"/>
  <c r="A7643" i="2"/>
  <c r="B7642" i="2"/>
  <c r="A7642" i="2"/>
  <c r="B7641" i="2"/>
  <c r="A7641" i="2"/>
  <c r="B7640" i="2"/>
  <c r="A7640" i="2"/>
  <c r="B7639" i="2"/>
  <c r="A7639" i="2"/>
  <c r="B7638" i="2"/>
  <c r="A7638" i="2"/>
  <c r="B7637" i="2"/>
  <c r="A7637" i="2"/>
  <c r="B7636" i="2"/>
  <c r="A7636" i="2"/>
  <c r="B7635" i="2"/>
  <c r="A7635" i="2"/>
  <c r="B7634" i="2"/>
  <c r="A7634" i="2"/>
  <c r="B7633" i="2"/>
  <c r="A7633" i="2"/>
  <c r="B7632" i="2"/>
  <c r="A7632" i="2"/>
  <c r="B7631" i="2"/>
  <c r="C7631" i="2" s="1"/>
  <c r="G7631" i="2" s="1"/>
  <c r="A7631" i="2"/>
  <c r="B7630" i="2"/>
  <c r="A7630" i="2"/>
  <c r="B7629" i="2"/>
  <c r="A7629" i="2"/>
  <c r="C7629" i="2" s="1"/>
  <c r="G7629" i="2" s="1"/>
  <c r="B7628" i="2"/>
  <c r="A7628" i="2"/>
  <c r="C7628" i="2" s="1"/>
  <c r="G7628" i="2" s="1"/>
  <c r="B7627" i="2"/>
  <c r="A7627" i="2"/>
  <c r="C7627" i="2" s="1"/>
  <c r="G7627" i="2" s="1"/>
  <c r="B7626" i="2"/>
  <c r="A7626" i="2"/>
  <c r="B7625" i="2"/>
  <c r="A7625" i="2"/>
  <c r="B7624" i="2"/>
  <c r="A7624" i="2"/>
  <c r="B7623" i="2"/>
  <c r="A7623" i="2"/>
  <c r="B7622" i="2"/>
  <c r="A7622" i="2"/>
  <c r="B7621" i="2"/>
  <c r="A7621" i="2"/>
  <c r="B7620" i="2"/>
  <c r="A7620" i="2"/>
  <c r="B7619" i="2"/>
  <c r="A7619" i="2"/>
  <c r="B7618" i="2"/>
  <c r="A7618" i="2"/>
  <c r="B7617" i="2"/>
  <c r="A7617" i="2"/>
  <c r="B7616" i="2"/>
  <c r="C7616" i="2" s="1"/>
  <c r="G7616" i="2" s="1"/>
  <c r="A7616" i="2"/>
  <c r="B7615" i="2"/>
  <c r="A7615" i="2"/>
  <c r="B7614" i="2"/>
  <c r="A7614" i="2"/>
  <c r="C7614" i="2" s="1"/>
  <c r="G7614" i="2" s="1"/>
  <c r="B7613" i="2"/>
  <c r="A7613" i="2"/>
  <c r="C7613" i="2" s="1"/>
  <c r="G7613" i="2" s="1"/>
  <c r="B7612" i="2"/>
  <c r="A7612" i="2"/>
  <c r="B7611" i="2"/>
  <c r="A7611" i="2"/>
  <c r="B7610" i="2"/>
  <c r="A7610" i="2"/>
  <c r="C7610" i="2" s="1"/>
  <c r="G7610" i="2" s="1"/>
  <c r="B7609" i="2"/>
  <c r="A7609" i="2"/>
  <c r="B7608" i="2"/>
  <c r="A7608" i="2"/>
  <c r="C7608" i="2" s="1"/>
  <c r="G7608" i="2" s="1"/>
  <c r="B7607" i="2"/>
  <c r="A7607" i="2"/>
  <c r="B7606" i="2"/>
  <c r="A7606" i="2"/>
  <c r="B7605" i="2"/>
  <c r="A7605" i="2"/>
  <c r="B7604" i="2"/>
  <c r="A7604" i="2"/>
  <c r="B7603" i="2"/>
  <c r="A7603" i="2"/>
  <c r="B7602" i="2"/>
  <c r="A7602" i="2"/>
  <c r="B7601" i="2"/>
  <c r="A7601" i="2"/>
  <c r="B7600" i="2"/>
  <c r="A7600" i="2"/>
  <c r="B7599" i="2"/>
  <c r="A7599" i="2"/>
  <c r="B7598" i="2"/>
  <c r="A7598" i="2"/>
  <c r="B7597" i="2"/>
  <c r="A7597" i="2"/>
  <c r="B7596" i="2"/>
  <c r="A7596" i="2"/>
  <c r="C7596" i="2" s="1"/>
  <c r="G7596" i="2" s="1"/>
  <c r="B7595" i="2"/>
  <c r="A7595" i="2"/>
  <c r="B7594" i="2"/>
  <c r="A7594" i="2"/>
  <c r="B7593" i="2"/>
  <c r="A7593" i="2"/>
  <c r="B7592" i="2"/>
  <c r="A7592" i="2"/>
  <c r="C7592" i="2" s="1"/>
  <c r="G7592" i="2" s="1"/>
  <c r="B7591" i="2"/>
  <c r="A7591" i="2"/>
  <c r="B7590" i="2"/>
  <c r="A7590" i="2"/>
  <c r="C7590" i="2" s="1"/>
  <c r="G7590" i="2" s="1"/>
  <c r="B7589" i="2"/>
  <c r="A7589" i="2"/>
  <c r="B7588" i="2"/>
  <c r="A7588" i="2"/>
  <c r="B7587" i="2"/>
  <c r="C7587" i="2" s="1"/>
  <c r="G7587" i="2" s="1"/>
  <c r="A7587" i="2"/>
  <c r="B7586" i="2"/>
  <c r="A7586" i="2"/>
  <c r="B7585" i="2"/>
  <c r="A7585" i="2"/>
  <c r="B7584" i="2"/>
  <c r="A7584" i="2"/>
  <c r="B7583" i="2"/>
  <c r="C7583" i="2" s="1"/>
  <c r="G7583" i="2" s="1"/>
  <c r="A7583" i="2"/>
  <c r="B7582" i="2"/>
  <c r="A7582" i="2"/>
  <c r="C7582" i="2" s="1"/>
  <c r="G7582" i="2" s="1"/>
  <c r="B7581" i="2"/>
  <c r="A7581" i="2"/>
  <c r="C7581" i="2" s="1"/>
  <c r="G7581" i="2" s="1"/>
  <c r="B7580" i="2"/>
  <c r="C7580" i="2" s="1"/>
  <c r="G7580" i="2" s="1"/>
  <c r="A7580" i="2"/>
  <c r="B7579" i="2"/>
  <c r="A7579" i="2"/>
  <c r="B7578" i="2"/>
  <c r="A7578" i="2"/>
  <c r="B7577" i="2"/>
  <c r="A7577" i="2"/>
  <c r="B7576" i="2"/>
  <c r="A7576" i="2"/>
  <c r="B7575" i="2"/>
  <c r="C7575" i="2" s="1"/>
  <c r="G7575" i="2" s="1"/>
  <c r="A7575" i="2"/>
  <c r="B7574" i="2"/>
  <c r="A7574" i="2"/>
  <c r="B7573" i="2"/>
  <c r="A7573" i="2"/>
  <c r="B7572" i="2"/>
  <c r="A7572" i="2"/>
  <c r="B7571" i="2"/>
  <c r="C7571" i="2" s="1"/>
  <c r="G7571" i="2" s="1"/>
  <c r="A7571" i="2"/>
  <c r="B7570" i="2"/>
  <c r="A7570" i="2"/>
  <c r="B7569" i="2"/>
  <c r="A7569" i="2"/>
  <c r="B7568" i="2"/>
  <c r="A7568" i="2"/>
  <c r="B7567" i="2"/>
  <c r="A7567" i="2"/>
  <c r="B7566" i="2"/>
  <c r="A7566" i="2"/>
  <c r="B7565" i="2"/>
  <c r="A7565" i="2"/>
  <c r="C7565" i="2" s="1"/>
  <c r="G7565" i="2" s="1"/>
  <c r="B7564" i="2"/>
  <c r="A7564" i="2"/>
  <c r="B7563" i="2"/>
  <c r="A7563" i="2"/>
  <c r="B7562" i="2"/>
  <c r="A7562" i="2"/>
  <c r="B7561" i="2"/>
  <c r="A7561" i="2"/>
  <c r="C7561" i="2" s="1"/>
  <c r="G7561" i="2" s="1"/>
  <c r="B7560" i="2"/>
  <c r="A7560" i="2"/>
  <c r="B7559" i="2"/>
  <c r="C7559" i="2" s="1"/>
  <c r="G7559" i="2" s="1"/>
  <c r="A7559" i="2"/>
  <c r="B7558" i="2"/>
  <c r="A7558" i="2"/>
  <c r="B7557" i="2"/>
  <c r="A7557" i="2"/>
  <c r="B7556" i="2"/>
  <c r="A7556" i="2"/>
  <c r="B7555" i="2"/>
  <c r="A7555" i="2"/>
  <c r="C7555" i="2" s="1"/>
  <c r="G7555" i="2" s="1"/>
  <c r="B7554" i="2"/>
  <c r="A7554" i="2"/>
  <c r="B7553" i="2"/>
  <c r="A7553" i="2"/>
  <c r="B7552" i="2"/>
  <c r="C7552" i="2" s="1"/>
  <c r="G7552" i="2" s="1"/>
  <c r="A7552" i="2"/>
  <c r="B7551" i="2"/>
  <c r="A7551" i="2"/>
  <c r="C7551" i="2" s="1"/>
  <c r="G7551" i="2" s="1"/>
  <c r="B7550" i="2"/>
  <c r="A7550" i="2"/>
  <c r="C7550" i="2" s="1"/>
  <c r="G7550" i="2" s="1"/>
  <c r="B7549" i="2"/>
  <c r="A7549" i="2"/>
  <c r="B7548" i="2"/>
  <c r="A7548" i="2"/>
  <c r="B7547" i="2"/>
  <c r="A7547" i="2"/>
  <c r="B7546" i="2"/>
  <c r="A7546" i="2"/>
  <c r="B7545" i="2"/>
  <c r="A7545" i="2"/>
  <c r="B7544" i="2"/>
  <c r="A7544" i="2"/>
  <c r="B7543" i="2"/>
  <c r="A7543" i="2"/>
  <c r="B7542" i="2"/>
  <c r="A7542" i="2"/>
  <c r="B7541" i="2"/>
  <c r="A7541" i="2"/>
  <c r="C7541" i="2" s="1"/>
  <c r="G7541" i="2" s="1"/>
  <c r="B7540" i="2"/>
  <c r="A7540" i="2"/>
  <c r="C7540" i="2" s="1"/>
  <c r="G7540" i="2" s="1"/>
  <c r="B7539" i="2"/>
  <c r="A7539" i="2"/>
  <c r="B7538" i="2"/>
  <c r="A7538" i="2"/>
  <c r="B7537" i="2"/>
  <c r="A7537" i="2"/>
  <c r="B7536" i="2"/>
  <c r="A7536" i="2"/>
  <c r="C7536" i="2" s="1"/>
  <c r="G7536" i="2" s="1"/>
  <c r="B7535" i="2"/>
  <c r="A7535" i="2"/>
  <c r="B7534" i="2"/>
  <c r="A7534" i="2"/>
  <c r="B7533" i="2"/>
  <c r="A7533" i="2"/>
  <c r="B7532" i="2"/>
  <c r="A7532" i="2"/>
  <c r="B7531" i="2"/>
  <c r="A7531" i="2"/>
  <c r="B7530" i="2"/>
  <c r="A7530" i="2"/>
  <c r="B7529" i="2"/>
  <c r="A7529" i="2"/>
  <c r="B7528" i="2"/>
  <c r="A7528" i="2"/>
  <c r="B7527" i="2"/>
  <c r="A7527" i="2"/>
  <c r="B7526" i="2"/>
  <c r="A7526" i="2"/>
  <c r="B7525" i="2"/>
  <c r="A7525" i="2"/>
  <c r="C7525" i="2" s="1"/>
  <c r="G7525" i="2" s="1"/>
  <c r="B7524" i="2"/>
  <c r="A7524" i="2"/>
  <c r="B7523" i="2"/>
  <c r="A7523" i="2"/>
  <c r="B7522" i="2"/>
  <c r="A7522" i="2"/>
  <c r="B7521" i="2"/>
  <c r="A7521" i="2"/>
  <c r="B7520" i="2"/>
  <c r="A7520" i="2"/>
  <c r="B7519" i="2"/>
  <c r="A7519" i="2"/>
  <c r="B7518" i="2"/>
  <c r="A7518" i="2"/>
  <c r="B7517" i="2"/>
  <c r="A7517" i="2"/>
  <c r="B7516" i="2"/>
  <c r="A7516" i="2"/>
  <c r="C7516" i="2" s="1"/>
  <c r="G7516" i="2" s="1"/>
  <c r="B7515" i="2"/>
  <c r="A7515" i="2"/>
  <c r="B7514" i="2"/>
  <c r="A7514" i="2"/>
  <c r="C7514" i="2" s="1"/>
  <c r="G7514" i="2" s="1"/>
  <c r="B7513" i="2"/>
  <c r="A7513" i="2"/>
  <c r="B7512" i="2"/>
  <c r="A7512" i="2"/>
  <c r="C7511" i="2"/>
  <c r="G7511" i="2" s="1"/>
  <c r="B7511" i="2"/>
  <c r="A7511" i="2"/>
  <c r="B7510" i="2"/>
  <c r="A7510" i="2"/>
  <c r="B7509" i="2"/>
  <c r="A7509" i="2"/>
  <c r="B7508" i="2"/>
  <c r="A7508" i="2"/>
  <c r="B7507" i="2"/>
  <c r="A7507" i="2"/>
  <c r="B7506" i="2"/>
  <c r="A7506" i="2"/>
  <c r="B7505" i="2"/>
  <c r="A7505" i="2"/>
  <c r="B7504" i="2"/>
  <c r="A7504" i="2"/>
  <c r="B7503" i="2"/>
  <c r="A7503" i="2"/>
  <c r="B7502" i="2"/>
  <c r="A7502" i="2"/>
  <c r="B7501" i="2"/>
  <c r="A7501" i="2"/>
  <c r="B7500" i="2"/>
  <c r="A7500" i="2"/>
  <c r="B7499" i="2"/>
  <c r="A7499" i="2"/>
  <c r="B7498" i="2"/>
  <c r="A7498" i="2"/>
  <c r="B7497" i="2"/>
  <c r="A7497" i="2"/>
  <c r="B7496" i="2"/>
  <c r="A7496" i="2"/>
  <c r="B7495" i="2"/>
  <c r="C7495" i="2" s="1"/>
  <c r="G7495" i="2" s="1"/>
  <c r="A7495" i="2"/>
  <c r="B7494" i="2"/>
  <c r="A7494" i="2"/>
  <c r="B7493" i="2"/>
  <c r="A7493" i="2"/>
  <c r="B7492" i="2"/>
  <c r="A7492" i="2"/>
  <c r="B7491" i="2"/>
  <c r="A7491" i="2"/>
  <c r="B7490" i="2"/>
  <c r="A7490" i="2"/>
  <c r="B7489" i="2"/>
  <c r="A7489" i="2"/>
  <c r="B7488" i="2"/>
  <c r="A7488" i="2"/>
  <c r="B7487" i="2"/>
  <c r="A7487" i="2"/>
  <c r="B7486" i="2"/>
  <c r="A7486" i="2"/>
  <c r="B7485" i="2"/>
  <c r="A7485" i="2"/>
  <c r="B7484" i="2"/>
  <c r="A7484" i="2"/>
  <c r="B7483" i="2"/>
  <c r="A7483" i="2"/>
  <c r="B7482" i="2"/>
  <c r="A7482" i="2"/>
  <c r="B7481" i="2"/>
  <c r="A7481" i="2"/>
  <c r="B7480" i="2"/>
  <c r="A7480" i="2"/>
  <c r="B7479" i="2"/>
  <c r="A7479" i="2"/>
  <c r="B7478" i="2"/>
  <c r="A7478" i="2"/>
  <c r="C7477" i="2"/>
  <c r="G7477" i="2" s="1"/>
  <c r="B7477" i="2"/>
  <c r="A7477" i="2"/>
  <c r="B7476" i="2"/>
  <c r="A7476" i="2"/>
  <c r="B7475" i="2"/>
  <c r="A7475" i="2"/>
  <c r="C7475" i="2" s="1"/>
  <c r="G7475" i="2" s="1"/>
  <c r="B7474" i="2"/>
  <c r="A7474" i="2"/>
  <c r="B7473" i="2"/>
  <c r="A7473" i="2"/>
  <c r="B7472" i="2"/>
  <c r="A7472" i="2"/>
  <c r="B7471" i="2"/>
  <c r="A7471" i="2"/>
  <c r="C7471" i="2" s="1"/>
  <c r="G7471" i="2" s="1"/>
  <c r="B7470" i="2"/>
  <c r="A7470" i="2"/>
  <c r="B7469" i="2"/>
  <c r="A7469" i="2"/>
  <c r="B7468" i="2"/>
  <c r="A7468" i="2"/>
  <c r="B7467" i="2"/>
  <c r="A7467" i="2"/>
  <c r="B7466" i="2"/>
  <c r="A7466" i="2"/>
  <c r="B7465" i="2"/>
  <c r="A7465" i="2"/>
  <c r="B7464" i="2"/>
  <c r="A7464" i="2"/>
  <c r="B7463" i="2"/>
  <c r="A7463" i="2"/>
  <c r="B7462" i="2"/>
  <c r="A7462" i="2"/>
  <c r="B7461" i="2"/>
  <c r="A7461" i="2"/>
  <c r="B7460" i="2"/>
  <c r="A7460" i="2"/>
  <c r="B7459" i="2"/>
  <c r="A7459" i="2"/>
  <c r="B7458" i="2"/>
  <c r="A7458" i="2"/>
  <c r="B7457" i="2"/>
  <c r="A7457" i="2"/>
  <c r="B7456" i="2"/>
  <c r="A7456" i="2"/>
  <c r="B7455" i="2"/>
  <c r="A7455" i="2"/>
  <c r="B7454" i="2"/>
  <c r="A7454" i="2"/>
  <c r="B7453" i="2"/>
  <c r="A7453" i="2"/>
  <c r="B7452" i="2"/>
  <c r="A7452" i="2"/>
  <c r="B7451" i="2"/>
  <c r="A7451" i="2"/>
  <c r="B7450" i="2"/>
  <c r="A7450" i="2"/>
  <c r="C7450" i="2" s="1"/>
  <c r="G7450" i="2" s="1"/>
  <c r="B7449" i="2"/>
  <c r="A7449" i="2"/>
  <c r="B7448" i="2"/>
  <c r="A7448" i="2"/>
  <c r="B7447" i="2"/>
  <c r="A7447" i="2"/>
  <c r="C7447" i="2" s="1"/>
  <c r="G7447" i="2" s="1"/>
  <c r="B7446" i="2"/>
  <c r="A7446" i="2"/>
  <c r="B7445" i="2"/>
  <c r="A7445" i="2"/>
  <c r="B7444" i="2"/>
  <c r="A7444" i="2"/>
  <c r="B7443" i="2"/>
  <c r="A7443" i="2"/>
  <c r="B7442" i="2"/>
  <c r="A7442" i="2"/>
  <c r="B7441" i="2"/>
  <c r="A7441" i="2"/>
  <c r="B7440" i="2"/>
  <c r="A7440" i="2"/>
  <c r="B7439" i="2"/>
  <c r="A7439" i="2"/>
  <c r="B7438" i="2"/>
  <c r="A7438" i="2"/>
  <c r="B7437" i="2"/>
  <c r="A7437" i="2"/>
  <c r="B7436" i="2"/>
  <c r="A7436" i="2"/>
  <c r="C7436" i="2" s="1"/>
  <c r="G7436" i="2" s="1"/>
  <c r="B7435" i="2"/>
  <c r="A7435" i="2"/>
  <c r="C7435" i="2" s="1"/>
  <c r="G7435" i="2" s="1"/>
  <c r="B7434" i="2"/>
  <c r="A7434" i="2"/>
  <c r="C7434" i="2" s="1"/>
  <c r="G7434" i="2" s="1"/>
  <c r="B7433" i="2"/>
  <c r="A7433" i="2"/>
  <c r="B7432" i="2"/>
  <c r="A7432" i="2"/>
  <c r="B7431" i="2"/>
  <c r="A7431" i="2"/>
  <c r="B7430" i="2"/>
  <c r="A7430" i="2"/>
  <c r="C7430" i="2" s="1"/>
  <c r="G7430" i="2" s="1"/>
  <c r="B7429" i="2"/>
  <c r="A7429" i="2"/>
  <c r="B7428" i="2"/>
  <c r="A7428" i="2"/>
  <c r="B7427" i="2"/>
  <c r="A7427" i="2"/>
  <c r="C7427" i="2" s="1"/>
  <c r="G7427" i="2" s="1"/>
  <c r="B7426" i="2"/>
  <c r="A7426" i="2"/>
  <c r="B7425" i="2"/>
  <c r="A7425" i="2"/>
  <c r="B7424" i="2"/>
  <c r="A7424" i="2"/>
  <c r="B7423" i="2"/>
  <c r="A7423" i="2"/>
  <c r="C7423" i="2" s="1"/>
  <c r="G7423" i="2" s="1"/>
  <c r="B7422" i="2"/>
  <c r="A7422" i="2"/>
  <c r="B7421" i="2"/>
  <c r="A7421" i="2"/>
  <c r="B7420" i="2"/>
  <c r="A7420" i="2"/>
  <c r="B7419" i="2"/>
  <c r="A7419" i="2"/>
  <c r="C7419" i="2" s="1"/>
  <c r="G7419" i="2" s="1"/>
  <c r="B7418" i="2"/>
  <c r="A7418" i="2"/>
  <c r="B7417" i="2"/>
  <c r="A7417" i="2"/>
  <c r="B7416" i="2"/>
  <c r="A7416" i="2"/>
  <c r="B7415" i="2"/>
  <c r="A7415" i="2"/>
  <c r="B7414" i="2"/>
  <c r="A7414" i="2"/>
  <c r="B7413" i="2"/>
  <c r="A7413" i="2"/>
  <c r="B7412" i="2"/>
  <c r="A7412" i="2"/>
  <c r="B7411" i="2"/>
  <c r="A7411" i="2"/>
  <c r="B7410" i="2"/>
  <c r="A7410" i="2"/>
  <c r="B7409" i="2"/>
  <c r="A7409" i="2"/>
  <c r="B7408" i="2"/>
  <c r="A7408" i="2"/>
  <c r="B7407" i="2"/>
  <c r="A7407" i="2"/>
  <c r="B7406" i="2"/>
  <c r="A7406" i="2"/>
  <c r="B7405" i="2"/>
  <c r="A7405" i="2"/>
  <c r="B7404" i="2"/>
  <c r="A7404" i="2"/>
  <c r="B7403" i="2"/>
  <c r="A7403" i="2"/>
  <c r="B7402" i="2"/>
  <c r="C7402" i="2" s="1"/>
  <c r="G7402" i="2" s="1"/>
  <c r="A7402" i="2"/>
  <c r="B7401" i="2"/>
  <c r="A7401" i="2"/>
  <c r="B7400" i="2"/>
  <c r="A7400" i="2"/>
  <c r="B7399" i="2"/>
  <c r="C7399" i="2" s="1"/>
  <c r="G7399" i="2" s="1"/>
  <c r="A7399" i="2"/>
  <c r="B7398" i="2"/>
  <c r="A7398" i="2"/>
  <c r="B7397" i="2"/>
  <c r="A7397" i="2"/>
  <c r="C7397" i="2" s="1"/>
  <c r="G7397" i="2" s="1"/>
  <c r="B7396" i="2"/>
  <c r="A7396" i="2"/>
  <c r="B7395" i="2"/>
  <c r="A7395" i="2"/>
  <c r="B7394" i="2"/>
  <c r="A7394" i="2"/>
  <c r="B7393" i="2"/>
  <c r="A7393" i="2"/>
  <c r="C7393" i="2" s="1"/>
  <c r="G7393" i="2" s="1"/>
  <c r="B7392" i="2"/>
  <c r="A7392" i="2"/>
  <c r="B7391" i="2"/>
  <c r="C7391" i="2" s="1"/>
  <c r="G7391" i="2" s="1"/>
  <c r="A7391" i="2"/>
  <c r="B7390" i="2"/>
  <c r="A7390" i="2"/>
  <c r="B7389" i="2"/>
  <c r="A7389" i="2"/>
  <c r="B7388" i="2"/>
  <c r="A7388" i="2"/>
  <c r="C7388" i="2" s="1"/>
  <c r="G7388" i="2" s="1"/>
  <c r="B7387" i="2"/>
  <c r="A7387" i="2"/>
  <c r="B7386" i="2"/>
  <c r="A7386" i="2"/>
  <c r="B7385" i="2"/>
  <c r="A7385" i="2"/>
  <c r="B7384" i="2"/>
  <c r="A7384" i="2"/>
  <c r="B7383" i="2"/>
  <c r="C7383" i="2" s="1"/>
  <c r="G7383" i="2" s="1"/>
  <c r="A7383" i="2"/>
  <c r="B7382" i="2"/>
  <c r="A7382" i="2"/>
  <c r="B7381" i="2"/>
  <c r="A7381" i="2"/>
  <c r="C7381" i="2" s="1"/>
  <c r="G7381" i="2" s="1"/>
  <c r="B7380" i="2"/>
  <c r="A7380" i="2"/>
  <c r="C7380" i="2" s="1"/>
  <c r="G7380" i="2" s="1"/>
  <c r="B7379" i="2"/>
  <c r="A7379" i="2"/>
  <c r="B7378" i="2"/>
  <c r="A7378" i="2"/>
  <c r="B7377" i="2"/>
  <c r="A7377" i="2"/>
  <c r="B7376" i="2"/>
  <c r="A7376" i="2"/>
  <c r="B7375" i="2"/>
  <c r="A7375" i="2"/>
  <c r="B7374" i="2"/>
  <c r="A7374" i="2"/>
  <c r="B7373" i="2"/>
  <c r="A7373" i="2"/>
  <c r="B7372" i="2"/>
  <c r="A7372" i="2"/>
  <c r="C7372" i="2" s="1"/>
  <c r="G7372" i="2" s="1"/>
  <c r="B7371" i="2"/>
  <c r="A7371" i="2"/>
  <c r="B7370" i="2"/>
  <c r="A7370" i="2"/>
  <c r="B7369" i="2"/>
  <c r="A7369" i="2"/>
  <c r="B7368" i="2"/>
  <c r="A7368" i="2"/>
  <c r="B7367" i="2"/>
  <c r="A7367" i="2"/>
  <c r="C7367" i="2" s="1"/>
  <c r="G7367" i="2" s="1"/>
  <c r="B7366" i="2"/>
  <c r="A7366" i="2"/>
  <c r="B7365" i="2"/>
  <c r="A7365" i="2"/>
  <c r="B7364" i="2"/>
  <c r="A7364" i="2"/>
  <c r="B7363" i="2"/>
  <c r="A7363" i="2"/>
  <c r="C7363" i="2" s="1"/>
  <c r="G7363" i="2" s="1"/>
  <c r="B7362" i="2"/>
  <c r="A7362" i="2"/>
  <c r="B7361" i="2"/>
  <c r="A7361" i="2"/>
  <c r="B7360" i="2"/>
  <c r="A7360" i="2"/>
  <c r="B7359" i="2"/>
  <c r="A7359" i="2"/>
  <c r="B7358" i="2"/>
  <c r="C7358" i="2" s="1"/>
  <c r="G7358" i="2" s="1"/>
  <c r="A7358" i="2"/>
  <c r="B7357" i="2"/>
  <c r="A7357" i="2"/>
  <c r="B7356" i="2"/>
  <c r="A7356" i="2"/>
  <c r="B7355" i="2"/>
  <c r="A7355" i="2"/>
  <c r="C7355" i="2" s="1"/>
  <c r="G7355" i="2" s="1"/>
  <c r="B7354" i="2"/>
  <c r="A7354" i="2"/>
  <c r="B7353" i="2"/>
  <c r="A7353" i="2"/>
  <c r="B7352" i="2"/>
  <c r="A7352" i="2"/>
  <c r="B7351" i="2"/>
  <c r="A7351" i="2"/>
  <c r="C7351" i="2" s="1"/>
  <c r="G7351" i="2" s="1"/>
  <c r="B7350" i="2"/>
  <c r="A7350" i="2"/>
  <c r="B7349" i="2"/>
  <c r="A7349" i="2"/>
  <c r="B7348" i="2"/>
  <c r="A7348" i="2"/>
  <c r="C7348" i="2" s="1"/>
  <c r="G7348" i="2" s="1"/>
  <c r="B7347" i="2"/>
  <c r="A7347" i="2"/>
  <c r="B7346" i="2"/>
  <c r="A7346" i="2"/>
  <c r="B7345" i="2"/>
  <c r="A7345" i="2"/>
  <c r="B7344" i="2"/>
  <c r="A7344" i="2"/>
  <c r="B7343" i="2"/>
  <c r="A7343" i="2"/>
  <c r="C7343" i="2" s="1"/>
  <c r="G7343" i="2" s="1"/>
  <c r="B7342" i="2"/>
  <c r="A7342" i="2"/>
  <c r="B7341" i="2"/>
  <c r="A7341" i="2"/>
  <c r="B7340" i="2"/>
  <c r="A7340" i="2"/>
  <c r="C7340" i="2" s="1"/>
  <c r="G7340" i="2" s="1"/>
  <c r="B7339" i="2"/>
  <c r="A7339" i="2"/>
  <c r="B7338" i="2"/>
  <c r="A7338" i="2"/>
  <c r="B7337" i="2"/>
  <c r="A7337" i="2"/>
  <c r="B7336" i="2"/>
  <c r="A7336" i="2"/>
  <c r="C7336" i="2" s="1"/>
  <c r="G7336" i="2" s="1"/>
  <c r="B7335" i="2"/>
  <c r="A7335" i="2"/>
  <c r="B7334" i="2"/>
  <c r="A7334" i="2"/>
  <c r="B7333" i="2"/>
  <c r="A7333" i="2"/>
  <c r="B7332" i="2"/>
  <c r="A7332" i="2"/>
  <c r="C7332" i="2" s="1"/>
  <c r="G7332" i="2" s="1"/>
  <c r="B7331" i="2"/>
  <c r="A7331" i="2"/>
  <c r="B7330" i="2"/>
  <c r="A7330" i="2"/>
  <c r="B7329" i="2"/>
  <c r="A7329" i="2"/>
  <c r="B7328" i="2"/>
  <c r="A7328" i="2"/>
  <c r="B7327" i="2"/>
  <c r="A7327" i="2"/>
  <c r="B7326" i="2"/>
  <c r="A7326" i="2"/>
  <c r="B7325" i="2"/>
  <c r="A7325" i="2"/>
  <c r="B7324" i="2"/>
  <c r="A7324" i="2"/>
  <c r="C7324" i="2" s="1"/>
  <c r="G7324" i="2" s="1"/>
  <c r="B7323" i="2"/>
  <c r="A7323" i="2"/>
  <c r="B7322" i="2"/>
  <c r="A7322" i="2"/>
  <c r="B7321" i="2"/>
  <c r="A7321" i="2"/>
  <c r="B7320" i="2"/>
  <c r="A7320" i="2"/>
  <c r="C7320" i="2" s="1"/>
  <c r="G7320" i="2" s="1"/>
  <c r="B7319" i="2"/>
  <c r="A7319" i="2"/>
  <c r="B7318" i="2"/>
  <c r="A7318" i="2"/>
  <c r="B7317" i="2"/>
  <c r="A7317" i="2"/>
  <c r="B7316" i="2"/>
  <c r="A7316" i="2"/>
  <c r="C7316" i="2" s="1"/>
  <c r="G7316" i="2" s="1"/>
  <c r="B7315" i="2"/>
  <c r="A7315" i="2"/>
  <c r="B7314" i="2"/>
  <c r="A7314" i="2"/>
  <c r="B7313" i="2"/>
  <c r="A7313" i="2"/>
  <c r="B7312" i="2"/>
  <c r="A7312" i="2"/>
  <c r="B7311" i="2"/>
  <c r="A7311" i="2"/>
  <c r="B7310" i="2"/>
  <c r="A7310" i="2"/>
  <c r="C7310" i="2" s="1"/>
  <c r="G7310" i="2" s="1"/>
  <c r="B7309" i="2"/>
  <c r="A7309" i="2"/>
  <c r="B7308" i="2"/>
  <c r="A7308" i="2"/>
  <c r="B7307" i="2"/>
  <c r="A7307" i="2"/>
  <c r="B7306" i="2"/>
  <c r="A7306" i="2"/>
  <c r="B7305" i="2"/>
  <c r="A7305" i="2"/>
  <c r="B7304" i="2"/>
  <c r="A7304" i="2"/>
  <c r="C7304" i="2" s="1"/>
  <c r="G7304" i="2" s="1"/>
  <c r="B7303" i="2"/>
  <c r="A7303" i="2"/>
  <c r="C7303" i="2" s="1"/>
  <c r="G7303" i="2" s="1"/>
  <c r="B7302" i="2"/>
  <c r="A7302" i="2"/>
  <c r="C7302" i="2" s="1"/>
  <c r="G7302" i="2" s="1"/>
  <c r="B7301" i="2"/>
  <c r="A7301" i="2"/>
  <c r="B7300" i="2"/>
  <c r="A7300" i="2"/>
  <c r="B7299" i="2"/>
  <c r="A7299" i="2"/>
  <c r="B7298" i="2"/>
  <c r="A7298" i="2"/>
  <c r="C7298" i="2" s="1"/>
  <c r="G7298" i="2" s="1"/>
  <c r="B7297" i="2"/>
  <c r="A7297" i="2"/>
  <c r="B7296" i="2"/>
  <c r="A7296" i="2"/>
  <c r="B7295" i="2"/>
  <c r="A7295" i="2"/>
  <c r="B7294" i="2"/>
  <c r="A7294" i="2"/>
  <c r="C7294" i="2" s="1"/>
  <c r="G7294" i="2" s="1"/>
  <c r="B7293" i="2"/>
  <c r="A7293" i="2"/>
  <c r="B7292" i="2"/>
  <c r="A7292" i="2"/>
  <c r="B7291" i="2"/>
  <c r="A7291" i="2"/>
  <c r="C7291" i="2" s="1"/>
  <c r="G7291" i="2" s="1"/>
  <c r="B7290" i="2"/>
  <c r="A7290" i="2"/>
  <c r="B7289" i="2"/>
  <c r="A7289" i="2"/>
  <c r="B7288" i="2"/>
  <c r="A7288" i="2"/>
  <c r="B7287" i="2"/>
  <c r="A7287" i="2"/>
  <c r="C7287" i="2" s="1"/>
  <c r="G7287" i="2" s="1"/>
  <c r="B7286" i="2"/>
  <c r="A7286" i="2"/>
  <c r="B7285" i="2"/>
  <c r="A7285" i="2"/>
  <c r="B7284" i="2"/>
  <c r="A7284" i="2"/>
  <c r="B7283" i="2"/>
  <c r="A7283" i="2"/>
  <c r="B7282" i="2"/>
  <c r="A7282" i="2"/>
  <c r="B7281" i="2"/>
  <c r="A7281" i="2"/>
  <c r="B7280" i="2"/>
  <c r="A7280" i="2"/>
  <c r="B7279" i="2"/>
  <c r="A7279" i="2"/>
  <c r="C7279" i="2" s="1"/>
  <c r="G7279" i="2" s="1"/>
  <c r="B7278" i="2"/>
  <c r="A7278" i="2"/>
  <c r="C7278" i="2" s="1"/>
  <c r="G7278" i="2" s="1"/>
  <c r="B7277" i="2"/>
  <c r="A7277" i="2"/>
  <c r="C7277" i="2" s="1"/>
  <c r="G7277" i="2" s="1"/>
  <c r="B7276" i="2"/>
  <c r="A7276" i="2"/>
  <c r="B7275" i="2"/>
  <c r="A7275" i="2"/>
  <c r="C7275" i="2" s="1"/>
  <c r="G7275" i="2" s="1"/>
  <c r="B7274" i="2"/>
  <c r="A7274" i="2"/>
  <c r="B7273" i="2"/>
  <c r="A7273" i="2"/>
  <c r="B7272" i="2"/>
  <c r="A7272" i="2"/>
  <c r="B7271" i="2"/>
  <c r="A7271" i="2"/>
  <c r="B7270" i="2"/>
  <c r="A7270" i="2"/>
  <c r="B7269" i="2"/>
  <c r="A7269" i="2"/>
  <c r="B7268" i="2"/>
  <c r="A7268" i="2"/>
  <c r="C7268" i="2" s="1"/>
  <c r="G7268" i="2" s="1"/>
  <c r="B7267" i="2"/>
  <c r="A7267" i="2"/>
  <c r="C7267" i="2" s="1"/>
  <c r="G7267" i="2" s="1"/>
  <c r="B7266" i="2"/>
  <c r="A7266" i="2"/>
  <c r="B7265" i="2"/>
  <c r="A7265" i="2"/>
  <c r="B7264" i="2"/>
  <c r="A7264" i="2"/>
  <c r="B7263" i="2"/>
  <c r="A7263" i="2"/>
  <c r="C7263" i="2" s="1"/>
  <c r="G7263" i="2" s="1"/>
  <c r="B7262" i="2"/>
  <c r="A7262" i="2"/>
  <c r="B7261" i="2"/>
  <c r="A7261" i="2"/>
  <c r="B7260" i="2"/>
  <c r="A7260" i="2"/>
  <c r="B7259" i="2"/>
  <c r="A7259" i="2"/>
  <c r="B7258" i="2"/>
  <c r="A7258" i="2"/>
  <c r="B7257" i="2"/>
  <c r="A7257" i="2"/>
  <c r="B7256" i="2"/>
  <c r="A7256" i="2"/>
  <c r="B7255" i="2"/>
  <c r="A7255" i="2"/>
  <c r="C7255" i="2" s="1"/>
  <c r="G7255" i="2" s="1"/>
  <c r="B7254" i="2"/>
  <c r="A7254" i="2"/>
  <c r="B7253" i="2"/>
  <c r="A7253" i="2"/>
  <c r="B7252" i="2"/>
  <c r="A7252" i="2"/>
  <c r="C7252" i="2" s="1"/>
  <c r="G7252" i="2" s="1"/>
  <c r="B7251" i="2"/>
  <c r="A7251" i="2"/>
  <c r="B7250" i="2"/>
  <c r="A7250" i="2"/>
  <c r="B7249" i="2"/>
  <c r="A7249" i="2"/>
  <c r="B7248" i="2"/>
  <c r="A7248" i="2"/>
  <c r="B7247" i="2"/>
  <c r="A7247" i="2"/>
  <c r="C7247" i="2" s="1"/>
  <c r="G7247" i="2" s="1"/>
  <c r="B7246" i="2"/>
  <c r="A7246" i="2"/>
  <c r="B7245" i="2"/>
  <c r="A7245" i="2"/>
  <c r="B7244" i="2"/>
  <c r="A7244" i="2"/>
  <c r="C7244" i="2" s="1"/>
  <c r="G7244" i="2" s="1"/>
  <c r="B7243" i="2"/>
  <c r="A7243" i="2"/>
  <c r="C7243" i="2" s="1"/>
  <c r="G7243" i="2" s="1"/>
  <c r="B7242" i="2"/>
  <c r="A7242" i="2"/>
  <c r="B7241" i="2"/>
  <c r="A7241" i="2"/>
  <c r="B7240" i="2"/>
  <c r="A7240" i="2"/>
  <c r="C7240" i="2" s="1"/>
  <c r="G7240" i="2" s="1"/>
  <c r="B7239" i="2"/>
  <c r="A7239" i="2"/>
  <c r="B7238" i="2"/>
  <c r="A7238" i="2"/>
  <c r="B7237" i="2"/>
  <c r="A7237" i="2"/>
  <c r="B7236" i="2"/>
  <c r="A7236" i="2"/>
  <c r="C7236" i="2" s="1"/>
  <c r="G7236" i="2" s="1"/>
  <c r="B7235" i="2"/>
  <c r="A7235" i="2"/>
  <c r="B7234" i="2"/>
  <c r="A7234" i="2"/>
  <c r="B7233" i="2"/>
  <c r="A7233" i="2"/>
  <c r="B7232" i="2"/>
  <c r="A7232" i="2"/>
  <c r="B7231" i="2"/>
  <c r="A7231" i="2"/>
  <c r="B7230" i="2"/>
  <c r="A7230" i="2"/>
  <c r="C7230" i="2" s="1"/>
  <c r="G7230" i="2" s="1"/>
  <c r="B7229" i="2"/>
  <c r="A7229" i="2"/>
  <c r="C7229" i="2" s="1"/>
  <c r="G7229" i="2" s="1"/>
  <c r="B7228" i="2"/>
  <c r="A7228" i="2"/>
  <c r="C7228" i="2" s="1"/>
  <c r="G7228" i="2" s="1"/>
  <c r="B7227" i="2"/>
  <c r="A7227" i="2"/>
  <c r="B7226" i="2"/>
  <c r="A7226" i="2"/>
  <c r="B7225" i="2"/>
  <c r="A7225" i="2"/>
  <c r="B7224" i="2"/>
  <c r="A7224" i="2"/>
  <c r="C7224" i="2" s="1"/>
  <c r="G7224" i="2" s="1"/>
  <c r="B7223" i="2"/>
  <c r="A7223" i="2"/>
  <c r="B7222" i="2"/>
  <c r="A7222" i="2"/>
  <c r="C7222" i="2" s="1"/>
  <c r="G7222" i="2" s="1"/>
  <c r="B7221" i="2"/>
  <c r="A7221" i="2"/>
  <c r="C7221" i="2" s="1"/>
  <c r="G7221" i="2" s="1"/>
  <c r="B7220" i="2"/>
  <c r="A7220" i="2"/>
  <c r="B7219" i="2"/>
  <c r="A7219" i="2"/>
  <c r="B7218" i="2"/>
  <c r="A7218" i="2"/>
  <c r="B7217" i="2"/>
  <c r="A7217" i="2"/>
  <c r="B7216" i="2"/>
  <c r="A7216" i="2"/>
  <c r="B7215" i="2"/>
  <c r="A7215" i="2"/>
  <c r="B7214" i="2"/>
  <c r="A7214" i="2"/>
  <c r="B7213" i="2"/>
  <c r="A7213" i="2"/>
  <c r="B7212" i="2"/>
  <c r="A7212" i="2"/>
  <c r="C7212" i="2" s="1"/>
  <c r="G7212" i="2" s="1"/>
  <c r="B7211" i="2"/>
  <c r="A7211" i="2"/>
  <c r="B7210" i="2"/>
  <c r="A7210" i="2"/>
  <c r="B7209" i="2"/>
  <c r="A7209" i="2"/>
  <c r="B7208" i="2"/>
  <c r="A7208" i="2"/>
  <c r="C7208" i="2" s="1"/>
  <c r="G7208" i="2" s="1"/>
  <c r="B7207" i="2"/>
  <c r="A7207" i="2"/>
  <c r="C7207" i="2" s="1"/>
  <c r="G7207" i="2" s="1"/>
  <c r="B7206" i="2"/>
  <c r="A7206" i="2"/>
  <c r="C7206" i="2" s="1"/>
  <c r="G7206" i="2" s="1"/>
  <c r="B7205" i="2"/>
  <c r="A7205" i="2"/>
  <c r="C7205" i="2" s="1"/>
  <c r="G7205" i="2" s="1"/>
  <c r="B7204" i="2"/>
  <c r="A7204" i="2"/>
  <c r="B7203" i="2"/>
  <c r="A7203" i="2"/>
  <c r="B7202" i="2"/>
  <c r="A7202" i="2"/>
  <c r="C7202" i="2" s="1"/>
  <c r="G7202" i="2" s="1"/>
  <c r="B7201" i="2"/>
  <c r="A7201" i="2"/>
  <c r="B7200" i="2"/>
  <c r="A7200" i="2"/>
  <c r="B7199" i="2"/>
  <c r="A7199" i="2"/>
  <c r="B7198" i="2"/>
  <c r="A7198" i="2"/>
  <c r="B7197" i="2"/>
  <c r="A7197" i="2"/>
  <c r="B7196" i="2"/>
  <c r="A7196" i="2"/>
  <c r="B7195" i="2"/>
  <c r="A7195" i="2"/>
  <c r="C7195" i="2" s="1"/>
  <c r="G7195" i="2" s="1"/>
  <c r="B7194" i="2"/>
  <c r="A7194" i="2"/>
  <c r="B7193" i="2"/>
  <c r="A7193" i="2"/>
  <c r="B7192" i="2"/>
  <c r="A7192" i="2"/>
  <c r="B7191" i="2"/>
  <c r="A7191" i="2"/>
  <c r="C7191" i="2" s="1"/>
  <c r="G7191" i="2" s="1"/>
  <c r="B7190" i="2"/>
  <c r="A7190" i="2"/>
  <c r="C7190" i="2" s="1"/>
  <c r="G7190" i="2" s="1"/>
  <c r="B7189" i="2"/>
  <c r="A7189" i="2"/>
  <c r="B7188" i="2"/>
  <c r="A7188" i="2"/>
  <c r="B7187" i="2"/>
  <c r="A7187" i="2"/>
  <c r="B7186" i="2"/>
  <c r="A7186" i="2"/>
  <c r="C7186" i="2" s="1"/>
  <c r="G7186" i="2" s="1"/>
  <c r="B7185" i="2"/>
  <c r="A7185" i="2"/>
  <c r="B7184" i="2"/>
  <c r="A7184" i="2"/>
  <c r="B7183" i="2"/>
  <c r="A7183" i="2"/>
  <c r="C7183" i="2" s="1"/>
  <c r="G7183" i="2" s="1"/>
  <c r="B7182" i="2"/>
  <c r="A7182" i="2"/>
  <c r="B7181" i="2"/>
  <c r="A7181" i="2"/>
  <c r="B7180" i="2"/>
  <c r="A7180" i="2"/>
  <c r="C7180" i="2" s="1"/>
  <c r="G7180" i="2" s="1"/>
  <c r="B7179" i="2"/>
  <c r="A7179" i="2"/>
  <c r="C7179" i="2" s="1"/>
  <c r="G7179" i="2" s="1"/>
  <c r="B7178" i="2"/>
  <c r="A7178" i="2"/>
  <c r="C7178" i="2" s="1"/>
  <c r="G7178" i="2" s="1"/>
  <c r="B7177" i="2"/>
  <c r="A7177" i="2"/>
  <c r="B7176" i="2"/>
  <c r="A7176" i="2"/>
  <c r="B7175" i="2"/>
  <c r="A7175" i="2"/>
  <c r="B7174" i="2"/>
  <c r="A7174" i="2"/>
  <c r="B7173" i="2"/>
  <c r="A7173" i="2"/>
  <c r="B7172" i="2"/>
  <c r="A7172" i="2"/>
  <c r="C7172" i="2" s="1"/>
  <c r="G7172" i="2" s="1"/>
  <c r="B7171" i="2"/>
  <c r="A7171" i="2"/>
  <c r="B7170" i="2"/>
  <c r="A7170" i="2"/>
  <c r="B7169" i="2"/>
  <c r="A7169" i="2"/>
  <c r="B7168" i="2"/>
  <c r="A7168" i="2"/>
  <c r="C7168" i="2" s="1"/>
  <c r="G7168" i="2" s="1"/>
  <c r="B7167" i="2"/>
  <c r="A7167" i="2"/>
  <c r="C7167" i="2" s="1"/>
  <c r="G7167" i="2" s="1"/>
  <c r="B7166" i="2"/>
  <c r="A7166" i="2"/>
  <c r="C7166" i="2" s="1"/>
  <c r="G7166" i="2" s="1"/>
  <c r="B7165" i="2"/>
  <c r="A7165" i="2"/>
  <c r="B7164" i="2"/>
  <c r="A7164" i="2"/>
  <c r="B7163" i="2"/>
  <c r="A7163" i="2"/>
  <c r="B7162" i="2"/>
  <c r="A7162" i="2"/>
  <c r="B7161" i="2"/>
  <c r="A7161" i="2"/>
  <c r="B7160" i="2"/>
  <c r="A7160" i="2"/>
  <c r="B7159" i="2"/>
  <c r="A7159" i="2"/>
  <c r="B7158" i="2"/>
  <c r="A7158" i="2"/>
  <c r="C7158" i="2" s="1"/>
  <c r="G7158" i="2" s="1"/>
  <c r="B7157" i="2"/>
  <c r="A7157" i="2"/>
  <c r="C7157" i="2" s="1"/>
  <c r="G7157" i="2" s="1"/>
  <c r="B7156" i="2"/>
  <c r="A7156" i="2"/>
  <c r="C7156" i="2" s="1"/>
  <c r="G7156" i="2" s="1"/>
  <c r="B7155" i="2"/>
  <c r="A7155" i="2"/>
  <c r="B7154" i="2"/>
  <c r="A7154" i="2"/>
  <c r="B7153" i="2"/>
  <c r="A7153" i="2"/>
  <c r="C7153" i="2" s="1"/>
  <c r="G7153" i="2" s="1"/>
  <c r="B7152" i="2"/>
  <c r="A7152" i="2"/>
  <c r="B7151" i="2"/>
  <c r="A7151" i="2"/>
  <c r="B7150" i="2"/>
  <c r="A7150" i="2"/>
  <c r="B7149" i="2"/>
  <c r="A7149" i="2"/>
  <c r="C7149" i="2" s="1"/>
  <c r="G7149" i="2" s="1"/>
  <c r="B7148" i="2"/>
  <c r="A7148" i="2"/>
  <c r="C7148" i="2" s="1"/>
  <c r="G7148" i="2" s="1"/>
  <c r="B7147" i="2"/>
  <c r="A7147" i="2"/>
  <c r="C7147" i="2" s="1"/>
  <c r="G7147" i="2" s="1"/>
  <c r="B7146" i="2"/>
  <c r="A7146" i="2"/>
  <c r="B7145" i="2"/>
  <c r="A7145" i="2"/>
  <c r="B7144" i="2"/>
  <c r="A7144" i="2"/>
  <c r="B7143" i="2"/>
  <c r="A7143" i="2"/>
  <c r="C7143" i="2" s="1"/>
  <c r="G7143" i="2" s="1"/>
  <c r="B7142" i="2"/>
  <c r="A7142" i="2"/>
  <c r="C7142" i="2" s="1"/>
  <c r="G7142" i="2" s="1"/>
  <c r="B7141" i="2"/>
  <c r="A7141" i="2"/>
  <c r="C7141" i="2" s="1"/>
  <c r="G7141" i="2" s="1"/>
  <c r="B7140" i="2"/>
  <c r="A7140" i="2"/>
  <c r="B7139" i="2"/>
  <c r="A7139" i="2"/>
  <c r="B7138" i="2"/>
  <c r="A7138" i="2"/>
  <c r="B7137" i="2"/>
  <c r="A7137" i="2"/>
  <c r="B7136" i="2"/>
  <c r="A7136" i="2"/>
  <c r="B7135" i="2"/>
  <c r="A7135" i="2"/>
  <c r="B7134" i="2"/>
  <c r="C7134" i="2" s="1"/>
  <c r="G7134" i="2" s="1"/>
  <c r="A7134" i="2"/>
  <c r="B7133" i="2"/>
  <c r="A7133" i="2"/>
  <c r="C7133" i="2" s="1"/>
  <c r="G7133" i="2" s="1"/>
  <c r="B7132" i="2"/>
  <c r="A7132" i="2"/>
  <c r="C7132" i="2" s="1"/>
  <c r="G7132" i="2" s="1"/>
  <c r="B7131" i="2"/>
  <c r="A7131" i="2"/>
  <c r="B7130" i="2"/>
  <c r="A7130" i="2"/>
  <c r="B7129" i="2"/>
  <c r="A7129" i="2"/>
  <c r="B7128" i="2"/>
  <c r="A7128" i="2"/>
  <c r="B7127" i="2"/>
  <c r="A7127" i="2"/>
  <c r="B7126" i="2"/>
  <c r="A7126" i="2"/>
  <c r="B7125" i="2"/>
  <c r="A7125" i="2"/>
  <c r="B7124" i="2"/>
  <c r="A7124" i="2"/>
  <c r="B7123" i="2"/>
  <c r="A7123" i="2"/>
  <c r="B7122" i="2"/>
  <c r="A7122" i="2"/>
  <c r="B7121" i="2"/>
  <c r="A7121" i="2"/>
  <c r="B7120" i="2"/>
  <c r="A7120" i="2"/>
  <c r="B7119" i="2"/>
  <c r="A7119" i="2"/>
  <c r="B7118" i="2"/>
  <c r="A7118" i="2"/>
  <c r="B7117" i="2"/>
  <c r="A7117" i="2"/>
  <c r="C7117" i="2" s="1"/>
  <c r="G7117" i="2" s="1"/>
  <c r="B7116" i="2"/>
  <c r="A7116" i="2"/>
  <c r="C7116" i="2" s="1"/>
  <c r="G7116" i="2" s="1"/>
  <c r="B7115" i="2"/>
  <c r="A7115" i="2"/>
  <c r="B7114" i="2"/>
  <c r="A7114" i="2"/>
  <c r="B7113" i="2"/>
  <c r="A7113" i="2"/>
  <c r="C7113" i="2" s="1"/>
  <c r="G7113" i="2" s="1"/>
  <c r="B7112" i="2"/>
  <c r="A7112" i="2"/>
  <c r="B7111" i="2"/>
  <c r="A7111" i="2"/>
  <c r="B7110" i="2"/>
  <c r="A7110" i="2"/>
  <c r="B7109" i="2"/>
  <c r="A7109" i="2"/>
  <c r="B7108" i="2"/>
  <c r="A7108" i="2"/>
  <c r="C7108" i="2" s="1"/>
  <c r="G7108" i="2" s="1"/>
  <c r="B7107" i="2"/>
  <c r="A7107" i="2"/>
  <c r="B7106" i="2"/>
  <c r="A7106" i="2"/>
  <c r="B7105" i="2"/>
  <c r="A7105" i="2"/>
  <c r="C7105" i="2" s="1"/>
  <c r="G7105" i="2" s="1"/>
  <c r="B7104" i="2"/>
  <c r="A7104" i="2"/>
  <c r="B7103" i="2"/>
  <c r="A7103" i="2"/>
  <c r="B7102" i="2"/>
  <c r="A7102" i="2"/>
  <c r="B7101" i="2"/>
  <c r="A7101" i="2"/>
  <c r="B7100" i="2"/>
  <c r="A7100" i="2"/>
  <c r="C7100" i="2" s="1"/>
  <c r="G7100" i="2" s="1"/>
  <c r="B7099" i="2"/>
  <c r="A7099" i="2"/>
  <c r="B7098" i="2"/>
  <c r="A7098" i="2"/>
  <c r="B7097" i="2"/>
  <c r="A7097" i="2"/>
  <c r="B7096" i="2"/>
  <c r="A7096" i="2"/>
  <c r="C7096" i="2" s="1"/>
  <c r="G7096" i="2" s="1"/>
  <c r="B7095" i="2"/>
  <c r="A7095" i="2"/>
  <c r="B7094" i="2"/>
  <c r="A7094" i="2"/>
  <c r="B7093" i="2"/>
  <c r="A7093" i="2"/>
  <c r="B7092" i="2"/>
  <c r="A7092" i="2"/>
  <c r="B7091" i="2"/>
  <c r="A7091" i="2"/>
  <c r="B7090" i="2"/>
  <c r="A7090" i="2"/>
  <c r="B7089" i="2"/>
  <c r="A7089" i="2"/>
  <c r="B7088" i="2"/>
  <c r="A7088" i="2"/>
  <c r="B7087" i="2"/>
  <c r="A7087" i="2"/>
  <c r="B7086" i="2"/>
  <c r="A7086" i="2"/>
  <c r="B7085" i="2"/>
  <c r="A7085" i="2"/>
  <c r="B7084" i="2"/>
  <c r="A7084" i="2"/>
  <c r="B7083" i="2"/>
  <c r="A7083" i="2"/>
  <c r="B7082" i="2"/>
  <c r="A7082" i="2"/>
  <c r="B7081" i="2"/>
  <c r="A7081" i="2"/>
  <c r="C7081" i="2" s="1"/>
  <c r="G7081" i="2" s="1"/>
  <c r="B7080" i="2"/>
  <c r="A7080" i="2"/>
  <c r="B7079" i="2"/>
  <c r="A7079" i="2"/>
  <c r="B7078" i="2"/>
  <c r="C7078" i="2" s="1"/>
  <c r="G7078" i="2" s="1"/>
  <c r="A7078" i="2"/>
  <c r="B7077" i="2"/>
  <c r="A7077" i="2"/>
  <c r="B7076" i="2"/>
  <c r="A7076" i="2"/>
  <c r="B7075" i="2"/>
  <c r="A7075" i="2"/>
  <c r="B7074" i="2"/>
  <c r="A7074" i="2"/>
  <c r="B7073" i="2"/>
  <c r="A7073" i="2"/>
  <c r="C7073" i="2" s="1"/>
  <c r="G7073" i="2" s="1"/>
  <c r="B7072" i="2"/>
  <c r="A7072" i="2"/>
  <c r="C7072" i="2" s="1"/>
  <c r="G7072" i="2" s="1"/>
  <c r="B7071" i="2"/>
  <c r="A7071" i="2"/>
  <c r="B7070" i="2"/>
  <c r="A7070" i="2"/>
  <c r="B7069" i="2"/>
  <c r="A7069" i="2"/>
  <c r="C7069" i="2" s="1"/>
  <c r="G7069" i="2" s="1"/>
  <c r="B7068" i="2"/>
  <c r="A7068" i="2"/>
  <c r="C7068" i="2" s="1"/>
  <c r="G7068" i="2" s="1"/>
  <c r="B7067" i="2"/>
  <c r="A7067" i="2"/>
  <c r="B7066" i="2"/>
  <c r="A7066" i="2"/>
  <c r="B7065" i="2"/>
  <c r="A7065" i="2"/>
  <c r="B7064" i="2"/>
  <c r="A7064" i="2"/>
  <c r="B7063" i="2"/>
  <c r="A7063" i="2"/>
  <c r="B7062" i="2"/>
  <c r="C7062" i="2" s="1"/>
  <c r="G7062" i="2" s="1"/>
  <c r="A7062" i="2"/>
  <c r="B7061" i="2"/>
  <c r="A7061" i="2"/>
  <c r="B7060" i="2"/>
  <c r="A7060" i="2"/>
  <c r="C7060" i="2" s="1"/>
  <c r="G7060" i="2" s="1"/>
  <c r="B7059" i="2"/>
  <c r="A7059" i="2"/>
  <c r="B7058" i="2"/>
  <c r="A7058" i="2"/>
  <c r="B7057" i="2"/>
  <c r="A7057" i="2"/>
  <c r="B7056" i="2"/>
  <c r="A7056" i="2"/>
  <c r="B7055" i="2"/>
  <c r="A7055" i="2"/>
  <c r="B7054" i="2"/>
  <c r="A7054" i="2"/>
  <c r="B7053" i="2"/>
  <c r="A7053" i="2"/>
  <c r="C7053" i="2" s="1"/>
  <c r="G7053" i="2" s="1"/>
  <c r="B7052" i="2"/>
  <c r="A7052" i="2"/>
  <c r="C7052" i="2" s="1"/>
  <c r="G7052" i="2" s="1"/>
  <c r="B7051" i="2"/>
  <c r="A7051" i="2"/>
  <c r="B7050" i="2"/>
  <c r="A7050" i="2"/>
  <c r="B7049" i="2"/>
  <c r="A7049" i="2"/>
  <c r="B7048" i="2"/>
  <c r="A7048" i="2"/>
  <c r="B7047" i="2"/>
  <c r="A7047" i="2"/>
  <c r="B7046" i="2"/>
  <c r="A7046" i="2"/>
  <c r="B7045" i="2"/>
  <c r="A7045" i="2"/>
  <c r="B7044" i="2"/>
  <c r="A7044" i="2"/>
  <c r="C7044" i="2" s="1"/>
  <c r="G7044" i="2" s="1"/>
  <c r="B7043" i="2"/>
  <c r="A7043" i="2"/>
  <c r="B7042" i="2"/>
  <c r="A7042" i="2"/>
  <c r="B7041" i="2"/>
  <c r="A7041" i="2"/>
  <c r="C7041" i="2" s="1"/>
  <c r="G7041" i="2" s="1"/>
  <c r="B7040" i="2"/>
  <c r="A7040" i="2"/>
  <c r="C7040" i="2" s="1"/>
  <c r="G7040" i="2" s="1"/>
  <c r="B7039" i="2"/>
  <c r="A7039" i="2"/>
  <c r="B7038" i="2"/>
  <c r="A7038" i="2"/>
  <c r="B7037" i="2"/>
  <c r="A7037" i="2"/>
  <c r="C7037" i="2" s="1"/>
  <c r="G7037" i="2" s="1"/>
  <c r="B7036" i="2"/>
  <c r="A7036" i="2"/>
  <c r="B7035" i="2"/>
  <c r="A7035" i="2"/>
  <c r="B7034" i="2"/>
  <c r="A7034" i="2"/>
  <c r="B7033" i="2"/>
  <c r="A7033" i="2"/>
  <c r="B7032" i="2"/>
  <c r="C7032" i="2" s="1"/>
  <c r="G7032" i="2" s="1"/>
  <c r="A7032" i="2"/>
  <c r="B7031" i="2"/>
  <c r="A7031" i="2"/>
  <c r="B7030" i="2"/>
  <c r="A7030" i="2"/>
  <c r="B7029" i="2"/>
  <c r="A7029" i="2"/>
  <c r="B7028" i="2"/>
  <c r="A7028" i="2"/>
  <c r="B7027" i="2"/>
  <c r="A7027" i="2"/>
  <c r="B7026" i="2"/>
  <c r="A7026" i="2"/>
  <c r="B7025" i="2"/>
  <c r="C7025" i="2" s="1"/>
  <c r="G7025" i="2" s="1"/>
  <c r="A7025" i="2"/>
  <c r="B7024" i="2"/>
  <c r="A7024" i="2"/>
  <c r="B7023" i="2"/>
  <c r="A7023" i="2"/>
  <c r="C7023" i="2" s="1"/>
  <c r="G7023" i="2" s="1"/>
  <c r="B7022" i="2"/>
  <c r="A7022" i="2"/>
  <c r="C7022" i="2" s="1"/>
  <c r="G7022" i="2" s="1"/>
  <c r="B7021" i="2"/>
  <c r="A7021" i="2"/>
  <c r="B7020" i="2"/>
  <c r="A7020" i="2"/>
  <c r="B7019" i="2"/>
  <c r="A7019" i="2"/>
  <c r="B7018" i="2"/>
  <c r="A7018" i="2"/>
  <c r="C7018" i="2" s="1"/>
  <c r="G7018" i="2" s="1"/>
  <c r="B7017" i="2"/>
  <c r="A7017" i="2"/>
  <c r="B7016" i="2"/>
  <c r="A7016" i="2"/>
  <c r="B7015" i="2"/>
  <c r="A7015" i="2"/>
  <c r="B7014" i="2"/>
  <c r="A7014" i="2"/>
  <c r="C7014" i="2" s="1"/>
  <c r="G7014" i="2" s="1"/>
  <c r="B7013" i="2"/>
  <c r="A7013" i="2"/>
  <c r="B7012" i="2"/>
  <c r="A7012" i="2"/>
  <c r="B7011" i="2"/>
  <c r="A7011" i="2"/>
  <c r="B7010" i="2"/>
  <c r="A7010" i="2"/>
  <c r="B7009" i="2"/>
  <c r="A7009" i="2"/>
  <c r="B7008" i="2"/>
  <c r="A7008" i="2"/>
  <c r="B7007" i="2"/>
  <c r="A7007" i="2"/>
  <c r="B7006" i="2"/>
  <c r="A7006" i="2"/>
  <c r="B7005" i="2"/>
  <c r="A7005" i="2"/>
  <c r="B7004" i="2"/>
  <c r="A7004" i="2"/>
  <c r="B7003" i="2"/>
  <c r="A7003" i="2"/>
  <c r="B7002" i="2"/>
  <c r="A7002" i="2"/>
  <c r="B7001" i="2"/>
  <c r="A7001" i="2"/>
  <c r="B7000" i="2"/>
  <c r="A7000" i="2"/>
  <c r="B6999" i="2"/>
  <c r="A6999" i="2"/>
  <c r="B6998" i="2"/>
  <c r="A6998" i="2"/>
  <c r="B6997" i="2"/>
  <c r="A6997" i="2"/>
  <c r="B6996" i="2"/>
  <c r="A6996" i="2"/>
  <c r="B6995" i="2"/>
  <c r="A6995" i="2"/>
  <c r="B6994" i="2"/>
  <c r="A6994" i="2"/>
  <c r="B6993" i="2"/>
  <c r="A6993" i="2"/>
  <c r="B6992" i="2"/>
  <c r="C6992" i="2" s="1"/>
  <c r="G6992" i="2" s="1"/>
  <c r="A6992" i="2"/>
  <c r="B6991" i="2"/>
  <c r="A6991" i="2"/>
  <c r="B6990" i="2"/>
  <c r="A6990" i="2"/>
  <c r="B6989" i="2"/>
  <c r="A6989" i="2"/>
  <c r="B6988" i="2"/>
  <c r="A6988" i="2"/>
  <c r="B6987" i="2"/>
  <c r="A6987" i="2"/>
  <c r="B6986" i="2"/>
  <c r="A6986" i="2"/>
  <c r="B6985" i="2"/>
  <c r="A6985" i="2"/>
  <c r="B6984" i="2"/>
  <c r="A6984" i="2"/>
  <c r="B6983" i="2"/>
  <c r="A6983" i="2"/>
  <c r="B6982" i="2"/>
  <c r="A6982" i="2"/>
  <c r="B6981" i="2"/>
  <c r="C6981" i="2" s="1"/>
  <c r="G6981" i="2" s="1"/>
  <c r="A6981" i="2"/>
  <c r="B6980" i="2"/>
  <c r="A6980" i="2"/>
  <c r="B6979" i="2"/>
  <c r="A6979" i="2"/>
  <c r="B6978" i="2"/>
  <c r="A6978" i="2"/>
  <c r="B6977" i="2"/>
  <c r="A6977" i="2"/>
  <c r="C6977" i="2" s="1"/>
  <c r="G6977" i="2" s="1"/>
  <c r="B6976" i="2"/>
  <c r="A6976" i="2"/>
  <c r="B6975" i="2"/>
  <c r="A6975" i="2"/>
  <c r="B6974" i="2"/>
  <c r="A6974" i="2"/>
  <c r="B6973" i="2"/>
  <c r="A6973" i="2"/>
  <c r="C6973" i="2" s="1"/>
  <c r="G6973" i="2" s="1"/>
  <c r="B6972" i="2"/>
  <c r="A6972" i="2"/>
  <c r="C6972" i="2" s="1"/>
  <c r="G6972" i="2" s="1"/>
  <c r="B6971" i="2"/>
  <c r="A6971" i="2"/>
  <c r="C6971" i="2" s="1"/>
  <c r="G6971" i="2" s="1"/>
  <c r="B6970" i="2"/>
  <c r="A6970" i="2"/>
  <c r="B6969" i="2"/>
  <c r="A6969" i="2"/>
  <c r="B6968" i="2"/>
  <c r="A6968" i="2"/>
  <c r="C6968" i="2" s="1"/>
  <c r="G6968" i="2" s="1"/>
  <c r="B6967" i="2"/>
  <c r="A6967" i="2"/>
  <c r="B6966" i="2"/>
  <c r="A6966" i="2"/>
  <c r="B6965" i="2"/>
  <c r="A6965" i="2"/>
  <c r="C6965" i="2" s="1"/>
  <c r="G6965" i="2" s="1"/>
  <c r="B6964" i="2"/>
  <c r="A6964" i="2"/>
  <c r="B6963" i="2"/>
  <c r="A6963" i="2"/>
  <c r="C6963" i="2" s="1"/>
  <c r="G6963" i="2" s="1"/>
  <c r="B6962" i="2"/>
  <c r="A6962" i="2"/>
  <c r="B6961" i="2"/>
  <c r="A6961" i="2"/>
  <c r="C6961" i="2" s="1"/>
  <c r="G6961" i="2" s="1"/>
  <c r="B6960" i="2"/>
  <c r="A6960" i="2"/>
  <c r="C6960" i="2" s="1"/>
  <c r="G6960" i="2" s="1"/>
  <c r="B6959" i="2"/>
  <c r="A6959" i="2"/>
  <c r="B6958" i="2"/>
  <c r="A6958" i="2"/>
  <c r="B6957" i="2"/>
  <c r="A6957" i="2"/>
  <c r="C6957" i="2" s="1"/>
  <c r="G6957" i="2" s="1"/>
  <c r="B6956" i="2"/>
  <c r="A6956" i="2"/>
  <c r="B6955" i="2"/>
  <c r="A6955" i="2"/>
  <c r="C6955" i="2" s="1"/>
  <c r="G6955" i="2" s="1"/>
  <c r="B6954" i="2"/>
  <c r="A6954" i="2"/>
  <c r="B6953" i="2"/>
  <c r="A6953" i="2"/>
  <c r="B6952" i="2"/>
  <c r="A6952" i="2"/>
  <c r="C6952" i="2" s="1"/>
  <c r="G6952" i="2" s="1"/>
  <c r="B6951" i="2"/>
  <c r="A6951" i="2"/>
  <c r="C6951" i="2" s="1"/>
  <c r="G6951" i="2" s="1"/>
  <c r="B6950" i="2"/>
  <c r="A6950" i="2"/>
  <c r="B6949" i="2"/>
  <c r="A6949" i="2"/>
  <c r="C6949" i="2" s="1"/>
  <c r="G6949" i="2" s="1"/>
  <c r="B6948" i="2"/>
  <c r="A6948" i="2"/>
  <c r="C6948" i="2" s="1"/>
  <c r="G6948" i="2" s="1"/>
  <c r="B6947" i="2"/>
  <c r="A6947" i="2"/>
  <c r="B6946" i="2"/>
  <c r="A6946" i="2"/>
  <c r="B6945" i="2"/>
  <c r="A6945" i="2"/>
  <c r="C6945" i="2" s="1"/>
  <c r="G6945" i="2" s="1"/>
  <c r="B6944" i="2"/>
  <c r="A6944" i="2"/>
  <c r="B6943" i="2"/>
  <c r="A6943" i="2"/>
  <c r="B6942" i="2"/>
  <c r="A6942" i="2"/>
  <c r="C6942" i="2" s="1"/>
  <c r="G6942" i="2" s="1"/>
  <c r="B6941" i="2"/>
  <c r="A6941" i="2"/>
  <c r="B6940" i="2"/>
  <c r="A6940" i="2"/>
  <c r="B6939" i="2"/>
  <c r="A6939" i="2"/>
  <c r="B6938" i="2"/>
  <c r="A6938" i="2"/>
  <c r="C6938" i="2" s="1"/>
  <c r="G6938" i="2" s="1"/>
  <c r="B6937" i="2"/>
  <c r="A6937" i="2"/>
  <c r="B6936" i="2"/>
  <c r="A6936" i="2"/>
  <c r="B6935" i="2"/>
  <c r="A6935" i="2"/>
  <c r="C6935" i="2" s="1"/>
  <c r="G6935" i="2" s="1"/>
  <c r="B6934" i="2"/>
  <c r="A6934" i="2"/>
  <c r="B6933" i="2"/>
  <c r="A6933" i="2"/>
  <c r="B6932" i="2"/>
  <c r="A6932" i="2"/>
  <c r="B6931" i="2"/>
  <c r="A6931" i="2"/>
  <c r="C6931" i="2" s="1"/>
  <c r="G6931" i="2" s="1"/>
  <c r="B6930" i="2"/>
  <c r="A6930" i="2"/>
  <c r="C6930" i="2" s="1"/>
  <c r="G6930" i="2" s="1"/>
  <c r="B6929" i="2"/>
  <c r="A6929" i="2"/>
  <c r="C6929" i="2" s="1"/>
  <c r="G6929" i="2" s="1"/>
  <c r="B6928" i="2"/>
  <c r="A6928" i="2"/>
  <c r="C6928" i="2" s="1"/>
  <c r="G6928" i="2" s="1"/>
  <c r="B6927" i="2"/>
  <c r="A6927" i="2"/>
  <c r="B6926" i="2"/>
  <c r="A6926" i="2"/>
  <c r="C6926" i="2" s="1"/>
  <c r="G6926" i="2" s="1"/>
  <c r="B6925" i="2"/>
  <c r="A6925" i="2"/>
  <c r="B6924" i="2"/>
  <c r="A6924" i="2"/>
  <c r="C6924" i="2" s="1"/>
  <c r="G6924" i="2" s="1"/>
  <c r="B6923" i="2"/>
  <c r="A6923" i="2"/>
  <c r="B6922" i="2"/>
  <c r="A6922" i="2"/>
  <c r="C6922" i="2" s="1"/>
  <c r="G6922" i="2" s="1"/>
  <c r="B6921" i="2"/>
  <c r="A6921" i="2"/>
  <c r="B6920" i="2"/>
  <c r="A6920" i="2"/>
  <c r="C6920" i="2" s="1"/>
  <c r="G6920" i="2" s="1"/>
  <c r="B6919" i="2"/>
  <c r="A6919" i="2"/>
  <c r="B6918" i="2"/>
  <c r="A6918" i="2"/>
  <c r="C6918" i="2" s="1"/>
  <c r="G6918" i="2" s="1"/>
  <c r="B6917" i="2"/>
  <c r="A6917" i="2"/>
  <c r="B6916" i="2"/>
  <c r="A6916" i="2"/>
  <c r="B6915" i="2"/>
  <c r="A6915" i="2"/>
  <c r="C6915" i="2" s="1"/>
  <c r="G6915" i="2" s="1"/>
  <c r="B6914" i="2"/>
  <c r="A6914" i="2"/>
  <c r="B6913" i="2"/>
  <c r="C6913" i="2" s="1"/>
  <c r="G6913" i="2" s="1"/>
  <c r="A6913" i="2"/>
  <c r="B6912" i="2"/>
  <c r="A6912" i="2"/>
  <c r="B6911" i="2"/>
  <c r="A6911" i="2"/>
  <c r="B6910" i="2"/>
  <c r="C6910" i="2" s="1"/>
  <c r="G6910" i="2" s="1"/>
  <c r="A6910" i="2"/>
  <c r="B6909" i="2"/>
  <c r="A6909" i="2"/>
  <c r="B6908" i="2"/>
  <c r="A6908" i="2"/>
  <c r="B6907" i="2"/>
  <c r="A6907" i="2"/>
  <c r="B6906" i="2"/>
  <c r="A6906" i="2"/>
  <c r="B6905" i="2"/>
  <c r="A6905" i="2"/>
  <c r="B6904" i="2"/>
  <c r="A6904" i="2"/>
  <c r="B6903" i="2"/>
  <c r="A6903" i="2"/>
  <c r="B6902" i="2"/>
  <c r="A6902" i="2"/>
  <c r="B6901" i="2"/>
  <c r="A6901" i="2"/>
  <c r="B6900" i="2"/>
  <c r="A6900" i="2"/>
  <c r="B6899" i="2"/>
  <c r="A6899" i="2"/>
  <c r="B6898" i="2"/>
  <c r="A6898" i="2"/>
  <c r="B6897" i="2"/>
  <c r="A6897" i="2"/>
  <c r="B6896" i="2"/>
  <c r="A6896" i="2"/>
  <c r="B6895" i="2"/>
  <c r="A6895" i="2"/>
  <c r="B6894" i="2"/>
  <c r="A6894" i="2"/>
  <c r="B6893" i="2"/>
  <c r="A6893" i="2"/>
  <c r="B6892" i="2"/>
  <c r="A6892" i="2"/>
  <c r="B6891" i="2"/>
  <c r="A6891" i="2"/>
  <c r="B6890" i="2"/>
  <c r="A6890" i="2"/>
  <c r="B6889" i="2"/>
  <c r="A6889" i="2"/>
  <c r="B6888" i="2"/>
  <c r="A6888" i="2"/>
  <c r="B6887" i="2"/>
  <c r="A6887" i="2"/>
  <c r="B6886" i="2"/>
  <c r="A6886" i="2"/>
  <c r="B6885" i="2"/>
  <c r="A6885" i="2"/>
  <c r="B6884" i="2"/>
  <c r="A6884" i="2"/>
  <c r="B6883" i="2"/>
  <c r="A6883" i="2"/>
  <c r="B6882" i="2"/>
  <c r="A6882" i="2"/>
  <c r="B6881" i="2"/>
  <c r="A6881" i="2"/>
  <c r="B6880" i="2"/>
  <c r="A6880" i="2"/>
  <c r="B6879" i="2"/>
  <c r="A6879" i="2"/>
  <c r="B6878" i="2"/>
  <c r="A6878" i="2"/>
  <c r="B6877" i="2"/>
  <c r="A6877" i="2"/>
  <c r="C6877" i="2" s="1"/>
  <c r="G6877" i="2" s="1"/>
  <c r="B6876" i="2"/>
  <c r="A6876" i="2"/>
  <c r="B6875" i="2"/>
  <c r="A6875" i="2"/>
  <c r="B6874" i="2"/>
  <c r="A6874" i="2"/>
  <c r="C6874" i="2" s="1"/>
  <c r="G6874" i="2" s="1"/>
  <c r="B6873" i="2"/>
  <c r="A6873" i="2"/>
  <c r="B6872" i="2"/>
  <c r="A6872" i="2"/>
  <c r="B6871" i="2"/>
  <c r="A6871" i="2"/>
  <c r="B6870" i="2"/>
  <c r="A6870" i="2"/>
  <c r="B6869" i="2"/>
  <c r="A6869" i="2"/>
  <c r="C6869" i="2" s="1"/>
  <c r="G6869" i="2" s="1"/>
  <c r="B6868" i="2"/>
  <c r="A6868" i="2"/>
  <c r="B6867" i="2"/>
  <c r="A6867" i="2"/>
  <c r="B6866" i="2"/>
  <c r="A6866" i="2"/>
  <c r="B6865" i="2"/>
  <c r="A6865" i="2"/>
  <c r="C6865" i="2" s="1"/>
  <c r="G6865" i="2" s="1"/>
  <c r="B6864" i="2"/>
  <c r="A6864" i="2"/>
  <c r="C6864" i="2" s="1"/>
  <c r="G6864" i="2" s="1"/>
  <c r="B6863" i="2"/>
  <c r="A6863" i="2"/>
  <c r="B6862" i="2"/>
  <c r="A6862" i="2"/>
  <c r="B6861" i="2"/>
  <c r="A6861" i="2"/>
  <c r="C6861" i="2" s="1"/>
  <c r="G6861" i="2" s="1"/>
  <c r="B6860" i="2"/>
  <c r="A6860" i="2"/>
  <c r="B6859" i="2"/>
  <c r="A6859" i="2"/>
  <c r="C6859" i="2" s="1"/>
  <c r="G6859" i="2" s="1"/>
  <c r="B6858" i="2"/>
  <c r="A6858" i="2"/>
  <c r="B6857" i="2"/>
  <c r="A6857" i="2"/>
  <c r="B6856" i="2"/>
  <c r="A6856" i="2"/>
  <c r="C6856" i="2" s="1"/>
  <c r="G6856" i="2" s="1"/>
  <c r="B6855" i="2"/>
  <c r="A6855" i="2"/>
  <c r="C6855" i="2" s="1"/>
  <c r="G6855" i="2" s="1"/>
  <c r="B6854" i="2"/>
  <c r="A6854" i="2"/>
  <c r="B6853" i="2"/>
  <c r="A6853" i="2"/>
  <c r="C6853" i="2" s="1"/>
  <c r="G6853" i="2" s="1"/>
  <c r="B6852" i="2"/>
  <c r="A6852" i="2"/>
  <c r="C6852" i="2" s="1"/>
  <c r="G6852" i="2" s="1"/>
  <c r="B6851" i="2"/>
  <c r="A6851" i="2"/>
  <c r="B6850" i="2"/>
  <c r="A6850" i="2"/>
  <c r="B6849" i="2"/>
  <c r="A6849" i="2"/>
  <c r="C6849" i="2" s="1"/>
  <c r="G6849" i="2" s="1"/>
  <c r="B6848" i="2"/>
  <c r="A6848" i="2"/>
  <c r="B6847" i="2"/>
  <c r="A6847" i="2"/>
  <c r="B6846" i="2"/>
  <c r="A6846" i="2"/>
  <c r="C6846" i="2" s="1"/>
  <c r="G6846" i="2" s="1"/>
  <c r="B6845" i="2"/>
  <c r="A6845" i="2"/>
  <c r="B6844" i="2"/>
  <c r="A6844" i="2"/>
  <c r="B6843" i="2"/>
  <c r="A6843" i="2"/>
  <c r="B6842" i="2"/>
  <c r="A6842" i="2"/>
  <c r="C6842" i="2" s="1"/>
  <c r="G6842" i="2" s="1"/>
  <c r="B6841" i="2"/>
  <c r="A6841" i="2"/>
  <c r="B6840" i="2"/>
  <c r="A6840" i="2"/>
  <c r="B6839" i="2"/>
  <c r="A6839" i="2"/>
  <c r="B6838" i="2"/>
  <c r="A6838" i="2"/>
  <c r="C6838" i="2" s="1"/>
  <c r="G6838" i="2" s="1"/>
  <c r="B6837" i="2"/>
  <c r="A6837" i="2"/>
  <c r="C6837" i="2" s="1"/>
  <c r="G6837" i="2" s="1"/>
  <c r="B6836" i="2"/>
  <c r="A6836" i="2"/>
  <c r="B6835" i="2"/>
  <c r="A6835" i="2"/>
  <c r="C6835" i="2" s="1"/>
  <c r="G6835" i="2" s="1"/>
  <c r="B6834" i="2"/>
  <c r="A6834" i="2"/>
  <c r="B6833" i="2"/>
  <c r="A6833" i="2"/>
  <c r="C6833" i="2" s="1"/>
  <c r="G6833" i="2" s="1"/>
  <c r="B6832" i="2"/>
  <c r="A6832" i="2"/>
  <c r="C6832" i="2" s="1"/>
  <c r="G6832" i="2" s="1"/>
  <c r="B6831" i="2"/>
  <c r="A6831" i="2"/>
  <c r="B6830" i="2"/>
  <c r="A6830" i="2"/>
  <c r="C6830" i="2" s="1"/>
  <c r="G6830" i="2" s="1"/>
  <c r="B6829" i="2"/>
  <c r="A6829" i="2"/>
  <c r="B6828" i="2"/>
  <c r="A6828" i="2"/>
  <c r="B6827" i="2"/>
  <c r="A6827" i="2"/>
  <c r="B6826" i="2"/>
  <c r="A6826" i="2"/>
  <c r="B6825" i="2"/>
  <c r="A6825" i="2"/>
  <c r="B6824" i="2"/>
  <c r="A6824" i="2"/>
  <c r="B6823" i="2"/>
  <c r="A6823" i="2"/>
  <c r="B6822" i="2"/>
  <c r="A6822" i="2"/>
  <c r="C6822" i="2" s="1"/>
  <c r="G6822" i="2" s="1"/>
  <c r="B6821" i="2"/>
  <c r="A6821" i="2"/>
  <c r="B6820" i="2"/>
  <c r="A6820" i="2"/>
  <c r="B6819" i="2"/>
  <c r="A6819" i="2"/>
  <c r="B6818" i="2"/>
  <c r="A6818" i="2"/>
  <c r="C6818" i="2" s="1"/>
  <c r="G6818" i="2" s="1"/>
  <c r="B6817" i="2"/>
  <c r="A6817" i="2"/>
  <c r="C6817" i="2" s="1"/>
  <c r="G6817" i="2" s="1"/>
  <c r="B6816" i="2"/>
  <c r="A6816" i="2"/>
  <c r="C6816" i="2" s="1"/>
  <c r="G6816" i="2" s="1"/>
  <c r="B6815" i="2"/>
  <c r="A6815" i="2"/>
  <c r="C6815" i="2" s="1"/>
  <c r="G6815" i="2" s="1"/>
  <c r="B6814" i="2"/>
  <c r="A6814" i="2"/>
  <c r="C6814" i="2" s="1"/>
  <c r="G6814" i="2" s="1"/>
  <c r="B6813" i="2"/>
  <c r="A6813" i="2"/>
  <c r="C6813" i="2" s="1"/>
  <c r="G6813" i="2" s="1"/>
  <c r="B6812" i="2"/>
  <c r="A6812" i="2"/>
  <c r="C6812" i="2" s="1"/>
  <c r="G6812" i="2" s="1"/>
  <c r="B6811" i="2"/>
  <c r="A6811" i="2"/>
  <c r="B6810" i="2"/>
  <c r="A6810" i="2"/>
  <c r="B6809" i="2"/>
  <c r="A6809" i="2"/>
  <c r="B6808" i="2"/>
  <c r="A6808" i="2"/>
  <c r="C6808" i="2" s="1"/>
  <c r="G6808" i="2" s="1"/>
  <c r="B6807" i="2"/>
  <c r="A6807" i="2"/>
  <c r="C6807" i="2" s="1"/>
  <c r="G6807" i="2" s="1"/>
  <c r="B6806" i="2"/>
  <c r="A6806" i="2"/>
  <c r="C6806" i="2" s="1"/>
  <c r="G6806" i="2" s="1"/>
  <c r="B6805" i="2"/>
  <c r="A6805" i="2"/>
  <c r="C6805" i="2" s="1"/>
  <c r="G6805" i="2" s="1"/>
  <c r="B6804" i="2"/>
  <c r="A6804" i="2"/>
  <c r="B6803" i="2"/>
  <c r="A6803" i="2"/>
  <c r="B6802" i="2"/>
  <c r="A6802" i="2"/>
  <c r="C6802" i="2" s="1"/>
  <c r="G6802" i="2" s="1"/>
  <c r="B6801" i="2"/>
  <c r="A6801" i="2"/>
  <c r="B6800" i="2"/>
  <c r="A6800" i="2"/>
  <c r="C6800" i="2" s="1"/>
  <c r="G6800" i="2" s="1"/>
  <c r="B6799" i="2"/>
  <c r="A6799" i="2"/>
  <c r="B6798" i="2"/>
  <c r="C6798" i="2" s="1"/>
  <c r="G6798" i="2" s="1"/>
  <c r="A6798" i="2"/>
  <c r="B6797" i="2"/>
  <c r="C6797" i="2" s="1"/>
  <c r="G6797" i="2" s="1"/>
  <c r="A6797" i="2"/>
  <c r="B6796" i="2"/>
  <c r="A6796" i="2"/>
  <c r="C6796" i="2" s="1"/>
  <c r="G6796" i="2" s="1"/>
  <c r="B6795" i="2"/>
  <c r="A6795" i="2"/>
  <c r="C6795" i="2" s="1"/>
  <c r="G6795" i="2" s="1"/>
  <c r="B6794" i="2"/>
  <c r="A6794" i="2"/>
  <c r="B6793" i="2"/>
  <c r="C6793" i="2" s="1"/>
  <c r="G6793" i="2" s="1"/>
  <c r="A6793" i="2"/>
  <c r="B6792" i="2"/>
  <c r="A6792" i="2"/>
  <c r="C6792" i="2" s="1"/>
  <c r="G6792" i="2" s="1"/>
  <c r="B6791" i="2"/>
  <c r="A6791" i="2"/>
  <c r="B6790" i="2"/>
  <c r="A6790" i="2"/>
  <c r="B6789" i="2"/>
  <c r="A6789" i="2"/>
  <c r="B6788" i="2"/>
  <c r="A6788" i="2"/>
  <c r="B6787" i="2"/>
  <c r="A6787" i="2"/>
  <c r="B6786" i="2"/>
  <c r="A6786" i="2"/>
  <c r="B6785" i="2"/>
  <c r="A6785" i="2"/>
  <c r="B6784" i="2"/>
  <c r="A6784" i="2"/>
  <c r="B6783" i="2"/>
  <c r="A6783" i="2"/>
  <c r="B6782" i="2"/>
  <c r="A6782" i="2"/>
  <c r="B6781" i="2"/>
  <c r="A6781" i="2"/>
  <c r="B6780" i="2"/>
  <c r="A6780" i="2"/>
  <c r="B6779" i="2"/>
  <c r="A6779" i="2"/>
  <c r="B6778" i="2"/>
  <c r="A6778" i="2"/>
  <c r="B6777" i="2"/>
  <c r="A6777" i="2"/>
  <c r="B6776" i="2"/>
  <c r="A6776" i="2"/>
  <c r="C6776" i="2" s="1"/>
  <c r="G6776" i="2" s="1"/>
  <c r="B6775" i="2"/>
  <c r="A6775" i="2"/>
  <c r="B6774" i="2"/>
  <c r="A6774" i="2"/>
  <c r="B6773" i="2"/>
  <c r="C6773" i="2" s="1"/>
  <c r="G6773" i="2" s="1"/>
  <c r="A6773" i="2"/>
  <c r="B6772" i="2"/>
  <c r="A6772" i="2"/>
  <c r="B6771" i="2"/>
  <c r="A6771" i="2"/>
  <c r="C6771" i="2" s="1"/>
  <c r="G6771" i="2" s="1"/>
  <c r="B6770" i="2"/>
  <c r="A6770" i="2"/>
  <c r="B6769" i="2"/>
  <c r="A6769" i="2"/>
  <c r="B6768" i="2"/>
  <c r="A6768" i="2"/>
  <c r="C6768" i="2" s="1"/>
  <c r="G6768" i="2" s="1"/>
  <c r="B6767" i="2"/>
  <c r="A6767" i="2"/>
  <c r="B6766" i="2"/>
  <c r="A6766" i="2"/>
  <c r="B6765" i="2"/>
  <c r="A6765" i="2"/>
  <c r="B6764" i="2"/>
  <c r="A6764" i="2"/>
  <c r="B6763" i="2"/>
  <c r="A6763" i="2"/>
  <c r="B6762" i="2"/>
  <c r="A6762" i="2"/>
  <c r="B6761" i="2"/>
  <c r="A6761" i="2"/>
  <c r="B6760" i="2"/>
  <c r="A6760" i="2"/>
  <c r="C6760" i="2" s="1"/>
  <c r="G6760" i="2" s="1"/>
  <c r="B6759" i="2"/>
  <c r="A6759" i="2"/>
  <c r="C6759" i="2" s="1"/>
  <c r="G6759" i="2" s="1"/>
  <c r="B6758" i="2"/>
  <c r="C6758" i="2" s="1"/>
  <c r="G6758" i="2" s="1"/>
  <c r="A6758" i="2"/>
  <c r="B6757" i="2"/>
  <c r="A6757" i="2"/>
  <c r="B6756" i="2"/>
  <c r="A6756" i="2"/>
  <c r="B6755" i="2"/>
  <c r="A6755" i="2"/>
  <c r="C6755" i="2" s="1"/>
  <c r="G6755" i="2" s="1"/>
  <c r="B6754" i="2"/>
  <c r="A6754" i="2"/>
  <c r="B6753" i="2"/>
  <c r="A6753" i="2"/>
  <c r="B6752" i="2"/>
  <c r="A6752" i="2"/>
  <c r="B6751" i="2"/>
  <c r="A6751" i="2"/>
  <c r="B6750" i="2"/>
  <c r="A6750" i="2"/>
  <c r="B6749" i="2"/>
  <c r="A6749" i="2"/>
  <c r="B6748" i="2"/>
  <c r="A6748" i="2"/>
  <c r="B6747" i="2"/>
  <c r="A6747" i="2"/>
  <c r="B6746" i="2"/>
  <c r="A6746" i="2"/>
  <c r="B6745" i="2"/>
  <c r="A6745" i="2"/>
  <c r="B6744" i="2"/>
  <c r="A6744" i="2"/>
  <c r="B6743" i="2"/>
  <c r="A6743" i="2"/>
  <c r="B6742" i="2"/>
  <c r="A6742" i="2"/>
  <c r="B6741" i="2"/>
  <c r="A6741" i="2"/>
  <c r="B6740" i="2"/>
  <c r="A6740" i="2"/>
  <c r="B6739" i="2"/>
  <c r="A6739" i="2"/>
  <c r="C6739" i="2" s="1"/>
  <c r="G6739" i="2" s="1"/>
  <c r="B6738" i="2"/>
  <c r="A6738" i="2"/>
  <c r="B6737" i="2"/>
  <c r="A6737" i="2"/>
  <c r="B6736" i="2"/>
  <c r="A6736" i="2"/>
  <c r="C6736" i="2" s="1"/>
  <c r="G6736" i="2" s="1"/>
  <c r="B6735" i="2"/>
  <c r="A6735" i="2"/>
  <c r="C6735" i="2" s="1"/>
  <c r="G6735" i="2" s="1"/>
  <c r="B6734" i="2"/>
  <c r="A6734" i="2"/>
  <c r="B6733" i="2"/>
  <c r="A6733" i="2"/>
  <c r="B6732" i="2"/>
  <c r="A6732" i="2"/>
  <c r="C6732" i="2" s="1"/>
  <c r="G6732" i="2" s="1"/>
  <c r="B6731" i="2"/>
  <c r="A6731" i="2"/>
  <c r="B6730" i="2"/>
  <c r="A6730" i="2"/>
  <c r="B6729" i="2"/>
  <c r="A6729" i="2"/>
  <c r="B6728" i="2"/>
  <c r="A6728" i="2"/>
  <c r="B6727" i="2"/>
  <c r="A6727" i="2"/>
  <c r="B6726" i="2"/>
  <c r="C6726" i="2" s="1"/>
  <c r="G6726" i="2" s="1"/>
  <c r="A6726" i="2"/>
  <c r="B6725" i="2"/>
  <c r="C6725" i="2" s="1"/>
  <c r="G6725" i="2" s="1"/>
  <c r="A6725" i="2"/>
  <c r="B6724" i="2"/>
  <c r="A6724" i="2"/>
  <c r="B6723" i="2"/>
  <c r="A6723" i="2"/>
  <c r="B6722" i="2"/>
  <c r="A6722" i="2"/>
  <c r="B6721" i="2"/>
  <c r="A6721" i="2"/>
  <c r="B6720" i="2"/>
  <c r="A6720" i="2"/>
  <c r="C6720" i="2" s="1"/>
  <c r="G6720" i="2" s="1"/>
  <c r="B6719" i="2"/>
  <c r="A6719" i="2"/>
  <c r="B6718" i="2"/>
  <c r="A6718" i="2"/>
  <c r="C6718" i="2" s="1"/>
  <c r="G6718" i="2" s="1"/>
  <c r="B6717" i="2"/>
  <c r="A6717" i="2"/>
  <c r="B6716" i="2"/>
  <c r="A6716" i="2"/>
  <c r="B6715" i="2"/>
  <c r="A6715" i="2"/>
  <c r="B6714" i="2"/>
  <c r="A6714" i="2"/>
  <c r="B6713" i="2"/>
  <c r="A6713" i="2"/>
  <c r="B6712" i="2"/>
  <c r="A6712" i="2"/>
  <c r="B6711" i="2"/>
  <c r="A6711" i="2"/>
  <c r="B6710" i="2"/>
  <c r="C6710" i="2" s="1"/>
  <c r="G6710" i="2" s="1"/>
  <c r="A6710" i="2"/>
  <c r="B6709" i="2"/>
  <c r="A6709" i="2"/>
  <c r="B6708" i="2"/>
  <c r="A6708" i="2"/>
  <c r="B6707" i="2"/>
  <c r="A6707" i="2"/>
  <c r="B6706" i="2"/>
  <c r="A6706" i="2"/>
  <c r="B6705" i="2"/>
  <c r="A6705" i="2"/>
  <c r="B6704" i="2"/>
  <c r="A6704" i="2"/>
  <c r="B6703" i="2"/>
  <c r="A6703" i="2"/>
  <c r="B6702" i="2"/>
  <c r="A6702" i="2"/>
  <c r="B6701" i="2"/>
  <c r="A6701" i="2"/>
  <c r="B6700" i="2"/>
  <c r="A6700" i="2"/>
  <c r="B6699" i="2"/>
  <c r="A6699" i="2"/>
  <c r="B6698" i="2"/>
  <c r="A6698" i="2"/>
  <c r="B6697" i="2"/>
  <c r="A6697" i="2"/>
  <c r="B6696" i="2"/>
  <c r="A6696" i="2"/>
  <c r="B6695" i="2"/>
  <c r="A6695" i="2"/>
  <c r="B6694" i="2"/>
  <c r="C6694" i="2" s="1"/>
  <c r="G6694" i="2" s="1"/>
  <c r="A6694" i="2"/>
  <c r="B6693" i="2"/>
  <c r="A6693" i="2"/>
  <c r="B6692" i="2"/>
  <c r="A6692" i="2"/>
  <c r="B6691" i="2"/>
  <c r="A6691" i="2"/>
  <c r="B6690" i="2"/>
  <c r="A6690" i="2"/>
  <c r="B6689" i="2"/>
  <c r="A6689" i="2"/>
  <c r="B6688" i="2"/>
  <c r="A6688" i="2"/>
  <c r="B6687" i="2"/>
  <c r="A6687" i="2"/>
  <c r="B6686" i="2"/>
  <c r="A6686" i="2"/>
  <c r="B6685" i="2"/>
  <c r="A6685" i="2"/>
  <c r="B6684" i="2"/>
  <c r="A6684" i="2"/>
  <c r="B6683" i="2"/>
  <c r="A6683" i="2"/>
  <c r="B6682" i="2"/>
  <c r="A6682" i="2"/>
  <c r="B6681" i="2"/>
  <c r="C6681" i="2" s="1"/>
  <c r="G6681" i="2" s="1"/>
  <c r="A6681" i="2"/>
  <c r="B6680" i="2"/>
  <c r="C6680" i="2" s="1"/>
  <c r="G6680" i="2" s="1"/>
  <c r="A6680" i="2"/>
  <c r="B6679" i="2"/>
  <c r="A6679" i="2"/>
  <c r="B6678" i="2"/>
  <c r="A6678" i="2"/>
  <c r="B6677" i="2"/>
  <c r="A6677" i="2"/>
  <c r="B6676" i="2"/>
  <c r="A6676" i="2"/>
  <c r="B6675" i="2"/>
  <c r="A6675" i="2"/>
  <c r="B6674" i="2"/>
  <c r="A6674" i="2"/>
  <c r="B6673" i="2"/>
  <c r="A6673" i="2"/>
  <c r="B6672" i="2"/>
  <c r="A6672" i="2"/>
  <c r="B6671" i="2"/>
  <c r="A6671" i="2"/>
  <c r="B6670" i="2"/>
  <c r="A6670" i="2"/>
  <c r="C6669" i="2"/>
  <c r="G6669" i="2" s="1"/>
  <c r="B6669" i="2"/>
  <c r="A6669" i="2"/>
  <c r="B6668" i="2"/>
  <c r="A6668" i="2"/>
  <c r="B6667" i="2"/>
  <c r="A6667" i="2"/>
  <c r="B6666" i="2"/>
  <c r="A6666" i="2"/>
  <c r="C6666" i="2" s="1"/>
  <c r="G6666" i="2" s="1"/>
  <c r="B6665" i="2"/>
  <c r="A6665" i="2"/>
  <c r="C6665" i="2" s="1"/>
  <c r="G6665" i="2" s="1"/>
  <c r="B6664" i="2"/>
  <c r="A6664" i="2"/>
  <c r="C6664" i="2" s="1"/>
  <c r="G6664" i="2" s="1"/>
  <c r="B6663" i="2"/>
  <c r="A6663" i="2"/>
  <c r="B6662" i="2"/>
  <c r="A6662" i="2"/>
  <c r="B6661" i="2"/>
  <c r="A6661" i="2"/>
  <c r="B6660" i="2"/>
  <c r="A6660" i="2"/>
  <c r="B6659" i="2"/>
  <c r="A6659" i="2"/>
  <c r="C6659" i="2" s="1"/>
  <c r="G6659" i="2" s="1"/>
  <c r="B6658" i="2"/>
  <c r="A6658" i="2"/>
  <c r="B6657" i="2"/>
  <c r="A6657" i="2"/>
  <c r="B6656" i="2"/>
  <c r="A6656" i="2"/>
  <c r="B6655" i="2"/>
  <c r="A6655" i="2"/>
  <c r="B6654" i="2"/>
  <c r="A6654" i="2"/>
  <c r="C6654" i="2" s="1"/>
  <c r="G6654" i="2" s="1"/>
  <c r="B6653" i="2"/>
  <c r="A6653" i="2"/>
  <c r="B6652" i="2"/>
  <c r="A6652" i="2"/>
  <c r="C6652" i="2" s="1"/>
  <c r="G6652" i="2" s="1"/>
  <c r="B6651" i="2"/>
  <c r="A6651" i="2"/>
  <c r="B6650" i="2"/>
  <c r="A6650" i="2"/>
  <c r="B6649" i="2"/>
  <c r="A6649" i="2"/>
  <c r="B6648" i="2"/>
  <c r="A6648" i="2"/>
  <c r="B6647" i="2"/>
  <c r="A6647" i="2"/>
  <c r="B6646" i="2"/>
  <c r="A6646" i="2"/>
  <c r="C6646" i="2" s="1"/>
  <c r="G6646" i="2" s="1"/>
  <c r="B6645" i="2"/>
  <c r="A6645" i="2"/>
  <c r="B6644" i="2"/>
  <c r="A6644" i="2"/>
  <c r="C6644" i="2" s="1"/>
  <c r="G6644" i="2" s="1"/>
  <c r="B6643" i="2"/>
  <c r="A6643" i="2"/>
  <c r="B6642" i="2"/>
  <c r="A6642" i="2"/>
  <c r="B6641" i="2"/>
  <c r="A6641" i="2"/>
  <c r="B6640" i="2"/>
  <c r="A6640" i="2"/>
  <c r="C6640" i="2" s="1"/>
  <c r="G6640" i="2" s="1"/>
  <c r="B6639" i="2"/>
  <c r="A6639" i="2"/>
  <c r="C6639" i="2" s="1"/>
  <c r="G6639" i="2" s="1"/>
  <c r="B6638" i="2"/>
  <c r="A6638" i="2"/>
  <c r="B6637" i="2"/>
  <c r="A6637" i="2"/>
  <c r="B6636" i="2"/>
  <c r="A6636" i="2"/>
  <c r="B6635" i="2"/>
  <c r="A6635" i="2"/>
  <c r="B6634" i="2"/>
  <c r="A6634" i="2"/>
  <c r="B6633" i="2"/>
  <c r="A6633" i="2"/>
  <c r="B6632" i="2"/>
  <c r="A6632" i="2"/>
  <c r="C6632" i="2" s="1"/>
  <c r="G6632" i="2" s="1"/>
  <c r="B6631" i="2"/>
  <c r="A6631" i="2"/>
  <c r="B6630" i="2"/>
  <c r="A6630" i="2"/>
  <c r="C6630" i="2" s="1"/>
  <c r="G6630" i="2" s="1"/>
  <c r="B6629" i="2"/>
  <c r="A6629" i="2"/>
  <c r="C6629" i="2" s="1"/>
  <c r="G6629" i="2" s="1"/>
  <c r="B6628" i="2"/>
  <c r="C6628" i="2" s="1"/>
  <c r="G6628" i="2" s="1"/>
  <c r="A6628" i="2"/>
  <c r="B6627" i="2"/>
  <c r="A6627" i="2"/>
  <c r="B6626" i="2"/>
  <c r="A6626" i="2"/>
  <c r="B6625" i="2"/>
  <c r="A6625" i="2"/>
  <c r="B6624" i="2"/>
  <c r="A6624" i="2"/>
  <c r="B6623" i="2"/>
  <c r="A6623" i="2"/>
  <c r="B6622" i="2"/>
  <c r="A6622" i="2"/>
  <c r="B6621" i="2"/>
  <c r="C6621" i="2" s="1"/>
  <c r="G6621" i="2" s="1"/>
  <c r="A6621" i="2"/>
  <c r="B6620" i="2"/>
  <c r="A6620" i="2"/>
  <c r="B6619" i="2"/>
  <c r="A6619" i="2"/>
  <c r="B6618" i="2"/>
  <c r="A6618" i="2"/>
  <c r="B6617" i="2"/>
  <c r="A6617" i="2"/>
  <c r="B6616" i="2"/>
  <c r="A6616" i="2"/>
  <c r="B6615" i="2"/>
  <c r="A6615" i="2"/>
  <c r="B6614" i="2"/>
  <c r="C6614" i="2" s="1"/>
  <c r="G6614" i="2" s="1"/>
  <c r="A6614" i="2"/>
  <c r="B6613" i="2"/>
  <c r="A6613" i="2"/>
  <c r="B6612" i="2"/>
  <c r="A6612" i="2"/>
  <c r="B6611" i="2"/>
  <c r="A6611" i="2"/>
  <c r="B6610" i="2"/>
  <c r="A6610" i="2"/>
  <c r="B6609" i="2"/>
  <c r="A6609" i="2"/>
  <c r="B6608" i="2"/>
  <c r="A6608" i="2"/>
  <c r="B6607" i="2"/>
  <c r="A6607" i="2"/>
  <c r="B6606" i="2"/>
  <c r="A6606" i="2"/>
  <c r="B6605" i="2"/>
  <c r="A6605" i="2"/>
  <c r="B6604" i="2"/>
  <c r="A6604" i="2"/>
  <c r="B6603" i="2"/>
  <c r="A6603" i="2"/>
  <c r="B6602" i="2"/>
  <c r="A6602" i="2"/>
  <c r="B6601" i="2"/>
  <c r="A6601" i="2"/>
  <c r="B6600" i="2"/>
  <c r="A6600" i="2"/>
  <c r="B6599" i="2"/>
  <c r="A6599" i="2"/>
  <c r="B6598" i="2"/>
  <c r="A6598" i="2"/>
  <c r="B6597" i="2"/>
  <c r="A6597" i="2"/>
  <c r="B6596" i="2"/>
  <c r="A6596" i="2"/>
  <c r="B6595" i="2"/>
  <c r="A6595" i="2"/>
  <c r="B6594" i="2"/>
  <c r="A6594" i="2"/>
  <c r="B6593" i="2"/>
  <c r="A6593" i="2"/>
  <c r="B6592" i="2"/>
  <c r="A6592" i="2"/>
  <c r="B6591" i="2"/>
  <c r="A6591" i="2"/>
  <c r="B6590" i="2"/>
  <c r="A6590" i="2"/>
  <c r="B6589" i="2"/>
  <c r="A6589" i="2"/>
  <c r="C6589" i="2" s="1"/>
  <c r="G6589" i="2" s="1"/>
  <c r="B6588" i="2"/>
  <c r="A6588" i="2"/>
  <c r="C6588" i="2" s="1"/>
  <c r="G6588" i="2" s="1"/>
  <c r="B6587" i="2"/>
  <c r="A6587" i="2"/>
  <c r="B6586" i="2"/>
  <c r="A6586" i="2"/>
  <c r="B6585" i="2"/>
  <c r="A6585" i="2"/>
  <c r="B6584" i="2"/>
  <c r="A6584" i="2"/>
  <c r="B6583" i="2"/>
  <c r="A6583" i="2"/>
  <c r="B6582" i="2"/>
  <c r="A6582" i="2"/>
  <c r="C6582" i="2" s="1"/>
  <c r="G6582" i="2" s="1"/>
  <c r="B6581" i="2"/>
  <c r="A6581" i="2"/>
  <c r="B6580" i="2"/>
  <c r="A6580" i="2"/>
  <c r="B6579" i="2"/>
  <c r="A6579" i="2"/>
  <c r="B6578" i="2"/>
  <c r="A6578" i="2"/>
  <c r="B6577" i="2"/>
  <c r="A6577" i="2"/>
  <c r="B6576" i="2"/>
  <c r="A6576" i="2"/>
  <c r="B6575" i="2"/>
  <c r="A6575" i="2"/>
  <c r="B6574" i="2"/>
  <c r="A6574" i="2"/>
  <c r="B6573" i="2"/>
  <c r="A6573" i="2"/>
  <c r="C6573" i="2" s="1"/>
  <c r="G6573" i="2" s="1"/>
  <c r="B6572" i="2"/>
  <c r="A6572" i="2"/>
  <c r="B6571" i="2"/>
  <c r="A6571" i="2"/>
  <c r="B6570" i="2"/>
  <c r="A6570" i="2"/>
  <c r="B6569" i="2"/>
  <c r="A6569" i="2"/>
  <c r="C6569" i="2" s="1"/>
  <c r="G6569" i="2" s="1"/>
  <c r="B6568" i="2"/>
  <c r="A6568" i="2"/>
  <c r="B6567" i="2"/>
  <c r="A6567" i="2"/>
  <c r="B6566" i="2"/>
  <c r="A6566" i="2"/>
  <c r="B6565" i="2"/>
  <c r="A6565" i="2"/>
  <c r="B6564" i="2"/>
  <c r="C6564" i="2" s="1"/>
  <c r="G6564" i="2" s="1"/>
  <c r="A6564" i="2"/>
  <c r="B6563" i="2"/>
  <c r="A6563" i="2"/>
  <c r="B6562" i="2"/>
  <c r="A6562" i="2"/>
  <c r="B6561" i="2"/>
  <c r="A6561" i="2"/>
  <c r="C6560" i="2"/>
  <c r="G6560" i="2" s="1"/>
  <c r="B6560" i="2"/>
  <c r="A6560" i="2"/>
  <c r="B6559" i="2"/>
  <c r="A6559" i="2"/>
  <c r="B6558" i="2"/>
  <c r="A6558" i="2"/>
  <c r="C6558" i="2" s="1"/>
  <c r="G6558" i="2" s="1"/>
  <c r="B6557" i="2"/>
  <c r="A6557" i="2"/>
  <c r="B6556" i="2"/>
  <c r="A6556" i="2"/>
  <c r="B6555" i="2"/>
  <c r="A6555" i="2"/>
  <c r="B6554" i="2"/>
  <c r="A6554" i="2"/>
  <c r="C6554" i="2" s="1"/>
  <c r="G6554" i="2" s="1"/>
  <c r="B6553" i="2"/>
  <c r="A6553" i="2"/>
  <c r="B6552" i="2"/>
  <c r="A6552" i="2"/>
  <c r="B6551" i="2"/>
  <c r="A6551" i="2"/>
  <c r="B6550" i="2"/>
  <c r="A6550" i="2"/>
  <c r="C6550" i="2" s="1"/>
  <c r="G6550" i="2" s="1"/>
  <c r="B6549" i="2"/>
  <c r="A6549" i="2"/>
  <c r="B6548" i="2"/>
  <c r="A6548" i="2"/>
  <c r="B6547" i="2"/>
  <c r="A6547" i="2"/>
  <c r="C6547" i="2" s="1"/>
  <c r="G6547" i="2" s="1"/>
  <c r="B6546" i="2"/>
  <c r="A6546" i="2"/>
  <c r="B6545" i="2"/>
  <c r="A6545" i="2"/>
  <c r="B6544" i="2"/>
  <c r="A6544" i="2"/>
  <c r="C6544" i="2" s="1"/>
  <c r="G6544" i="2" s="1"/>
  <c r="B6543" i="2"/>
  <c r="A6543" i="2"/>
  <c r="B6542" i="2"/>
  <c r="A6542" i="2"/>
  <c r="C6542" i="2" s="1"/>
  <c r="G6542" i="2" s="1"/>
  <c r="B6541" i="2"/>
  <c r="A6541" i="2"/>
  <c r="B6540" i="2"/>
  <c r="A6540" i="2"/>
  <c r="B6539" i="2"/>
  <c r="A6539" i="2"/>
  <c r="B6538" i="2"/>
  <c r="A6538" i="2"/>
  <c r="B6537" i="2"/>
  <c r="A6537" i="2"/>
  <c r="B6536" i="2"/>
  <c r="A6536" i="2"/>
  <c r="C6536" i="2" s="1"/>
  <c r="G6536" i="2" s="1"/>
  <c r="B6535" i="2"/>
  <c r="A6535" i="2"/>
  <c r="B6534" i="2"/>
  <c r="A6534" i="2"/>
  <c r="C6534" i="2" s="1"/>
  <c r="G6534" i="2" s="1"/>
  <c r="C6533" i="2"/>
  <c r="G6533" i="2" s="1"/>
  <c r="B6533" i="2"/>
  <c r="A6533" i="2"/>
  <c r="B6532" i="2"/>
  <c r="A6532" i="2"/>
  <c r="B6531" i="2"/>
  <c r="A6531" i="2"/>
  <c r="B6530" i="2"/>
  <c r="A6530" i="2"/>
  <c r="B6529" i="2"/>
  <c r="A6529" i="2"/>
  <c r="B6528" i="2"/>
  <c r="A6528" i="2"/>
  <c r="B6527" i="2"/>
  <c r="A6527" i="2"/>
  <c r="B6526" i="2"/>
  <c r="A6526" i="2"/>
  <c r="C6526" i="2" s="1"/>
  <c r="G6526" i="2" s="1"/>
  <c r="B6525" i="2"/>
  <c r="A6525" i="2"/>
  <c r="B6524" i="2"/>
  <c r="A6524" i="2"/>
  <c r="B6523" i="2"/>
  <c r="A6523" i="2"/>
  <c r="B6522" i="2"/>
  <c r="A6522" i="2"/>
  <c r="B6521" i="2"/>
  <c r="A6521" i="2"/>
  <c r="B6520" i="2"/>
  <c r="A6520" i="2"/>
  <c r="B6519" i="2"/>
  <c r="A6519" i="2"/>
  <c r="B6518" i="2"/>
  <c r="A6518" i="2"/>
  <c r="B6517" i="2"/>
  <c r="A6517" i="2"/>
  <c r="B6516" i="2"/>
  <c r="A6516" i="2"/>
  <c r="B6515" i="2"/>
  <c r="A6515" i="2"/>
  <c r="B6514" i="2"/>
  <c r="A6514" i="2"/>
  <c r="B6513" i="2"/>
  <c r="C6513" i="2" s="1"/>
  <c r="G6513" i="2" s="1"/>
  <c r="A6513" i="2"/>
  <c r="C6512" i="2"/>
  <c r="G6512" i="2" s="1"/>
  <c r="B6512" i="2"/>
  <c r="A6512" i="2"/>
  <c r="B6511" i="2"/>
  <c r="A6511" i="2"/>
  <c r="C6511" i="2" s="1"/>
  <c r="G6511" i="2" s="1"/>
  <c r="B6510" i="2"/>
  <c r="A6510" i="2"/>
  <c r="B6509" i="2"/>
  <c r="A6509" i="2"/>
  <c r="B6508" i="2"/>
  <c r="A6508" i="2"/>
  <c r="B6507" i="2"/>
  <c r="A6507" i="2"/>
  <c r="B6506" i="2"/>
  <c r="A6506" i="2"/>
  <c r="B6505" i="2"/>
  <c r="A6505" i="2"/>
  <c r="B6504" i="2"/>
  <c r="A6504" i="2"/>
  <c r="B6503" i="2"/>
  <c r="A6503" i="2"/>
  <c r="B6502" i="2"/>
  <c r="A6502" i="2"/>
  <c r="B6501" i="2"/>
  <c r="A6501" i="2"/>
  <c r="C6501" i="2" s="1"/>
  <c r="G6501" i="2" s="1"/>
  <c r="B6500" i="2"/>
  <c r="A6500" i="2"/>
  <c r="C6500" i="2" s="1"/>
  <c r="G6500" i="2" s="1"/>
  <c r="B6499" i="2"/>
  <c r="A6499" i="2"/>
  <c r="C6498" i="2"/>
  <c r="G6498" i="2" s="1"/>
  <c r="B6498" i="2"/>
  <c r="A6498" i="2"/>
  <c r="B6497" i="2"/>
  <c r="A6497" i="2"/>
  <c r="B6496" i="2"/>
  <c r="A6496" i="2"/>
  <c r="B6495" i="2"/>
  <c r="A6495" i="2"/>
  <c r="B6494" i="2"/>
  <c r="A6494" i="2"/>
  <c r="B6493" i="2"/>
  <c r="A6493" i="2"/>
  <c r="B6492" i="2"/>
  <c r="A6492" i="2"/>
  <c r="B6491" i="2"/>
  <c r="A6491" i="2"/>
  <c r="B6490" i="2"/>
  <c r="A6490" i="2"/>
  <c r="B6489" i="2"/>
  <c r="A6489" i="2"/>
  <c r="B6488" i="2"/>
  <c r="A6488" i="2"/>
  <c r="B6487" i="2"/>
  <c r="C6487" i="2" s="1"/>
  <c r="G6487" i="2" s="1"/>
  <c r="A6487" i="2"/>
  <c r="B6486" i="2"/>
  <c r="A6486" i="2"/>
  <c r="B6485" i="2"/>
  <c r="A6485" i="2"/>
  <c r="B6484" i="2"/>
  <c r="A6484" i="2"/>
  <c r="B6483" i="2"/>
  <c r="A6483" i="2"/>
  <c r="B6482" i="2"/>
  <c r="A6482" i="2"/>
  <c r="B6481" i="2"/>
  <c r="A6481" i="2"/>
  <c r="C6481" i="2" s="1"/>
  <c r="G6481" i="2" s="1"/>
  <c r="B6480" i="2"/>
  <c r="A6480" i="2"/>
  <c r="B6479" i="2"/>
  <c r="A6479" i="2"/>
  <c r="B6478" i="2"/>
  <c r="A6478" i="2"/>
  <c r="B6477" i="2"/>
  <c r="A6477" i="2"/>
  <c r="B6476" i="2"/>
  <c r="A6476" i="2"/>
  <c r="B6475" i="2"/>
  <c r="A6475" i="2"/>
  <c r="B6474" i="2"/>
  <c r="A6474" i="2"/>
  <c r="B6473" i="2"/>
  <c r="A6473" i="2"/>
  <c r="B6472" i="2"/>
  <c r="A6472" i="2"/>
  <c r="B6471" i="2"/>
  <c r="A6471" i="2"/>
  <c r="B6470" i="2"/>
  <c r="A6470" i="2"/>
  <c r="B6469" i="2"/>
  <c r="A6469" i="2"/>
  <c r="B6468" i="2"/>
  <c r="A6468" i="2"/>
  <c r="B6467" i="2"/>
  <c r="A6467" i="2"/>
  <c r="B6466" i="2"/>
  <c r="A6466" i="2"/>
  <c r="B6465" i="2"/>
  <c r="C6465" i="2" s="1"/>
  <c r="G6465" i="2" s="1"/>
  <c r="A6465" i="2"/>
  <c r="B6464" i="2"/>
  <c r="A6464" i="2"/>
  <c r="B6463" i="2"/>
  <c r="A6463" i="2"/>
  <c r="B6462" i="2"/>
  <c r="A6462" i="2"/>
  <c r="B6461" i="2"/>
  <c r="A6461" i="2"/>
  <c r="B6460" i="2"/>
  <c r="A6460" i="2"/>
  <c r="B6459" i="2"/>
  <c r="A6459" i="2"/>
  <c r="C6458" i="2"/>
  <c r="G6458" i="2" s="1"/>
  <c r="B6458" i="2"/>
  <c r="A6458" i="2"/>
  <c r="B6457" i="2"/>
  <c r="A6457" i="2"/>
  <c r="B6456" i="2"/>
  <c r="A6456" i="2"/>
  <c r="B6455" i="2"/>
  <c r="A6455" i="2"/>
  <c r="C6455" i="2" s="1"/>
  <c r="G6455" i="2" s="1"/>
  <c r="B6454" i="2"/>
  <c r="A6454" i="2"/>
  <c r="C6454" i="2" s="1"/>
  <c r="G6454" i="2" s="1"/>
  <c r="B6453" i="2"/>
  <c r="A6453" i="2"/>
  <c r="B6452" i="2"/>
  <c r="A6452" i="2"/>
  <c r="B6451" i="2"/>
  <c r="A6451" i="2"/>
  <c r="B6450" i="2"/>
  <c r="A6450" i="2"/>
  <c r="B6449" i="2"/>
  <c r="A6449" i="2"/>
  <c r="B6448" i="2"/>
  <c r="A6448" i="2"/>
  <c r="B6447" i="2"/>
  <c r="A6447" i="2"/>
  <c r="C6447" i="2" s="1"/>
  <c r="G6447" i="2" s="1"/>
  <c r="B6446" i="2"/>
  <c r="A6446" i="2"/>
  <c r="B6445" i="2"/>
  <c r="A6445" i="2"/>
  <c r="B6444" i="2"/>
  <c r="A6444" i="2"/>
  <c r="B6443" i="2"/>
  <c r="A6443" i="2"/>
  <c r="B6442" i="2"/>
  <c r="A6442" i="2"/>
  <c r="B6441" i="2"/>
  <c r="A6441" i="2"/>
  <c r="B6440" i="2"/>
  <c r="A6440" i="2"/>
  <c r="B6439" i="2"/>
  <c r="A6439" i="2"/>
  <c r="B6438" i="2"/>
  <c r="A6438" i="2"/>
  <c r="B6437" i="2"/>
  <c r="A6437" i="2"/>
  <c r="C6437" i="2" s="1"/>
  <c r="G6437" i="2" s="1"/>
  <c r="B6436" i="2"/>
  <c r="A6436" i="2"/>
  <c r="B6435" i="2"/>
  <c r="A6435" i="2"/>
  <c r="B6434" i="2"/>
  <c r="A6434" i="2"/>
  <c r="B6433" i="2"/>
  <c r="A6433" i="2"/>
  <c r="B6432" i="2"/>
  <c r="A6432" i="2"/>
  <c r="C6432" i="2" s="1"/>
  <c r="G6432" i="2" s="1"/>
  <c r="B6431" i="2"/>
  <c r="A6431" i="2"/>
  <c r="C6431" i="2" s="1"/>
  <c r="G6431" i="2" s="1"/>
  <c r="B6430" i="2"/>
  <c r="A6430" i="2"/>
  <c r="B6429" i="2"/>
  <c r="A6429" i="2"/>
  <c r="B6428" i="2"/>
  <c r="A6428" i="2"/>
  <c r="B6427" i="2"/>
  <c r="A6427" i="2"/>
  <c r="C6427" i="2" s="1"/>
  <c r="G6427" i="2" s="1"/>
  <c r="B6426" i="2"/>
  <c r="A6426" i="2"/>
  <c r="B6425" i="2"/>
  <c r="A6425" i="2"/>
  <c r="B6424" i="2"/>
  <c r="A6424" i="2"/>
  <c r="C6424" i="2" s="1"/>
  <c r="G6424" i="2" s="1"/>
  <c r="B6423" i="2"/>
  <c r="A6423" i="2"/>
  <c r="B6422" i="2"/>
  <c r="A6422" i="2"/>
  <c r="B6421" i="2"/>
  <c r="C6421" i="2" s="1"/>
  <c r="G6421" i="2" s="1"/>
  <c r="A6421" i="2"/>
  <c r="B6420" i="2"/>
  <c r="A6420" i="2"/>
  <c r="B6419" i="2"/>
  <c r="A6419" i="2"/>
  <c r="B6418" i="2"/>
  <c r="A6418" i="2"/>
  <c r="B6417" i="2"/>
  <c r="A6417" i="2"/>
  <c r="B6416" i="2"/>
  <c r="A6416" i="2"/>
  <c r="B6415" i="2"/>
  <c r="A6415" i="2"/>
  <c r="B6414" i="2"/>
  <c r="A6414" i="2"/>
  <c r="B6413" i="2"/>
  <c r="A6413" i="2"/>
  <c r="B6412" i="2"/>
  <c r="A6412" i="2"/>
  <c r="B6411" i="2"/>
  <c r="A6411" i="2"/>
  <c r="C6411" i="2" s="1"/>
  <c r="G6411" i="2" s="1"/>
  <c r="B6410" i="2"/>
  <c r="A6410" i="2"/>
  <c r="B6409" i="2"/>
  <c r="A6409" i="2"/>
  <c r="B6408" i="2"/>
  <c r="A6408" i="2"/>
  <c r="B6407" i="2"/>
  <c r="A6407" i="2"/>
  <c r="B6406" i="2"/>
  <c r="A6406" i="2"/>
  <c r="B6405" i="2"/>
  <c r="A6405" i="2"/>
  <c r="B6404" i="2"/>
  <c r="A6404" i="2"/>
  <c r="B6403" i="2"/>
  <c r="A6403" i="2"/>
  <c r="B6402" i="2"/>
  <c r="A6402" i="2"/>
  <c r="B6401" i="2"/>
  <c r="A6401" i="2"/>
  <c r="B6400" i="2"/>
  <c r="A6400" i="2"/>
  <c r="B6399" i="2"/>
  <c r="A6399" i="2"/>
  <c r="C6399" i="2" s="1"/>
  <c r="G6399" i="2" s="1"/>
  <c r="B6398" i="2"/>
  <c r="A6398" i="2"/>
  <c r="B6397" i="2"/>
  <c r="A6397" i="2"/>
  <c r="B6396" i="2"/>
  <c r="A6396" i="2"/>
  <c r="B6395" i="2"/>
  <c r="A6395" i="2"/>
  <c r="C6395" i="2" s="1"/>
  <c r="G6395" i="2" s="1"/>
  <c r="B6394" i="2"/>
  <c r="A6394" i="2"/>
  <c r="B6393" i="2"/>
  <c r="A6393" i="2"/>
  <c r="B6392" i="2"/>
  <c r="A6392" i="2"/>
  <c r="B6391" i="2"/>
  <c r="A6391" i="2"/>
  <c r="C6391" i="2" s="1"/>
  <c r="G6391" i="2" s="1"/>
  <c r="B6390" i="2"/>
  <c r="A6390" i="2"/>
  <c r="B6389" i="2"/>
  <c r="A6389" i="2"/>
  <c r="B6388" i="2"/>
  <c r="A6388" i="2"/>
  <c r="B6387" i="2"/>
  <c r="C6387" i="2" s="1"/>
  <c r="G6387" i="2" s="1"/>
  <c r="A6387" i="2"/>
  <c r="B6386" i="2"/>
  <c r="A6386" i="2"/>
  <c r="B6385" i="2"/>
  <c r="A6385" i="2"/>
  <c r="B6384" i="2"/>
  <c r="A6384" i="2"/>
  <c r="B6383" i="2"/>
  <c r="A6383" i="2"/>
  <c r="B6382" i="2"/>
  <c r="A6382" i="2"/>
  <c r="B6381" i="2"/>
  <c r="A6381" i="2"/>
  <c r="B6380" i="2"/>
  <c r="A6380" i="2"/>
  <c r="B6379" i="2"/>
  <c r="A6379" i="2"/>
  <c r="B6378" i="2"/>
  <c r="A6378" i="2"/>
  <c r="C6378" i="2" s="1"/>
  <c r="G6378" i="2" s="1"/>
  <c r="B6377" i="2"/>
  <c r="A6377" i="2"/>
  <c r="C6377" i="2" s="1"/>
  <c r="G6377" i="2" s="1"/>
  <c r="B6376" i="2"/>
  <c r="A6376" i="2"/>
  <c r="B6375" i="2"/>
  <c r="A6375" i="2"/>
  <c r="B6374" i="2"/>
  <c r="A6374" i="2"/>
  <c r="B6373" i="2"/>
  <c r="A6373" i="2"/>
  <c r="B6372" i="2"/>
  <c r="A6372" i="2"/>
  <c r="B6371" i="2"/>
  <c r="A6371" i="2"/>
  <c r="C6371" i="2" s="1"/>
  <c r="G6371" i="2" s="1"/>
  <c r="B6370" i="2"/>
  <c r="A6370" i="2"/>
  <c r="B6369" i="2"/>
  <c r="A6369" i="2"/>
  <c r="B6368" i="2"/>
  <c r="A6368" i="2"/>
  <c r="B6367" i="2"/>
  <c r="A6367" i="2"/>
  <c r="B6366" i="2"/>
  <c r="A6366" i="2"/>
  <c r="B6365" i="2"/>
  <c r="A6365" i="2"/>
  <c r="B6364" i="2"/>
  <c r="A6364" i="2"/>
  <c r="B6363" i="2"/>
  <c r="A6363" i="2"/>
  <c r="B6362" i="2"/>
  <c r="A6362" i="2"/>
  <c r="B6361" i="2"/>
  <c r="A6361" i="2"/>
  <c r="C6361" i="2" s="1"/>
  <c r="G6361" i="2" s="1"/>
  <c r="B6360" i="2"/>
  <c r="A6360" i="2"/>
  <c r="B6359" i="2"/>
  <c r="A6359" i="2"/>
  <c r="B6358" i="2"/>
  <c r="A6358" i="2"/>
  <c r="B6357" i="2"/>
  <c r="A6357" i="2"/>
  <c r="C6357" i="2" s="1"/>
  <c r="G6357" i="2" s="1"/>
  <c r="B6356" i="2"/>
  <c r="A6356" i="2"/>
  <c r="B6355" i="2"/>
  <c r="A6355" i="2"/>
  <c r="B6354" i="2"/>
  <c r="A6354" i="2"/>
  <c r="C6354" i="2" s="1"/>
  <c r="G6354" i="2" s="1"/>
  <c r="B6353" i="2"/>
  <c r="A6353" i="2"/>
  <c r="B6352" i="2"/>
  <c r="A6352" i="2"/>
  <c r="B6351" i="2"/>
  <c r="A6351" i="2"/>
  <c r="B6350" i="2"/>
  <c r="A6350" i="2"/>
  <c r="B6349" i="2"/>
  <c r="C6349" i="2" s="1"/>
  <c r="G6349" i="2" s="1"/>
  <c r="A6349" i="2"/>
  <c r="B6348" i="2"/>
  <c r="A6348" i="2"/>
  <c r="B6347" i="2"/>
  <c r="A6347" i="2"/>
  <c r="B6346" i="2"/>
  <c r="A6346" i="2"/>
  <c r="B6345" i="2"/>
  <c r="A6345" i="2"/>
  <c r="B6344" i="2"/>
  <c r="A6344" i="2"/>
  <c r="B6343" i="2"/>
  <c r="A6343" i="2"/>
  <c r="B6342" i="2"/>
  <c r="A6342" i="2"/>
  <c r="B6341" i="2"/>
  <c r="A6341" i="2"/>
  <c r="B6340" i="2"/>
  <c r="A6340" i="2"/>
  <c r="B6339" i="2"/>
  <c r="A6339" i="2"/>
  <c r="B6338" i="2"/>
  <c r="A6338" i="2"/>
  <c r="B6337" i="2"/>
  <c r="A6337" i="2"/>
  <c r="B6336" i="2"/>
  <c r="A6336" i="2"/>
  <c r="B6335" i="2"/>
  <c r="A6335" i="2"/>
  <c r="B6334" i="2"/>
  <c r="A6334" i="2"/>
  <c r="B6333" i="2"/>
  <c r="A6333" i="2"/>
  <c r="B6332" i="2"/>
  <c r="A6332" i="2"/>
  <c r="B6331" i="2"/>
  <c r="A6331" i="2"/>
  <c r="B6330" i="2"/>
  <c r="C6330" i="2" s="1"/>
  <c r="G6330" i="2" s="1"/>
  <c r="A6330" i="2"/>
  <c r="B6329" i="2"/>
  <c r="A6329" i="2"/>
  <c r="B6328" i="2"/>
  <c r="A6328" i="2"/>
  <c r="B6327" i="2"/>
  <c r="A6327" i="2"/>
  <c r="B6326" i="2"/>
  <c r="A6326" i="2"/>
  <c r="B6325" i="2"/>
  <c r="A6325" i="2"/>
  <c r="B6324" i="2"/>
  <c r="A6324" i="2"/>
  <c r="B6323" i="2"/>
  <c r="C6323" i="2" s="1"/>
  <c r="G6323" i="2" s="1"/>
  <c r="A6323" i="2"/>
  <c r="B6322" i="2"/>
  <c r="A6322" i="2"/>
  <c r="B6321" i="2"/>
  <c r="A6321" i="2"/>
  <c r="B6320" i="2"/>
  <c r="A6320" i="2"/>
  <c r="B6319" i="2"/>
  <c r="A6319" i="2"/>
  <c r="B6318" i="2"/>
  <c r="A6318" i="2"/>
  <c r="B6317" i="2"/>
  <c r="A6317" i="2"/>
  <c r="B6316" i="2"/>
  <c r="A6316" i="2"/>
  <c r="B6315" i="2"/>
  <c r="A6315" i="2"/>
  <c r="C6314" i="2"/>
  <c r="G6314" i="2" s="1"/>
  <c r="B6314" i="2"/>
  <c r="A6314" i="2"/>
  <c r="B6313" i="2"/>
  <c r="A6313" i="2"/>
  <c r="B6312" i="2"/>
  <c r="A6312" i="2"/>
  <c r="B6311" i="2"/>
  <c r="A6311" i="2"/>
  <c r="B6310" i="2"/>
  <c r="A6310" i="2"/>
  <c r="B6309" i="2"/>
  <c r="A6309" i="2"/>
  <c r="B6308" i="2"/>
  <c r="A6308" i="2"/>
  <c r="B6307" i="2"/>
  <c r="A6307" i="2"/>
  <c r="B6306" i="2"/>
  <c r="A6306" i="2"/>
  <c r="C6306" i="2" s="1"/>
  <c r="G6306" i="2" s="1"/>
  <c r="B6305" i="2"/>
  <c r="A6305" i="2"/>
  <c r="B6304" i="2"/>
  <c r="A6304" i="2"/>
  <c r="B6303" i="2"/>
  <c r="A6303" i="2"/>
  <c r="B6302" i="2"/>
  <c r="A6302" i="2"/>
  <c r="C6302" i="2" s="1"/>
  <c r="G6302" i="2" s="1"/>
  <c r="B6301" i="2"/>
  <c r="A6301" i="2"/>
  <c r="B6300" i="2"/>
  <c r="A6300" i="2"/>
  <c r="B6299" i="2"/>
  <c r="A6299" i="2"/>
  <c r="B6298" i="2"/>
  <c r="A6298" i="2"/>
  <c r="B6297" i="2"/>
  <c r="A6297" i="2"/>
  <c r="B6296" i="2"/>
  <c r="A6296" i="2"/>
  <c r="B6295" i="2"/>
  <c r="A6295" i="2"/>
  <c r="B6294" i="2"/>
  <c r="A6294" i="2"/>
  <c r="B6293" i="2"/>
  <c r="A6293" i="2"/>
  <c r="C6293" i="2" s="1"/>
  <c r="G6293" i="2" s="1"/>
  <c r="B6292" i="2"/>
  <c r="A6292" i="2"/>
  <c r="B6291" i="2"/>
  <c r="A6291" i="2"/>
  <c r="B6290" i="2"/>
  <c r="A6290" i="2"/>
  <c r="B6289" i="2"/>
  <c r="A6289" i="2"/>
  <c r="B6288" i="2"/>
  <c r="A6288" i="2"/>
  <c r="B6287" i="2"/>
  <c r="A6287" i="2"/>
  <c r="B6286" i="2"/>
  <c r="A6286" i="2"/>
  <c r="B6285" i="2"/>
  <c r="A6285" i="2"/>
  <c r="B6284" i="2"/>
  <c r="A6284" i="2"/>
  <c r="C6283" i="2"/>
  <c r="G6283" i="2" s="1"/>
  <c r="B6283" i="2"/>
  <c r="A6283" i="2"/>
  <c r="B6282" i="2"/>
  <c r="A6282" i="2"/>
  <c r="B6281" i="2"/>
  <c r="A6281" i="2"/>
  <c r="B6280" i="2"/>
  <c r="A6280" i="2"/>
  <c r="B6279" i="2"/>
  <c r="A6279" i="2"/>
  <c r="B6278" i="2"/>
  <c r="A6278" i="2"/>
  <c r="B6277" i="2"/>
  <c r="A6277" i="2"/>
  <c r="B6276" i="2"/>
  <c r="C6276" i="2" s="1"/>
  <c r="G6276" i="2" s="1"/>
  <c r="A6276" i="2"/>
  <c r="B6275" i="2"/>
  <c r="C6275" i="2" s="1"/>
  <c r="G6275" i="2" s="1"/>
  <c r="A6275" i="2"/>
  <c r="B6274" i="2"/>
  <c r="A6274" i="2"/>
  <c r="B6273" i="2"/>
  <c r="A6273" i="2"/>
  <c r="B6272" i="2"/>
  <c r="A6272" i="2"/>
  <c r="B6271" i="2"/>
  <c r="A6271" i="2"/>
  <c r="B6270" i="2"/>
  <c r="A6270" i="2"/>
  <c r="C6269" i="2"/>
  <c r="G6269" i="2" s="1"/>
  <c r="B6269" i="2"/>
  <c r="A6269" i="2"/>
  <c r="B6268" i="2"/>
  <c r="A6268" i="2"/>
  <c r="B6267" i="2"/>
  <c r="A6267" i="2"/>
  <c r="C6267" i="2" s="1"/>
  <c r="G6267" i="2" s="1"/>
  <c r="B6266" i="2"/>
  <c r="A6266" i="2"/>
  <c r="B6265" i="2"/>
  <c r="A6265" i="2"/>
  <c r="B6264" i="2"/>
  <c r="A6264" i="2"/>
  <c r="B6263" i="2"/>
  <c r="A6263" i="2"/>
  <c r="C6263" i="2" s="1"/>
  <c r="G6263" i="2" s="1"/>
  <c r="B6262" i="2"/>
  <c r="A6262" i="2"/>
  <c r="B6261" i="2"/>
  <c r="A6261" i="2"/>
  <c r="B6260" i="2"/>
  <c r="A6260" i="2"/>
  <c r="B6259" i="2"/>
  <c r="A6259" i="2"/>
  <c r="B6258" i="2"/>
  <c r="A6258" i="2"/>
  <c r="B6257" i="2"/>
  <c r="A6257" i="2"/>
  <c r="B6256" i="2"/>
  <c r="A6256" i="2"/>
  <c r="B6255" i="2"/>
  <c r="A6255" i="2"/>
  <c r="B6254" i="2"/>
  <c r="A6254" i="2"/>
  <c r="B6253" i="2"/>
  <c r="A6253" i="2"/>
  <c r="B6252" i="2"/>
  <c r="A6252" i="2"/>
  <c r="B6251" i="2"/>
  <c r="A6251" i="2"/>
  <c r="C6250" i="2"/>
  <c r="G6250" i="2" s="1"/>
  <c r="B6250" i="2"/>
  <c r="A6250" i="2"/>
  <c r="B6249" i="2"/>
  <c r="A6249" i="2"/>
  <c r="C6249" i="2" s="1"/>
  <c r="G6249" i="2" s="1"/>
  <c r="B6248" i="2"/>
  <c r="A6248" i="2"/>
  <c r="B6247" i="2"/>
  <c r="A6247" i="2"/>
  <c r="B6246" i="2"/>
  <c r="A6246" i="2"/>
  <c r="B6245" i="2"/>
  <c r="A6245" i="2"/>
  <c r="B6244" i="2"/>
  <c r="A6244" i="2"/>
  <c r="B6243" i="2"/>
  <c r="A6243" i="2"/>
  <c r="B6242" i="2"/>
  <c r="A6242" i="2"/>
  <c r="B6241" i="2"/>
  <c r="A6241" i="2"/>
  <c r="B6240" i="2"/>
  <c r="A6240" i="2"/>
  <c r="B6239" i="2"/>
  <c r="A6239" i="2"/>
  <c r="B6238" i="2"/>
  <c r="A6238" i="2"/>
  <c r="B6237" i="2"/>
  <c r="A6237" i="2"/>
  <c r="B6236" i="2"/>
  <c r="A6236" i="2"/>
  <c r="B6235" i="2"/>
  <c r="A6235" i="2"/>
  <c r="B6234" i="2"/>
  <c r="A6234" i="2"/>
  <c r="B6233" i="2"/>
  <c r="A6233" i="2"/>
  <c r="B6232" i="2"/>
  <c r="A6232" i="2"/>
  <c r="B6231" i="2"/>
  <c r="A6231" i="2"/>
  <c r="B6230" i="2"/>
  <c r="A6230" i="2"/>
  <c r="B6229" i="2"/>
  <c r="A6229" i="2"/>
  <c r="C6229" i="2" s="1"/>
  <c r="G6229" i="2" s="1"/>
  <c r="B6228" i="2"/>
  <c r="A6228" i="2"/>
  <c r="B6227" i="2"/>
  <c r="A6227" i="2"/>
  <c r="B6226" i="2"/>
  <c r="A6226" i="2"/>
  <c r="B6225" i="2"/>
  <c r="A6225" i="2"/>
  <c r="B6224" i="2"/>
  <c r="A6224" i="2"/>
  <c r="B6223" i="2"/>
  <c r="A6223" i="2"/>
  <c r="B6222" i="2"/>
  <c r="A6222" i="2"/>
  <c r="B6221" i="2"/>
  <c r="A6221" i="2"/>
  <c r="B6220" i="2"/>
  <c r="A6220" i="2"/>
  <c r="B6219" i="2"/>
  <c r="A6219" i="2"/>
  <c r="B6218" i="2"/>
  <c r="A6218" i="2"/>
  <c r="C6218" i="2" s="1"/>
  <c r="G6218" i="2" s="1"/>
  <c r="B6217" i="2"/>
  <c r="A6217" i="2"/>
  <c r="B6216" i="2"/>
  <c r="A6216" i="2"/>
  <c r="B6215" i="2"/>
  <c r="A6215" i="2"/>
  <c r="B6214" i="2"/>
  <c r="A6214" i="2"/>
  <c r="B6213" i="2"/>
  <c r="A6213" i="2"/>
  <c r="B6212" i="2"/>
  <c r="A6212" i="2"/>
  <c r="B6211" i="2"/>
  <c r="A6211" i="2"/>
  <c r="B6210" i="2"/>
  <c r="A6210" i="2"/>
  <c r="B6209" i="2"/>
  <c r="A6209" i="2"/>
  <c r="C6209" i="2" s="1"/>
  <c r="G6209" i="2" s="1"/>
  <c r="B6208" i="2"/>
  <c r="A6208" i="2"/>
  <c r="B6207" i="2"/>
  <c r="A6207" i="2"/>
  <c r="C6207" i="2" s="1"/>
  <c r="G6207" i="2" s="1"/>
  <c r="B6206" i="2"/>
  <c r="A6206" i="2"/>
  <c r="B6205" i="2"/>
  <c r="A6205" i="2"/>
  <c r="B6204" i="2"/>
  <c r="A6204" i="2"/>
  <c r="B6203" i="2"/>
  <c r="A6203" i="2"/>
  <c r="C6203" i="2" s="1"/>
  <c r="G6203" i="2" s="1"/>
  <c r="B6202" i="2"/>
  <c r="A6202" i="2"/>
  <c r="C6202" i="2" s="1"/>
  <c r="G6202" i="2" s="1"/>
  <c r="B6201" i="2"/>
  <c r="A6201" i="2"/>
  <c r="B6200" i="2"/>
  <c r="A6200" i="2"/>
  <c r="B6199" i="2"/>
  <c r="A6199" i="2"/>
  <c r="B6198" i="2"/>
  <c r="A6198" i="2"/>
  <c r="B6197" i="2"/>
  <c r="A6197" i="2"/>
  <c r="B6196" i="2"/>
  <c r="C6196" i="2" s="1"/>
  <c r="G6196" i="2" s="1"/>
  <c r="A6196" i="2"/>
  <c r="B6195" i="2"/>
  <c r="A6195" i="2"/>
  <c r="B6194" i="2"/>
  <c r="A6194" i="2"/>
  <c r="B6193" i="2"/>
  <c r="A6193" i="2"/>
  <c r="B6192" i="2"/>
  <c r="A6192" i="2"/>
  <c r="B6191" i="2"/>
  <c r="A6191" i="2"/>
  <c r="B6190" i="2"/>
  <c r="A6190" i="2"/>
  <c r="B6189" i="2"/>
  <c r="A6189" i="2"/>
  <c r="B6188" i="2"/>
  <c r="C6188" i="2" s="1"/>
  <c r="G6188" i="2" s="1"/>
  <c r="A6188" i="2"/>
  <c r="B6187" i="2"/>
  <c r="A6187" i="2"/>
  <c r="B6186" i="2"/>
  <c r="A6186" i="2"/>
  <c r="B6185" i="2"/>
  <c r="A6185" i="2"/>
  <c r="C6185" i="2" s="1"/>
  <c r="G6185" i="2" s="1"/>
  <c r="B6184" i="2"/>
  <c r="A6184" i="2"/>
  <c r="B6183" i="2"/>
  <c r="A6183" i="2"/>
  <c r="B6182" i="2"/>
  <c r="A6182" i="2"/>
  <c r="B6181" i="2"/>
  <c r="A6181" i="2"/>
  <c r="B6180" i="2"/>
  <c r="A6180" i="2"/>
  <c r="B6179" i="2"/>
  <c r="A6179" i="2"/>
  <c r="B6178" i="2"/>
  <c r="A6178" i="2"/>
  <c r="B6177" i="2"/>
  <c r="A6177" i="2"/>
  <c r="B6176" i="2"/>
  <c r="A6176" i="2"/>
  <c r="C6176" i="2" s="1"/>
  <c r="G6176" i="2" s="1"/>
  <c r="B6175" i="2"/>
  <c r="A6175" i="2"/>
  <c r="C6175" i="2" s="1"/>
  <c r="G6175" i="2" s="1"/>
  <c r="B6174" i="2"/>
  <c r="A6174" i="2"/>
  <c r="B6173" i="2"/>
  <c r="A6173" i="2"/>
  <c r="B6172" i="2"/>
  <c r="A6172" i="2"/>
  <c r="B6171" i="2"/>
  <c r="A6171" i="2"/>
  <c r="B6170" i="2"/>
  <c r="A6170" i="2"/>
  <c r="B6169" i="2"/>
  <c r="A6169" i="2"/>
  <c r="B6168" i="2"/>
  <c r="A6168" i="2"/>
  <c r="B6167" i="2"/>
  <c r="A6167" i="2"/>
  <c r="B6166" i="2"/>
  <c r="A6166" i="2"/>
  <c r="B6165" i="2"/>
  <c r="A6165" i="2"/>
  <c r="B6164" i="2"/>
  <c r="A6164" i="2"/>
  <c r="B6163" i="2"/>
  <c r="A6163" i="2"/>
  <c r="B6162" i="2"/>
  <c r="A6162" i="2"/>
  <c r="B6161" i="2"/>
  <c r="A6161" i="2"/>
  <c r="B6160" i="2"/>
  <c r="A6160" i="2"/>
  <c r="B6159" i="2"/>
  <c r="A6159" i="2"/>
  <c r="B6158" i="2"/>
  <c r="A6158" i="2"/>
  <c r="B6157" i="2"/>
  <c r="A6157" i="2"/>
  <c r="B6156" i="2"/>
  <c r="C6156" i="2" s="1"/>
  <c r="G6156" i="2" s="1"/>
  <c r="A6156" i="2"/>
  <c r="B6155" i="2"/>
  <c r="A6155" i="2"/>
  <c r="B6154" i="2"/>
  <c r="C6154" i="2" s="1"/>
  <c r="G6154" i="2" s="1"/>
  <c r="A6154" i="2"/>
  <c r="B6153" i="2"/>
  <c r="C6153" i="2" s="1"/>
  <c r="G6153" i="2" s="1"/>
  <c r="A6153" i="2"/>
  <c r="B6152" i="2"/>
  <c r="A6152" i="2"/>
  <c r="B6151" i="2"/>
  <c r="A6151" i="2"/>
  <c r="B6150" i="2"/>
  <c r="A6150" i="2"/>
  <c r="B6149" i="2"/>
  <c r="A6149" i="2"/>
  <c r="C6149" i="2" s="1"/>
  <c r="G6149" i="2" s="1"/>
  <c r="B6148" i="2"/>
  <c r="A6148" i="2"/>
  <c r="B6147" i="2"/>
  <c r="A6147" i="2"/>
  <c r="B6146" i="2"/>
  <c r="A6146" i="2"/>
  <c r="B6145" i="2"/>
  <c r="A6145" i="2"/>
  <c r="C6145" i="2" s="1"/>
  <c r="G6145" i="2" s="1"/>
  <c r="B6144" i="2"/>
  <c r="A6144" i="2"/>
  <c r="B6143" i="2"/>
  <c r="A6143" i="2"/>
  <c r="B6142" i="2"/>
  <c r="A6142" i="2"/>
  <c r="B6141" i="2"/>
  <c r="A6141" i="2"/>
  <c r="B6140" i="2"/>
  <c r="A6140" i="2"/>
  <c r="B6139" i="2"/>
  <c r="A6139" i="2"/>
  <c r="C6139" i="2" s="1"/>
  <c r="G6139" i="2" s="1"/>
  <c r="B6138" i="2"/>
  <c r="C6138" i="2" s="1"/>
  <c r="G6138" i="2" s="1"/>
  <c r="A6138" i="2"/>
  <c r="B6137" i="2"/>
  <c r="C6137" i="2" s="1"/>
  <c r="G6137" i="2" s="1"/>
  <c r="A6137" i="2"/>
  <c r="B6136" i="2"/>
  <c r="A6136" i="2"/>
  <c r="B6135" i="2"/>
  <c r="A6135" i="2"/>
  <c r="B6134" i="2"/>
  <c r="A6134" i="2"/>
  <c r="B6133" i="2"/>
  <c r="A6133" i="2"/>
  <c r="B6132" i="2"/>
  <c r="C6132" i="2" s="1"/>
  <c r="G6132" i="2" s="1"/>
  <c r="A6132" i="2"/>
  <c r="B6131" i="2"/>
  <c r="A6131" i="2"/>
  <c r="B6130" i="2"/>
  <c r="A6130" i="2"/>
  <c r="B6129" i="2"/>
  <c r="A6129" i="2"/>
  <c r="B6128" i="2"/>
  <c r="A6128" i="2"/>
  <c r="B6127" i="2"/>
  <c r="A6127" i="2"/>
  <c r="B6126" i="2"/>
  <c r="A6126" i="2"/>
  <c r="B6125" i="2"/>
  <c r="C6125" i="2" s="1"/>
  <c r="G6125" i="2" s="1"/>
  <c r="A6125" i="2"/>
  <c r="B6124" i="2"/>
  <c r="C6124" i="2" s="1"/>
  <c r="G6124" i="2" s="1"/>
  <c r="A6124" i="2"/>
  <c r="B6123" i="2"/>
  <c r="A6123" i="2"/>
  <c r="B6122" i="2"/>
  <c r="A6122" i="2"/>
  <c r="B6121" i="2"/>
  <c r="A6121" i="2"/>
  <c r="B6120" i="2"/>
  <c r="A6120" i="2"/>
  <c r="B6119" i="2"/>
  <c r="A6119" i="2"/>
  <c r="B6118" i="2"/>
  <c r="A6118" i="2"/>
  <c r="B6117" i="2"/>
  <c r="C6117" i="2" s="1"/>
  <c r="G6117" i="2" s="1"/>
  <c r="A6117" i="2"/>
  <c r="B6116" i="2"/>
  <c r="A6116" i="2"/>
  <c r="B6115" i="2"/>
  <c r="A6115" i="2"/>
  <c r="B6114" i="2"/>
  <c r="A6114" i="2"/>
  <c r="B6113" i="2"/>
  <c r="A6113" i="2"/>
  <c r="B6112" i="2"/>
  <c r="A6112" i="2"/>
  <c r="B6111" i="2"/>
  <c r="A6111" i="2"/>
  <c r="B6110" i="2"/>
  <c r="A6110" i="2"/>
  <c r="B6109" i="2"/>
  <c r="A6109" i="2"/>
  <c r="B6108" i="2"/>
  <c r="A6108" i="2"/>
  <c r="B6107" i="2"/>
  <c r="A6107" i="2"/>
  <c r="B6106" i="2"/>
  <c r="A6106" i="2"/>
  <c r="B6105" i="2"/>
  <c r="A6105" i="2"/>
  <c r="B6104" i="2"/>
  <c r="A6104" i="2"/>
  <c r="B6103" i="2"/>
  <c r="A6103" i="2"/>
  <c r="B6102" i="2"/>
  <c r="A6102" i="2"/>
  <c r="B6101" i="2"/>
  <c r="A6101" i="2"/>
  <c r="B6100" i="2"/>
  <c r="A6100" i="2"/>
  <c r="B6099" i="2"/>
  <c r="A6099" i="2"/>
  <c r="B6098" i="2"/>
  <c r="A6098" i="2"/>
  <c r="B6097" i="2"/>
  <c r="A6097" i="2"/>
  <c r="B6096" i="2"/>
  <c r="A6096" i="2"/>
  <c r="B6095" i="2"/>
  <c r="A6095" i="2"/>
  <c r="B6094" i="2"/>
  <c r="A6094" i="2"/>
  <c r="B6093" i="2"/>
  <c r="A6093" i="2"/>
  <c r="B6092" i="2"/>
  <c r="A6092" i="2"/>
  <c r="B6091" i="2"/>
  <c r="A6091" i="2"/>
  <c r="B6090" i="2"/>
  <c r="A6090" i="2"/>
  <c r="B6089" i="2"/>
  <c r="A6089" i="2"/>
  <c r="B6088" i="2"/>
  <c r="A6088" i="2"/>
  <c r="B6087" i="2"/>
  <c r="A6087" i="2"/>
  <c r="B6086" i="2"/>
  <c r="A6086" i="2"/>
  <c r="B6085" i="2"/>
  <c r="A6085" i="2"/>
  <c r="B6084" i="2"/>
  <c r="C6084" i="2" s="1"/>
  <c r="G6084" i="2" s="1"/>
  <c r="A6084" i="2"/>
  <c r="B6083" i="2"/>
  <c r="A6083" i="2"/>
  <c r="B6082" i="2"/>
  <c r="C6082" i="2" s="1"/>
  <c r="G6082" i="2" s="1"/>
  <c r="A6082" i="2"/>
  <c r="B6081" i="2"/>
  <c r="A6081" i="2"/>
  <c r="B6080" i="2"/>
  <c r="A6080" i="2"/>
  <c r="B6079" i="2"/>
  <c r="A6079" i="2"/>
  <c r="B6078" i="2"/>
  <c r="A6078" i="2"/>
  <c r="B6077" i="2"/>
  <c r="A6077" i="2"/>
  <c r="B6076" i="2"/>
  <c r="C6076" i="2" s="1"/>
  <c r="G6076" i="2" s="1"/>
  <c r="A6076" i="2"/>
  <c r="B6075" i="2"/>
  <c r="A6075" i="2"/>
  <c r="B6074" i="2"/>
  <c r="A6074" i="2"/>
  <c r="B6073" i="2"/>
  <c r="A6073" i="2"/>
  <c r="B6072" i="2"/>
  <c r="A6072" i="2"/>
  <c r="B6071" i="2"/>
  <c r="A6071" i="2"/>
  <c r="B6070" i="2"/>
  <c r="A6070" i="2"/>
  <c r="B6069" i="2"/>
  <c r="A6069" i="2"/>
  <c r="B6068" i="2"/>
  <c r="A6068" i="2"/>
  <c r="B6067" i="2"/>
  <c r="A6067" i="2"/>
  <c r="B6066" i="2"/>
  <c r="A6066" i="2"/>
  <c r="B6065" i="2"/>
  <c r="A6065" i="2"/>
  <c r="B6064" i="2"/>
  <c r="A6064" i="2"/>
  <c r="B6063" i="2"/>
  <c r="A6063" i="2"/>
  <c r="B6062" i="2"/>
  <c r="A6062" i="2"/>
  <c r="B6061" i="2"/>
  <c r="A6061" i="2"/>
  <c r="B6060" i="2"/>
  <c r="C6060" i="2" s="1"/>
  <c r="G6060" i="2" s="1"/>
  <c r="A6060" i="2"/>
  <c r="B6059" i="2"/>
  <c r="A6059" i="2"/>
  <c r="B6058" i="2"/>
  <c r="A6058" i="2"/>
  <c r="B6057" i="2"/>
  <c r="A6057" i="2"/>
  <c r="B6056" i="2"/>
  <c r="A6056" i="2"/>
  <c r="B6055" i="2"/>
  <c r="A6055" i="2"/>
  <c r="B6054" i="2"/>
  <c r="A6054" i="2"/>
  <c r="B6053" i="2"/>
  <c r="A6053" i="2"/>
  <c r="B6052" i="2"/>
  <c r="A6052" i="2"/>
  <c r="B6051" i="2"/>
  <c r="A6051" i="2"/>
  <c r="B6050" i="2"/>
  <c r="A6050" i="2"/>
  <c r="B6049" i="2"/>
  <c r="A6049" i="2"/>
  <c r="B6048" i="2"/>
  <c r="A6048" i="2"/>
  <c r="B6047" i="2"/>
  <c r="A6047" i="2"/>
  <c r="B6046" i="2"/>
  <c r="A6046" i="2"/>
  <c r="B6045" i="2"/>
  <c r="A6045" i="2"/>
  <c r="B6044" i="2"/>
  <c r="A6044" i="2"/>
  <c r="B6043" i="2"/>
  <c r="A6043" i="2"/>
  <c r="B6042" i="2"/>
  <c r="A6042" i="2"/>
  <c r="B6041" i="2"/>
  <c r="A6041" i="2"/>
  <c r="B6040" i="2"/>
  <c r="A6040" i="2"/>
  <c r="C6040" i="2" s="1"/>
  <c r="G6040" i="2" s="1"/>
  <c r="B6039" i="2"/>
  <c r="A6039" i="2"/>
  <c r="B6038" i="2"/>
  <c r="A6038" i="2"/>
  <c r="B6037" i="2"/>
  <c r="A6037" i="2"/>
  <c r="B6036" i="2"/>
  <c r="A6036" i="2"/>
  <c r="B6035" i="2"/>
  <c r="A6035" i="2"/>
  <c r="B6034" i="2"/>
  <c r="A6034" i="2"/>
  <c r="B6033" i="2"/>
  <c r="A6033" i="2"/>
  <c r="B6032" i="2"/>
  <c r="A6032" i="2"/>
  <c r="C6032" i="2" s="1"/>
  <c r="G6032" i="2" s="1"/>
  <c r="B6031" i="2"/>
  <c r="A6031" i="2"/>
  <c r="B6030" i="2"/>
  <c r="A6030" i="2"/>
  <c r="B6029" i="2"/>
  <c r="A6029" i="2"/>
  <c r="B6028" i="2"/>
  <c r="A6028" i="2"/>
  <c r="B6027" i="2"/>
  <c r="A6027" i="2"/>
  <c r="B6026" i="2"/>
  <c r="A6026" i="2"/>
  <c r="B6025" i="2"/>
  <c r="A6025" i="2"/>
  <c r="B6024" i="2"/>
  <c r="A6024" i="2"/>
  <c r="B6023" i="2"/>
  <c r="A6023" i="2"/>
  <c r="B6022" i="2"/>
  <c r="A6022" i="2"/>
  <c r="B6021" i="2"/>
  <c r="A6021" i="2"/>
  <c r="B6020" i="2"/>
  <c r="A6020" i="2"/>
  <c r="B6019" i="2"/>
  <c r="A6019" i="2"/>
  <c r="B6018" i="2"/>
  <c r="A6018" i="2"/>
  <c r="B6017" i="2"/>
  <c r="A6017" i="2"/>
  <c r="B6016" i="2"/>
  <c r="A6016" i="2"/>
  <c r="C6016" i="2" s="1"/>
  <c r="G6016" i="2" s="1"/>
  <c r="B6015" i="2"/>
  <c r="A6015" i="2"/>
  <c r="B6014" i="2"/>
  <c r="A6014" i="2"/>
  <c r="B6013" i="2"/>
  <c r="A6013" i="2"/>
  <c r="B6012" i="2"/>
  <c r="A6012" i="2"/>
  <c r="B6011" i="2"/>
  <c r="A6011" i="2"/>
  <c r="B6010" i="2"/>
  <c r="A6010" i="2"/>
  <c r="B6009" i="2"/>
  <c r="A6009" i="2"/>
  <c r="C6009" i="2" s="1"/>
  <c r="G6009" i="2" s="1"/>
  <c r="B6008" i="2"/>
  <c r="A6008" i="2"/>
  <c r="B6007" i="2"/>
  <c r="A6007" i="2"/>
  <c r="B6006" i="2"/>
  <c r="A6006" i="2"/>
  <c r="B6005" i="2"/>
  <c r="A6005" i="2"/>
  <c r="C6005" i="2" s="1"/>
  <c r="G6005" i="2" s="1"/>
  <c r="B6004" i="2"/>
  <c r="A6004" i="2"/>
  <c r="B6003" i="2"/>
  <c r="A6003" i="2"/>
  <c r="B6002" i="2"/>
  <c r="A6002" i="2"/>
  <c r="B6001" i="2"/>
  <c r="A6001" i="2"/>
  <c r="C6001" i="2" s="1"/>
  <c r="G6001" i="2" s="1"/>
  <c r="B6000" i="2"/>
  <c r="A6000" i="2"/>
  <c r="C6000" i="2" s="1"/>
  <c r="G6000" i="2" s="1"/>
  <c r="B5999" i="2"/>
  <c r="A5999" i="2"/>
  <c r="C5999" i="2" s="1"/>
  <c r="G5999" i="2" s="1"/>
  <c r="B5998" i="2"/>
  <c r="C5998" i="2" s="1"/>
  <c r="G5998" i="2" s="1"/>
  <c r="A5998" i="2"/>
  <c r="B5997" i="2"/>
  <c r="A5997" i="2"/>
  <c r="B5996" i="2"/>
  <c r="A5996" i="2"/>
  <c r="B5995" i="2"/>
  <c r="A5995" i="2"/>
  <c r="C5995" i="2" s="1"/>
  <c r="G5995" i="2" s="1"/>
  <c r="B5994" i="2"/>
  <c r="A5994" i="2"/>
  <c r="B5993" i="2"/>
  <c r="A5993" i="2"/>
  <c r="B5992" i="2"/>
  <c r="A5992" i="2"/>
  <c r="C5992" i="2" s="1"/>
  <c r="G5992" i="2" s="1"/>
  <c r="B5991" i="2"/>
  <c r="A5991" i="2"/>
  <c r="C5991" i="2" s="1"/>
  <c r="G5991" i="2" s="1"/>
  <c r="B5990" i="2"/>
  <c r="A5990" i="2"/>
  <c r="B5989" i="2"/>
  <c r="A5989" i="2"/>
  <c r="B5988" i="2"/>
  <c r="A5988" i="2"/>
  <c r="B5987" i="2"/>
  <c r="A5987" i="2"/>
  <c r="C5987" i="2" s="1"/>
  <c r="G5987" i="2" s="1"/>
  <c r="B5986" i="2"/>
  <c r="A5986" i="2"/>
  <c r="B5985" i="2"/>
  <c r="A5985" i="2"/>
  <c r="B5984" i="2"/>
  <c r="A5984" i="2"/>
  <c r="B5983" i="2"/>
  <c r="A5983" i="2"/>
  <c r="B5982" i="2"/>
  <c r="A5982" i="2"/>
  <c r="B5981" i="2"/>
  <c r="A5981" i="2"/>
  <c r="B5980" i="2"/>
  <c r="A5980" i="2"/>
  <c r="B5979" i="2"/>
  <c r="A5979" i="2"/>
  <c r="C5979" i="2" s="1"/>
  <c r="G5979" i="2" s="1"/>
  <c r="B5978" i="2"/>
  <c r="A5978" i="2"/>
  <c r="B5977" i="2"/>
  <c r="A5977" i="2"/>
  <c r="C5977" i="2" s="1"/>
  <c r="G5977" i="2" s="1"/>
  <c r="B5976" i="2"/>
  <c r="A5976" i="2"/>
  <c r="B5975" i="2"/>
  <c r="A5975" i="2"/>
  <c r="B5974" i="2"/>
  <c r="A5974" i="2"/>
  <c r="B5973" i="2"/>
  <c r="A5973" i="2"/>
  <c r="C5973" i="2" s="1"/>
  <c r="G5973" i="2" s="1"/>
  <c r="B5972" i="2"/>
  <c r="A5972" i="2"/>
  <c r="B5971" i="2"/>
  <c r="A5971" i="2"/>
  <c r="B5970" i="2"/>
  <c r="A5970" i="2"/>
  <c r="B5969" i="2"/>
  <c r="A5969" i="2"/>
  <c r="C5969" i="2" s="1"/>
  <c r="G5969" i="2" s="1"/>
  <c r="B5968" i="2"/>
  <c r="A5968" i="2"/>
  <c r="C5968" i="2" s="1"/>
  <c r="G5968" i="2" s="1"/>
  <c r="B5967" i="2"/>
  <c r="A5967" i="2"/>
  <c r="C5967" i="2" s="1"/>
  <c r="G5967" i="2" s="1"/>
  <c r="B5966" i="2"/>
  <c r="A5966" i="2"/>
  <c r="B5965" i="2"/>
  <c r="A5965" i="2"/>
  <c r="B5964" i="2"/>
  <c r="A5964" i="2"/>
  <c r="B5963" i="2"/>
  <c r="A5963" i="2"/>
  <c r="C5963" i="2" s="1"/>
  <c r="G5963" i="2" s="1"/>
  <c r="C5962" i="2"/>
  <c r="G5962" i="2" s="1"/>
  <c r="B5962" i="2"/>
  <c r="A5962" i="2"/>
  <c r="B5961" i="2"/>
  <c r="A5961" i="2"/>
  <c r="B5960" i="2"/>
  <c r="A5960" i="2"/>
  <c r="B5959" i="2"/>
  <c r="A5959" i="2"/>
  <c r="B5958" i="2"/>
  <c r="A5958" i="2"/>
  <c r="B5957" i="2"/>
  <c r="C5957" i="2" s="1"/>
  <c r="G5957" i="2" s="1"/>
  <c r="A5957" i="2"/>
  <c r="B5956" i="2"/>
  <c r="A5956" i="2"/>
  <c r="C5956" i="2" s="1"/>
  <c r="G5956" i="2" s="1"/>
  <c r="B5955" i="2"/>
  <c r="A5955" i="2"/>
  <c r="B5954" i="2"/>
  <c r="A5954" i="2"/>
  <c r="C5954" i="2" s="1"/>
  <c r="G5954" i="2" s="1"/>
  <c r="B5953" i="2"/>
  <c r="A5953" i="2"/>
  <c r="B5952" i="2"/>
  <c r="A5952" i="2"/>
  <c r="C5952" i="2" s="1"/>
  <c r="G5952" i="2" s="1"/>
  <c r="B5951" i="2"/>
  <c r="A5951" i="2"/>
  <c r="B5950" i="2"/>
  <c r="A5950" i="2"/>
  <c r="B5949" i="2"/>
  <c r="A5949" i="2"/>
  <c r="B5948" i="2"/>
  <c r="A5948" i="2"/>
  <c r="B5947" i="2"/>
  <c r="A5947" i="2"/>
  <c r="B5946" i="2"/>
  <c r="A5946" i="2"/>
  <c r="B5945" i="2"/>
  <c r="A5945" i="2"/>
  <c r="B5944" i="2"/>
  <c r="A5944" i="2"/>
  <c r="B5943" i="2"/>
  <c r="A5943" i="2"/>
  <c r="B5942" i="2"/>
  <c r="A5942" i="2"/>
  <c r="B5941" i="2"/>
  <c r="A5941" i="2"/>
  <c r="B5940" i="2"/>
  <c r="A5940" i="2"/>
  <c r="C5940" i="2" s="1"/>
  <c r="G5940" i="2" s="1"/>
  <c r="B5939" i="2"/>
  <c r="A5939" i="2"/>
  <c r="B5938" i="2"/>
  <c r="A5938" i="2"/>
  <c r="B5937" i="2"/>
  <c r="A5937" i="2"/>
  <c r="B5936" i="2"/>
  <c r="A5936" i="2"/>
  <c r="C5936" i="2" s="1"/>
  <c r="G5936" i="2" s="1"/>
  <c r="B5935" i="2"/>
  <c r="A5935" i="2"/>
  <c r="C5935" i="2" s="1"/>
  <c r="G5935" i="2" s="1"/>
  <c r="B5934" i="2"/>
  <c r="A5934" i="2"/>
  <c r="B5933" i="2"/>
  <c r="A5933" i="2"/>
  <c r="B5932" i="2"/>
  <c r="A5932" i="2"/>
  <c r="B5931" i="2"/>
  <c r="A5931" i="2"/>
  <c r="B5930" i="2"/>
  <c r="A5930" i="2"/>
  <c r="B5929" i="2"/>
  <c r="A5929" i="2"/>
  <c r="B5928" i="2"/>
  <c r="A5928" i="2"/>
  <c r="B5927" i="2"/>
  <c r="A5927" i="2"/>
  <c r="B5926" i="2"/>
  <c r="A5926" i="2"/>
  <c r="B5925" i="2"/>
  <c r="A5925" i="2"/>
  <c r="B5924" i="2"/>
  <c r="A5924" i="2"/>
  <c r="C5924" i="2" s="1"/>
  <c r="G5924" i="2" s="1"/>
  <c r="B5923" i="2"/>
  <c r="A5923" i="2"/>
  <c r="B5922" i="2"/>
  <c r="A5922" i="2"/>
  <c r="B5921" i="2"/>
  <c r="A5921" i="2"/>
  <c r="B5920" i="2"/>
  <c r="A5920" i="2"/>
  <c r="C5920" i="2" s="1"/>
  <c r="G5920" i="2" s="1"/>
  <c r="B5919" i="2"/>
  <c r="A5919" i="2"/>
  <c r="B5918" i="2"/>
  <c r="A5918" i="2"/>
  <c r="B5917" i="2"/>
  <c r="C5917" i="2" s="1"/>
  <c r="G5917" i="2" s="1"/>
  <c r="A5917" i="2"/>
  <c r="B5916" i="2"/>
  <c r="A5916" i="2"/>
  <c r="C5916" i="2" s="1"/>
  <c r="G5916" i="2" s="1"/>
  <c r="B5915" i="2"/>
  <c r="A5915" i="2"/>
  <c r="B5914" i="2"/>
  <c r="A5914" i="2"/>
  <c r="B5913" i="2"/>
  <c r="A5913" i="2"/>
  <c r="B5912" i="2"/>
  <c r="A5912" i="2"/>
  <c r="C5912" i="2" s="1"/>
  <c r="G5912" i="2" s="1"/>
  <c r="B5911" i="2"/>
  <c r="A5911" i="2"/>
  <c r="B5910" i="2"/>
  <c r="A5910" i="2"/>
  <c r="B5909" i="2"/>
  <c r="A5909" i="2"/>
  <c r="B5908" i="2"/>
  <c r="A5908" i="2"/>
  <c r="C5908" i="2" s="1"/>
  <c r="G5908" i="2" s="1"/>
  <c r="B5907" i="2"/>
  <c r="A5907" i="2"/>
  <c r="B5906" i="2"/>
  <c r="A5906" i="2"/>
  <c r="B5905" i="2"/>
  <c r="A5905" i="2"/>
  <c r="B5904" i="2"/>
  <c r="A5904" i="2"/>
  <c r="C5904" i="2" s="1"/>
  <c r="G5904" i="2" s="1"/>
  <c r="B5903" i="2"/>
  <c r="A5903" i="2"/>
  <c r="B5902" i="2"/>
  <c r="A5902" i="2"/>
  <c r="B5901" i="2"/>
  <c r="C5901" i="2" s="1"/>
  <c r="G5901" i="2" s="1"/>
  <c r="A5901" i="2"/>
  <c r="B5900" i="2"/>
  <c r="A5900" i="2"/>
  <c r="B5899" i="2"/>
  <c r="A5899" i="2"/>
  <c r="B5898" i="2"/>
  <c r="A5898" i="2"/>
  <c r="B5897" i="2"/>
  <c r="A5897" i="2"/>
  <c r="B5896" i="2"/>
  <c r="A5896" i="2"/>
  <c r="B5895" i="2"/>
  <c r="A5895" i="2"/>
  <c r="B5894" i="2"/>
  <c r="A5894" i="2"/>
  <c r="B5893" i="2"/>
  <c r="A5893" i="2"/>
  <c r="B5892" i="2"/>
  <c r="A5892" i="2"/>
  <c r="B5891" i="2"/>
  <c r="C5891" i="2" s="1"/>
  <c r="G5891" i="2" s="1"/>
  <c r="A5891" i="2"/>
  <c r="B5890" i="2"/>
  <c r="A5890" i="2"/>
  <c r="B5889" i="2"/>
  <c r="A5889" i="2"/>
  <c r="B5888" i="2"/>
  <c r="A5888" i="2"/>
  <c r="B5887" i="2"/>
  <c r="A5887" i="2"/>
  <c r="B5886" i="2"/>
  <c r="A5886" i="2"/>
  <c r="B5885" i="2"/>
  <c r="A5885" i="2"/>
  <c r="B5884" i="2"/>
  <c r="A5884" i="2"/>
  <c r="B5883" i="2"/>
  <c r="A5883" i="2"/>
  <c r="B5882" i="2"/>
  <c r="A5882" i="2"/>
  <c r="B5881" i="2"/>
  <c r="A5881" i="2"/>
  <c r="B5880" i="2"/>
  <c r="A5880" i="2"/>
  <c r="B5879" i="2"/>
  <c r="A5879" i="2"/>
  <c r="B5878" i="2"/>
  <c r="A5878" i="2"/>
  <c r="B5877" i="2"/>
  <c r="A5877" i="2"/>
  <c r="B5876" i="2"/>
  <c r="A5876" i="2"/>
  <c r="B5875" i="2"/>
  <c r="C5875" i="2" s="1"/>
  <c r="G5875" i="2" s="1"/>
  <c r="A5875" i="2"/>
  <c r="B5874" i="2"/>
  <c r="A5874" i="2"/>
  <c r="B5873" i="2"/>
  <c r="A5873" i="2"/>
  <c r="B5872" i="2"/>
  <c r="A5872" i="2"/>
  <c r="C5872" i="2" s="1"/>
  <c r="G5872" i="2" s="1"/>
  <c r="B5871" i="2"/>
  <c r="A5871" i="2"/>
  <c r="C5871" i="2" s="1"/>
  <c r="G5871" i="2" s="1"/>
  <c r="B5870" i="2"/>
  <c r="A5870" i="2"/>
  <c r="B5869" i="2"/>
  <c r="A5869" i="2"/>
  <c r="B5868" i="2"/>
  <c r="A5868" i="2"/>
  <c r="C5868" i="2" s="1"/>
  <c r="G5868" i="2" s="1"/>
  <c r="B5867" i="2"/>
  <c r="A5867" i="2"/>
  <c r="B5866" i="2"/>
  <c r="A5866" i="2"/>
  <c r="B5865" i="2"/>
  <c r="A5865" i="2"/>
  <c r="B5864" i="2"/>
  <c r="A5864" i="2"/>
  <c r="B5863" i="2"/>
  <c r="A5863" i="2"/>
  <c r="C5863" i="2" s="1"/>
  <c r="G5863" i="2" s="1"/>
  <c r="B5862" i="2"/>
  <c r="A5862" i="2"/>
  <c r="B5861" i="2"/>
  <c r="A5861" i="2"/>
  <c r="B5860" i="2"/>
  <c r="A5860" i="2"/>
  <c r="B5859" i="2"/>
  <c r="A5859" i="2"/>
  <c r="C5859" i="2" s="1"/>
  <c r="G5859" i="2" s="1"/>
  <c r="B5858" i="2"/>
  <c r="A5858" i="2"/>
  <c r="B5857" i="2"/>
  <c r="A5857" i="2"/>
  <c r="B5856" i="2"/>
  <c r="A5856" i="2"/>
  <c r="C5856" i="2" s="1"/>
  <c r="G5856" i="2" s="1"/>
  <c r="B5855" i="2"/>
  <c r="A5855" i="2"/>
  <c r="B5854" i="2"/>
  <c r="A5854" i="2"/>
  <c r="B5853" i="2"/>
  <c r="A5853" i="2"/>
  <c r="B5852" i="2"/>
  <c r="A5852" i="2"/>
  <c r="C5852" i="2" s="1"/>
  <c r="G5852" i="2" s="1"/>
  <c r="B5851" i="2"/>
  <c r="A5851" i="2"/>
  <c r="C5851" i="2" s="1"/>
  <c r="G5851" i="2" s="1"/>
  <c r="B5850" i="2"/>
  <c r="A5850" i="2"/>
  <c r="B5849" i="2"/>
  <c r="A5849" i="2"/>
  <c r="B5848" i="2"/>
  <c r="A5848" i="2"/>
  <c r="B5847" i="2"/>
  <c r="A5847" i="2"/>
  <c r="C5847" i="2" s="1"/>
  <c r="G5847" i="2" s="1"/>
  <c r="B5846" i="2"/>
  <c r="A5846" i="2"/>
  <c r="B5845" i="2"/>
  <c r="A5845" i="2"/>
  <c r="B5844" i="2"/>
  <c r="A5844" i="2"/>
  <c r="B5843" i="2"/>
  <c r="A5843" i="2"/>
  <c r="B5842" i="2"/>
  <c r="A5842" i="2"/>
  <c r="B5841" i="2"/>
  <c r="A5841" i="2"/>
  <c r="B5840" i="2"/>
  <c r="A5840" i="2"/>
  <c r="B5839" i="2"/>
  <c r="A5839" i="2"/>
  <c r="B5838" i="2"/>
  <c r="A5838" i="2"/>
  <c r="B5837" i="2"/>
  <c r="A5837" i="2"/>
  <c r="B5836" i="2"/>
  <c r="A5836" i="2"/>
  <c r="B5835" i="2"/>
  <c r="A5835" i="2"/>
  <c r="B5834" i="2"/>
  <c r="A5834" i="2"/>
  <c r="B5833" i="2"/>
  <c r="A5833" i="2"/>
  <c r="B5832" i="2"/>
  <c r="A5832" i="2"/>
  <c r="B5831" i="2"/>
  <c r="A5831" i="2"/>
  <c r="C5831" i="2" s="1"/>
  <c r="G5831" i="2" s="1"/>
  <c r="B5830" i="2"/>
  <c r="A5830" i="2"/>
  <c r="B5829" i="2"/>
  <c r="C5829" i="2" s="1"/>
  <c r="G5829" i="2" s="1"/>
  <c r="A5829" i="2"/>
  <c r="B5828" i="2"/>
  <c r="A5828" i="2"/>
  <c r="B5827" i="2"/>
  <c r="A5827" i="2"/>
  <c r="B5826" i="2"/>
  <c r="A5826" i="2"/>
  <c r="B5825" i="2"/>
  <c r="A5825" i="2"/>
  <c r="B5824" i="2"/>
  <c r="A5824" i="2"/>
  <c r="B5823" i="2"/>
  <c r="A5823" i="2"/>
  <c r="B5822" i="2"/>
  <c r="A5822" i="2"/>
  <c r="C5822" i="2" s="1"/>
  <c r="G5822" i="2" s="1"/>
  <c r="B5821" i="2"/>
  <c r="A5821" i="2"/>
  <c r="B5820" i="2"/>
  <c r="A5820" i="2"/>
  <c r="B5819" i="2"/>
  <c r="A5819" i="2"/>
  <c r="B5818" i="2"/>
  <c r="A5818" i="2"/>
  <c r="B5817" i="2"/>
  <c r="A5817" i="2"/>
  <c r="B5816" i="2"/>
  <c r="A5816" i="2"/>
  <c r="B5815" i="2"/>
  <c r="A5815" i="2"/>
  <c r="B5814" i="2"/>
  <c r="A5814" i="2"/>
  <c r="C5814" i="2" s="1"/>
  <c r="G5814" i="2" s="1"/>
  <c r="B5813" i="2"/>
  <c r="A5813" i="2"/>
  <c r="B5812" i="2"/>
  <c r="A5812" i="2"/>
  <c r="B5811" i="2"/>
  <c r="A5811" i="2"/>
  <c r="B5810" i="2"/>
  <c r="A5810" i="2"/>
  <c r="B5809" i="2"/>
  <c r="A5809" i="2"/>
  <c r="B5808" i="2"/>
  <c r="A5808" i="2"/>
  <c r="C5808" i="2" s="1"/>
  <c r="G5808" i="2" s="1"/>
  <c r="B5807" i="2"/>
  <c r="A5807" i="2"/>
  <c r="B5806" i="2"/>
  <c r="A5806" i="2"/>
  <c r="B5805" i="2"/>
  <c r="A5805" i="2"/>
  <c r="B5804" i="2"/>
  <c r="A5804" i="2"/>
  <c r="B5803" i="2"/>
  <c r="A5803" i="2"/>
  <c r="B5802" i="2"/>
  <c r="A5802" i="2"/>
  <c r="B5801" i="2"/>
  <c r="A5801" i="2"/>
  <c r="B5800" i="2"/>
  <c r="A5800" i="2"/>
  <c r="C5800" i="2" s="1"/>
  <c r="G5800" i="2" s="1"/>
  <c r="B5799" i="2"/>
  <c r="A5799" i="2"/>
  <c r="B5798" i="2"/>
  <c r="A5798" i="2"/>
  <c r="B5797" i="2"/>
  <c r="C5797" i="2" s="1"/>
  <c r="G5797" i="2" s="1"/>
  <c r="A5797" i="2"/>
  <c r="B5796" i="2"/>
  <c r="A5796" i="2"/>
  <c r="C5796" i="2" s="1"/>
  <c r="G5796" i="2" s="1"/>
  <c r="B5795" i="2"/>
  <c r="A5795" i="2"/>
  <c r="C5795" i="2" s="1"/>
  <c r="G5795" i="2" s="1"/>
  <c r="B5794" i="2"/>
  <c r="A5794" i="2"/>
  <c r="B5793" i="2"/>
  <c r="A5793" i="2"/>
  <c r="B5792" i="2"/>
  <c r="A5792" i="2"/>
  <c r="B5791" i="2"/>
  <c r="A5791" i="2"/>
  <c r="B5790" i="2"/>
  <c r="A5790" i="2"/>
  <c r="B5789" i="2"/>
  <c r="A5789" i="2"/>
  <c r="B5788" i="2"/>
  <c r="A5788" i="2"/>
  <c r="B5787" i="2"/>
  <c r="A5787" i="2"/>
  <c r="C5787" i="2" s="1"/>
  <c r="G5787" i="2" s="1"/>
  <c r="B5786" i="2"/>
  <c r="A5786" i="2"/>
  <c r="B5785" i="2"/>
  <c r="A5785" i="2"/>
  <c r="B5784" i="2"/>
  <c r="A5784" i="2"/>
  <c r="B5783" i="2"/>
  <c r="A5783" i="2"/>
  <c r="B5782" i="2"/>
  <c r="A5782" i="2"/>
  <c r="C5782" i="2" s="1"/>
  <c r="G5782" i="2" s="1"/>
  <c r="B5781" i="2"/>
  <c r="A5781" i="2"/>
  <c r="B5780" i="2"/>
  <c r="A5780" i="2"/>
  <c r="B5779" i="2"/>
  <c r="A5779" i="2"/>
  <c r="B5778" i="2"/>
  <c r="A5778" i="2"/>
  <c r="B5777" i="2"/>
  <c r="A5777" i="2"/>
  <c r="B5776" i="2"/>
  <c r="A5776" i="2"/>
  <c r="B5775" i="2"/>
  <c r="A5775" i="2"/>
  <c r="C5775" i="2" s="1"/>
  <c r="G5775" i="2" s="1"/>
  <c r="B5774" i="2"/>
  <c r="A5774" i="2"/>
  <c r="B5773" i="2"/>
  <c r="A5773" i="2"/>
  <c r="B5772" i="2"/>
  <c r="A5772" i="2"/>
  <c r="B5771" i="2"/>
  <c r="A5771" i="2"/>
  <c r="B5770" i="2"/>
  <c r="A5770" i="2"/>
  <c r="B5769" i="2"/>
  <c r="A5769" i="2"/>
  <c r="B5768" i="2"/>
  <c r="C5768" i="2" s="1"/>
  <c r="G5768" i="2" s="1"/>
  <c r="A5768" i="2"/>
  <c r="B5767" i="2"/>
  <c r="A5767" i="2"/>
  <c r="B5766" i="2"/>
  <c r="A5766" i="2"/>
  <c r="B5765" i="2"/>
  <c r="A5765" i="2"/>
  <c r="B5764" i="2"/>
  <c r="A5764" i="2"/>
  <c r="B5763" i="2"/>
  <c r="C5763" i="2" s="1"/>
  <c r="G5763" i="2" s="1"/>
  <c r="A5763" i="2"/>
  <c r="B5762" i="2"/>
  <c r="A5762" i="2"/>
  <c r="B5761" i="2"/>
  <c r="A5761" i="2"/>
  <c r="C5761" i="2" s="1"/>
  <c r="G5761" i="2" s="1"/>
  <c r="B5760" i="2"/>
  <c r="A5760" i="2"/>
  <c r="B5759" i="2"/>
  <c r="A5759" i="2"/>
  <c r="B5758" i="2"/>
  <c r="A5758" i="2"/>
  <c r="B5757" i="2"/>
  <c r="A5757" i="2"/>
  <c r="B5756" i="2"/>
  <c r="A5756" i="2"/>
  <c r="B5755" i="2"/>
  <c r="A5755" i="2"/>
  <c r="B5754" i="2"/>
  <c r="A5754" i="2"/>
  <c r="B5753" i="2"/>
  <c r="A5753" i="2"/>
  <c r="B5752" i="2"/>
  <c r="A5752" i="2"/>
  <c r="B5751" i="2"/>
  <c r="A5751" i="2"/>
  <c r="B5750" i="2"/>
  <c r="A5750" i="2"/>
  <c r="B5749" i="2"/>
  <c r="A5749" i="2"/>
  <c r="B5748" i="2"/>
  <c r="A5748" i="2"/>
  <c r="B5747" i="2"/>
  <c r="A5747" i="2"/>
  <c r="B5746" i="2"/>
  <c r="A5746" i="2"/>
  <c r="B5745" i="2"/>
  <c r="A5745" i="2"/>
  <c r="B5744" i="2"/>
  <c r="A5744" i="2"/>
  <c r="B5743" i="2"/>
  <c r="A5743" i="2"/>
  <c r="B5742" i="2"/>
  <c r="A5742" i="2"/>
  <c r="B5741" i="2"/>
  <c r="A5741" i="2"/>
  <c r="B5740" i="2"/>
  <c r="A5740" i="2"/>
  <c r="B5739" i="2"/>
  <c r="C5739" i="2" s="1"/>
  <c r="G5739" i="2" s="1"/>
  <c r="A5739" i="2"/>
  <c r="B5738" i="2"/>
  <c r="A5738" i="2"/>
  <c r="B5737" i="2"/>
  <c r="A5737" i="2"/>
  <c r="B5736" i="2"/>
  <c r="A5736" i="2"/>
  <c r="B5735" i="2"/>
  <c r="A5735" i="2"/>
  <c r="B5734" i="2"/>
  <c r="A5734" i="2"/>
  <c r="B5733" i="2"/>
  <c r="A5733" i="2"/>
  <c r="B5732" i="2"/>
  <c r="A5732" i="2"/>
  <c r="B5731" i="2"/>
  <c r="A5731" i="2"/>
  <c r="B5730" i="2"/>
  <c r="A5730" i="2"/>
  <c r="B5729" i="2"/>
  <c r="A5729" i="2"/>
  <c r="C5728" i="2"/>
  <c r="G5728" i="2" s="1"/>
  <c r="B5728" i="2"/>
  <c r="A5728" i="2"/>
  <c r="B5727" i="2"/>
  <c r="A5727" i="2"/>
  <c r="B5726" i="2"/>
  <c r="A5726" i="2"/>
  <c r="B5725" i="2"/>
  <c r="A5725" i="2"/>
  <c r="B5724" i="2"/>
  <c r="A5724" i="2"/>
  <c r="B5723" i="2"/>
  <c r="A5723" i="2"/>
  <c r="C5723" i="2" s="1"/>
  <c r="G5723" i="2" s="1"/>
  <c r="B5722" i="2"/>
  <c r="A5722" i="2"/>
  <c r="B5721" i="2"/>
  <c r="A5721" i="2"/>
  <c r="B5720" i="2"/>
  <c r="A5720" i="2"/>
  <c r="B5719" i="2"/>
  <c r="A5719" i="2"/>
  <c r="C5719" i="2" s="1"/>
  <c r="G5719" i="2" s="1"/>
  <c r="B5718" i="2"/>
  <c r="A5718" i="2"/>
  <c r="B5717" i="2"/>
  <c r="A5717" i="2"/>
  <c r="B5716" i="2"/>
  <c r="A5716" i="2"/>
  <c r="B5715" i="2"/>
  <c r="A5715" i="2"/>
  <c r="B5714" i="2"/>
  <c r="A5714" i="2"/>
  <c r="B5713" i="2"/>
  <c r="A5713" i="2"/>
  <c r="B5712" i="2"/>
  <c r="A5712" i="2"/>
  <c r="B5711" i="2"/>
  <c r="A5711" i="2"/>
  <c r="C5711" i="2" s="1"/>
  <c r="G5711" i="2" s="1"/>
  <c r="B5710" i="2"/>
  <c r="A5710" i="2"/>
  <c r="B5709" i="2"/>
  <c r="A5709" i="2"/>
  <c r="B5708" i="2"/>
  <c r="A5708" i="2"/>
  <c r="B5707" i="2"/>
  <c r="A5707" i="2"/>
  <c r="B5706" i="2"/>
  <c r="A5706" i="2"/>
  <c r="B5705" i="2"/>
  <c r="A5705" i="2"/>
  <c r="B5704" i="2"/>
  <c r="A5704" i="2"/>
  <c r="B5703" i="2"/>
  <c r="A5703" i="2"/>
  <c r="B5702" i="2"/>
  <c r="A5702" i="2"/>
  <c r="B5701" i="2"/>
  <c r="A5701" i="2"/>
  <c r="B5700" i="2"/>
  <c r="A5700" i="2"/>
  <c r="B5699" i="2"/>
  <c r="A5699" i="2"/>
  <c r="B5698" i="2"/>
  <c r="A5698" i="2"/>
  <c r="B5697" i="2"/>
  <c r="A5697" i="2"/>
  <c r="B5696" i="2"/>
  <c r="A5696" i="2"/>
  <c r="B5695" i="2"/>
  <c r="A5695" i="2"/>
  <c r="B5694" i="2"/>
  <c r="A5694" i="2"/>
  <c r="B5693" i="2"/>
  <c r="A5693" i="2"/>
  <c r="B5692" i="2"/>
  <c r="A5692" i="2"/>
  <c r="B5691" i="2"/>
  <c r="A5691" i="2"/>
  <c r="B5690" i="2"/>
  <c r="A5690" i="2"/>
  <c r="B5689" i="2"/>
  <c r="A5689" i="2"/>
  <c r="B5688" i="2"/>
  <c r="A5688" i="2"/>
  <c r="C5688" i="2" s="1"/>
  <c r="G5688" i="2" s="1"/>
  <c r="B5687" i="2"/>
  <c r="A5687" i="2"/>
  <c r="B5686" i="2"/>
  <c r="A5686" i="2"/>
  <c r="B5685" i="2"/>
  <c r="A5685" i="2"/>
  <c r="B5684" i="2"/>
  <c r="A5684" i="2"/>
  <c r="B5683" i="2"/>
  <c r="A5683" i="2"/>
  <c r="B5682" i="2"/>
  <c r="A5682" i="2"/>
  <c r="B5681" i="2"/>
  <c r="A5681" i="2"/>
  <c r="B5680" i="2"/>
  <c r="A5680" i="2"/>
  <c r="C5680" i="2" s="1"/>
  <c r="G5680" i="2" s="1"/>
  <c r="B5679" i="2"/>
  <c r="A5679" i="2"/>
  <c r="B5678" i="2"/>
  <c r="A5678" i="2"/>
  <c r="B5677" i="2"/>
  <c r="A5677" i="2"/>
  <c r="C5677" i="2" s="1"/>
  <c r="G5677" i="2" s="1"/>
  <c r="B5676" i="2"/>
  <c r="A5676" i="2"/>
  <c r="C5676" i="2" s="1"/>
  <c r="G5676" i="2" s="1"/>
  <c r="B5675" i="2"/>
  <c r="A5675" i="2"/>
  <c r="B5674" i="2"/>
  <c r="A5674" i="2"/>
  <c r="B5673" i="2"/>
  <c r="A5673" i="2"/>
  <c r="C5673" i="2" s="1"/>
  <c r="G5673" i="2" s="1"/>
  <c r="B5672" i="2"/>
  <c r="A5672" i="2"/>
  <c r="C5672" i="2" s="1"/>
  <c r="G5672" i="2" s="1"/>
  <c r="B5671" i="2"/>
  <c r="A5671" i="2"/>
  <c r="B5670" i="2"/>
  <c r="A5670" i="2"/>
  <c r="B5669" i="2"/>
  <c r="A5669" i="2"/>
  <c r="C5669" i="2" s="1"/>
  <c r="G5669" i="2" s="1"/>
  <c r="B5668" i="2"/>
  <c r="A5668" i="2"/>
  <c r="B5667" i="2"/>
  <c r="A5667" i="2"/>
  <c r="B5666" i="2"/>
  <c r="A5666" i="2"/>
  <c r="B5665" i="2"/>
  <c r="A5665" i="2"/>
  <c r="B5664" i="2"/>
  <c r="A5664" i="2"/>
  <c r="B5663" i="2"/>
  <c r="A5663" i="2"/>
  <c r="B5662" i="2"/>
  <c r="A5662" i="2"/>
  <c r="C5662" i="2" s="1"/>
  <c r="G5662" i="2" s="1"/>
  <c r="B5661" i="2"/>
  <c r="A5661" i="2"/>
  <c r="B5660" i="2"/>
  <c r="A5660" i="2"/>
  <c r="B5659" i="2"/>
  <c r="A5659" i="2"/>
  <c r="B5658" i="2"/>
  <c r="A5658" i="2"/>
  <c r="B5657" i="2"/>
  <c r="A5657" i="2"/>
  <c r="B5656" i="2"/>
  <c r="A5656" i="2"/>
  <c r="B5655" i="2"/>
  <c r="A5655" i="2"/>
  <c r="B5654" i="2"/>
  <c r="A5654" i="2"/>
  <c r="B5653" i="2"/>
  <c r="A5653" i="2"/>
  <c r="C5653" i="2" s="1"/>
  <c r="G5653" i="2" s="1"/>
  <c r="B5652" i="2"/>
  <c r="A5652" i="2"/>
  <c r="C5652" i="2" s="1"/>
  <c r="G5652" i="2" s="1"/>
  <c r="B5651" i="2"/>
  <c r="A5651" i="2"/>
  <c r="B5650" i="2"/>
  <c r="A5650" i="2"/>
  <c r="B5649" i="2"/>
  <c r="A5649" i="2"/>
  <c r="B5648" i="2"/>
  <c r="A5648" i="2"/>
  <c r="C5648" i="2" s="1"/>
  <c r="G5648" i="2" s="1"/>
  <c r="B5647" i="2"/>
  <c r="C5647" i="2" s="1"/>
  <c r="G5647" i="2" s="1"/>
  <c r="A5647" i="2"/>
  <c r="B5646" i="2"/>
  <c r="A5646" i="2"/>
  <c r="C5646" i="2" s="1"/>
  <c r="G5646" i="2" s="1"/>
  <c r="B5645" i="2"/>
  <c r="A5645" i="2"/>
  <c r="B5644" i="2"/>
  <c r="A5644" i="2"/>
  <c r="B5643" i="2"/>
  <c r="A5643" i="2"/>
  <c r="B5642" i="2"/>
  <c r="A5642" i="2"/>
  <c r="B5641" i="2"/>
  <c r="A5641" i="2"/>
  <c r="C5641" i="2" s="1"/>
  <c r="G5641" i="2" s="1"/>
  <c r="B5640" i="2"/>
  <c r="A5640" i="2"/>
  <c r="B5639" i="2"/>
  <c r="A5639" i="2"/>
  <c r="B5638" i="2"/>
  <c r="A5638" i="2"/>
  <c r="C5638" i="2" s="1"/>
  <c r="G5638" i="2" s="1"/>
  <c r="B5637" i="2"/>
  <c r="A5637" i="2"/>
  <c r="B5636" i="2"/>
  <c r="A5636" i="2"/>
  <c r="C5635" i="2"/>
  <c r="G5635" i="2" s="1"/>
  <c r="B5635" i="2"/>
  <c r="A5635" i="2"/>
  <c r="B5634" i="2"/>
  <c r="A5634" i="2"/>
  <c r="B5633" i="2"/>
  <c r="A5633" i="2"/>
  <c r="B5632" i="2"/>
  <c r="A5632" i="2"/>
  <c r="B5631" i="2"/>
  <c r="A5631" i="2"/>
  <c r="B5630" i="2"/>
  <c r="A5630" i="2"/>
  <c r="B5629" i="2"/>
  <c r="A5629" i="2"/>
  <c r="B5628" i="2"/>
  <c r="A5628" i="2"/>
  <c r="C5628" i="2" s="1"/>
  <c r="G5628" i="2" s="1"/>
  <c r="B5627" i="2"/>
  <c r="A5627" i="2"/>
  <c r="B5626" i="2"/>
  <c r="A5626" i="2"/>
  <c r="B5625" i="2"/>
  <c r="A5625" i="2"/>
  <c r="B5624" i="2"/>
  <c r="A5624" i="2"/>
  <c r="C5624" i="2" s="1"/>
  <c r="G5624" i="2" s="1"/>
  <c r="B5623" i="2"/>
  <c r="A5623" i="2"/>
  <c r="B5622" i="2"/>
  <c r="A5622" i="2"/>
  <c r="B5621" i="2"/>
  <c r="A5621" i="2"/>
  <c r="B5620" i="2"/>
  <c r="A5620" i="2"/>
  <c r="B5619" i="2"/>
  <c r="A5619" i="2"/>
  <c r="B5618" i="2"/>
  <c r="A5618" i="2"/>
  <c r="B5617" i="2"/>
  <c r="A5617" i="2"/>
  <c r="B5616" i="2"/>
  <c r="A5616" i="2"/>
  <c r="C5616" i="2" s="1"/>
  <c r="G5616" i="2" s="1"/>
  <c r="B5615" i="2"/>
  <c r="A5615" i="2"/>
  <c r="B5614" i="2"/>
  <c r="A5614" i="2"/>
  <c r="B5613" i="2"/>
  <c r="A5613" i="2"/>
  <c r="B5612" i="2"/>
  <c r="A5612" i="2"/>
  <c r="B5611" i="2"/>
  <c r="A5611" i="2"/>
  <c r="B5610" i="2"/>
  <c r="A5610" i="2"/>
  <c r="B5609" i="2"/>
  <c r="A5609" i="2"/>
  <c r="B5608" i="2"/>
  <c r="A5608" i="2"/>
  <c r="C5608" i="2" s="1"/>
  <c r="G5608" i="2" s="1"/>
  <c r="B5607" i="2"/>
  <c r="A5607" i="2"/>
  <c r="B5606" i="2"/>
  <c r="A5606" i="2"/>
  <c r="B5605" i="2"/>
  <c r="A5605" i="2"/>
  <c r="B5604" i="2"/>
  <c r="A5604" i="2"/>
  <c r="B5603" i="2"/>
  <c r="A5603" i="2"/>
  <c r="B5602" i="2"/>
  <c r="A5602" i="2"/>
  <c r="B5601" i="2"/>
  <c r="A5601" i="2"/>
  <c r="B5600" i="2"/>
  <c r="C5600" i="2" s="1"/>
  <c r="G5600" i="2" s="1"/>
  <c r="A5600" i="2"/>
  <c r="B5599" i="2"/>
  <c r="A5599" i="2"/>
  <c r="B5598" i="2"/>
  <c r="A5598" i="2"/>
  <c r="B5597" i="2"/>
  <c r="A5597" i="2"/>
  <c r="B5596" i="2"/>
  <c r="A5596" i="2"/>
  <c r="B5595" i="2"/>
  <c r="A5595" i="2"/>
  <c r="B5594" i="2"/>
  <c r="A5594" i="2"/>
  <c r="B5593" i="2"/>
  <c r="A5593" i="2"/>
  <c r="B5592" i="2"/>
  <c r="A5592" i="2"/>
  <c r="B5591" i="2"/>
  <c r="A5591" i="2"/>
  <c r="B5590" i="2"/>
  <c r="A5590" i="2"/>
  <c r="B5589" i="2"/>
  <c r="A5589" i="2"/>
  <c r="C5589" i="2" s="1"/>
  <c r="G5589" i="2" s="1"/>
  <c r="B5588" i="2"/>
  <c r="A5588" i="2"/>
  <c r="B5587" i="2"/>
  <c r="A5587" i="2"/>
  <c r="B5586" i="2"/>
  <c r="A5586" i="2"/>
  <c r="B5585" i="2"/>
  <c r="A5585" i="2"/>
  <c r="B5584" i="2"/>
  <c r="A5584" i="2"/>
  <c r="B5583" i="2"/>
  <c r="A5583" i="2"/>
  <c r="B5582" i="2"/>
  <c r="A5582" i="2"/>
  <c r="C5582" i="2" s="1"/>
  <c r="G5582" i="2" s="1"/>
  <c r="B5581" i="2"/>
  <c r="A5581" i="2"/>
  <c r="B5580" i="2"/>
  <c r="A5580" i="2"/>
  <c r="B5579" i="2"/>
  <c r="A5579" i="2"/>
  <c r="B5578" i="2"/>
  <c r="A5578" i="2"/>
  <c r="C5578" i="2" s="1"/>
  <c r="G5578" i="2" s="1"/>
  <c r="B5577" i="2"/>
  <c r="A5577" i="2"/>
  <c r="C5576" i="2"/>
  <c r="G5576" i="2" s="1"/>
  <c r="B5576" i="2"/>
  <c r="A5576" i="2"/>
  <c r="B5575" i="2"/>
  <c r="A5575" i="2"/>
  <c r="B5574" i="2"/>
  <c r="A5574" i="2"/>
  <c r="B5573" i="2"/>
  <c r="A5573" i="2"/>
  <c r="B5572" i="2"/>
  <c r="A5572" i="2"/>
  <c r="B5571" i="2"/>
  <c r="A5571" i="2"/>
  <c r="B5570" i="2"/>
  <c r="A5570" i="2"/>
  <c r="B5569" i="2"/>
  <c r="A5569" i="2"/>
  <c r="B5568" i="2"/>
  <c r="A5568" i="2"/>
  <c r="B5567" i="2"/>
  <c r="A5567" i="2"/>
  <c r="B5566" i="2"/>
  <c r="A5566" i="2"/>
  <c r="B5565" i="2"/>
  <c r="A5565" i="2"/>
  <c r="C5565" i="2" s="1"/>
  <c r="G5565" i="2" s="1"/>
  <c r="B5564" i="2"/>
  <c r="A5564" i="2"/>
  <c r="B5563" i="2"/>
  <c r="A5563" i="2"/>
  <c r="B5562" i="2"/>
  <c r="A5562" i="2"/>
  <c r="B5561" i="2"/>
  <c r="A5561" i="2"/>
  <c r="B5560" i="2"/>
  <c r="A5560" i="2"/>
  <c r="B5559" i="2"/>
  <c r="A5559" i="2"/>
  <c r="B5558" i="2"/>
  <c r="A5558" i="2"/>
  <c r="B5557" i="2"/>
  <c r="A5557" i="2"/>
  <c r="B5556" i="2"/>
  <c r="A5556" i="2"/>
  <c r="B5555" i="2"/>
  <c r="A5555" i="2"/>
  <c r="B5554" i="2"/>
  <c r="A5554" i="2"/>
  <c r="B5553" i="2"/>
  <c r="A5553" i="2"/>
  <c r="B5552" i="2"/>
  <c r="A5552" i="2"/>
  <c r="B5551" i="2"/>
  <c r="C5551" i="2" s="1"/>
  <c r="G5551" i="2" s="1"/>
  <c r="A5551" i="2"/>
  <c r="B5550" i="2"/>
  <c r="A5550" i="2"/>
  <c r="B5549" i="2"/>
  <c r="A5549" i="2"/>
  <c r="B5548" i="2"/>
  <c r="A5548" i="2"/>
  <c r="B5547" i="2"/>
  <c r="A5547" i="2"/>
  <c r="B5546" i="2"/>
  <c r="A5546" i="2"/>
  <c r="B5545" i="2"/>
  <c r="A5545" i="2"/>
  <c r="B5544" i="2"/>
  <c r="C5544" i="2" s="1"/>
  <c r="G5544" i="2" s="1"/>
  <c r="A5544" i="2"/>
  <c r="B5543" i="2"/>
  <c r="A5543" i="2"/>
  <c r="B5542" i="2"/>
  <c r="A5542" i="2"/>
  <c r="B5541" i="2"/>
  <c r="A5541" i="2"/>
  <c r="B5540" i="2"/>
  <c r="A5540" i="2"/>
  <c r="B5539" i="2"/>
  <c r="A5539" i="2"/>
  <c r="B5538" i="2"/>
  <c r="A5538" i="2"/>
  <c r="B5537" i="2"/>
  <c r="A5537" i="2"/>
  <c r="B5536" i="2"/>
  <c r="A5536" i="2"/>
  <c r="B5535" i="2"/>
  <c r="A5535" i="2"/>
  <c r="B5534" i="2"/>
  <c r="A5534" i="2"/>
  <c r="B5533" i="2"/>
  <c r="A5533" i="2"/>
  <c r="B5532" i="2"/>
  <c r="A5532" i="2"/>
  <c r="B5531" i="2"/>
  <c r="A5531" i="2"/>
  <c r="B5530" i="2"/>
  <c r="A5530" i="2"/>
  <c r="B5529" i="2"/>
  <c r="A5529" i="2"/>
  <c r="B5528" i="2"/>
  <c r="A5528" i="2"/>
  <c r="B5527" i="2"/>
  <c r="A5527" i="2"/>
  <c r="B5526" i="2"/>
  <c r="A5526" i="2"/>
  <c r="B5525" i="2"/>
  <c r="A5525" i="2"/>
  <c r="B5524" i="2"/>
  <c r="A5524" i="2"/>
  <c r="B5523" i="2"/>
  <c r="A5523" i="2"/>
  <c r="B5522" i="2"/>
  <c r="A5522" i="2"/>
  <c r="B5521" i="2"/>
  <c r="A5521" i="2"/>
  <c r="B5520" i="2"/>
  <c r="A5520" i="2"/>
  <c r="B5519" i="2"/>
  <c r="A5519" i="2"/>
  <c r="B5518" i="2"/>
  <c r="A5518" i="2"/>
  <c r="B5517" i="2"/>
  <c r="A5517" i="2"/>
  <c r="B5516" i="2"/>
  <c r="A5516" i="2"/>
  <c r="B5515" i="2"/>
  <c r="C5515" i="2" s="1"/>
  <c r="G5515" i="2" s="1"/>
  <c r="A5515" i="2"/>
  <c r="B5514" i="2"/>
  <c r="A5514" i="2"/>
  <c r="B5513" i="2"/>
  <c r="A5513" i="2"/>
  <c r="B5512" i="2"/>
  <c r="A5512" i="2"/>
  <c r="C5511" i="2"/>
  <c r="G5511" i="2" s="1"/>
  <c r="B5511" i="2"/>
  <c r="A5511" i="2"/>
  <c r="B5510" i="2"/>
  <c r="A5510" i="2"/>
  <c r="B5509" i="2"/>
  <c r="A5509" i="2"/>
  <c r="B5508" i="2"/>
  <c r="A5508" i="2"/>
  <c r="C5508" i="2" s="1"/>
  <c r="G5508" i="2" s="1"/>
  <c r="B5507" i="2"/>
  <c r="A5507" i="2"/>
  <c r="C5507" i="2" s="1"/>
  <c r="G5507" i="2" s="1"/>
  <c r="B5506" i="2"/>
  <c r="A5506" i="2"/>
  <c r="B5505" i="2"/>
  <c r="A5505" i="2"/>
  <c r="B5504" i="2"/>
  <c r="A5504" i="2"/>
  <c r="B5503" i="2"/>
  <c r="A5503" i="2"/>
  <c r="B5502" i="2"/>
  <c r="A5502" i="2"/>
  <c r="C5502" i="2" s="1"/>
  <c r="G5502" i="2" s="1"/>
  <c r="B5501" i="2"/>
  <c r="A5501" i="2"/>
  <c r="B5500" i="2"/>
  <c r="A5500" i="2"/>
  <c r="B5499" i="2"/>
  <c r="A5499" i="2"/>
  <c r="B5498" i="2"/>
  <c r="A5498" i="2"/>
  <c r="C5498" i="2" s="1"/>
  <c r="G5498" i="2" s="1"/>
  <c r="B5497" i="2"/>
  <c r="A5497" i="2"/>
  <c r="B5496" i="2"/>
  <c r="A5496" i="2"/>
  <c r="C5496" i="2" s="1"/>
  <c r="G5496" i="2" s="1"/>
  <c r="B5495" i="2"/>
  <c r="A5495" i="2"/>
  <c r="C5495" i="2" s="1"/>
  <c r="G5495" i="2" s="1"/>
  <c r="B5494" i="2"/>
  <c r="A5494" i="2"/>
  <c r="B5493" i="2"/>
  <c r="A5493" i="2"/>
  <c r="B5492" i="2"/>
  <c r="A5492" i="2"/>
  <c r="C5492" i="2" s="1"/>
  <c r="G5492" i="2" s="1"/>
  <c r="B5491" i="2"/>
  <c r="A5491" i="2"/>
  <c r="C5491" i="2" s="1"/>
  <c r="G5491" i="2" s="1"/>
  <c r="B5490" i="2"/>
  <c r="A5490" i="2"/>
  <c r="B5489" i="2"/>
  <c r="A5489" i="2"/>
  <c r="B5488" i="2"/>
  <c r="A5488" i="2"/>
  <c r="C5488" i="2" s="1"/>
  <c r="G5488" i="2" s="1"/>
  <c r="B5487" i="2"/>
  <c r="A5487" i="2"/>
  <c r="C5487" i="2" s="1"/>
  <c r="G5487" i="2" s="1"/>
  <c r="B5486" i="2"/>
  <c r="A5486" i="2"/>
  <c r="B5485" i="2"/>
  <c r="A5485" i="2"/>
  <c r="B5484" i="2"/>
  <c r="A5484" i="2"/>
  <c r="B5483" i="2"/>
  <c r="A5483" i="2"/>
  <c r="B5482" i="2"/>
  <c r="A5482" i="2"/>
  <c r="B5481" i="2"/>
  <c r="A5481" i="2"/>
  <c r="B5480" i="2"/>
  <c r="A5480" i="2"/>
  <c r="C5480" i="2" s="1"/>
  <c r="G5480" i="2" s="1"/>
  <c r="B5479" i="2"/>
  <c r="A5479" i="2"/>
  <c r="C5479" i="2" s="1"/>
  <c r="G5479" i="2" s="1"/>
  <c r="B5478" i="2"/>
  <c r="A5478" i="2"/>
  <c r="B5477" i="2"/>
  <c r="A5477" i="2"/>
  <c r="B5476" i="2"/>
  <c r="A5476" i="2"/>
  <c r="B5475" i="2"/>
  <c r="A5475" i="2"/>
  <c r="B5474" i="2"/>
  <c r="A5474" i="2"/>
  <c r="B5473" i="2"/>
  <c r="A5473" i="2"/>
  <c r="B5472" i="2"/>
  <c r="A5472" i="2"/>
  <c r="C5472" i="2" s="1"/>
  <c r="G5472" i="2" s="1"/>
  <c r="B5471" i="2"/>
  <c r="A5471" i="2"/>
  <c r="B5470" i="2"/>
  <c r="A5470" i="2"/>
  <c r="B5469" i="2"/>
  <c r="A5469" i="2"/>
  <c r="B5468" i="2"/>
  <c r="A5468" i="2"/>
  <c r="C5468" i="2" s="1"/>
  <c r="G5468" i="2" s="1"/>
  <c r="B5467" i="2"/>
  <c r="A5467" i="2"/>
  <c r="B5466" i="2"/>
  <c r="A5466" i="2"/>
  <c r="B5465" i="2"/>
  <c r="A5465" i="2"/>
  <c r="B5464" i="2"/>
  <c r="A5464" i="2"/>
  <c r="B5463" i="2"/>
  <c r="A5463" i="2"/>
  <c r="B5462" i="2"/>
  <c r="A5462" i="2"/>
  <c r="B5461" i="2"/>
  <c r="A5461" i="2"/>
  <c r="B5460" i="2"/>
  <c r="A5460" i="2"/>
  <c r="B5459" i="2"/>
  <c r="A5459" i="2"/>
  <c r="C5459" i="2" s="1"/>
  <c r="G5459" i="2" s="1"/>
  <c r="B5458" i="2"/>
  <c r="A5458" i="2"/>
  <c r="B5457" i="2"/>
  <c r="A5457" i="2"/>
  <c r="B5456" i="2"/>
  <c r="A5456" i="2"/>
  <c r="B5455" i="2"/>
  <c r="A5455" i="2"/>
  <c r="B5454" i="2"/>
  <c r="A5454" i="2"/>
  <c r="B5453" i="2"/>
  <c r="A5453" i="2"/>
  <c r="B5452" i="2"/>
  <c r="A5452" i="2"/>
  <c r="C5452" i="2" s="1"/>
  <c r="G5452" i="2" s="1"/>
  <c r="B5451" i="2"/>
  <c r="A5451" i="2"/>
  <c r="B5450" i="2"/>
  <c r="A5450" i="2"/>
  <c r="B5449" i="2"/>
  <c r="A5449" i="2"/>
  <c r="B5448" i="2"/>
  <c r="A5448" i="2"/>
  <c r="B5447" i="2"/>
  <c r="A5447" i="2"/>
  <c r="C5447" i="2" s="1"/>
  <c r="G5447" i="2" s="1"/>
  <c r="B5446" i="2"/>
  <c r="A5446" i="2"/>
  <c r="B5445" i="2"/>
  <c r="A5445" i="2"/>
  <c r="B5444" i="2"/>
  <c r="A5444" i="2"/>
  <c r="B5443" i="2"/>
  <c r="A5443" i="2"/>
  <c r="B5442" i="2"/>
  <c r="A5442" i="2"/>
  <c r="B5441" i="2"/>
  <c r="A5441" i="2"/>
  <c r="B5440" i="2"/>
  <c r="A5440" i="2"/>
  <c r="B5439" i="2"/>
  <c r="A5439" i="2"/>
  <c r="C5439" i="2" s="1"/>
  <c r="G5439" i="2" s="1"/>
  <c r="B5438" i="2"/>
  <c r="A5438" i="2"/>
  <c r="B5437" i="2"/>
  <c r="A5437" i="2"/>
  <c r="B5436" i="2"/>
  <c r="A5436" i="2"/>
  <c r="B5435" i="2"/>
  <c r="A5435" i="2"/>
  <c r="B5434" i="2"/>
  <c r="A5434" i="2"/>
  <c r="B5433" i="2"/>
  <c r="A5433" i="2"/>
  <c r="B5432" i="2"/>
  <c r="A5432" i="2"/>
  <c r="C5432" i="2" s="1"/>
  <c r="G5432" i="2" s="1"/>
  <c r="B5431" i="2"/>
  <c r="A5431" i="2"/>
  <c r="B5430" i="2"/>
  <c r="A5430" i="2"/>
  <c r="B5429" i="2"/>
  <c r="A5429" i="2"/>
  <c r="B5428" i="2"/>
  <c r="A5428" i="2"/>
  <c r="C5428" i="2" s="1"/>
  <c r="G5428" i="2" s="1"/>
  <c r="B5427" i="2"/>
  <c r="A5427" i="2"/>
  <c r="B5426" i="2"/>
  <c r="A5426" i="2"/>
  <c r="B5425" i="2"/>
  <c r="A5425" i="2"/>
  <c r="B5424" i="2"/>
  <c r="A5424" i="2"/>
  <c r="C5424" i="2" s="1"/>
  <c r="G5424" i="2" s="1"/>
  <c r="B5423" i="2"/>
  <c r="A5423" i="2"/>
  <c r="C5423" i="2" s="1"/>
  <c r="G5423" i="2" s="1"/>
  <c r="B5422" i="2"/>
  <c r="A5422" i="2"/>
  <c r="B5421" i="2"/>
  <c r="A5421" i="2"/>
  <c r="B5420" i="2"/>
  <c r="A5420" i="2"/>
  <c r="B5419" i="2"/>
  <c r="A5419" i="2"/>
  <c r="B5418" i="2"/>
  <c r="A5418" i="2"/>
  <c r="B5417" i="2"/>
  <c r="A5417" i="2"/>
  <c r="B5416" i="2"/>
  <c r="A5416" i="2"/>
  <c r="C5416" i="2" s="1"/>
  <c r="G5416" i="2" s="1"/>
  <c r="B5415" i="2"/>
  <c r="A5415" i="2"/>
  <c r="C5415" i="2" s="1"/>
  <c r="G5415" i="2" s="1"/>
  <c r="B5414" i="2"/>
  <c r="A5414" i="2"/>
  <c r="B5413" i="2"/>
  <c r="A5413" i="2"/>
  <c r="B5412" i="2"/>
  <c r="A5412" i="2"/>
  <c r="B5411" i="2"/>
  <c r="A5411" i="2"/>
  <c r="C5411" i="2" s="1"/>
  <c r="G5411" i="2" s="1"/>
  <c r="B5410" i="2"/>
  <c r="A5410" i="2"/>
  <c r="B5409" i="2"/>
  <c r="A5409" i="2"/>
  <c r="B5408" i="2"/>
  <c r="A5408" i="2"/>
  <c r="C5408" i="2" s="1"/>
  <c r="G5408" i="2" s="1"/>
  <c r="B5407" i="2"/>
  <c r="A5407" i="2"/>
  <c r="C5407" i="2" s="1"/>
  <c r="G5407" i="2" s="1"/>
  <c r="B5406" i="2"/>
  <c r="A5406" i="2"/>
  <c r="B5405" i="2"/>
  <c r="A5405" i="2"/>
  <c r="B5404" i="2"/>
  <c r="A5404" i="2"/>
  <c r="C5404" i="2" s="1"/>
  <c r="G5404" i="2" s="1"/>
  <c r="B5403" i="2"/>
  <c r="A5403" i="2"/>
  <c r="B5402" i="2"/>
  <c r="A5402" i="2"/>
  <c r="B5401" i="2"/>
  <c r="A5401" i="2"/>
  <c r="B5400" i="2"/>
  <c r="A5400" i="2"/>
  <c r="C5400" i="2" s="1"/>
  <c r="G5400" i="2" s="1"/>
  <c r="B5399" i="2"/>
  <c r="A5399" i="2"/>
  <c r="C5399" i="2" s="1"/>
  <c r="G5399" i="2" s="1"/>
  <c r="B5398" i="2"/>
  <c r="A5398" i="2"/>
  <c r="B5397" i="2"/>
  <c r="A5397" i="2"/>
  <c r="B5396" i="2"/>
  <c r="A5396" i="2"/>
  <c r="B5395" i="2"/>
  <c r="A5395" i="2"/>
  <c r="C5395" i="2" s="1"/>
  <c r="G5395" i="2" s="1"/>
  <c r="B5394" i="2"/>
  <c r="A5394" i="2"/>
  <c r="C5394" i="2" s="1"/>
  <c r="G5394" i="2" s="1"/>
  <c r="B5393" i="2"/>
  <c r="A5393" i="2"/>
  <c r="B5392" i="2"/>
  <c r="A5392" i="2"/>
  <c r="B5391" i="2"/>
  <c r="A5391" i="2"/>
  <c r="B5390" i="2"/>
  <c r="A5390" i="2"/>
  <c r="B5389" i="2"/>
  <c r="A5389" i="2"/>
  <c r="B5388" i="2"/>
  <c r="A5388" i="2"/>
  <c r="B5387" i="2"/>
  <c r="A5387" i="2"/>
  <c r="B5386" i="2"/>
  <c r="A5386" i="2"/>
  <c r="C5386" i="2" s="1"/>
  <c r="G5386" i="2" s="1"/>
  <c r="B5385" i="2"/>
  <c r="A5385" i="2"/>
  <c r="B5384" i="2"/>
  <c r="A5384" i="2"/>
  <c r="C5384" i="2" s="1"/>
  <c r="G5384" i="2" s="1"/>
  <c r="B5383" i="2"/>
  <c r="A5383" i="2"/>
  <c r="C5383" i="2" s="1"/>
  <c r="G5383" i="2" s="1"/>
  <c r="B5382" i="2"/>
  <c r="A5382" i="2"/>
  <c r="B5381" i="2"/>
  <c r="A5381" i="2"/>
  <c r="B5380" i="2"/>
  <c r="A5380" i="2"/>
  <c r="B5379" i="2"/>
  <c r="A5379" i="2"/>
  <c r="B5378" i="2"/>
  <c r="A5378" i="2"/>
  <c r="B5377" i="2"/>
  <c r="A5377" i="2"/>
  <c r="B5376" i="2"/>
  <c r="A5376" i="2"/>
  <c r="B5375" i="2"/>
  <c r="A5375" i="2"/>
  <c r="B5374" i="2"/>
  <c r="A5374" i="2"/>
  <c r="B5373" i="2"/>
  <c r="A5373" i="2"/>
  <c r="B5372" i="2"/>
  <c r="A5372" i="2"/>
  <c r="C5372" i="2" s="1"/>
  <c r="G5372" i="2" s="1"/>
  <c r="B5371" i="2"/>
  <c r="A5371" i="2"/>
  <c r="B5370" i="2"/>
  <c r="A5370" i="2"/>
  <c r="B5369" i="2"/>
  <c r="A5369" i="2"/>
  <c r="B5368" i="2"/>
  <c r="A5368" i="2"/>
  <c r="B5367" i="2"/>
  <c r="A5367" i="2"/>
  <c r="C5367" i="2" s="1"/>
  <c r="G5367" i="2" s="1"/>
  <c r="B5366" i="2"/>
  <c r="A5366" i="2"/>
  <c r="B5365" i="2"/>
  <c r="A5365" i="2"/>
  <c r="B5364" i="2"/>
  <c r="A5364" i="2"/>
  <c r="C5364" i="2" s="1"/>
  <c r="G5364" i="2" s="1"/>
  <c r="B5363" i="2"/>
  <c r="A5363" i="2"/>
  <c r="B5362" i="2"/>
  <c r="A5362" i="2"/>
  <c r="C5362" i="2" s="1"/>
  <c r="G5362" i="2" s="1"/>
  <c r="B5361" i="2"/>
  <c r="A5361" i="2"/>
  <c r="B5360" i="2"/>
  <c r="A5360" i="2"/>
  <c r="C5360" i="2" s="1"/>
  <c r="G5360" i="2" s="1"/>
  <c r="B5359" i="2"/>
  <c r="A5359" i="2"/>
  <c r="B5358" i="2"/>
  <c r="A5358" i="2"/>
  <c r="C5358" i="2" s="1"/>
  <c r="G5358" i="2" s="1"/>
  <c r="B5357" i="2"/>
  <c r="A5357" i="2"/>
  <c r="B5356" i="2"/>
  <c r="A5356" i="2"/>
  <c r="B5355" i="2"/>
  <c r="A5355" i="2"/>
  <c r="B5354" i="2"/>
  <c r="A5354" i="2"/>
  <c r="C5354" i="2" s="1"/>
  <c r="G5354" i="2" s="1"/>
  <c r="B5353" i="2"/>
  <c r="A5353" i="2"/>
  <c r="B5352" i="2"/>
  <c r="A5352" i="2"/>
  <c r="C5352" i="2" s="1"/>
  <c r="G5352" i="2" s="1"/>
  <c r="B5351" i="2"/>
  <c r="A5351" i="2"/>
  <c r="B5350" i="2"/>
  <c r="A5350" i="2"/>
  <c r="B5349" i="2"/>
  <c r="A5349" i="2"/>
  <c r="B5348" i="2"/>
  <c r="A5348" i="2"/>
  <c r="C5348" i="2" s="1"/>
  <c r="G5348" i="2" s="1"/>
  <c r="B5347" i="2"/>
  <c r="A5347" i="2"/>
  <c r="B5346" i="2"/>
  <c r="A5346" i="2"/>
  <c r="C5346" i="2" s="1"/>
  <c r="G5346" i="2" s="1"/>
  <c r="B5345" i="2"/>
  <c r="A5345" i="2"/>
  <c r="B5344" i="2"/>
  <c r="A5344" i="2"/>
  <c r="C5344" i="2" s="1"/>
  <c r="G5344" i="2" s="1"/>
  <c r="B5343" i="2"/>
  <c r="A5343" i="2"/>
  <c r="B5342" i="2"/>
  <c r="A5342" i="2"/>
  <c r="C5342" i="2" s="1"/>
  <c r="G5342" i="2" s="1"/>
  <c r="B5341" i="2"/>
  <c r="A5341" i="2"/>
  <c r="B5340" i="2"/>
  <c r="A5340" i="2"/>
  <c r="B5339" i="2"/>
  <c r="A5339" i="2"/>
  <c r="B5338" i="2"/>
  <c r="A5338" i="2"/>
  <c r="C5338" i="2" s="1"/>
  <c r="G5338" i="2" s="1"/>
  <c r="B5337" i="2"/>
  <c r="A5337" i="2"/>
  <c r="B5336" i="2"/>
  <c r="A5336" i="2"/>
  <c r="C5336" i="2" s="1"/>
  <c r="G5336" i="2" s="1"/>
  <c r="B5335" i="2"/>
  <c r="A5335" i="2"/>
  <c r="B5334" i="2"/>
  <c r="A5334" i="2"/>
  <c r="B5333" i="2"/>
  <c r="A5333" i="2"/>
  <c r="B5332" i="2"/>
  <c r="A5332" i="2"/>
  <c r="B5331" i="2"/>
  <c r="A5331" i="2"/>
  <c r="B5330" i="2"/>
  <c r="A5330" i="2"/>
  <c r="B5329" i="2"/>
  <c r="A5329" i="2"/>
  <c r="B5328" i="2"/>
  <c r="A5328" i="2"/>
  <c r="B5327" i="2"/>
  <c r="A5327" i="2"/>
  <c r="B5326" i="2"/>
  <c r="A5326" i="2"/>
  <c r="B5325" i="2"/>
  <c r="A5325" i="2"/>
  <c r="C5325" i="2" s="1"/>
  <c r="G5325" i="2" s="1"/>
  <c r="B5324" i="2"/>
  <c r="A5324" i="2"/>
  <c r="B5323" i="2"/>
  <c r="C5323" i="2" s="1"/>
  <c r="G5323" i="2" s="1"/>
  <c r="A5323" i="2"/>
  <c r="B5322" i="2"/>
  <c r="A5322" i="2"/>
  <c r="B5321" i="2"/>
  <c r="A5321" i="2"/>
  <c r="C5321" i="2" s="1"/>
  <c r="G5321" i="2" s="1"/>
  <c r="B5320" i="2"/>
  <c r="A5320" i="2"/>
  <c r="B5319" i="2"/>
  <c r="A5319" i="2"/>
  <c r="B5318" i="2"/>
  <c r="A5318" i="2"/>
  <c r="B5317" i="2"/>
  <c r="A5317" i="2"/>
  <c r="B5316" i="2"/>
  <c r="A5316" i="2"/>
  <c r="B5315" i="2"/>
  <c r="A5315" i="2"/>
  <c r="B5314" i="2"/>
  <c r="A5314" i="2"/>
  <c r="B5313" i="2"/>
  <c r="A5313" i="2"/>
  <c r="B5312" i="2"/>
  <c r="A5312" i="2"/>
  <c r="C5312" i="2" s="1"/>
  <c r="G5312" i="2" s="1"/>
  <c r="B5311" i="2"/>
  <c r="A5311" i="2"/>
  <c r="B5310" i="2"/>
  <c r="A5310" i="2"/>
  <c r="B5309" i="2"/>
  <c r="A5309" i="2"/>
  <c r="B5308" i="2"/>
  <c r="A5308" i="2"/>
  <c r="B5307" i="2"/>
  <c r="A5307" i="2"/>
  <c r="B5306" i="2"/>
  <c r="A5306" i="2"/>
  <c r="B5305" i="2"/>
  <c r="A5305" i="2"/>
  <c r="B5304" i="2"/>
  <c r="A5304" i="2"/>
  <c r="C5303" i="2"/>
  <c r="G5303" i="2" s="1"/>
  <c r="B5303" i="2"/>
  <c r="A5303" i="2"/>
  <c r="B5302" i="2"/>
  <c r="A5302" i="2"/>
  <c r="B5301" i="2"/>
  <c r="A5301" i="2"/>
  <c r="B5300" i="2"/>
  <c r="A5300" i="2"/>
  <c r="C5300" i="2" s="1"/>
  <c r="G5300" i="2" s="1"/>
  <c r="B5299" i="2"/>
  <c r="A5299" i="2"/>
  <c r="B5298" i="2"/>
  <c r="A5298" i="2"/>
  <c r="B5297" i="2"/>
  <c r="A5297" i="2"/>
  <c r="B5296" i="2"/>
  <c r="A5296" i="2"/>
  <c r="C5296" i="2" s="1"/>
  <c r="G5296" i="2" s="1"/>
  <c r="C5295" i="2"/>
  <c r="G5295" i="2" s="1"/>
  <c r="B5295" i="2"/>
  <c r="A5295" i="2"/>
  <c r="B5294" i="2"/>
  <c r="A5294" i="2"/>
  <c r="B5293" i="2"/>
  <c r="A5293" i="2"/>
  <c r="B5292" i="2"/>
  <c r="A5292" i="2"/>
  <c r="B5291" i="2"/>
  <c r="A5291" i="2"/>
  <c r="B5290" i="2"/>
  <c r="A5290" i="2"/>
  <c r="B5289" i="2"/>
  <c r="A5289" i="2"/>
  <c r="B5288" i="2"/>
  <c r="A5288" i="2"/>
  <c r="B5287" i="2"/>
  <c r="A5287" i="2"/>
  <c r="B5286" i="2"/>
  <c r="A5286" i="2"/>
  <c r="B5285" i="2"/>
  <c r="A5285" i="2"/>
  <c r="B5284" i="2"/>
  <c r="A5284" i="2"/>
  <c r="B5283" i="2"/>
  <c r="A5283" i="2"/>
  <c r="B5282" i="2"/>
  <c r="A5282" i="2"/>
  <c r="B5281" i="2"/>
  <c r="A5281" i="2"/>
  <c r="B5280" i="2"/>
  <c r="A5280" i="2"/>
  <c r="B5279" i="2"/>
  <c r="A5279" i="2"/>
  <c r="B5278" i="2"/>
  <c r="A5278" i="2"/>
  <c r="C5278" i="2" s="1"/>
  <c r="G5278" i="2" s="1"/>
  <c r="B5277" i="2"/>
  <c r="A5277" i="2"/>
  <c r="C5277" i="2" s="1"/>
  <c r="G5277" i="2" s="1"/>
  <c r="B5276" i="2"/>
  <c r="A5276" i="2"/>
  <c r="B5275" i="2"/>
  <c r="C5275" i="2" s="1"/>
  <c r="G5275" i="2" s="1"/>
  <c r="A5275" i="2"/>
  <c r="B5274" i="2"/>
  <c r="A5274" i="2"/>
  <c r="C5274" i="2" s="1"/>
  <c r="G5274" i="2" s="1"/>
  <c r="B5273" i="2"/>
  <c r="A5273" i="2"/>
  <c r="C5273" i="2" s="1"/>
  <c r="G5273" i="2" s="1"/>
  <c r="C5272" i="2"/>
  <c r="G5272" i="2" s="1"/>
  <c r="B5272" i="2"/>
  <c r="A5272" i="2"/>
  <c r="B5271" i="2"/>
  <c r="A5271" i="2"/>
  <c r="C5271" i="2" s="1"/>
  <c r="G5271" i="2" s="1"/>
  <c r="B5270" i="2"/>
  <c r="A5270" i="2"/>
  <c r="B5269" i="2"/>
  <c r="A5269" i="2"/>
  <c r="B5268" i="2"/>
  <c r="A5268" i="2"/>
  <c r="B5267" i="2"/>
  <c r="A5267" i="2"/>
  <c r="B5266" i="2"/>
  <c r="A5266" i="2"/>
  <c r="B5265" i="2"/>
  <c r="A5265" i="2"/>
  <c r="B5264" i="2"/>
  <c r="A5264" i="2"/>
  <c r="B5263" i="2"/>
  <c r="A5263" i="2"/>
  <c r="C5263" i="2" s="1"/>
  <c r="G5263" i="2" s="1"/>
  <c r="B5262" i="2"/>
  <c r="A5262" i="2"/>
  <c r="B5261" i="2"/>
  <c r="A5261" i="2"/>
  <c r="B5260" i="2"/>
  <c r="A5260" i="2"/>
  <c r="B5259" i="2"/>
  <c r="A5259" i="2"/>
  <c r="C5259" i="2" s="1"/>
  <c r="G5259" i="2" s="1"/>
  <c r="B5258" i="2"/>
  <c r="A5258" i="2"/>
  <c r="C5258" i="2" s="1"/>
  <c r="G5258" i="2" s="1"/>
  <c r="B5257" i="2"/>
  <c r="A5257" i="2"/>
  <c r="B5256" i="2"/>
  <c r="A5256" i="2"/>
  <c r="B5255" i="2"/>
  <c r="A5255" i="2"/>
  <c r="C5255" i="2" s="1"/>
  <c r="G5255" i="2" s="1"/>
  <c r="B5254" i="2"/>
  <c r="A5254" i="2"/>
  <c r="B5253" i="2"/>
  <c r="A5253" i="2"/>
  <c r="B5252" i="2"/>
  <c r="A5252" i="2"/>
  <c r="C5252" i="2" s="1"/>
  <c r="G5252" i="2" s="1"/>
  <c r="B5251" i="2"/>
  <c r="A5251" i="2"/>
  <c r="C5251" i="2" s="1"/>
  <c r="G5251" i="2" s="1"/>
  <c r="B5250" i="2"/>
  <c r="A5250" i="2"/>
  <c r="B5249" i="2"/>
  <c r="A5249" i="2"/>
  <c r="B5248" i="2"/>
  <c r="A5248" i="2"/>
  <c r="B5247" i="2"/>
  <c r="A5247" i="2"/>
  <c r="C5247" i="2" s="1"/>
  <c r="G5247" i="2" s="1"/>
  <c r="B5246" i="2"/>
  <c r="C5246" i="2" s="1"/>
  <c r="G5246" i="2" s="1"/>
  <c r="A5246" i="2"/>
  <c r="B5245" i="2"/>
  <c r="A5245" i="2"/>
  <c r="B5244" i="2"/>
  <c r="A5244" i="2"/>
  <c r="B5243" i="2"/>
  <c r="A5243" i="2"/>
  <c r="C5243" i="2" s="1"/>
  <c r="G5243" i="2" s="1"/>
  <c r="B5242" i="2"/>
  <c r="A5242" i="2"/>
  <c r="B5241" i="2"/>
  <c r="A5241" i="2"/>
  <c r="B5240" i="2"/>
  <c r="A5240" i="2"/>
  <c r="B5239" i="2"/>
  <c r="A5239" i="2"/>
  <c r="B5238" i="2"/>
  <c r="A5238" i="2"/>
  <c r="C5238" i="2" s="1"/>
  <c r="G5238" i="2" s="1"/>
  <c r="B5237" i="2"/>
  <c r="A5237" i="2"/>
  <c r="C5237" i="2" s="1"/>
  <c r="G5237" i="2" s="1"/>
  <c r="B5236" i="2"/>
  <c r="A5236" i="2"/>
  <c r="B5235" i="2"/>
  <c r="A5235" i="2"/>
  <c r="B5234" i="2"/>
  <c r="A5234" i="2"/>
  <c r="C5234" i="2" s="1"/>
  <c r="G5234" i="2" s="1"/>
  <c r="B5233" i="2"/>
  <c r="A5233" i="2"/>
  <c r="B5232" i="2"/>
  <c r="A5232" i="2"/>
  <c r="B5231" i="2"/>
  <c r="A5231" i="2"/>
  <c r="B5230" i="2"/>
  <c r="A5230" i="2"/>
  <c r="B5229" i="2"/>
  <c r="A5229" i="2"/>
  <c r="B5228" i="2"/>
  <c r="A5228" i="2"/>
  <c r="B5227" i="2"/>
  <c r="A5227" i="2"/>
  <c r="B5226" i="2"/>
  <c r="A5226" i="2"/>
  <c r="B5225" i="2"/>
  <c r="A5225" i="2"/>
  <c r="B5224" i="2"/>
  <c r="A5224" i="2"/>
  <c r="B5223" i="2"/>
  <c r="A5223" i="2"/>
  <c r="B5222" i="2"/>
  <c r="A5222" i="2"/>
  <c r="C5222" i="2" s="1"/>
  <c r="G5222" i="2" s="1"/>
  <c r="B5221" i="2"/>
  <c r="A5221" i="2"/>
  <c r="B5220" i="2"/>
  <c r="A5220" i="2"/>
  <c r="B5219" i="2"/>
  <c r="C5219" i="2" s="1"/>
  <c r="G5219" i="2" s="1"/>
  <c r="A5219" i="2"/>
  <c r="B5218" i="2"/>
  <c r="A5218" i="2"/>
  <c r="B5217" i="2"/>
  <c r="A5217" i="2"/>
  <c r="B5216" i="2"/>
  <c r="A5216" i="2"/>
  <c r="B5215" i="2"/>
  <c r="C5215" i="2" s="1"/>
  <c r="G5215" i="2" s="1"/>
  <c r="A5215" i="2"/>
  <c r="B5214" i="2"/>
  <c r="A5214" i="2"/>
  <c r="B5213" i="2"/>
  <c r="A5213" i="2"/>
  <c r="B5212" i="2"/>
  <c r="A5212" i="2"/>
  <c r="B5211" i="2"/>
  <c r="A5211" i="2"/>
  <c r="B5210" i="2"/>
  <c r="A5210" i="2"/>
  <c r="B5209" i="2"/>
  <c r="A5209" i="2"/>
  <c r="B5208" i="2"/>
  <c r="A5208" i="2"/>
  <c r="B5207" i="2"/>
  <c r="A5207" i="2"/>
  <c r="B5206" i="2"/>
  <c r="A5206" i="2"/>
  <c r="B5205" i="2"/>
  <c r="A5205" i="2"/>
  <c r="B5204" i="2"/>
  <c r="A5204" i="2"/>
  <c r="B5203" i="2"/>
  <c r="C5203" i="2" s="1"/>
  <c r="G5203" i="2" s="1"/>
  <c r="A5203" i="2"/>
  <c r="B5202" i="2"/>
  <c r="A5202" i="2"/>
  <c r="B5201" i="2"/>
  <c r="A5201" i="2"/>
  <c r="B5200" i="2"/>
  <c r="A5200" i="2"/>
  <c r="B5199" i="2"/>
  <c r="A5199" i="2"/>
  <c r="B5198" i="2"/>
  <c r="A5198" i="2"/>
  <c r="B5197" i="2"/>
  <c r="A5197" i="2"/>
  <c r="C5197" i="2" s="1"/>
  <c r="G5197" i="2" s="1"/>
  <c r="B5196" i="2"/>
  <c r="A5196" i="2"/>
  <c r="B5195" i="2"/>
  <c r="C5195" i="2" s="1"/>
  <c r="G5195" i="2" s="1"/>
  <c r="A5195" i="2"/>
  <c r="B5194" i="2"/>
  <c r="A5194" i="2"/>
  <c r="B5193" i="2"/>
  <c r="A5193" i="2"/>
  <c r="C5193" i="2" s="1"/>
  <c r="G5193" i="2" s="1"/>
  <c r="B5192" i="2"/>
  <c r="A5192" i="2"/>
  <c r="B5191" i="2"/>
  <c r="C5191" i="2" s="1"/>
  <c r="G5191" i="2" s="1"/>
  <c r="A5191" i="2"/>
  <c r="B5190" i="2"/>
  <c r="A5190" i="2"/>
  <c r="B5189" i="2"/>
  <c r="A5189" i="2"/>
  <c r="C5189" i="2" s="1"/>
  <c r="G5189" i="2" s="1"/>
  <c r="B5188" i="2"/>
  <c r="A5188" i="2"/>
  <c r="B5187" i="2"/>
  <c r="A5187" i="2"/>
  <c r="B5186" i="2"/>
  <c r="A5186" i="2"/>
  <c r="B5185" i="2"/>
  <c r="A5185" i="2"/>
  <c r="B5184" i="2"/>
  <c r="C5184" i="2" s="1"/>
  <c r="G5184" i="2" s="1"/>
  <c r="A5184" i="2"/>
  <c r="B5183" i="2"/>
  <c r="A5183" i="2"/>
  <c r="B5182" i="2"/>
  <c r="A5182" i="2"/>
  <c r="B5181" i="2"/>
  <c r="A5181" i="2"/>
  <c r="B5180" i="2"/>
  <c r="A5180" i="2"/>
  <c r="B5179" i="2"/>
  <c r="A5179" i="2"/>
  <c r="B5178" i="2"/>
  <c r="A5178" i="2"/>
  <c r="B5177" i="2"/>
  <c r="A5177" i="2"/>
  <c r="B5176" i="2"/>
  <c r="A5176" i="2"/>
  <c r="B5175" i="2"/>
  <c r="C5175" i="2" s="1"/>
  <c r="G5175" i="2" s="1"/>
  <c r="A5175" i="2"/>
  <c r="B5174" i="2"/>
  <c r="A5174" i="2"/>
  <c r="B5173" i="2"/>
  <c r="A5173" i="2"/>
  <c r="B5172" i="2"/>
  <c r="A5172" i="2"/>
  <c r="B5171" i="2"/>
  <c r="A5171" i="2"/>
  <c r="B5170" i="2"/>
  <c r="A5170" i="2"/>
  <c r="B5169" i="2"/>
  <c r="A5169" i="2"/>
  <c r="B5168" i="2"/>
  <c r="A5168" i="2"/>
  <c r="B5167" i="2"/>
  <c r="A5167" i="2"/>
  <c r="B5166" i="2"/>
  <c r="A5166" i="2"/>
  <c r="B5165" i="2"/>
  <c r="A5165" i="2"/>
  <c r="B5164" i="2"/>
  <c r="A5164" i="2"/>
  <c r="B5163" i="2"/>
  <c r="A5163" i="2"/>
  <c r="B5162" i="2"/>
  <c r="A5162" i="2"/>
  <c r="B5161" i="2"/>
  <c r="A5161" i="2"/>
  <c r="B5160" i="2"/>
  <c r="A5160" i="2"/>
  <c r="B5159" i="2"/>
  <c r="A5159" i="2"/>
  <c r="B5158" i="2"/>
  <c r="A5158" i="2"/>
  <c r="B5157" i="2"/>
  <c r="A5157" i="2"/>
  <c r="B5156" i="2"/>
  <c r="A5156" i="2"/>
  <c r="B5155" i="2"/>
  <c r="A5155" i="2"/>
  <c r="B5154" i="2"/>
  <c r="A5154" i="2"/>
  <c r="B5153" i="2"/>
  <c r="A5153" i="2"/>
  <c r="B5152" i="2"/>
  <c r="A5152" i="2"/>
  <c r="B5151" i="2"/>
  <c r="A5151" i="2"/>
  <c r="B5150" i="2"/>
  <c r="A5150" i="2"/>
  <c r="B5149" i="2"/>
  <c r="A5149" i="2"/>
  <c r="C5149" i="2" s="1"/>
  <c r="G5149" i="2" s="1"/>
  <c r="B5148" i="2"/>
  <c r="A5148" i="2"/>
  <c r="B5147" i="2"/>
  <c r="C5147" i="2" s="1"/>
  <c r="G5147" i="2" s="1"/>
  <c r="A5147" i="2"/>
  <c r="B5146" i="2"/>
  <c r="A5146" i="2"/>
  <c r="B5145" i="2"/>
  <c r="A5145" i="2"/>
  <c r="C5145" i="2" s="1"/>
  <c r="G5145" i="2" s="1"/>
  <c r="B5144" i="2"/>
  <c r="A5144" i="2"/>
  <c r="B5143" i="2"/>
  <c r="A5143" i="2"/>
  <c r="C5143" i="2" s="1"/>
  <c r="G5143" i="2" s="1"/>
  <c r="B5142" i="2"/>
  <c r="A5142" i="2"/>
  <c r="B5141" i="2"/>
  <c r="A5141" i="2"/>
  <c r="B5140" i="2"/>
  <c r="A5140" i="2"/>
  <c r="B5139" i="2"/>
  <c r="A5139" i="2"/>
  <c r="B5138" i="2"/>
  <c r="A5138" i="2"/>
  <c r="B5137" i="2"/>
  <c r="A5137" i="2"/>
  <c r="B5136" i="2"/>
  <c r="C5136" i="2" s="1"/>
  <c r="G5136" i="2" s="1"/>
  <c r="A5136" i="2"/>
  <c r="B5135" i="2"/>
  <c r="A5135" i="2"/>
  <c r="B5134" i="2"/>
  <c r="A5134" i="2"/>
  <c r="C5134" i="2" s="1"/>
  <c r="G5134" i="2" s="1"/>
  <c r="B5133" i="2"/>
  <c r="A5133" i="2"/>
  <c r="B5132" i="2"/>
  <c r="A5132" i="2"/>
  <c r="B5131" i="2"/>
  <c r="A5131" i="2"/>
  <c r="B5130" i="2"/>
  <c r="A5130" i="2"/>
  <c r="B5129" i="2"/>
  <c r="A5129" i="2"/>
  <c r="B5128" i="2"/>
  <c r="A5128" i="2"/>
  <c r="B5127" i="2"/>
  <c r="A5127" i="2"/>
  <c r="B5126" i="2"/>
  <c r="A5126" i="2"/>
  <c r="B5125" i="2"/>
  <c r="A5125" i="2"/>
  <c r="B5124" i="2"/>
  <c r="A5124" i="2"/>
  <c r="B5123" i="2"/>
  <c r="A5123" i="2"/>
  <c r="B5122" i="2"/>
  <c r="A5122" i="2"/>
  <c r="B5121" i="2"/>
  <c r="A5121" i="2"/>
  <c r="B5120" i="2"/>
  <c r="C5120" i="2" s="1"/>
  <c r="G5120" i="2" s="1"/>
  <c r="A5120" i="2"/>
  <c r="B5119" i="2"/>
  <c r="A5119" i="2"/>
  <c r="B5118" i="2"/>
  <c r="A5118" i="2"/>
  <c r="C5118" i="2" s="1"/>
  <c r="G5118" i="2" s="1"/>
  <c r="B5117" i="2"/>
  <c r="A5117" i="2"/>
  <c r="B5116" i="2"/>
  <c r="A5116" i="2"/>
  <c r="B5115" i="2"/>
  <c r="A5115" i="2"/>
  <c r="B5114" i="2"/>
  <c r="A5114" i="2"/>
  <c r="B5113" i="2"/>
  <c r="A5113" i="2"/>
  <c r="B5112" i="2"/>
  <c r="A5112" i="2"/>
  <c r="B5111" i="2"/>
  <c r="C5111" i="2" s="1"/>
  <c r="G5111" i="2" s="1"/>
  <c r="A5111" i="2"/>
  <c r="B5110" i="2"/>
  <c r="A5110" i="2"/>
  <c r="B5109" i="2"/>
  <c r="A5109" i="2"/>
  <c r="B5108" i="2"/>
  <c r="A5108" i="2"/>
  <c r="B5107" i="2"/>
  <c r="C5107" i="2" s="1"/>
  <c r="G5107" i="2" s="1"/>
  <c r="A5107" i="2"/>
  <c r="B5106" i="2"/>
  <c r="A5106" i="2"/>
  <c r="B5105" i="2"/>
  <c r="A5105" i="2"/>
  <c r="B5104" i="2"/>
  <c r="A5104" i="2"/>
  <c r="B5103" i="2"/>
  <c r="C5103" i="2" s="1"/>
  <c r="G5103" i="2" s="1"/>
  <c r="A5103" i="2"/>
  <c r="B5102" i="2"/>
  <c r="A5102" i="2"/>
  <c r="B5101" i="2"/>
  <c r="A5101" i="2"/>
  <c r="B5100" i="2"/>
  <c r="A5100" i="2"/>
  <c r="B5099" i="2"/>
  <c r="C5099" i="2" s="1"/>
  <c r="G5099" i="2" s="1"/>
  <c r="A5099" i="2"/>
  <c r="B5098" i="2"/>
  <c r="A5098" i="2"/>
  <c r="B5097" i="2"/>
  <c r="A5097" i="2"/>
  <c r="B5096" i="2"/>
  <c r="A5096" i="2"/>
  <c r="B5095" i="2"/>
  <c r="C5095" i="2" s="1"/>
  <c r="G5095" i="2" s="1"/>
  <c r="A5095" i="2"/>
  <c r="B5094" i="2"/>
  <c r="A5094" i="2"/>
  <c r="B5093" i="2"/>
  <c r="A5093" i="2"/>
  <c r="B5092" i="2"/>
  <c r="A5092" i="2"/>
  <c r="B5091" i="2"/>
  <c r="C5091" i="2" s="1"/>
  <c r="G5091" i="2" s="1"/>
  <c r="A5091" i="2"/>
  <c r="B5090" i="2"/>
  <c r="A5090" i="2"/>
  <c r="B5089" i="2"/>
  <c r="A5089" i="2"/>
  <c r="B5088" i="2"/>
  <c r="A5088" i="2"/>
  <c r="B5087" i="2"/>
  <c r="A5087" i="2"/>
  <c r="B5086" i="2"/>
  <c r="A5086" i="2"/>
  <c r="B5085" i="2"/>
  <c r="A5085" i="2"/>
  <c r="B5084" i="2"/>
  <c r="A5084" i="2"/>
  <c r="B5083" i="2"/>
  <c r="C5083" i="2" s="1"/>
  <c r="G5083" i="2" s="1"/>
  <c r="A5083" i="2"/>
  <c r="B5082" i="2"/>
  <c r="A5082" i="2"/>
  <c r="B5081" i="2"/>
  <c r="A5081" i="2"/>
  <c r="B5080" i="2"/>
  <c r="A5080" i="2"/>
  <c r="B5079" i="2"/>
  <c r="A5079" i="2"/>
  <c r="B5078" i="2"/>
  <c r="A5078" i="2"/>
  <c r="B5077" i="2"/>
  <c r="A5077" i="2"/>
  <c r="B5076" i="2"/>
  <c r="A5076" i="2"/>
  <c r="B5075" i="2"/>
  <c r="C5075" i="2" s="1"/>
  <c r="G5075" i="2" s="1"/>
  <c r="A5075" i="2"/>
  <c r="B5074" i="2"/>
  <c r="A5074" i="2"/>
  <c r="B5073" i="2"/>
  <c r="A5073" i="2"/>
  <c r="B5072" i="2"/>
  <c r="A5072" i="2"/>
  <c r="B5071" i="2"/>
  <c r="A5071" i="2"/>
  <c r="B5070" i="2"/>
  <c r="A5070" i="2"/>
  <c r="B5069" i="2"/>
  <c r="A5069" i="2"/>
  <c r="B5068" i="2"/>
  <c r="A5068" i="2"/>
  <c r="B5067" i="2"/>
  <c r="A5067" i="2"/>
  <c r="B5066" i="2"/>
  <c r="A5066" i="2"/>
  <c r="B5065" i="2"/>
  <c r="A5065" i="2"/>
  <c r="B5064" i="2"/>
  <c r="A5064" i="2"/>
  <c r="B5063" i="2"/>
  <c r="A5063" i="2"/>
  <c r="B5062" i="2"/>
  <c r="A5062" i="2"/>
  <c r="B5061" i="2"/>
  <c r="A5061" i="2"/>
  <c r="B5060" i="2"/>
  <c r="A5060" i="2"/>
  <c r="B5059" i="2"/>
  <c r="A5059" i="2"/>
  <c r="B5058" i="2"/>
  <c r="A5058" i="2"/>
  <c r="B5057" i="2"/>
  <c r="A5057" i="2"/>
  <c r="B5056" i="2"/>
  <c r="A5056" i="2"/>
  <c r="B5055" i="2"/>
  <c r="A5055" i="2"/>
  <c r="B5054" i="2"/>
  <c r="A5054" i="2"/>
  <c r="B5053" i="2"/>
  <c r="A5053" i="2"/>
  <c r="B5052" i="2"/>
  <c r="A5052" i="2"/>
  <c r="B5051" i="2"/>
  <c r="A5051" i="2"/>
  <c r="B5050" i="2"/>
  <c r="A5050" i="2"/>
  <c r="B5049" i="2"/>
  <c r="A5049" i="2"/>
  <c r="B5048" i="2"/>
  <c r="A5048" i="2"/>
  <c r="B5047" i="2"/>
  <c r="A5047" i="2"/>
  <c r="B5046" i="2"/>
  <c r="A5046" i="2"/>
  <c r="B5045" i="2"/>
  <c r="A5045" i="2"/>
  <c r="B5044" i="2"/>
  <c r="A5044" i="2"/>
  <c r="B5043" i="2"/>
  <c r="A5043" i="2"/>
  <c r="B5042" i="2"/>
  <c r="A5042" i="2"/>
  <c r="B5041" i="2"/>
  <c r="A5041" i="2"/>
  <c r="B5040" i="2"/>
  <c r="A5040" i="2"/>
  <c r="B5039" i="2"/>
  <c r="A5039" i="2"/>
  <c r="B5038" i="2"/>
  <c r="A5038" i="2"/>
  <c r="B5037" i="2"/>
  <c r="A5037" i="2"/>
  <c r="B5036" i="2"/>
  <c r="A5036" i="2"/>
  <c r="B5035" i="2"/>
  <c r="A5035" i="2"/>
  <c r="B5034" i="2"/>
  <c r="A5034" i="2"/>
  <c r="B5033" i="2"/>
  <c r="A5033" i="2"/>
  <c r="B5032" i="2"/>
  <c r="A5032" i="2"/>
  <c r="B5031" i="2"/>
  <c r="C5031" i="2" s="1"/>
  <c r="G5031" i="2" s="1"/>
  <c r="A5031" i="2"/>
  <c r="B5030" i="2"/>
  <c r="A5030" i="2"/>
  <c r="B5029" i="2"/>
  <c r="A5029" i="2"/>
  <c r="B5028" i="2"/>
  <c r="A5028" i="2"/>
  <c r="B5027" i="2"/>
  <c r="C5027" i="2" s="1"/>
  <c r="G5027" i="2" s="1"/>
  <c r="A5027" i="2"/>
  <c r="B5026" i="2"/>
  <c r="A5026" i="2"/>
  <c r="B5025" i="2"/>
  <c r="A5025" i="2"/>
  <c r="B5024" i="2"/>
  <c r="A5024" i="2"/>
  <c r="B5023" i="2"/>
  <c r="A5023" i="2"/>
  <c r="B5022" i="2"/>
  <c r="A5022" i="2"/>
  <c r="B5021" i="2"/>
  <c r="A5021" i="2"/>
  <c r="B5020" i="2"/>
  <c r="A5020" i="2"/>
  <c r="B5019" i="2"/>
  <c r="C5019" i="2" s="1"/>
  <c r="G5019" i="2" s="1"/>
  <c r="A5019" i="2"/>
  <c r="B5018" i="2"/>
  <c r="A5018" i="2"/>
  <c r="B5017" i="2"/>
  <c r="A5017" i="2"/>
  <c r="B5016" i="2"/>
  <c r="A5016" i="2"/>
  <c r="B5015" i="2"/>
  <c r="C5015" i="2" s="1"/>
  <c r="G5015" i="2" s="1"/>
  <c r="A5015" i="2"/>
  <c r="B5014" i="2"/>
  <c r="A5014" i="2"/>
  <c r="B5013" i="2"/>
  <c r="A5013" i="2"/>
  <c r="B5012" i="2"/>
  <c r="A5012" i="2"/>
  <c r="B5011" i="2"/>
  <c r="A5011" i="2"/>
  <c r="B5010" i="2"/>
  <c r="A5010" i="2"/>
  <c r="B5009" i="2"/>
  <c r="A5009" i="2"/>
  <c r="B5008" i="2"/>
  <c r="A5008" i="2"/>
  <c r="C5007" i="2"/>
  <c r="G5007" i="2" s="1"/>
  <c r="B5007" i="2"/>
  <c r="A5007" i="2"/>
  <c r="B5006" i="2"/>
  <c r="A5006" i="2"/>
  <c r="C5006" i="2" s="1"/>
  <c r="G5006" i="2" s="1"/>
  <c r="B5005" i="2"/>
  <c r="A5005" i="2"/>
  <c r="B5004" i="2"/>
  <c r="A5004" i="2"/>
  <c r="C5004" i="2" s="1"/>
  <c r="G5004" i="2" s="1"/>
  <c r="B5003" i="2"/>
  <c r="A5003" i="2"/>
  <c r="B5002" i="2"/>
  <c r="A5002" i="2"/>
  <c r="C5002" i="2" s="1"/>
  <c r="G5002" i="2" s="1"/>
  <c r="B5001" i="2"/>
  <c r="A5001" i="2"/>
  <c r="B5000" i="2"/>
  <c r="A5000" i="2"/>
  <c r="B4999" i="2"/>
  <c r="A4999" i="2"/>
  <c r="B4998" i="2"/>
  <c r="A4998" i="2"/>
  <c r="C4998" i="2" s="1"/>
  <c r="G4998" i="2" s="1"/>
  <c r="B4997" i="2"/>
  <c r="A4997" i="2"/>
  <c r="B4996" i="2"/>
  <c r="A4996" i="2"/>
  <c r="B4995" i="2"/>
  <c r="A4995" i="2"/>
  <c r="B4994" i="2"/>
  <c r="A4994" i="2"/>
  <c r="C4994" i="2" s="1"/>
  <c r="G4994" i="2" s="1"/>
  <c r="B4993" i="2"/>
  <c r="A4993" i="2"/>
  <c r="B4992" i="2"/>
  <c r="A4992" i="2"/>
  <c r="B4991" i="2"/>
  <c r="A4991" i="2"/>
  <c r="B4990" i="2"/>
  <c r="A4990" i="2"/>
  <c r="C4990" i="2" s="1"/>
  <c r="G4990" i="2" s="1"/>
  <c r="B4989" i="2"/>
  <c r="A4989" i="2"/>
  <c r="B4988" i="2"/>
  <c r="A4988" i="2"/>
  <c r="B4987" i="2"/>
  <c r="C4987" i="2" s="1"/>
  <c r="G4987" i="2" s="1"/>
  <c r="A4987" i="2"/>
  <c r="B4986" i="2"/>
  <c r="A4986" i="2"/>
  <c r="B4985" i="2"/>
  <c r="A4985" i="2"/>
  <c r="B4984" i="2"/>
  <c r="A4984" i="2"/>
  <c r="B4983" i="2"/>
  <c r="A4983" i="2"/>
  <c r="B4982" i="2"/>
  <c r="A4982" i="2"/>
  <c r="B4981" i="2"/>
  <c r="A4981" i="2"/>
  <c r="B4980" i="2"/>
  <c r="A4980" i="2"/>
  <c r="B4979" i="2"/>
  <c r="A4979" i="2"/>
  <c r="B4978" i="2"/>
  <c r="A4978" i="2"/>
  <c r="C4978" i="2" s="1"/>
  <c r="G4978" i="2" s="1"/>
  <c r="B4977" i="2"/>
  <c r="A4977" i="2"/>
  <c r="B4976" i="2"/>
  <c r="A4976" i="2"/>
  <c r="B4975" i="2"/>
  <c r="A4975" i="2"/>
  <c r="B4974" i="2"/>
  <c r="A4974" i="2"/>
  <c r="C4974" i="2" s="1"/>
  <c r="G4974" i="2" s="1"/>
  <c r="B4973" i="2"/>
  <c r="A4973" i="2"/>
  <c r="B4972" i="2"/>
  <c r="A4972" i="2"/>
  <c r="B4971" i="2"/>
  <c r="A4971" i="2"/>
  <c r="B4970" i="2"/>
  <c r="A4970" i="2"/>
  <c r="C4970" i="2" s="1"/>
  <c r="G4970" i="2" s="1"/>
  <c r="B4969" i="2"/>
  <c r="A4969" i="2"/>
  <c r="B4968" i="2"/>
  <c r="A4968" i="2"/>
  <c r="B4967" i="2"/>
  <c r="A4967" i="2"/>
  <c r="B4966" i="2"/>
  <c r="A4966" i="2"/>
  <c r="C4966" i="2" s="1"/>
  <c r="G4966" i="2" s="1"/>
  <c r="B4965" i="2"/>
  <c r="A4965" i="2"/>
  <c r="B4964" i="2"/>
  <c r="C4964" i="2" s="1"/>
  <c r="G4964" i="2" s="1"/>
  <c r="A4964" i="2"/>
  <c r="B4963" i="2"/>
  <c r="A4963" i="2"/>
  <c r="B4962" i="2"/>
  <c r="A4962" i="2"/>
  <c r="B4961" i="2"/>
  <c r="A4961" i="2"/>
  <c r="B4960" i="2"/>
  <c r="A4960" i="2"/>
  <c r="B4959" i="2"/>
  <c r="A4959" i="2"/>
  <c r="B4958" i="2"/>
  <c r="A4958" i="2"/>
  <c r="B4957" i="2"/>
  <c r="A4957" i="2"/>
  <c r="B4956" i="2"/>
  <c r="A4956" i="2"/>
  <c r="B4955" i="2"/>
  <c r="A4955" i="2"/>
  <c r="B4954" i="2"/>
  <c r="A4954" i="2"/>
  <c r="B4953" i="2"/>
  <c r="A4953" i="2"/>
  <c r="B4952" i="2"/>
  <c r="A4952" i="2"/>
  <c r="B4951" i="2"/>
  <c r="A4951" i="2"/>
  <c r="B4950" i="2"/>
  <c r="A4950" i="2"/>
  <c r="B4949" i="2"/>
  <c r="A4949" i="2"/>
  <c r="B4948" i="2"/>
  <c r="C4948" i="2" s="1"/>
  <c r="G4948" i="2" s="1"/>
  <c r="A4948" i="2"/>
  <c r="B4947" i="2"/>
  <c r="A4947" i="2"/>
  <c r="B4946" i="2"/>
  <c r="A4946" i="2"/>
  <c r="B4945" i="2"/>
  <c r="A4945" i="2"/>
  <c r="B4944" i="2"/>
  <c r="A4944" i="2"/>
  <c r="B4943" i="2"/>
  <c r="A4943" i="2"/>
  <c r="C4943" i="2" s="1"/>
  <c r="G4943" i="2" s="1"/>
  <c r="B4942" i="2"/>
  <c r="A4942" i="2"/>
  <c r="B4941" i="2"/>
  <c r="A4941" i="2"/>
  <c r="B4940" i="2"/>
  <c r="A4940" i="2"/>
  <c r="B4939" i="2"/>
  <c r="A4939" i="2"/>
  <c r="C4939" i="2" s="1"/>
  <c r="G4939" i="2" s="1"/>
  <c r="B4938" i="2"/>
  <c r="A4938" i="2"/>
  <c r="B4937" i="2"/>
  <c r="A4937" i="2"/>
  <c r="B4936" i="2"/>
  <c r="A4936" i="2"/>
  <c r="B4935" i="2"/>
  <c r="A4935" i="2"/>
  <c r="B4934" i="2"/>
  <c r="A4934" i="2"/>
  <c r="B4933" i="2"/>
  <c r="A4933" i="2"/>
  <c r="B4932" i="2"/>
  <c r="A4932" i="2"/>
  <c r="B4931" i="2"/>
  <c r="A4931" i="2"/>
  <c r="B4930" i="2"/>
  <c r="A4930" i="2"/>
  <c r="B4929" i="2"/>
  <c r="A4929" i="2"/>
  <c r="B4928" i="2"/>
  <c r="A4928" i="2"/>
  <c r="B4927" i="2"/>
  <c r="A4927" i="2"/>
  <c r="B4926" i="2"/>
  <c r="C4926" i="2" s="1"/>
  <c r="G4926" i="2" s="1"/>
  <c r="A4926" i="2"/>
  <c r="B4925" i="2"/>
  <c r="A4925" i="2"/>
  <c r="B4924" i="2"/>
  <c r="A4924" i="2"/>
  <c r="B4923" i="2"/>
  <c r="A4923" i="2"/>
  <c r="C4923" i="2" s="1"/>
  <c r="G4923" i="2" s="1"/>
  <c r="B4922" i="2"/>
  <c r="C4922" i="2" s="1"/>
  <c r="G4922" i="2" s="1"/>
  <c r="A4922" i="2"/>
  <c r="B4921" i="2"/>
  <c r="A4921" i="2"/>
  <c r="B4920" i="2"/>
  <c r="A4920" i="2"/>
  <c r="B4919" i="2"/>
  <c r="A4919" i="2"/>
  <c r="B4918" i="2"/>
  <c r="A4918" i="2"/>
  <c r="B4917" i="2"/>
  <c r="A4917" i="2"/>
  <c r="B4916" i="2"/>
  <c r="A4916" i="2"/>
  <c r="B4915" i="2"/>
  <c r="A4915" i="2"/>
  <c r="C4914" i="2"/>
  <c r="G4914" i="2" s="1"/>
  <c r="B4914" i="2"/>
  <c r="A4914" i="2"/>
  <c r="B4913" i="2"/>
  <c r="A4913" i="2"/>
  <c r="B4912" i="2"/>
  <c r="A4912" i="2"/>
  <c r="B4911" i="2"/>
  <c r="A4911" i="2"/>
  <c r="B4910" i="2"/>
  <c r="C4910" i="2" s="1"/>
  <c r="G4910" i="2" s="1"/>
  <c r="A4910" i="2"/>
  <c r="B4909" i="2"/>
  <c r="A4909" i="2"/>
  <c r="B4908" i="2"/>
  <c r="C4908" i="2" s="1"/>
  <c r="G4908" i="2" s="1"/>
  <c r="A4908" i="2"/>
  <c r="B4907" i="2"/>
  <c r="A4907" i="2"/>
  <c r="B4906" i="2"/>
  <c r="A4906" i="2"/>
  <c r="B4905" i="2"/>
  <c r="A4905" i="2"/>
  <c r="C4905" i="2" s="1"/>
  <c r="G4905" i="2" s="1"/>
  <c r="B4904" i="2"/>
  <c r="A4904" i="2"/>
  <c r="B4903" i="2"/>
  <c r="A4903" i="2"/>
  <c r="B4902" i="2"/>
  <c r="A4902" i="2"/>
  <c r="B4901" i="2"/>
  <c r="A4901" i="2"/>
  <c r="B4900" i="2"/>
  <c r="A4900" i="2"/>
  <c r="B4899" i="2"/>
  <c r="A4899" i="2"/>
  <c r="B4898" i="2"/>
  <c r="A4898" i="2"/>
  <c r="B4897" i="2"/>
  <c r="A4897" i="2"/>
  <c r="B4896" i="2"/>
  <c r="A4896" i="2"/>
  <c r="B4895" i="2"/>
  <c r="A4895" i="2"/>
  <c r="B4894" i="2"/>
  <c r="C4894" i="2" s="1"/>
  <c r="G4894" i="2" s="1"/>
  <c r="A4894" i="2"/>
  <c r="B4893" i="2"/>
  <c r="A4893" i="2"/>
  <c r="B4892" i="2"/>
  <c r="A4892" i="2"/>
  <c r="B4891" i="2"/>
  <c r="A4891" i="2"/>
  <c r="B4890" i="2"/>
  <c r="C4890" i="2" s="1"/>
  <c r="G4890" i="2" s="1"/>
  <c r="A4890" i="2"/>
  <c r="B4889" i="2"/>
  <c r="A4889" i="2"/>
  <c r="B4888" i="2"/>
  <c r="C4888" i="2" s="1"/>
  <c r="G4888" i="2" s="1"/>
  <c r="A4888" i="2"/>
  <c r="B4887" i="2"/>
  <c r="A4887" i="2"/>
  <c r="B4886" i="2"/>
  <c r="A4886" i="2"/>
  <c r="B4885" i="2"/>
  <c r="A4885" i="2"/>
  <c r="B4884" i="2"/>
  <c r="A4884" i="2"/>
  <c r="B4883" i="2"/>
  <c r="A4883" i="2"/>
  <c r="B4882" i="2"/>
  <c r="A4882" i="2"/>
  <c r="C4882" i="2" s="1"/>
  <c r="G4882" i="2" s="1"/>
  <c r="B4881" i="2"/>
  <c r="A4881" i="2"/>
  <c r="B4880" i="2"/>
  <c r="A4880" i="2"/>
  <c r="B4879" i="2"/>
  <c r="C4879" i="2" s="1"/>
  <c r="G4879" i="2" s="1"/>
  <c r="A4879" i="2"/>
  <c r="B4878" i="2"/>
  <c r="A4878" i="2"/>
  <c r="B4877" i="2"/>
  <c r="A4877" i="2"/>
  <c r="B4876" i="2"/>
  <c r="A4876" i="2"/>
  <c r="B4875" i="2"/>
  <c r="A4875" i="2"/>
  <c r="B4874" i="2"/>
  <c r="A4874" i="2"/>
  <c r="B4873" i="2"/>
  <c r="A4873" i="2"/>
  <c r="B4872" i="2"/>
  <c r="A4872" i="2"/>
  <c r="B4871" i="2"/>
  <c r="C4871" i="2" s="1"/>
  <c r="G4871" i="2" s="1"/>
  <c r="A4871" i="2"/>
  <c r="B4870" i="2"/>
  <c r="A4870" i="2"/>
  <c r="B4869" i="2"/>
  <c r="A4869" i="2"/>
  <c r="B4868" i="2"/>
  <c r="A4868" i="2"/>
  <c r="B4867" i="2"/>
  <c r="A4867" i="2"/>
  <c r="B4866" i="2"/>
  <c r="A4866" i="2"/>
  <c r="B4865" i="2"/>
  <c r="A4865" i="2"/>
  <c r="B4864" i="2"/>
  <c r="A4864" i="2"/>
  <c r="B4863" i="2"/>
  <c r="C4863" i="2" s="1"/>
  <c r="G4863" i="2" s="1"/>
  <c r="A4863" i="2"/>
  <c r="B4862" i="2"/>
  <c r="A4862" i="2"/>
  <c r="C4862" i="2" s="1"/>
  <c r="G4862" i="2" s="1"/>
  <c r="B4861" i="2"/>
  <c r="A4861" i="2"/>
  <c r="B4860" i="2"/>
  <c r="A4860" i="2"/>
  <c r="B4859" i="2"/>
  <c r="A4859" i="2"/>
  <c r="B4858" i="2"/>
  <c r="A4858" i="2"/>
  <c r="B4857" i="2"/>
  <c r="A4857" i="2"/>
  <c r="B4856" i="2"/>
  <c r="A4856" i="2"/>
  <c r="B4855" i="2"/>
  <c r="C4855" i="2" s="1"/>
  <c r="G4855" i="2" s="1"/>
  <c r="A4855" i="2"/>
  <c r="B4854" i="2"/>
  <c r="A4854" i="2"/>
  <c r="B4853" i="2"/>
  <c r="A4853" i="2"/>
  <c r="B4852" i="2"/>
  <c r="A4852" i="2"/>
  <c r="B4851" i="2"/>
  <c r="A4851" i="2"/>
  <c r="B4850" i="2"/>
  <c r="A4850" i="2"/>
  <c r="B4849" i="2"/>
  <c r="A4849" i="2"/>
  <c r="B4848" i="2"/>
  <c r="A4848" i="2"/>
  <c r="B4847" i="2"/>
  <c r="A4847" i="2"/>
  <c r="B4846" i="2"/>
  <c r="A4846" i="2"/>
  <c r="B4845" i="2"/>
  <c r="A4845" i="2"/>
  <c r="B4844" i="2"/>
  <c r="A4844" i="2"/>
  <c r="B4843" i="2"/>
  <c r="A4843" i="2"/>
  <c r="B4842" i="2"/>
  <c r="A4842" i="2"/>
  <c r="B4841" i="2"/>
  <c r="A4841" i="2"/>
  <c r="B4840" i="2"/>
  <c r="A4840" i="2"/>
  <c r="B4839" i="2"/>
  <c r="A4839" i="2"/>
  <c r="B4838" i="2"/>
  <c r="A4838" i="2"/>
  <c r="B4837" i="2"/>
  <c r="A4837" i="2"/>
  <c r="B4836" i="2"/>
  <c r="A4836" i="2"/>
  <c r="B4835" i="2"/>
  <c r="A4835" i="2"/>
  <c r="B4834" i="2"/>
  <c r="A4834" i="2"/>
  <c r="C4834" i="2" s="1"/>
  <c r="G4834" i="2" s="1"/>
  <c r="B4833" i="2"/>
  <c r="A4833" i="2"/>
  <c r="B4832" i="2"/>
  <c r="A4832" i="2"/>
  <c r="B4831" i="2"/>
  <c r="A4831" i="2"/>
  <c r="B4830" i="2"/>
  <c r="A4830" i="2"/>
  <c r="B4829" i="2"/>
  <c r="A4829" i="2"/>
  <c r="B4828" i="2"/>
  <c r="A4828" i="2"/>
  <c r="B4827" i="2"/>
  <c r="A4827" i="2"/>
  <c r="B4826" i="2"/>
  <c r="A4826" i="2"/>
  <c r="B4825" i="2"/>
  <c r="A4825" i="2"/>
  <c r="B4824" i="2"/>
  <c r="A4824" i="2"/>
  <c r="B4823" i="2"/>
  <c r="A4823" i="2"/>
  <c r="B4822" i="2"/>
  <c r="A4822" i="2"/>
  <c r="B4821" i="2"/>
  <c r="A4821" i="2"/>
  <c r="B4820" i="2"/>
  <c r="A4820" i="2"/>
  <c r="C4820" i="2" s="1"/>
  <c r="G4820" i="2" s="1"/>
  <c r="B4819" i="2"/>
  <c r="A4819" i="2"/>
  <c r="B4818" i="2"/>
  <c r="A4818" i="2"/>
  <c r="B4817" i="2"/>
  <c r="A4817" i="2"/>
  <c r="B4816" i="2"/>
  <c r="A4816" i="2"/>
  <c r="B4815" i="2"/>
  <c r="A4815" i="2"/>
  <c r="B4814" i="2"/>
  <c r="A4814" i="2"/>
  <c r="B4813" i="2"/>
  <c r="A4813" i="2"/>
  <c r="B4812" i="2"/>
  <c r="A4812" i="2"/>
  <c r="B4811" i="2"/>
  <c r="C4811" i="2" s="1"/>
  <c r="G4811" i="2" s="1"/>
  <c r="A4811" i="2"/>
  <c r="B4810" i="2"/>
  <c r="A4810" i="2"/>
  <c r="B4809" i="2"/>
  <c r="A4809" i="2"/>
  <c r="B4808" i="2"/>
  <c r="A4808" i="2"/>
  <c r="B4807" i="2"/>
  <c r="C4807" i="2" s="1"/>
  <c r="G4807" i="2" s="1"/>
  <c r="A4807" i="2"/>
  <c r="B4806" i="2"/>
  <c r="A4806" i="2"/>
  <c r="B4805" i="2"/>
  <c r="C4805" i="2" s="1"/>
  <c r="G4805" i="2" s="1"/>
  <c r="A4805" i="2"/>
  <c r="B4804" i="2"/>
  <c r="A4804" i="2"/>
  <c r="B4803" i="2"/>
  <c r="A4803" i="2"/>
  <c r="B4802" i="2"/>
  <c r="A4802" i="2"/>
  <c r="B4801" i="2"/>
  <c r="A4801" i="2"/>
  <c r="B4800" i="2"/>
  <c r="A4800" i="2"/>
  <c r="B4799" i="2"/>
  <c r="A4799" i="2"/>
  <c r="B4798" i="2"/>
  <c r="A4798" i="2"/>
  <c r="B4797" i="2"/>
  <c r="A4797" i="2"/>
  <c r="B4796" i="2"/>
  <c r="A4796" i="2"/>
  <c r="B4795" i="2"/>
  <c r="A4795" i="2"/>
  <c r="B4794" i="2"/>
  <c r="C4794" i="2" s="1"/>
  <c r="G4794" i="2" s="1"/>
  <c r="A4794" i="2"/>
  <c r="B4793" i="2"/>
  <c r="A4793" i="2"/>
  <c r="B4792" i="2"/>
  <c r="A4792" i="2"/>
  <c r="B4791" i="2"/>
  <c r="A4791" i="2"/>
  <c r="B4790" i="2"/>
  <c r="A4790" i="2"/>
  <c r="B4789" i="2"/>
  <c r="A4789" i="2"/>
  <c r="B4788" i="2"/>
  <c r="A4788" i="2"/>
  <c r="B4787" i="2"/>
  <c r="A4787" i="2"/>
  <c r="C4787" i="2" s="1"/>
  <c r="G4787" i="2" s="1"/>
  <c r="B4786" i="2"/>
  <c r="A4786" i="2"/>
  <c r="B4785" i="2"/>
  <c r="A4785" i="2"/>
  <c r="B4784" i="2"/>
  <c r="A4784" i="2"/>
  <c r="B4783" i="2"/>
  <c r="A4783" i="2"/>
  <c r="B4782" i="2"/>
  <c r="A4782" i="2"/>
  <c r="B4781" i="2"/>
  <c r="A4781" i="2"/>
  <c r="B4780" i="2"/>
  <c r="A4780" i="2"/>
  <c r="B4779" i="2"/>
  <c r="A4779" i="2"/>
  <c r="B4778" i="2"/>
  <c r="A4778" i="2"/>
  <c r="B4777" i="2"/>
  <c r="A4777" i="2"/>
  <c r="B4776" i="2"/>
  <c r="A4776" i="2"/>
  <c r="B4775" i="2"/>
  <c r="A4775" i="2"/>
  <c r="B4774" i="2"/>
  <c r="A4774" i="2"/>
  <c r="B4773" i="2"/>
  <c r="A4773" i="2"/>
  <c r="B4772" i="2"/>
  <c r="A4772" i="2"/>
  <c r="B4771" i="2"/>
  <c r="A4771" i="2"/>
  <c r="B4770" i="2"/>
  <c r="A4770" i="2"/>
  <c r="B4769" i="2"/>
  <c r="A4769" i="2"/>
  <c r="B4768" i="2"/>
  <c r="A4768" i="2"/>
  <c r="B4767" i="2"/>
  <c r="A4767" i="2"/>
  <c r="C4767" i="2" s="1"/>
  <c r="G4767" i="2" s="1"/>
  <c r="B4766" i="2"/>
  <c r="A4766" i="2"/>
  <c r="B4765" i="2"/>
  <c r="C4765" i="2" s="1"/>
  <c r="G4765" i="2" s="1"/>
  <c r="A4765" i="2"/>
  <c r="B4764" i="2"/>
  <c r="A4764" i="2"/>
  <c r="B4763" i="2"/>
  <c r="A4763" i="2"/>
  <c r="C4763" i="2" s="1"/>
  <c r="G4763" i="2" s="1"/>
  <c r="B4762" i="2"/>
  <c r="A4762" i="2"/>
  <c r="B4761" i="2"/>
  <c r="C4761" i="2" s="1"/>
  <c r="G4761" i="2" s="1"/>
  <c r="A4761" i="2"/>
  <c r="B4760" i="2"/>
  <c r="A4760" i="2"/>
  <c r="B4759" i="2"/>
  <c r="A4759" i="2"/>
  <c r="B4758" i="2"/>
  <c r="A4758" i="2"/>
  <c r="B4757" i="2"/>
  <c r="C4757" i="2" s="1"/>
  <c r="G4757" i="2" s="1"/>
  <c r="A4757" i="2"/>
  <c r="B4756" i="2"/>
  <c r="A4756" i="2"/>
  <c r="B4755" i="2"/>
  <c r="A4755" i="2"/>
  <c r="C4755" i="2" s="1"/>
  <c r="G4755" i="2" s="1"/>
  <c r="B4754" i="2"/>
  <c r="A4754" i="2"/>
  <c r="B4753" i="2"/>
  <c r="C4753" i="2" s="1"/>
  <c r="G4753" i="2" s="1"/>
  <c r="A4753" i="2"/>
  <c r="B4752" i="2"/>
  <c r="A4752" i="2"/>
  <c r="B4751" i="2"/>
  <c r="A4751" i="2"/>
  <c r="B4750" i="2"/>
  <c r="A4750" i="2"/>
  <c r="B4749" i="2"/>
  <c r="A4749" i="2"/>
  <c r="C4749" i="2" s="1"/>
  <c r="G4749" i="2" s="1"/>
  <c r="B4748" i="2"/>
  <c r="A4748" i="2"/>
  <c r="B4747" i="2"/>
  <c r="A4747" i="2"/>
  <c r="B4746" i="2"/>
  <c r="A4746" i="2"/>
  <c r="B4745" i="2"/>
  <c r="A4745" i="2"/>
  <c r="B4744" i="2"/>
  <c r="A4744" i="2"/>
  <c r="B4743" i="2"/>
  <c r="A4743" i="2"/>
  <c r="C4742" i="2"/>
  <c r="G4742" i="2" s="1"/>
  <c r="B4742" i="2"/>
  <c r="A4742" i="2"/>
  <c r="B4741" i="2"/>
  <c r="A4741" i="2"/>
  <c r="B4740" i="2"/>
  <c r="A4740" i="2"/>
  <c r="B4739" i="2"/>
  <c r="A4739" i="2"/>
  <c r="B4738" i="2"/>
  <c r="A4738" i="2"/>
  <c r="B4737" i="2"/>
  <c r="A4737" i="2"/>
  <c r="B4736" i="2"/>
  <c r="A4736" i="2"/>
  <c r="B4735" i="2"/>
  <c r="C4735" i="2" s="1"/>
  <c r="G4735" i="2" s="1"/>
  <c r="A4735" i="2"/>
  <c r="B4734" i="2"/>
  <c r="A4734" i="2"/>
  <c r="C4734" i="2" s="1"/>
  <c r="G4734" i="2" s="1"/>
  <c r="B4733" i="2"/>
  <c r="A4733" i="2"/>
  <c r="B4732" i="2"/>
  <c r="A4732" i="2"/>
  <c r="B4731" i="2"/>
  <c r="A4731" i="2"/>
  <c r="B4730" i="2"/>
  <c r="A4730" i="2"/>
  <c r="B4729" i="2"/>
  <c r="A4729" i="2"/>
  <c r="B4728" i="2"/>
  <c r="A4728" i="2"/>
  <c r="B4727" i="2"/>
  <c r="A4727" i="2"/>
  <c r="B4726" i="2"/>
  <c r="A4726" i="2"/>
  <c r="C4726" i="2" s="1"/>
  <c r="G4726" i="2" s="1"/>
  <c r="B4725" i="2"/>
  <c r="A4725" i="2"/>
  <c r="B4724" i="2"/>
  <c r="A4724" i="2"/>
  <c r="B4723" i="2"/>
  <c r="A4723" i="2"/>
  <c r="B4722" i="2"/>
  <c r="A4722" i="2"/>
  <c r="B4721" i="2"/>
  <c r="A4721" i="2"/>
  <c r="B4720" i="2"/>
  <c r="A4720" i="2"/>
  <c r="C4719" i="2"/>
  <c r="G4719" i="2" s="1"/>
  <c r="B4719" i="2"/>
  <c r="A4719" i="2"/>
  <c r="B4718" i="2"/>
  <c r="C4718" i="2" s="1"/>
  <c r="G4718" i="2" s="1"/>
  <c r="A4718" i="2"/>
  <c r="B4717" i="2"/>
  <c r="A4717" i="2"/>
  <c r="B4716" i="2"/>
  <c r="A4716" i="2"/>
  <c r="B4715" i="2"/>
  <c r="A4715" i="2"/>
  <c r="B4714" i="2"/>
  <c r="A4714" i="2"/>
  <c r="B4713" i="2"/>
  <c r="A4713" i="2"/>
  <c r="B4712" i="2"/>
  <c r="A4712" i="2"/>
  <c r="B4711" i="2"/>
  <c r="A4711" i="2"/>
  <c r="B4710" i="2"/>
  <c r="A4710" i="2"/>
  <c r="B4709" i="2"/>
  <c r="C4709" i="2" s="1"/>
  <c r="G4709" i="2" s="1"/>
  <c r="A4709" i="2"/>
  <c r="B4708" i="2"/>
  <c r="A4708" i="2"/>
  <c r="B4707" i="2"/>
  <c r="A4707" i="2"/>
  <c r="B4706" i="2"/>
  <c r="A4706" i="2"/>
  <c r="B4705" i="2"/>
  <c r="C4705" i="2" s="1"/>
  <c r="G4705" i="2" s="1"/>
  <c r="A4705" i="2"/>
  <c r="B4704" i="2"/>
  <c r="A4704" i="2"/>
  <c r="B4703" i="2"/>
  <c r="A4703" i="2"/>
  <c r="B4702" i="2"/>
  <c r="A4702" i="2"/>
  <c r="C4701" i="2"/>
  <c r="G4701" i="2" s="1"/>
  <c r="B4701" i="2"/>
  <c r="A4701" i="2"/>
  <c r="B4700" i="2"/>
  <c r="A4700" i="2"/>
  <c r="B4699" i="2"/>
  <c r="A4699" i="2"/>
  <c r="B4698" i="2"/>
  <c r="A4698" i="2"/>
  <c r="B4697" i="2"/>
  <c r="A4697" i="2"/>
  <c r="B4696" i="2"/>
  <c r="A4696" i="2"/>
  <c r="B4695" i="2"/>
  <c r="A4695" i="2"/>
  <c r="B4694" i="2"/>
  <c r="A4694" i="2"/>
  <c r="B4693" i="2"/>
  <c r="A4693" i="2"/>
  <c r="C4693" i="2" s="1"/>
  <c r="G4693" i="2" s="1"/>
  <c r="B4692" i="2"/>
  <c r="A4692" i="2"/>
  <c r="B4691" i="2"/>
  <c r="A4691" i="2"/>
  <c r="B4690" i="2"/>
  <c r="A4690" i="2"/>
  <c r="B4689" i="2"/>
  <c r="A4689" i="2"/>
  <c r="B4688" i="2"/>
  <c r="A4688" i="2"/>
  <c r="B4687" i="2"/>
  <c r="A4687" i="2"/>
  <c r="C4687" i="2" s="1"/>
  <c r="G4687" i="2" s="1"/>
  <c r="B4686" i="2"/>
  <c r="A4686" i="2"/>
  <c r="C4686" i="2" s="1"/>
  <c r="G4686" i="2" s="1"/>
  <c r="B4685" i="2"/>
  <c r="A4685" i="2"/>
  <c r="B4684" i="2"/>
  <c r="A4684" i="2"/>
  <c r="B4683" i="2"/>
  <c r="A4683" i="2"/>
  <c r="B4682" i="2"/>
  <c r="A4682" i="2"/>
  <c r="B4681" i="2"/>
  <c r="A4681" i="2"/>
  <c r="B4680" i="2"/>
  <c r="A4680" i="2"/>
  <c r="B4679" i="2"/>
  <c r="A4679" i="2"/>
  <c r="C4679" i="2" s="1"/>
  <c r="G4679" i="2" s="1"/>
  <c r="B4678" i="2"/>
  <c r="A4678" i="2"/>
  <c r="C4678" i="2" s="1"/>
  <c r="G4678" i="2" s="1"/>
  <c r="B4677" i="2"/>
  <c r="A4677" i="2"/>
  <c r="B4676" i="2"/>
  <c r="A4676" i="2"/>
  <c r="B4675" i="2"/>
  <c r="A4675" i="2"/>
  <c r="B4674" i="2"/>
  <c r="A4674" i="2"/>
  <c r="B4673" i="2"/>
  <c r="A4673" i="2"/>
  <c r="B4672" i="2"/>
  <c r="A4672" i="2"/>
  <c r="B4671" i="2"/>
  <c r="A4671" i="2"/>
  <c r="B4670" i="2"/>
  <c r="A4670" i="2"/>
  <c r="C4670" i="2" s="1"/>
  <c r="G4670" i="2" s="1"/>
  <c r="B4669" i="2"/>
  <c r="A4669" i="2"/>
  <c r="C4669" i="2" s="1"/>
  <c r="G4669" i="2" s="1"/>
  <c r="B4668" i="2"/>
  <c r="A4668" i="2"/>
  <c r="B4667" i="2"/>
  <c r="A4667" i="2"/>
  <c r="B4666" i="2"/>
  <c r="A4666" i="2"/>
  <c r="B4665" i="2"/>
  <c r="A4665" i="2"/>
  <c r="B4664" i="2"/>
  <c r="A4664" i="2"/>
  <c r="B4663" i="2"/>
  <c r="A4663" i="2"/>
  <c r="B4662" i="2"/>
  <c r="A4662" i="2"/>
  <c r="B4661" i="2"/>
  <c r="A4661" i="2"/>
  <c r="B4660" i="2"/>
  <c r="A4660" i="2"/>
  <c r="B4659" i="2"/>
  <c r="A4659" i="2"/>
  <c r="C4659" i="2" s="1"/>
  <c r="G4659" i="2" s="1"/>
  <c r="B4658" i="2"/>
  <c r="A4658" i="2"/>
  <c r="B4657" i="2"/>
  <c r="A4657" i="2"/>
  <c r="B4656" i="2"/>
  <c r="A4656" i="2"/>
  <c r="B4655" i="2"/>
  <c r="A4655" i="2"/>
  <c r="B4654" i="2"/>
  <c r="A4654" i="2"/>
  <c r="B4653" i="2"/>
  <c r="A4653" i="2"/>
  <c r="B4652" i="2"/>
  <c r="A4652" i="2"/>
  <c r="B4651" i="2"/>
  <c r="A4651" i="2"/>
  <c r="C4651" i="2" s="1"/>
  <c r="G4651" i="2" s="1"/>
  <c r="B4650" i="2"/>
  <c r="A4650" i="2"/>
  <c r="C4650" i="2" s="1"/>
  <c r="G4650" i="2" s="1"/>
  <c r="B4649" i="2"/>
  <c r="A4649" i="2"/>
  <c r="B4648" i="2"/>
  <c r="A4648" i="2"/>
  <c r="B4647" i="2"/>
  <c r="A4647" i="2"/>
  <c r="C4647" i="2" s="1"/>
  <c r="G4647" i="2" s="1"/>
  <c r="B4646" i="2"/>
  <c r="A4646" i="2"/>
  <c r="C4646" i="2" s="1"/>
  <c r="G4646" i="2" s="1"/>
  <c r="B4645" i="2"/>
  <c r="A4645" i="2"/>
  <c r="B4644" i="2"/>
  <c r="A4644" i="2"/>
  <c r="B4643" i="2"/>
  <c r="A4643" i="2"/>
  <c r="B4642" i="2"/>
  <c r="A4642" i="2"/>
  <c r="B4641" i="2"/>
  <c r="A4641" i="2"/>
  <c r="B4640" i="2"/>
  <c r="A4640" i="2"/>
  <c r="B4639" i="2"/>
  <c r="A4639" i="2"/>
  <c r="C4639" i="2" s="1"/>
  <c r="G4639" i="2" s="1"/>
  <c r="B4638" i="2"/>
  <c r="A4638" i="2"/>
  <c r="C4638" i="2" s="1"/>
  <c r="G4638" i="2" s="1"/>
  <c r="B4637" i="2"/>
  <c r="A4637" i="2"/>
  <c r="B4636" i="2"/>
  <c r="A4636" i="2"/>
  <c r="B4635" i="2"/>
  <c r="A4635" i="2"/>
  <c r="B4634" i="2"/>
  <c r="A4634" i="2"/>
  <c r="B4633" i="2"/>
  <c r="A4633" i="2"/>
  <c r="B4632" i="2"/>
  <c r="A4632" i="2"/>
  <c r="B4631" i="2"/>
  <c r="A4631" i="2"/>
  <c r="C4631" i="2" s="1"/>
  <c r="G4631" i="2" s="1"/>
  <c r="B4630" i="2"/>
  <c r="A4630" i="2"/>
  <c r="B4629" i="2"/>
  <c r="C4629" i="2" s="1"/>
  <c r="G4629" i="2" s="1"/>
  <c r="A4629" i="2"/>
  <c r="B4628" i="2"/>
  <c r="A4628" i="2"/>
  <c r="C4628" i="2" s="1"/>
  <c r="G4628" i="2" s="1"/>
  <c r="B4627" i="2"/>
  <c r="A4627" i="2"/>
  <c r="B4626" i="2"/>
  <c r="A4626" i="2"/>
  <c r="B4625" i="2"/>
  <c r="A4625" i="2"/>
  <c r="B4624" i="2"/>
  <c r="A4624" i="2"/>
  <c r="B4623" i="2"/>
  <c r="A4623" i="2"/>
  <c r="C4622" i="2"/>
  <c r="G4622" i="2" s="1"/>
  <c r="B4622" i="2"/>
  <c r="A4622" i="2"/>
  <c r="B4621" i="2"/>
  <c r="A4621" i="2"/>
  <c r="B4620" i="2"/>
  <c r="A4620" i="2"/>
  <c r="B4619" i="2"/>
  <c r="A4619" i="2"/>
  <c r="B4618" i="2"/>
  <c r="C4618" i="2" s="1"/>
  <c r="G4618" i="2" s="1"/>
  <c r="A4618" i="2"/>
  <c r="B4617" i="2"/>
  <c r="A4617" i="2"/>
  <c r="B4616" i="2"/>
  <c r="A4616" i="2"/>
  <c r="B4615" i="2"/>
  <c r="A4615" i="2"/>
  <c r="B4614" i="2"/>
  <c r="A4614" i="2"/>
  <c r="B4613" i="2"/>
  <c r="A4613" i="2"/>
  <c r="B4612" i="2"/>
  <c r="A4612" i="2"/>
  <c r="B4611" i="2"/>
  <c r="A4611" i="2"/>
  <c r="B4610" i="2"/>
  <c r="A4610" i="2"/>
  <c r="B4609" i="2"/>
  <c r="A4609" i="2"/>
  <c r="C4609" i="2" s="1"/>
  <c r="G4609" i="2" s="1"/>
  <c r="B4608" i="2"/>
  <c r="A4608" i="2"/>
  <c r="B4607" i="2"/>
  <c r="A4607" i="2"/>
  <c r="B4606" i="2"/>
  <c r="A4606" i="2"/>
  <c r="B4605" i="2"/>
  <c r="A4605" i="2"/>
  <c r="C4605" i="2" s="1"/>
  <c r="G4605" i="2" s="1"/>
  <c r="B4604" i="2"/>
  <c r="A4604" i="2"/>
  <c r="B4603" i="2"/>
  <c r="A4603" i="2"/>
  <c r="B4602" i="2"/>
  <c r="C4602" i="2" s="1"/>
  <c r="G4602" i="2" s="1"/>
  <c r="A4602" i="2"/>
  <c r="B4601" i="2"/>
  <c r="A4601" i="2"/>
  <c r="B4600" i="2"/>
  <c r="A4600" i="2"/>
  <c r="B4599" i="2"/>
  <c r="A4599" i="2"/>
  <c r="B4598" i="2"/>
  <c r="A4598" i="2"/>
  <c r="B4597" i="2"/>
  <c r="A4597" i="2"/>
  <c r="B4596" i="2"/>
  <c r="A4596" i="2"/>
  <c r="B4595" i="2"/>
  <c r="A4595" i="2"/>
  <c r="B4594" i="2"/>
  <c r="A4594" i="2"/>
  <c r="B4593" i="2"/>
  <c r="A4593" i="2"/>
  <c r="B4592" i="2"/>
  <c r="A4592" i="2"/>
  <c r="B4591" i="2"/>
  <c r="A4591" i="2"/>
  <c r="B4590" i="2"/>
  <c r="A4590" i="2"/>
  <c r="B4589" i="2"/>
  <c r="A4589" i="2"/>
  <c r="B4588" i="2"/>
  <c r="A4588" i="2"/>
  <c r="B4587" i="2"/>
  <c r="A4587" i="2"/>
  <c r="B4586" i="2"/>
  <c r="A4586" i="2"/>
  <c r="B4585" i="2"/>
  <c r="A4585" i="2"/>
  <c r="B4584" i="2"/>
  <c r="A4584" i="2"/>
  <c r="B4583" i="2"/>
  <c r="A4583" i="2"/>
  <c r="B4582" i="2"/>
  <c r="A4582" i="2"/>
  <c r="B4581" i="2"/>
  <c r="A4581" i="2"/>
  <c r="B4580" i="2"/>
  <c r="A4580" i="2"/>
  <c r="B4579" i="2"/>
  <c r="A4579" i="2"/>
  <c r="B4578" i="2"/>
  <c r="A4578" i="2"/>
  <c r="B4577" i="2"/>
  <c r="A4577" i="2"/>
  <c r="C4577" i="2" s="1"/>
  <c r="G4577" i="2" s="1"/>
  <c r="B4576" i="2"/>
  <c r="A4576" i="2"/>
  <c r="B4575" i="2"/>
  <c r="A4575" i="2"/>
  <c r="B4574" i="2"/>
  <c r="A4574" i="2"/>
  <c r="B4573" i="2"/>
  <c r="A4573" i="2"/>
  <c r="C4573" i="2" s="1"/>
  <c r="G4573" i="2" s="1"/>
  <c r="B4572" i="2"/>
  <c r="A4572" i="2"/>
  <c r="B4571" i="2"/>
  <c r="A4571" i="2"/>
  <c r="B4570" i="2"/>
  <c r="A4570" i="2"/>
  <c r="B4569" i="2"/>
  <c r="A4569" i="2"/>
  <c r="B4568" i="2"/>
  <c r="A4568" i="2"/>
  <c r="B4567" i="2"/>
  <c r="A4567" i="2"/>
  <c r="B4566" i="2"/>
  <c r="A4566" i="2"/>
  <c r="B4565" i="2"/>
  <c r="A4565" i="2"/>
  <c r="C4565" i="2" s="1"/>
  <c r="G4565" i="2" s="1"/>
  <c r="B4564" i="2"/>
  <c r="A4564" i="2"/>
  <c r="B4563" i="2"/>
  <c r="A4563" i="2"/>
  <c r="B4562" i="2"/>
  <c r="C4562" i="2" s="1"/>
  <c r="G4562" i="2" s="1"/>
  <c r="A4562" i="2"/>
  <c r="B4561" i="2"/>
  <c r="A4561" i="2"/>
  <c r="B4560" i="2"/>
  <c r="A4560" i="2"/>
  <c r="B4559" i="2"/>
  <c r="A4559" i="2"/>
  <c r="B4558" i="2"/>
  <c r="C4558" i="2" s="1"/>
  <c r="G4558" i="2" s="1"/>
  <c r="A4558" i="2"/>
  <c r="B4557" i="2"/>
  <c r="A4557" i="2"/>
  <c r="B4556" i="2"/>
  <c r="A4556" i="2"/>
  <c r="B4555" i="2"/>
  <c r="A4555" i="2"/>
  <c r="B4554" i="2"/>
  <c r="A4554" i="2"/>
  <c r="B4553" i="2"/>
  <c r="A4553" i="2"/>
  <c r="B4552" i="2"/>
  <c r="A4552" i="2"/>
  <c r="B4551" i="2"/>
  <c r="A4551" i="2"/>
  <c r="B4550" i="2"/>
  <c r="A4550" i="2"/>
  <c r="B4549" i="2"/>
  <c r="A4549" i="2"/>
  <c r="B4548" i="2"/>
  <c r="A4548" i="2"/>
  <c r="B4547" i="2"/>
  <c r="A4547" i="2"/>
  <c r="B4546" i="2"/>
  <c r="A4546" i="2"/>
  <c r="B4545" i="2"/>
  <c r="A4545" i="2"/>
  <c r="B4544" i="2"/>
  <c r="A4544" i="2"/>
  <c r="B4543" i="2"/>
  <c r="A4543" i="2"/>
  <c r="B4542" i="2"/>
  <c r="A4542" i="2"/>
  <c r="B4541" i="2"/>
  <c r="A4541" i="2"/>
  <c r="B4540" i="2"/>
  <c r="A4540" i="2"/>
  <c r="B4539" i="2"/>
  <c r="A4539" i="2"/>
  <c r="B4538" i="2"/>
  <c r="A4538" i="2"/>
  <c r="B4537" i="2"/>
  <c r="A4537" i="2"/>
  <c r="B4536" i="2"/>
  <c r="A4536" i="2"/>
  <c r="B4535" i="2"/>
  <c r="A4535" i="2"/>
  <c r="B4534" i="2"/>
  <c r="A4534" i="2"/>
  <c r="B4533" i="2"/>
  <c r="A4533" i="2"/>
  <c r="B4532" i="2"/>
  <c r="A4532" i="2"/>
  <c r="B4531" i="2"/>
  <c r="A4531" i="2"/>
  <c r="B4530" i="2"/>
  <c r="A4530" i="2"/>
  <c r="B4529" i="2"/>
  <c r="A4529" i="2"/>
  <c r="B4528" i="2"/>
  <c r="A4528" i="2"/>
  <c r="B4527" i="2"/>
  <c r="A4527" i="2"/>
  <c r="B4526" i="2"/>
  <c r="A4526" i="2"/>
  <c r="B4525" i="2"/>
  <c r="A4525" i="2"/>
  <c r="B4524" i="2"/>
  <c r="A4524" i="2"/>
  <c r="B4523" i="2"/>
  <c r="A4523" i="2"/>
  <c r="B4522" i="2"/>
  <c r="A4522" i="2"/>
  <c r="B4521" i="2"/>
  <c r="A4521" i="2"/>
  <c r="B4520" i="2"/>
  <c r="A4520" i="2"/>
  <c r="B4519" i="2"/>
  <c r="A4519" i="2"/>
  <c r="C4518" i="2"/>
  <c r="G4518" i="2" s="1"/>
  <c r="B4518" i="2"/>
  <c r="A4518" i="2"/>
  <c r="B4517" i="2"/>
  <c r="A4517" i="2"/>
  <c r="B4516" i="2"/>
  <c r="A4516" i="2"/>
  <c r="B4515" i="2"/>
  <c r="A4515" i="2"/>
  <c r="B4514" i="2"/>
  <c r="A4514" i="2"/>
  <c r="B4513" i="2"/>
  <c r="A4513" i="2"/>
  <c r="C4513" i="2" s="1"/>
  <c r="G4513" i="2" s="1"/>
  <c r="B4512" i="2"/>
  <c r="A4512" i="2"/>
  <c r="B4511" i="2"/>
  <c r="A4511" i="2"/>
  <c r="B4510" i="2"/>
  <c r="A4510" i="2"/>
  <c r="B4509" i="2"/>
  <c r="A4509" i="2"/>
  <c r="C4509" i="2" s="1"/>
  <c r="G4509" i="2" s="1"/>
  <c r="B4508" i="2"/>
  <c r="A4508" i="2"/>
  <c r="B4507" i="2"/>
  <c r="A4507" i="2"/>
  <c r="B4506" i="2"/>
  <c r="A4506" i="2"/>
  <c r="B4505" i="2"/>
  <c r="A4505" i="2"/>
  <c r="B4504" i="2"/>
  <c r="A4504" i="2"/>
  <c r="C4504" i="2" s="1"/>
  <c r="G4504" i="2" s="1"/>
  <c r="B4503" i="2"/>
  <c r="A4503" i="2"/>
  <c r="B4502" i="2"/>
  <c r="A4502" i="2"/>
  <c r="B4501" i="2"/>
  <c r="A4501" i="2"/>
  <c r="C4501" i="2" s="1"/>
  <c r="G4501" i="2" s="1"/>
  <c r="B4500" i="2"/>
  <c r="A4500" i="2"/>
  <c r="B4499" i="2"/>
  <c r="A4499" i="2"/>
  <c r="B4498" i="2"/>
  <c r="A4498" i="2"/>
  <c r="B4497" i="2"/>
  <c r="A4497" i="2"/>
  <c r="C4497" i="2" s="1"/>
  <c r="G4497" i="2" s="1"/>
  <c r="B4496" i="2"/>
  <c r="A4496" i="2"/>
  <c r="C4496" i="2" s="1"/>
  <c r="G4496" i="2" s="1"/>
  <c r="B4495" i="2"/>
  <c r="A4495" i="2"/>
  <c r="B4494" i="2"/>
  <c r="A4494" i="2"/>
  <c r="B4493" i="2"/>
  <c r="A4493" i="2"/>
  <c r="C4493" i="2" s="1"/>
  <c r="G4493" i="2" s="1"/>
  <c r="B4492" i="2"/>
  <c r="A4492" i="2"/>
  <c r="B4491" i="2"/>
  <c r="A4491" i="2"/>
  <c r="B4490" i="2"/>
  <c r="A4490" i="2"/>
  <c r="B4489" i="2"/>
  <c r="A4489" i="2"/>
  <c r="B4488" i="2"/>
  <c r="A4488" i="2"/>
  <c r="B4487" i="2"/>
  <c r="A4487" i="2"/>
  <c r="C4487" i="2" s="1"/>
  <c r="G4487" i="2" s="1"/>
  <c r="B4486" i="2"/>
  <c r="A4486" i="2"/>
  <c r="B4485" i="2"/>
  <c r="A4485" i="2"/>
  <c r="B4484" i="2"/>
  <c r="A4484" i="2"/>
  <c r="B4483" i="2"/>
  <c r="A4483" i="2"/>
  <c r="B4482" i="2"/>
  <c r="A4482" i="2"/>
  <c r="C4482" i="2" s="1"/>
  <c r="G4482" i="2" s="1"/>
  <c r="B4481" i="2"/>
  <c r="A4481" i="2"/>
  <c r="B4480" i="2"/>
  <c r="A4480" i="2"/>
  <c r="B4479" i="2"/>
  <c r="A4479" i="2"/>
  <c r="B4478" i="2"/>
  <c r="A4478" i="2"/>
  <c r="B4477" i="2"/>
  <c r="A4477" i="2"/>
  <c r="B4476" i="2"/>
  <c r="A4476" i="2"/>
  <c r="B4475" i="2"/>
  <c r="A4475" i="2"/>
  <c r="B4474" i="2"/>
  <c r="A4474" i="2"/>
  <c r="C4474" i="2" s="1"/>
  <c r="G4474" i="2" s="1"/>
  <c r="B4473" i="2"/>
  <c r="A4473" i="2"/>
  <c r="B4472" i="2"/>
  <c r="A4472" i="2"/>
  <c r="B4471" i="2"/>
  <c r="A4471" i="2"/>
  <c r="B4470" i="2"/>
  <c r="A4470" i="2"/>
  <c r="C4470" i="2" s="1"/>
  <c r="G4470" i="2" s="1"/>
  <c r="B4469" i="2"/>
  <c r="A4469" i="2"/>
  <c r="B4468" i="2"/>
  <c r="A4468" i="2"/>
  <c r="B4467" i="2"/>
  <c r="A4467" i="2"/>
  <c r="B4466" i="2"/>
  <c r="A4466" i="2"/>
  <c r="B4465" i="2"/>
  <c r="A4465" i="2"/>
  <c r="B4464" i="2"/>
  <c r="A4464" i="2"/>
  <c r="C4464" i="2" s="1"/>
  <c r="G4464" i="2" s="1"/>
  <c r="B4463" i="2"/>
  <c r="A4463" i="2"/>
  <c r="C4463" i="2" s="1"/>
  <c r="G4463" i="2" s="1"/>
  <c r="B4462" i="2"/>
  <c r="A4462" i="2"/>
  <c r="B4461" i="2"/>
  <c r="A4461" i="2"/>
  <c r="B4460" i="2"/>
  <c r="A4460" i="2"/>
  <c r="B4459" i="2"/>
  <c r="A4459" i="2"/>
  <c r="C4459" i="2" s="1"/>
  <c r="G4459" i="2" s="1"/>
  <c r="B4458" i="2"/>
  <c r="A4458" i="2"/>
  <c r="B4457" i="2"/>
  <c r="A4457" i="2"/>
  <c r="C4457" i="2" s="1"/>
  <c r="G4457" i="2" s="1"/>
  <c r="B4456" i="2"/>
  <c r="A4456" i="2"/>
  <c r="B4455" i="2"/>
  <c r="A4455" i="2"/>
  <c r="B4454" i="2"/>
  <c r="A4454" i="2"/>
  <c r="B4453" i="2"/>
  <c r="A4453" i="2"/>
  <c r="C4453" i="2" s="1"/>
  <c r="G4453" i="2" s="1"/>
  <c r="B4452" i="2"/>
  <c r="A4452" i="2"/>
  <c r="B4451" i="2"/>
  <c r="A4451" i="2"/>
  <c r="B4450" i="2"/>
  <c r="A4450" i="2"/>
  <c r="B4449" i="2"/>
  <c r="A4449" i="2"/>
  <c r="C4449" i="2" s="1"/>
  <c r="G4449" i="2" s="1"/>
  <c r="B4448" i="2"/>
  <c r="A4448" i="2"/>
  <c r="C4448" i="2" s="1"/>
  <c r="G4448" i="2" s="1"/>
  <c r="B4447" i="2"/>
  <c r="A4447" i="2"/>
  <c r="B4446" i="2"/>
  <c r="A4446" i="2"/>
  <c r="B4445" i="2"/>
  <c r="A4445" i="2"/>
  <c r="C4445" i="2" s="1"/>
  <c r="G4445" i="2" s="1"/>
  <c r="B4444" i="2"/>
  <c r="A4444" i="2"/>
  <c r="C4444" i="2" s="1"/>
  <c r="G4444" i="2" s="1"/>
  <c r="B4443" i="2"/>
  <c r="A4443" i="2"/>
  <c r="B4442" i="2"/>
  <c r="A4442" i="2"/>
  <c r="B4441" i="2"/>
  <c r="A4441" i="2"/>
  <c r="B4440" i="2"/>
  <c r="A4440" i="2"/>
  <c r="B4439" i="2"/>
  <c r="C4439" i="2" s="1"/>
  <c r="G4439" i="2" s="1"/>
  <c r="A4439" i="2"/>
  <c r="B4438" i="2"/>
  <c r="A4438" i="2"/>
  <c r="C4438" i="2" s="1"/>
  <c r="G4438" i="2" s="1"/>
  <c r="B4437" i="2"/>
  <c r="A4437" i="2"/>
  <c r="B4436" i="2"/>
  <c r="A4436" i="2"/>
  <c r="B4435" i="2"/>
  <c r="A4435" i="2"/>
  <c r="B4434" i="2"/>
  <c r="A4434" i="2"/>
  <c r="B4433" i="2"/>
  <c r="A4433" i="2"/>
  <c r="C4432" i="2"/>
  <c r="G4432" i="2" s="1"/>
  <c r="B4432" i="2"/>
  <c r="A4432" i="2"/>
  <c r="B4431" i="2"/>
  <c r="A4431" i="2"/>
  <c r="C4431" i="2" s="1"/>
  <c r="G4431" i="2" s="1"/>
  <c r="B4430" i="2"/>
  <c r="A4430" i="2"/>
  <c r="B4429" i="2"/>
  <c r="A4429" i="2"/>
  <c r="B4428" i="2"/>
  <c r="A4428" i="2"/>
  <c r="B4427" i="2"/>
  <c r="A4427" i="2"/>
  <c r="B4426" i="2"/>
  <c r="A4426" i="2"/>
  <c r="C4426" i="2" s="1"/>
  <c r="G4426" i="2" s="1"/>
  <c r="B4425" i="2"/>
  <c r="A4425" i="2"/>
  <c r="B4424" i="2"/>
  <c r="A4424" i="2"/>
  <c r="B4423" i="2"/>
  <c r="A4423" i="2"/>
  <c r="C4423" i="2" s="1"/>
  <c r="G4423" i="2" s="1"/>
  <c r="B4422" i="2"/>
  <c r="A4422" i="2"/>
  <c r="B4421" i="2"/>
  <c r="A4421" i="2"/>
  <c r="C4421" i="2" s="1"/>
  <c r="G4421" i="2" s="1"/>
  <c r="B4420" i="2"/>
  <c r="A4420" i="2"/>
  <c r="B4419" i="2"/>
  <c r="A4419" i="2"/>
  <c r="B4418" i="2"/>
  <c r="C4418" i="2" s="1"/>
  <c r="G4418" i="2" s="1"/>
  <c r="A4418" i="2"/>
  <c r="B4417" i="2"/>
  <c r="C4417" i="2" s="1"/>
  <c r="G4417" i="2" s="1"/>
  <c r="A4417" i="2"/>
  <c r="B4416" i="2"/>
  <c r="A4416" i="2"/>
  <c r="B4415" i="2"/>
  <c r="A4415" i="2"/>
  <c r="C4415" i="2" s="1"/>
  <c r="G4415" i="2" s="1"/>
  <c r="B4414" i="2"/>
  <c r="A4414" i="2"/>
  <c r="B4413" i="2"/>
  <c r="A4413" i="2"/>
  <c r="B4412" i="2"/>
  <c r="A4412" i="2"/>
  <c r="B4411" i="2"/>
  <c r="A4411" i="2"/>
  <c r="B4410" i="2"/>
  <c r="C4410" i="2" s="1"/>
  <c r="G4410" i="2" s="1"/>
  <c r="A4410" i="2"/>
  <c r="B4409" i="2"/>
  <c r="A4409" i="2"/>
  <c r="B4408" i="2"/>
  <c r="A4408" i="2"/>
  <c r="B4407" i="2"/>
  <c r="A4407" i="2"/>
  <c r="B4406" i="2"/>
  <c r="A4406" i="2"/>
  <c r="B4405" i="2"/>
  <c r="A4405" i="2"/>
  <c r="B4404" i="2"/>
  <c r="A4404" i="2"/>
  <c r="B4403" i="2"/>
  <c r="A4403" i="2"/>
  <c r="B4402" i="2"/>
  <c r="C4402" i="2" s="1"/>
  <c r="G4402" i="2" s="1"/>
  <c r="A4402" i="2"/>
  <c r="B4401" i="2"/>
  <c r="A4401" i="2"/>
  <c r="B4400" i="2"/>
  <c r="A4400" i="2"/>
  <c r="B4399" i="2"/>
  <c r="A4399" i="2"/>
  <c r="B4398" i="2"/>
  <c r="A4398" i="2"/>
  <c r="B4397" i="2"/>
  <c r="A4397" i="2"/>
  <c r="B4396" i="2"/>
  <c r="A4396" i="2"/>
  <c r="B4395" i="2"/>
  <c r="A4395" i="2"/>
  <c r="B4394" i="2"/>
  <c r="A4394" i="2"/>
  <c r="B4393" i="2"/>
  <c r="A4393" i="2"/>
  <c r="B4392" i="2"/>
  <c r="A4392" i="2"/>
  <c r="C4392" i="2" s="1"/>
  <c r="G4392" i="2" s="1"/>
  <c r="B4391" i="2"/>
  <c r="A4391" i="2"/>
  <c r="B4390" i="2"/>
  <c r="A4390" i="2"/>
  <c r="B4389" i="2"/>
  <c r="A4389" i="2"/>
  <c r="B4388" i="2"/>
  <c r="A4388" i="2"/>
  <c r="B4387" i="2"/>
  <c r="A4387" i="2"/>
  <c r="B4386" i="2"/>
  <c r="A4386" i="2"/>
  <c r="B4385" i="2"/>
  <c r="A4385" i="2"/>
  <c r="B4384" i="2"/>
  <c r="A4384" i="2"/>
  <c r="B4383" i="2"/>
  <c r="A4383" i="2"/>
  <c r="B4382" i="2"/>
  <c r="A4382" i="2"/>
  <c r="B4381" i="2"/>
  <c r="C4381" i="2" s="1"/>
  <c r="G4381" i="2" s="1"/>
  <c r="A4381" i="2"/>
  <c r="B4380" i="2"/>
  <c r="A4380" i="2"/>
  <c r="B4379" i="2"/>
  <c r="A4379" i="2"/>
  <c r="B4378" i="2"/>
  <c r="C4378" i="2" s="1"/>
  <c r="G4378" i="2" s="1"/>
  <c r="A4378" i="2"/>
  <c r="B4377" i="2"/>
  <c r="A4377" i="2"/>
  <c r="B4376" i="2"/>
  <c r="A4376" i="2"/>
  <c r="B4375" i="2"/>
  <c r="A4375" i="2"/>
  <c r="B4374" i="2"/>
  <c r="A4374" i="2"/>
  <c r="B4373" i="2"/>
  <c r="A4373" i="2"/>
  <c r="B4372" i="2"/>
  <c r="A4372" i="2"/>
  <c r="B4371" i="2"/>
  <c r="A4371" i="2"/>
  <c r="B4370" i="2"/>
  <c r="C4370" i="2" s="1"/>
  <c r="G4370" i="2" s="1"/>
  <c r="A4370" i="2"/>
  <c r="B4369" i="2"/>
  <c r="A4369" i="2"/>
  <c r="B4368" i="2"/>
  <c r="A4368" i="2"/>
  <c r="B4367" i="2"/>
  <c r="A4367" i="2"/>
  <c r="B4366" i="2"/>
  <c r="A4366" i="2"/>
  <c r="B4365" i="2"/>
  <c r="A4365" i="2"/>
  <c r="B4364" i="2"/>
  <c r="A4364" i="2"/>
  <c r="B4363" i="2"/>
  <c r="A4363" i="2"/>
  <c r="B4362" i="2"/>
  <c r="A4362" i="2"/>
  <c r="B4361" i="2"/>
  <c r="C4361" i="2" s="1"/>
  <c r="G4361" i="2" s="1"/>
  <c r="A4361" i="2"/>
  <c r="B4360" i="2"/>
  <c r="A4360" i="2"/>
  <c r="B4359" i="2"/>
  <c r="A4359" i="2"/>
  <c r="B4358" i="2"/>
  <c r="A4358" i="2"/>
  <c r="C4357" i="2"/>
  <c r="G4357" i="2" s="1"/>
  <c r="B4357" i="2"/>
  <c r="A4357" i="2"/>
  <c r="B4356" i="2"/>
  <c r="A4356" i="2"/>
  <c r="B4355" i="2"/>
  <c r="A4355" i="2"/>
  <c r="B4354" i="2"/>
  <c r="A4354" i="2"/>
  <c r="B4353" i="2"/>
  <c r="A4353" i="2"/>
  <c r="C4353" i="2" s="1"/>
  <c r="G4353" i="2" s="1"/>
  <c r="B4352" i="2"/>
  <c r="A4352" i="2"/>
  <c r="B4351" i="2"/>
  <c r="A4351" i="2"/>
  <c r="B4350" i="2"/>
  <c r="A4350" i="2"/>
  <c r="B4349" i="2"/>
  <c r="A4349" i="2"/>
  <c r="B4348" i="2"/>
  <c r="A4348" i="2"/>
  <c r="C4348" i="2" s="1"/>
  <c r="G4348" i="2" s="1"/>
  <c r="B4347" i="2"/>
  <c r="A4347" i="2"/>
  <c r="B4346" i="2"/>
  <c r="A4346" i="2"/>
  <c r="B4345" i="2"/>
  <c r="A4345" i="2"/>
  <c r="B4344" i="2"/>
  <c r="A4344" i="2"/>
  <c r="B4343" i="2"/>
  <c r="A4343" i="2"/>
  <c r="C4343" i="2" s="1"/>
  <c r="G4343" i="2" s="1"/>
  <c r="C4342" i="2"/>
  <c r="G4342" i="2" s="1"/>
  <c r="B4342" i="2"/>
  <c r="A4342" i="2"/>
  <c r="B4341" i="2"/>
  <c r="A4341" i="2"/>
  <c r="B4340" i="2"/>
  <c r="A4340" i="2"/>
  <c r="B4339" i="2"/>
  <c r="A4339" i="2"/>
  <c r="B4338" i="2"/>
  <c r="A4338" i="2"/>
  <c r="B4337" i="2"/>
  <c r="A4337" i="2"/>
  <c r="C4337" i="2" s="1"/>
  <c r="G4337" i="2" s="1"/>
  <c r="B4336" i="2"/>
  <c r="A4336" i="2"/>
  <c r="B4335" i="2"/>
  <c r="A4335" i="2"/>
  <c r="B4334" i="2"/>
  <c r="A4334" i="2"/>
  <c r="B4333" i="2"/>
  <c r="A4333" i="2"/>
  <c r="B4332" i="2"/>
  <c r="A4332" i="2"/>
  <c r="B4331" i="2"/>
  <c r="A4331" i="2"/>
  <c r="B4330" i="2"/>
  <c r="A4330" i="2"/>
  <c r="B4329" i="2"/>
  <c r="A4329" i="2"/>
  <c r="C4329" i="2" s="1"/>
  <c r="G4329" i="2" s="1"/>
  <c r="B4328" i="2"/>
  <c r="A4328" i="2"/>
  <c r="B4327" i="2"/>
  <c r="A4327" i="2"/>
  <c r="B4326" i="2"/>
  <c r="A4326" i="2"/>
  <c r="B4325" i="2"/>
  <c r="A4325" i="2"/>
  <c r="C4325" i="2" s="1"/>
  <c r="G4325" i="2" s="1"/>
  <c r="B4324" i="2"/>
  <c r="A4324" i="2"/>
  <c r="B4323" i="2"/>
  <c r="A4323" i="2"/>
  <c r="B4322" i="2"/>
  <c r="A4322" i="2"/>
  <c r="B4321" i="2"/>
  <c r="A4321" i="2"/>
  <c r="B4320" i="2"/>
  <c r="A4320" i="2"/>
  <c r="B4319" i="2"/>
  <c r="A4319" i="2"/>
  <c r="B4318" i="2"/>
  <c r="A4318" i="2"/>
  <c r="C4318" i="2" s="1"/>
  <c r="G4318" i="2" s="1"/>
  <c r="B4317" i="2"/>
  <c r="A4317" i="2"/>
  <c r="C4317" i="2" s="1"/>
  <c r="G4317" i="2" s="1"/>
  <c r="B4316" i="2"/>
  <c r="A4316" i="2"/>
  <c r="B4315" i="2"/>
  <c r="A4315" i="2"/>
  <c r="B4314" i="2"/>
  <c r="A4314" i="2"/>
  <c r="C4314" i="2" s="1"/>
  <c r="G4314" i="2" s="1"/>
  <c r="B4313" i="2"/>
  <c r="A4313" i="2"/>
  <c r="B4312" i="2"/>
  <c r="A4312" i="2"/>
  <c r="B4311" i="2"/>
  <c r="A4311" i="2"/>
  <c r="B4310" i="2"/>
  <c r="A4310" i="2"/>
  <c r="B4309" i="2"/>
  <c r="A4309" i="2"/>
  <c r="B4308" i="2"/>
  <c r="A4308" i="2"/>
  <c r="B4307" i="2"/>
  <c r="C4307" i="2" s="1"/>
  <c r="G4307" i="2" s="1"/>
  <c r="A4307" i="2"/>
  <c r="B4306" i="2"/>
  <c r="A4306" i="2"/>
  <c r="B4305" i="2"/>
  <c r="A4305" i="2"/>
  <c r="B4304" i="2"/>
  <c r="A4304" i="2"/>
  <c r="B4303" i="2"/>
  <c r="A4303" i="2"/>
  <c r="B4302" i="2"/>
  <c r="A4302" i="2"/>
  <c r="B4301" i="2"/>
  <c r="A4301" i="2"/>
  <c r="B4300" i="2"/>
  <c r="A4300" i="2"/>
  <c r="B4299" i="2"/>
  <c r="A4299" i="2"/>
  <c r="B4298" i="2"/>
  <c r="A4298" i="2"/>
  <c r="C4298" i="2" s="1"/>
  <c r="G4298" i="2" s="1"/>
  <c r="B4297" i="2"/>
  <c r="A4297" i="2"/>
  <c r="C4297" i="2" s="1"/>
  <c r="G4297" i="2" s="1"/>
  <c r="B4296" i="2"/>
  <c r="A4296" i="2"/>
  <c r="B4295" i="2"/>
  <c r="A4295" i="2"/>
  <c r="B4294" i="2"/>
  <c r="A4294" i="2"/>
  <c r="B4293" i="2"/>
  <c r="A4293" i="2"/>
  <c r="B4292" i="2"/>
  <c r="A4292" i="2"/>
  <c r="B4291" i="2"/>
  <c r="A4291" i="2"/>
  <c r="B4290" i="2"/>
  <c r="A4290" i="2"/>
  <c r="C4290" i="2" s="1"/>
  <c r="G4290" i="2" s="1"/>
  <c r="B4289" i="2"/>
  <c r="A4289" i="2"/>
  <c r="B4288" i="2"/>
  <c r="A4288" i="2"/>
  <c r="B4287" i="2"/>
  <c r="A4287" i="2"/>
  <c r="B4286" i="2"/>
  <c r="A4286" i="2"/>
  <c r="C4286" i="2" s="1"/>
  <c r="G4286" i="2" s="1"/>
  <c r="B4285" i="2"/>
  <c r="A4285" i="2"/>
  <c r="B4284" i="2"/>
  <c r="A4284" i="2"/>
  <c r="B4283" i="2"/>
  <c r="A4283" i="2"/>
  <c r="B4282" i="2"/>
  <c r="A4282" i="2"/>
  <c r="B4281" i="2"/>
  <c r="A4281" i="2"/>
  <c r="B4280" i="2"/>
  <c r="A4280" i="2"/>
  <c r="C4279" i="2"/>
  <c r="G4279" i="2" s="1"/>
  <c r="B4279" i="2"/>
  <c r="A4279" i="2"/>
  <c r="B4278" i="2"/>
  <c r="A4278" i="2"/>
  <c r="B4277" i="2"/>
  <c r="A4277" i="2"/>
  <c r="B4276" i="2"/>
  <c r="A4276" i="2"/>
  <c r="B4275" i="2"/>
  <c r="A4275" i="2"/>
  <c r="C4275" i="2" s="1"/>
  <c r="G4275" i="2" s="1"/>
  <c r="B4274" i="2"/>
  <c r="A4274" i="2"/>
  <c r="B4273" i="2"/>
  <c r="A4273" i="2"/>
  <c r="B4272" i="2"/>
  <c r="A4272" i="2"/>
  <c r="B4271" i="2"/>
  <c r="A4271" i="2"/>
  <c r="C4271" i="2" s="1"/>
  <c r="G4271" i="2" s="1"/>
  <c r="B4270" i="2"/>
  <c r="A4270" i="2"/>
  <c r="B4269" i="2"/>
  <c r="A4269" i="2"/>
  <c r="B4268" i="2"/>
  <c r="A4268" i="2"/>
  <c r="B4267" i="2"/>
  <c r="A4267" i="2"/>
  <c r="B4266" i="2"/>
  <c r="A4266" i="2"/>
  <c r="B4265" i="2"/>
  <c r="C4265" i="2" s="1"/>
  <c r="G4265" i="2" s="1"/>
  <c r="A4265" i="2"/>
  <c r="B4264" i="2"/>
  <c r="A4264" i="2"/>
  <c r="B4263" i="2"/>
  <c r="A4263" i="2"/>
  <c r="B4262" i="2"/>
  <c r="A4262" i="2"/>
  <c r="B4261" i="2"/>
  <c r="A4261" i="2"/>
  <c r="B4260" i="2"/>
  <c r="A4260" i="2"/>
  <c r="B4259" i="2"/>
  <c r="A4259" i="2"/>
  <c r="C4259" i="2" s="1"/>
  <c r="G4259" i="2" s="1"/>
  <c r="B4258" i="2"/>
  <c r="A4258" i="2"/>
  <c r="B4257" i="2"/>
  <c r="A4257" i="2"/>
  <c r="B4256" i="2"/>
  <c r="A4256" i="2"/>
  <c r="B4255" i="2"/>
  <c r="A4255" i="2"/>
  <c r="B4254" i="2"/>
  <c r="A4254" i="2"/>
  <c r="B4253" i="2"/>
  <c r="A4253" i="2"/>
  <c r="B4252" i="2"/>
  <c r="A4252" i="2"/>
  <c r="B4251" i="2"/>
  <c r="A4251" i="2"/>
  <c r="B4250" i="2"/>
  <c r="A4250" i="2"/>
  <c r="B4249" i="2"/>
  <c r="A4249" i="2"/>
  <c r="B4248" i="2"/>
  <c r="A4248" i="2"/>
  <c r="B4247" i="2"/>
  <c r="A4247" i="2"/>
  <c r="B4246" i="2"/>
  <c r="A4246" i="2"/>
  <c r="B4245" i="2"/>
  <c r="A4245" i="2"/>
  <c r="B4244" i="2"/>
  <c r="A4244" i="2"/>
  <c r="B4243" i="2"/>
  <c r="A4243" i="2"/>
  <c r="B4242" i="2"/>
  <c r="A4242" i="2"/>
  <c r="B4241" i="2"/>
  <c r="A4241" i="2"/>
  <c r="B4240" i="2"/>
  <c r="A4240" i="2"/>
  <c r="B4239" i="2"/>
  <c r="A4239" i="2"/>
  <c r="B4238" i="2"/>
  <c r="A4238" i="2"/>
  <c r="B4237" i="2"/>
  <c r="A4237" i="2"/>
  <c r="B4236" i="2"/>
  <c r="A4236" i="2"/>
  <c r="B4235" i="2"/>
  <c r="A4235" i="2"/>
  <c r="B4234" i="2"/>
  <c r="A4234" i="2"/>
  <c r="C4234" i="2" s="1"/>
  <c r="G4234" i="2" s="1"/>
  <c r="B4233" i="2"/>
  <c r="A4233" i="2"/>
  <c r="B4232" i="2"/>
  <c r="A4232" i="2"/>
  <c r="B4231" i="2"/>
  <c r="A4231" i="2"/>
  <c r="B4230" i="2"/>
  <c r="A4230" i="2"/>
  <c r="B4229" i="2"/>
  <c r="A4229" i="2"/>
  <c r="B4228" i="2"/>
  <c r="A4228" i="2"/>
  <c r="B4227" i="2"/>
  <c r="A4227" i="2"/>
  <c r="B4226" i="2"/>
  <c r="A4226" i="2"/>
  <c r="B4225" i="2"/>
  <c r="A4225" i="2"/>
  <c r="B4224" i="2"/>
  <c r="A4224" i="2"/>
  <c r="B4223" i="2"/>
  <c r="A4223" i="2"/>
  <c r="B4222" i="2"/>
  <c r="A4222" i="2"/>
  <c r="B4221" i="2"/>
  <c r="A4221" i="2"/>
  <c r="B4220" i="2"/>
  <c r="A4220" i="2"/>
  <c r="B4219" i="2"/>
  <c r="A4219" i="2"/>
  <c r="B4218" i="2"/>
  <c r="A4218" i="2"/>
  <c r="B4217" i="2"/>
  <c r="A4217" i="2"/>
  <c r="B4216" i="2"/>
  <c r="A4216" i="2"/>
  <c r="B4215" i="2"/>
  <c r="A4215" i="2"/>
  <c r="B4214" i="2"/>
  <c r="A4214" i="2"/>
  <c r="C4214" i="2" s="1"/>
  <c r="G4214" i="2" s="1"/>
  <c r="B4213" i="2"/>
  <c r="A4213" i="2"/>
  <c r="B4212" i="2"/>
  <c r="A4212" i="2"/>
  <c r="B4211" i="2"/>
  <c r="A4211" i="2"/>
  <c r="B4210" i="2"/>
  <c r="A4210" i="2"/>
  <c r="B4209" i="2"/>
  <c r="A4209" i="2"/>
  <c r="B4208" i="2"/>
  <c r="A4208" i="2"/>
  <c r="B4207" i="2"/>
  <c r="A4207" i="2"/>
  <c r="B4206" i="2"/>
  <c r="A4206" i="2"/>
  <c r="C4206" i="2" s="1"/>
  <c r="G4206" i="2" s="1"/>
  <c r="B4205" i="2"/>
  <c r="A4205" i="2"/>
  <c r="B4204" i="2"/>
  <c r="A4204" i="2"/>
  <c r="B4203" i="2"/>
  <c r="A4203" i="2"/>
  <c r="B4202" i="2"/>
  <c r="A4202" i="2"/>
  <c r="B4201" i="2"/>
  <c r="A4201" i="2"/>
  <c r="B4200" i="2"/>
  <c r="A4200" i="2"/>
  <c r="B4199" i="2"/>
  <c r="A4199" i="2"/>
  <c r="B4198" i="2"/>
  <c r="A4198" i="2"/>
  <c r="C4197" i="2"/>
  <c r="G4197" i="2" s="1"/>
  <c r="B4197" i="2"/>
  <c r="A4197" i="2"/>
  <c r="B4196" i="2"/>
  <c r="A4196" i="2"/>
  <c r="B4195" i="2"/>
  <c r="A4195" i="2"/>
  <c r="B4194" i="2"/>
  <c r="A4194" i="2"/>
  <c r="B4193" i="2"/>
  <c r="A4193" i="2"/>
  <c r="B4192" i="2"/>
  <c r="A4192" i="2"/>
  <c r="C4192" i="2" s="1"/>
  <c r="G4192" i="2" s="1"/>
  <c r="B4191" i="2"/>
  <c r="A4191" i="2"/>
  <c r="B4190" i="2"/>
  <c r="C4190" i="2" s="1"/>
  <c r="G4190" i="2" s="1"/>
  <c r="A4190" i="2"/>
  <c r="B4189" i="2"/>
  <c r="A4189" i="2"/>
  <c r="C4189" i="2" s="1"/>
  <c r="G4189" i="2" s="1"/>
  <c r="B4188" i="2"/>
  <c r="A4188" i="2"/>
  <c r="B4187" i="2"/>
  <c r="A4187" i="2"/>
  <c r="B4186" i="2"/>
  <c r="C4186" i="2" s="1"/>
  <c r="G4186" i="2" s="1"/>
  <c r="A4186" i="2"/>
  <c r="B4185" i="2"/>
  <c r="A4185" i="2"/>
  <c r="C4185" i="2" s="1"/>
  <c r="G4185" i="2" s="1"/>
  <c r="B4184" i="2"/>
  <c r="A4184" i="2"/>
  <c r="B4183" i="2"/>
  <c r="A4183" i="2"/>
  <c r="B4182" i="2"/>
  <c r="A4182" i="2"/>
  <c r="B4181" i="2"/>
  <c r="A4181" i="2"/>
  <c r="C4181" i="2" s="1"/>
  <c r="G4181" i="2" s="1"/>
  <c r="B4180" i="2"/>
  <c r="A4180" i="2"/>
  <c r="B4179" i="2"/>
  <c r="A4179" i="2"/>
  <c r="B4178" i="2"/>
  <c r="A4178" i="2"/>
  <c r="B4177" i="2"/>
  <c r="A4177" i="2"/>
  <c r="B4176" i="2"/>
  <c r="A4176" i="2"/>
  <c r="B4175" i="2"/>
  <c r="A4175" i="2"/>
  <c r="B4174" i="2"/>
  <c r="A4174" i="2"/>
  <c r="B4173" i="2"/>
  <c r="A4173" i="2"/>
  <c r="B4172" i="2"/>
  <c r="A4172" i="2"/>
  <c r="B4171" i="2"/>
  <c r="A4171" i="2"/>
  <c r="B4170" i="2"/>
  <c r="A4170" i="2"/>
  <c r="B4169" i="2"/>
  <c r="A4169" i="2"/>
  <c r="C4169" i="2" s="1"/>
  <c r="G4169" i="2" s="1"/>
  <c r="B4168" i="2"/>
  <c r="A4168" i="2"/>
  <c r="B4167" i="2"/>
  <c r="A4167" i="2"/>
  <c r="B4166" i="2"/>
  <c r="A4166" i="2"/>
  <c r="B4165" i="2"/>
  <c r="A4165" i="2"/>
  <c r="B4164" i="2"/>
  <c r="A4164" i="2"/>
  <c r="B4163" i="2"/>
  <c r="A4163" i="2"/>
  <c r="B4162" i="2"/>
  <c r="A4162" i="2"/>
  <c r="B4161" i="2"/>
  <c r="A4161" i="2"/>
  <c r="B4160" i="2"/>
  <c r="A4160" i="2"/>
  <c r="B4159" i="2"/>
  <c r="A4159" i="2"/>
  <c r="B4158" i="2"/>
  <c r="A4158" i="2"/>
  <c r="B4157" i="2"/>
  <c r="A4157" i="2"/>
  <c r="C4157" i="2" s="1"/>
  <c r="G4157" i="2" s="1"/>
  <c r="B4156" i="2"/>
  <c r="A4156" i="2"/>
  <c r="B4155" i="2"/>
  <c r="A4155" i="2"/>
  <c r="B4154" i="2"/>
  <c r="C4154" i="2" s="1"/>
  <c r="G4154" i="2" s="1"/>
  <c r="A4154" i="2"/>
  <c r="B4153" i="2"/>
  <c r="A4153" i="2"/>
  <c r="C4153" i="2" s="1"/>
  <c r="G4153" i="2" s="1"/>
  <c r="B4152" i="2"/>
  <c r="A4152" i="2"/>
  <c r="B4151" i="2"/>
  <c r="A4151" i="2"/>
  <c r="B4150" i="2"/>
  <c r="A4150" i="2"/>
  <c r="B4149" i="2"/>
  <c r="A4149" i="2"/>
  <c r="B4148" i="2"/>
  <c r="A4148" i="2"/>
  <c r="B4147" i="2"/>
  <c r="A4147" i="2"/>
  <c r="B4146" i="2"/>
  <c r="A4146" i="2"/>
  <c r="B4145" i="2"/>
  <c r="A4145" i="2"/>
  <c r="B4144" i="2"/>
  <c r="A4144" i="2"/>
  <c r="B4143" i="2"/>
  <c r="A4143" i="2"/>
  <c r="B4142" i="2"/>
  <c r="A4142" i="2"/>
  <c r="C4142" i="2" s="1"/>
  <c r="G4142" i="2" s="1"/>
  <c r="B4141" i="2"/>
  <c r="A4141" i="2"/>
  <c r="B4140" i="2"/>
  <c r="A4140" i="2"/>
  <c r="B4139" i="2"/>
  <c r="A4139" i="2"/>
  <c r="B4138" i="2"/>
  <c r="A4138" i="2"/>
  <c r="B4137" i="2"/>
  <c r="A4137" i="2"/>
  <c r="B4136" i="2"/>
  <c r="A4136" i="2"/>
  <c r="B4135" i="2"/>
  <c r="A4135" i="2"/>
  <c r="B4134" i="2"/>
  <c r="A4134" i="2"/>
  <c r="B4133" i="2"/>
  <c r="A4133" i="2"/>
  <c r="B4132" i="2"/>
  <c r="A4132" i="2"/>
  <c r="B4131" i="2"/>
  <c r="A4131" i="2"/>
  <c r="B4130" i="2"/>
  <c r="A4130" i="2"/>
  <c r="B4129" i="2"/>
  <c r="A4129" i="2"/>
  <c r="B4128" i="2"/>
  <c r="A4128" i="2"/>
  <c r="B4127" i="2"/>
  <c r="A4127" i="2"/>
  <c r="B4126" i="2"/>
  <c r="A4126" i="2"/>
  <c r="B4125" i="2"/>
  <c r="A4125" i="2"/>
  <c r="B4124" i="2"/>
  <c r="A4124" i="2"/>
  <c r="B4123" i="2"/>
  <c r="A4123" i="2"/>
  <c r="B4122" i="2"/>
  <c r="A4122" i="2"/>
  <c r="B4121" i="2"/>
  <c r="A4121" i="2"/>
  <c r="B4120" i="2"/>
  <c r="A4120" i="2"/>
  <c r="B4119" i="2"/>
  <c r="A4119" i="2"/>
  <c r="B4118" i="2"/>
  <c r="A4118" i="2"/>
  <c r="B4117" i="2"/>
  <c r="A4117" i="2"/>
  <c r="B4116" i="2"/>
  <c r="A4116" i="2"/>
  <c r="B4115" i="2"/>
  <c r="A4115" i="2"/>
  <c r="B4114" i="2"/>
  <c r="A4114" i="2"/>
  <c r="B4113" i="2"/>
  <c r="A4113" i="2"/>
  <c r="B4112" i="2"/>
  <c r="A4112" i="2"/>
  <c r="B4111" i="2"/>
  <c r="A4111" i="2"/>
  <c r="B4110" i="2"/>
  <c r="C4110" i="2" s="1"/>
  <c r="G4110" i="2" s="1"/>
  <c r="A4110" i="2"/>
  <c r="B4109" i="2"/>
  <c r="A4109" i="2"/>
  <c r="B4108" i="2"/>
  <c r="A4108" i="2"/>
  <c r="B4107" i="2"/>
  <c r="A4107" i="2"/>
  <c r="B4106" i="2"/>
  <c r="A4106" i="2"/>
  <c r="B4105" i="2"/>
  <c r="C4105" i="2" s="1"/>
  <c r="G4105" i="2" s="1"/>
  <c r="A4105" i="2"/>
  <c r="B4104" i="2"/>
  <c r="A4104" i="2"/>
  <c r="B4103" i="2"/>
  <c r="A4103" i="2"/>
  <c r="C4103" i="2" s="1"/>
  <c r="G4103" i="2" s="1"/>
  <c r="B4102" i="2"/>
  <c r="A4102" i="2"/>
  <c r="B4101" i="2"/>
  <c r="A4101" i="2"/>
  <c r="B4100" i="2"/>
  <c r="A4100" i="2"/>
  <c r="B4099" i="2"/>
  <c r="A4099" i="2"/>
  <c r="B4098" i="2"/>
  <c r="A4098" i="2"/>
  <c r="C4097" i="2"/>
  <c r="G4097" i="2" s="1"/>
  <c r="B4097" i="2"/>
  <c r="A4097" i="2"/>
  <c r="B4096" i="2"/>
  <c r="A4096" i="2"/>
  <c r="B4095" i="2"/>
  <c r="A4095" i="2"/>
  <c r="B4094" i="2"/>
  <c r="C4094" i="2" s="1"/>
  <c r="G4094" i="2" s="1"/>
  <c r="A4094" i="2"/>
  <c r="B4093" i="2"/>
  <c r="A4093" i="2"/>
  <c r="C4093" i="2" s="1"/>
  <c r="G4093" i="2" s="1"/>
  <c r="B4092" i="2"/>
  <c r="A4092" i="2"/>
  <c r="B4091" i="2"/>
  <c r="A4091" i="2"/>
  <c r="B4090" i="2"/>
  <c r="A4090" i="2"/>
  <c r="B4089" i="2"/>
  <c r="A4089" i="2"/>
  <c r="B4088" i="2"/>
  <c r="A4088" i="2"/>
  <c r="B4087" i="2"/>
  <c r="A4087" i="2"/>
  <c r="C4086" i="2"/>
  <c r="G4086" i="2" s="1"/>
  <c r="B4086" i="2"/>
  <c r="A4086" i="2"/>
  <c r="B4085" i="2"/>
  <c r="C4085" i="2" s="1"/>
  <c r="G4085" i="2" s="1"/>
  <c r="A4085" i="2"/>
  <c r="B4084" i="2"/>
  <c r="A4084" i="2"/>
  <c r="B4083" i="2"/>
  <c r="A4083" i="2"/>
  <c r="B4082" i="2"/>
  <c r="A4082" i="2"/>
  <c r="B4081" i="2"/>
  <c r="C4081" i="2" s="1"/>
  <c r="G4081" i="2" s="1"/>
  <c r="A4081" i="2"/>
  <c r="B4080" i="2"/>
  <c r="A4080" i="2"/>
  <c r="B4079" i="2"/>
  <c r="A4079" i="2"/>
  <c r="B4078" i="2"/>
  <c r="A4078" i="2"/>
  <c r="B4077" i="2"/>
  <c r="A4077" i="2"/>
  <c r="B4076" i="2"/>
  <c r="A4076" i="2"/>
  <c r="B4075" i="2"/>
  <c r="A4075" i="2"/>
  <c r="B4074" i="2"/>
  <c r="A4074" i="2"/>
  <c r="B4073" i="2"/>
  <c r="A4073" i="2"/>
  <c r="B4072" i="2"/>
  <c r="A4072" i="2"/>
  <c r="B4071" i="2"/>
  <c r="A4071" i="2"/>
  <c r="B4070" i="2"/>
  <c r="A4070" i="2"/>
  <c r="B4069" i="2"/>
  <c r="A4069" i="2"/>
  <c r="B4068" i="2"/>
  <c r="A4068" i="2"/>
  <c r="B4067" i="2"/>
  <c r="A4067" i="2"/>
  <c r="B4066" i="2"/>
  <c r="A4066" i="2"/>
  <c r="B4065" i="2"/>
  <c r="A4065" i="2"/>
  <c r="B4064" i="2"/>
  <c r="A4064" i="2"/>
  <c r="B4063" i="2"/>
  <c r="A4063" i="2"/>
  <c r="B4062" i="2"/>
  <c r="C4062" i="2" s="1"/>
  <c r="G4062" i="2" s="1"/>
  <c r="A4062" i="2"/>
  <c r="C4061" i="2"/>
  <c r="G4061" i="2" s="1"/>
  <c r="B4061" i="2"/>
  <c r="A4061" i="2"/>
  <c r="B4060" i="2"/>
  <c r="A4060" i="2"/>
  <c r="B4059" i="2"/>
  <c r="A4059" i="2"/>
  <c r="B4058" i="2"/>
  <c r="A4058" i="2"/>
  <c r="B4057" i="2"/>
  <c r="C4057" i="2" s="1"/>
  <c r="G4057" i="2" s="1"/>
  <c r="A4057" i="2"/>
  <c r="B4056" i="2"/>
  <c r="A4056" i="2"/>
  <c r="B4055" i="2"/>
  <c r="A4055" i="2"/>
  <c r="B4054" i="2"/>
  <c r="A4054" i="2"/>
  <c r="B4053" i="2"/>
  <c r="A4053" i="2"/>
  <c r="B4052" i="2"/>
  <c r="A4052" i="2"/>
  <c r="B4051" i="2"/>
  <c r="A4051" i="2"/>
  <c r="B4050" i="2"/>
  <c r="A4050" i="2"/>
  <c r="C4050" i="2" s="1"/>
  <c r="G4050" i="2" s="1"/>
  <c r="B4049" i="2"/>
  <c r="A4049" i="2"/>
  <c r="B4048" i="2"/>
  <c r="A4048" i="2"/>
  <c r="C4048" i="2" s="1"/>
  <c r="G4048" i="2" s="1"/>
  <c r="B4047" i="2"/>
  <c r="A4047" i="2"/>
  <c r="B4046" i="2"/>
  <c r="A4046" i="2"/>
  <c r="B4045" i="2"/>
  <c r="A4045" i="2"/>
  <c r="B4044" i="2"/>
  <c r="A4044" i="2"/>
  <c r="C4044" i="2" s="1"/>
  <c r="G4044" i="2" s="1"/>
  <c r="B4043" i="2"/>
  <c r="A4043" i="2"/>
  <c r="C4042" i="2"/>
  <c r="G4042" i="2" s="1"/>
  <c r="B4042" i="2"/>
  <c r="A4042" i="2"/>
  <c r="B4041" i="2"/>
  <c r="A4041" i="2"/>
  <c r="B4040" i="2"/>
  <c r="A4040" i="2"/>
  <c r="B4039" i="2"/>
  <c r="A4039" i="2"/>
  <c r="B4038" i="2"/>
  <c r="A4038" i="2"/>
  <c r="B4037" i="2"/>
  <c r="A4037" i="2"/>
  <c r="B4036" i="2"/>
  <c r="A4036" i="2"/>
  <c r="B4035" i="2"/>
  <c r="A4035" i="2"/>
  <c r="B4034" i="2"/>
  <c r="A4034" i="2"/>
  <c r="B4033" i="2"/>
  <c r="A4033" i="2"/>
  <c r="C4033" i="2" s="1"/>
  <c r="G4033" i="2" s="1"/>
  <c r="B4032" i="2"/>
  <c r="A4032" i="2"/>
  <c r="B4031" i="2"/>
  <c r="A4031" i="2"/>
  <c r="C4030" i="2"/>
  <c r="G4030" i="2" s="1"/>
  <c r="B4030" i="2"/>
  <c r="A4030" i="2"/>
  <c r="B4029" i="2"/>
  <c r="A4029" i="2"/>
  <c r="B4028" i="2"/>
  <c r="A4028" i="2"/>
  <c r="B4027" i="2"/>
  <c r="A4027" i="2"/>
  <c r="B4026" i="2"/>
  <c r="A4026" i="2"/>
  <c r="C4026" i="2" s="1"/>
  <c r="G4026" i="2" s="1"/>
  <c r="B4025" i="2"/>
  <c r="A4025" i="2"/>
  <c r="B4024" i="2"/>
  <c r="A4024" i="2"/>
  <c r="B4023" i="2"/>
  <c r="A4023" i="2"/>
  <c r="B4022" i="2"/>
  <c r="A4022" i="2"/>
  <c r="C4022" i="2" s="1"/>
  <c r="G4022" i="2" s="1"/>
  <c r="B4021" i="2"/>
  <c r="A4021" i="2"/>
  <c r="C4021" i="2" s="1"/>
  <c r="G4021" i="2" s="1"/>
  <c r="B4020" i="2"/>
  <c r="A4020" i="2"/>
  <c r="B4019" i="2"/>
  <c r="A4019" i="2"/>
  <c r="B4018" i="2"/>
  <c r="A4018" i="2"/>
  <c r="B4017" i="2"/>
  <c r="A4017" i="2"/>
  <c r="B4016" i="2"/>
  <c r="A4016" i="2"/>
  <c r="B4015" i="2"/>
  <c r="A4015" i="2"/>
  <c r="B4014" i="2"/>
  <c r="A4014" i="2"/>
  <c r="C4014" i="2" s="1"/>
  <c r="G4014" i="2" s="1"/>
  <c r="B4013" i="2"/>
  <c r="A4013" i="2"/>
  <c r="C4013" i="2" s="1"/>
  <c r="G4013" i="2" s="1"/>
  <c r="B4012" i="2"/>
  <c r="A4012" i="2"/>
  <c r="B4011" i="2"/>
  <c r="A4011" i="2"/>
  <c r="B4010" i="2"/>
  <c r="A4010" i="2"/>
  <c r="B4009" i="2"/>
  <c r="A4009" i="2"/>
  <c r="B4008" i="2"/>
  <c r="A4008" i="2"/>
  <c r="B4007" i="2"/>
  <c r="A4007" i="2"/>
  <c r="B4006" i="2"/>
  <c r="A4006" i="2"/>
  <c r="B4005" i="2"/>
  <c r="C4005" i="2" s="1"/>
  <c r="G4005" i="2" s="1"/>
  <c r="A4005" i="2"/>
  <c r="B4004" i="2"/>
  <c r="A4004" i="2"/>
  <c r="B4003" i="2"/>
  <c r="A4003" i="2"/>
  <c r="B4002" i="2"/>
  <c r="A4002" i="2"/>
  <c r="B4001" i="2"/>
  <c r="C4001" i="2" s="1"/>
  <c r="G4001" i="2" s="1"/>
  <c r="A4001" i="2"/>
  <c r="B4000" i="2"/>
  <c r="A4000" i="2"/>
  <c r="B3999" i="2"/>
  <c r="A3999" i="2"/>
  <c r="B3998" i="2"/>
  <c r="A3998" i="2"/>
  <c r="B3997" i="2"/>
  <c r="A3997" i="2"/>
  <c r="B3996" i="2"/>
  <c r="A3996" i="2"/>
  <c r="C3996" i="2" s="1"/>
  <c r="G3996" i="2" s="1"/>
  <c r="B3995" i="2"/>
  <c r="A3995" i="2"/>
  <c r="B3994" i="2"/>
  <c r="A3994" i="2"/>
  <c r="C3994" i="2" s="1"/>
  <c r="G3994" i="2" s="1"/>
  <c r="B3993" i="2"/>
  <c r="C3993" i="2" s="1"/>
  <c r="G3993" i="2" s="1"/>
  <c r="A3993" i="2"/>
  <c r="B3992" i="2"/>
  <c r="A3992" i="2"/>
  <c r="B3991" i="2"/>
  <c r="A3991" i="2"/>
  <c r="B3990" i="2"/>
  <c r="A3990" i="2"/>
  <c r="B3989" i="2"/>
  <c r="A3989" i="2"/>
  <c r="B3988" i="2"/>
  <c r="A3988" i="2"/>
  <c r="B3987" i="2"/>
  <c r="A3987" i="2"/>
  <c r="C3987" i="2" s="1"/>
  <c r="G3987" i="2" s="1"/>
  <c r="B3986" i="2"/>
  <c r="A3986" i="2"/>
  <c r="B3985" i="2"/>
  <c r="C3985" i="2" s="1"/>
  <c r="G3985" i="2" s="1"/>
  <c r="A3985" i="2"/>
  <c r="B3984" i="2"/>
  <c r="A3984" i="2"/>
  <c r="B3983" i="2"/>
  <c r="A3983" i="2"/>
  <c r="B3982" i="2"/>
  <c r="A3982" i="2"/>
  <c r="B3981" i="2"/>
  <c r="A3981" i="2"/>
  <c r="B3980" i="2"/>
  <c r="A3980" i="2"/>
  <c r="B3979" i="2"/>
  <c r="A3979" i="2"/>
  <c r="B3978" i="2"/>
  <c r="A3978" i="2"/>
  <c r="B3977" i="2"/>
  <c r="A3977" i="2"/>
  <c r="B3976" i="2"/>
  <c r="A3976" i="2"/>
  <c r="B3975" i="2"/>
  <c r="A3975" i="2"/>
  <c r="B3974" i="2"/>
  <c r="A3974" i="2"/>
  <c r="C3974" i="2" s="1"/>
  <c r="G3974" i="2" s="1"/>
  <c r="B3973" i="2"/>
  <c r="A3973" i="2"/>
  <c r="B3972" i="2"/>
  <c r="A3972" i="2"/>
  <c r="B3971" i="2"/>
  <c r="A3971" i="2"/>
  <c r="B3970" i="2"/>
  <c r="A3970" i="2"/>
  <c r="B3969" i="2"/>
  <c r="A3969" i="2"/>
  <c r="B3968" i="2"/>
  <c r="A3968" i="2"/>
  <c r="B3967" i="2"/>
  <c r="A3967" i="2"/>
  <c r="B3966" i="2"/>
  <c r="A3966" i="2"/>
  <c r="C3966" i="2" s="1"/>
  <c r="G3966" i="2" s="1"/>
  <c r="B3965" i="2"/>
  <c r="A3965" i="2"/>
  <c r="B3964" i="2"/>
  <c r="A3964" i="2"/>
  <c r="B3963" i="2"/>
  <c r="A3963" i="2"/>
  <c r="B3962" i="2"/>
  <c r="A3962" i="2"/>
  <c r="B3961" i="2"/>
  <c r="C3961" i="2" s="1"/>
  <c r="G3961" i="2" s="1"/>
  <c r="A3961" i="2"/>
  <c r="B3960" i="2"/>
  <c r="A3960" i="2"/>
  <c r="B3959" i="2"/>
  <c r="A3959" i="2"/>
  <c r="B3958" i="2"/>
  <c r="A3958" i="2"/>
  <c r="C3958" i="2" s="1"/>
  <c r="G3958" i="2" s="1"/>
  <c r="B3957" i="2"/>
  <c r="A3957" i="2"/>
  <c r="B3956" i="2"/>
  <c r="A3956" i="2"/>
  <c r="B3955" i="2"/>
  <c r="A3955" i="2"/>
  <c r="B3954" i="2"/>
  <c r="A3954" i="2"/>
  <c r="C3954" i="2" s="1"/>
  <c r="G3954" i="2" s="1"/>
  <c r="B3953" i="2"/>
  <c r="A3953" i="2"/>
  <c r="B3952" i="2"/>
  <c r="A3952" i="2"/>
  <c r="B3951" i="2"/>
  <c r="A3951" i="2"/>
  <c r="B3950" i="2"/>
  <c r="A3950" i="2"/>
  <c r="B3949" i="2"/>
  <c r="A3949" i="2"/>
  <c r="B3948" i="2"/>
  <c r="A3948" i="2"/>
  <c r="B3947" i="2"/>
  <c r="A3947" i="2"/>
  <c r="B3946" i="2"/>
  <c r="A3946" i="2"/>
  <c r="B3945" i="2"/>
  <c r="A3945" i="2"/>
  <c r="B3944" i="2"/>
  <c r="A3944" i="2"/>
  <c r="B3943" i="2"/>
  <c r="A3943" i="2"/>
  <c r="B3942" i="2"/>
  <c r="A3942" i="2"/>
  <c r="C3942" i="2" s="1"/>
  <c r="G3942" i="2" s="1"/>
  <c r="B3941" i="2"/>
  <c r="A3941" i="2"/>
  <c r="B3940" i="2"/>
  <c r="A3940" i="2"/>
  <c r="B3939" i="2"/>
  <c r="A3939" i="2"/>
  <c r="B3938" i="2"/>
  <c r="A3938" i="2"/>
  <c r="B3937" i="2"/>
  <c r="C3937" i="2" s="1"/>
  <c r="G3937" i="2" s="1"/>
  <c r="A3937" i="2"/>
  <c r="B3936" i="2"/>
  <c r="A3936" i="2"/>
  <c r="B3935" i="2"/>
  <c r="A3935" i="2"/>
  <c r="C3935" i="2" s="1"/>
  <c r="G3935" i="2" s="1"/>
  <c r="B3934" i="2"/>
  <c r="A3934" i="2"/>
  <c r="C3934" i="2" s="1"/>
  <c r="G3934" i="2" s="1"/>
  <c r="B3933" i="2"/>
  <c r="A3933" i="2"/>
  <c r="B3932" i="2"/>
  <c r="A3932" i="2"/>
  <c r="B3931" i="2"/>
  <c r="A3931" i="2"/>
  <c r="B3930" i="2"/>
  <c r="A3930" i="2"/>
  <c r="B3929" i="2"/>
  <c r="C3929" i="2" s="1"/>
  <c r="G3929" i="2" s="1"/>
  <c r="A3929" i="2"/>
  <c r="B3928" i="2"/>
  <c r="A3928" i="2"/>
  <c r="B3927" i="2"/>
  <c r="A3927" i="2"/>
  <c r="B3926" i="2"/>
  <c r="A3926" i="2"/>
  <c r="C3925" i="2"/>
  <c r="G3925" i="2" s="1"/>
  <c r="B3925" i="2"/>
  <c r="A3925" i="2"/>
  <c r="B3924" i="2"/>
  <c r="A3924" i="2"/>
  <c r="B3923" i="2"/>
  <c r="A3923" i="2"/>
  <c r="C3923" i="2" s="1"/>
  <c r="G3923" i="2" s="1"/>
  <c r="B3922" i="2"/>
  <c r="A3922" i="2"/>
  <c r="B3921" i="2"/>
  <c r="A3921" i="2"/>
  <c r="B3920" i="2"/>
  <c r="A3920" i="2"/>
  <c r="B3919" i="2"/>
  <c r="A3919" i="2"/>
  <c r="B3918" i="2"/>
  <c r="C3918" i="2" s="1"/>
  <c r="G3918" i="2" s="1"/>
  <c r="A3918" i="2"/>
  <c r="B3917" i="2"/>
  <c r="A3917" i="2"/>
  <c r="B3916" i="2"/>
  <c r="A3916" i="2"/>
  <c r="B3915" i="2"/>
  <c r="A3915" i="2"/>
  <c r="B3914" i="2"/>
  <c r="C3914" i="2" s="1"/>
  <c r="G3914" i="2" s="1"/>
  <c r="A3914" i="2"/>
  <c r="B3913" i="2"/>
  <c r="A3913" i="2"/>
  <c r="B3912" i="2"/>
  <c r="A3912" i="2"/>
  <c r="C3912" i="2" s="1"/>
  <c r="G3912" i="2" s="1"/>
  <c r="B3911" i="2"/>
  <c r="A3911" i="2"/>
  <c r="B3910" i="2"/>
  <c r="A3910" i="2"/>
  <c r="B3909" i="2"/>
  <c r="A3909" i="2"/>
  <c r="B3908" i="2"/>
  <c r="A3908" i="2"/>
  <c r="B3907" i="2"/>
  <c r="A3907" i="2"/>
  <c r="B3906" i="2"/>
  <c r="A3906" i="2"/>
  <c r="B3905" i="2"/>
  <c r="A3905" i="2"/>
  <c r="B3904" i="2"/>
  <c r="A3904" i="2"/>
  <c r="B3903" i="2"/>
  <c r="A3903" i="2"/>
  <c r="B3902" i="2"/>
  <c r="A3902" i="2"/>
  <c r="B3901" i="2"/>
  <c r="A3901" i="2"/>
  <c r="B3900" i="2"/>
  <c r="A3900" i="2"/>
  <c r="B3899" i="2"/>
  <c r="A3899" i="2"/>
  <c r="B3898" i="2"/>
  <c r="A3898" i="2"/>
  <c r="B3897" i="2"/>
  <c r="A3897" i="2"/>
  <c r="B3896" i="2"/>
  <c r="A3896" i="2"/>
  <c r="B3895" i="2"/>
  <c r="A3895" i="2"/>
  <c r="B3894" i="2"/>
  <c r="A3894" i="2"/>
  <c r="B3893" i="2"/>
  <c r="A3893" i="2"/>
  <c r="B3892" i="2"/>
  <c r="A3892" i="2"/>
  <c r="B3891" i="2"/>
  <c r="A3891" i="2"/>
  <c r="B3890" i="2"/>
  <c r="A3890" i="2"/>
  <c r="B3889" i="2"/>
  <c r="A3889" i="2"/>
  <c r="B3888" i="2"/>
  <c r="A3888" i="2"/>
  <c r="B3887" i="2"/>
  <c r="A3887" i="2"/>
  <c r="B3886" i="2"/>
  <c r="C3886" i="2" s="1"/>
  <c r="G3886" i="2" s="1"/>
  <c r="A3886" i="2"/>
  <c r="B3885" i="2"/>
  <c r="C3885" i="2" s="1"/>
  <c r="G3885" i="2" s="1"/>
  <c r="A3885" i="2"/>
  <c r="B3884" i="2"/>
  <c r="A3884" i="2"/>
  <c r="B3883" i="2"/>
  <c r="A3883" i="2"/>
  <c r="C3883" i="2" s="1"/>
  <c r="G3883" i="2" s="1"/>
  <c r="B3882" i="2"/>
  <c r="A3882" i="2"/>
  <c r="B3881" i="2"/>
  <c r="A3881" i="2"/>
  <c r="B3880" i="2"/>
  <c r="A3880" i="2"/>
  <c r="B3879" i="2"/>
  <c r="A3879" i="2"/>
  <c r="C3879" i="2" s="1"/>
  <c r="G3879" i="2" s="1"/>
  <c r="B3878" i="2"/>
  <c r="C3878" i="2" s="1"/>
  <c r="G3878" i="2" s="1"/>
  <c r="A3878" i="2"/>
  <c r="B3877" i="2"/>
  <c r="C3877" i="2" s="1"/>
  <c r="G3877" i="2" s="1"/>
  <c r="A3877" i="2"/>
  <c r="B3876" i="2"/>
  <c r="A3876" i="2"/>
  <c r="B3875" i="2"/>
  <c r="A3875" i="2"/>
  <c r="C3875" i="2" s="1"/>
  <c r="G3875" i="2" s="1"/>
  <c r="B3874" i="2"/>
  <c r="A3874" i="2"/>
  <c r="B3873" i="2"/>
  <c r="A3873" i="2"/>
  <c r="B3872" i="2"/>
  <c r="A3872" i="2"/>
  <c r="B3871" i="2"/>
  <c r="A3871" i="2"/>
  <c r="C3871" i="2" s="1"/>
  <c r="G3871" i="2" s="1"/>
  <c r="B3870" i="2"/>
  <c r="A3870" i="2"/>
  <c r="B3869" i="2"/>
  <c r="C3869" i="2" s="1"/>
  <c r="G3869" i="2" s="1"/>
  <c r="A3869" i="2"/>
  <c r="B3868" i="2"/>
  <c r="A3868" i="2"/>
  <c r="B3867" i="2"/>
  <c r="A3867" i="2"/>
  <c r="C3866" i="2"/>
  <c r="G3866" i="2" s="1"/>
  <c r="B3866" i="2"/>
  <c r="A3866" i="2"/>
  <c r="B3865" i="2"/>
  <c r="A3865" i="2"/>
  <c r="B3864" i="2"/>
  <c r="A3864" i="2"/>
  <c r="B3863" i="2"/>
  <c r="A3863" i="2"/>
  <c r="C3863" i="2" s="1"/>
  <c r="G3863" i="2" s="1"/>
  <c r="B3862" i="2"/>
  <c r="A3862" i="2"/>
  <c r="B3861" i="2"/>
  <c r="A3861" i="2"/>
  <c r="B3860" i="2"/>
  <c r="A3860" i="2"/>
  <c r="B3859" i="2"/>
  <c r="A3859" i="2"/>
  <c r="B3858" i="2"/>
  <c r="A3858" i="2"/>
  <c r="C3858" i="2" s="1"/>
  <c r="G3858" i="2" s="1"/>
  <c r="B3857" i="2"/>
  <c r="A3857" i="2"/>
  <c r="B3856" i="2"/>
  <c r="A3856" i="2"/>
  <c r="C3856" i="2" s="1"/>
  <c r="G3856" i="2" s="1"/>
  <c r="B3855" i="2"/>
  <c r="A3855" i="2"/>
  <c r="B3854" i="2"/>
  <c r="A3854" i="2"/>
  <c r="B3853" i="2"/>
  <c r="A3853" i="2"/>
  <c r="B3852" i="2"/>
  <c r="A3852" i="2"/>
  <c r="C3852" i="2" s="1"/>
  <c r="G3852" i="2" s="1"/>
  <c r="B3851" i="2"/>
  <c r="A3851" i="2"/>
  <c r="B3850" i="2"/>
  <c r="A3850" i="2"/>
  <c r="B3849" i="2"/>
  <c r="A3849" i="2"/>
  <c r="B3848" i="2"/>
  <c r="A3848" i="2"/>
  <c r="B3847" i="2"/>
  <c r="A3847" i="2"/>
  <c r="B3846" i="2"/>
  <c r="A3846" i="2"/>
  <c r="B3845" i="2"/>
  <c r="A3845" i="2"/>
  <c r="B3844" i="2"/>
  <c r="A3844" i="2"/>
  <c r="B3843" i="2"/>
  <c r="A3843" i="2"/>
  <c r="B3842" i="2"/>
  <c r="A3842" i="2"/>
  <c r="B3841" i="2"/>
  <c r="A3841" i="2"/>
  <c r="B3840" i="2"/>
  <c r="A3840" i="2"/>
  <c r="C3840" i="2" s="1"/>
  <c r="G3840" i="2" s="1"/>
  <c r="B3839" i="2"/>
  <c r="A3839" i="2"/>
  <c r="B3838" i="2"/>
  <c r="C3838" i="2" s="1"/>
  <c r="G3838" i="2" s="1"/>
  <c r="A3838" i="2"/>
  <c r="B3837" i="2"/>
  <c r="A3837" i="2"/>
  <c r="B3836" i="2"/>
  <c r="A3836" i="2"/>
  <c r="C3836" i="2" s="1"/>
  <c r="G3836" i="2" s="1"/>
  <c r="B3835" i="2"/>
  <c r="A3835" i="2"/>
  <c r="B3834" i="2"/>
  <c r="A3834" i="2"/>
  <c r="B3833" i="2"/>
  <c r="A3833" i="2"/>
  <c r="B3832" i="2"/>
  <c r="A3832" i="2"/>
  <c r="B3831" i="2"/>
  <c r="A3831" i="2"/>
  <c r="B3830" i="2"/>
  <c r="A3830" i="2"/>
  <c r="B3829" i="2"/>
  <c r="A3829" i="2"/>
  <c r="B3828" i="2"/>
  <c r="A3828" i="2"/>
  <c r="B3827" i="2"/>
  <c r="A3827" i="2"/>
  <c r="B3826" i="2"/>
  <c r="C3826" i="2" s="1"/>
  <c r="G3826" i="2" s="1"/>
  <c r="A3826" i="2"/>
  <c r="B3825" i="2"/>
  <c r="A3825" i="2"/>
  <c r="B3824" i="2"/>
  <c r="A3824" i="2"/>
  <c r="C3824" i="2" s="1"/>
  <c r="G3824" i="2" s="1"/>
  <c r="B3823" i="2"/>
  <c r="A3823" i="2"/>
  <c r="B3822" i="2"/>
  <c r="A3822" i="2"/>
  <c r="B3821" i="2"/>
  <c r="A3821" i="2"/>
  <c r="B3820" i="2"/>
  <c r="A3820" i="2"/>
  <c r="B3819" i="2"/>
  <c r="A3819" i="2"/>
  <c r="B3818" i="2"/>
  <c r="A3818" i="2"/>
  <c r="B3817" i="2"/>
  <c r="A3817" i="2"/>
  <c r="B3816" i="2"/>
  <c r="A3816" i="2"/>
  <c r="C3816" i="2" s="1"/>
  <c r="G3816" i="2" s="1"/>
  <c r="B3815" i="2"/>
  <c r="A3815" i="2"/>
  <c r="B3814" i="2"/>
  <c r="A3814" i="2"/>
  <c r="B3813" i="2"/>
  <c r="A3813" i="2"/>
  <c r="B3812" i="2"/>
  <c r="A3812" i="2"/>
  <c r="B3811" i="2"/>
  <c r="A3811" i="2"/>
  <c r="B3810" i="2"/>
  <c r="C3810" i="2" s="1"/>
  <c r="G3810" i="2" s="1"/>
  <c r="A3810" i="2"/>
  <c r="B3809" i="2"/>
  <c r="A3809" i="2"/>
  <c r="B3808" i="2"/>
  <c r="A3808" i="2"/>
  <c r="C3808" i="2" s="1"/>
  <c r="G3808" i="2" s="1"/>
  <c r="B3807" i="2"/>
  <c r="A3807" i="2"/>
  <c r="C3806" i="2"/>
  <c r="G3806" i="2" s="1"/>
  <c r="B3806" i="2"/>
  <c r="A3806" i="2"/>
  <c r="B3805" i="2"/>
  <c r="A3805" i="2"/>
  <c r="B3804" i="2"/>
  <c r="A3804" i="2"/>
  <c r="B3803" i="2"/>
  <c r="A3803" i="2"/>
  <c r="B3802" i="2"/>
  <c r="A3802" i="2"/>
  <c r="B3801" i="2"/>
  <c r="A3801" i="2"/>
  <c r="B3800" i="2"/>
  <c r="A3800" i="2"/>
  <c r="B3799" i="2"/>
  <c r="A3799" i="2"/>
  <c r="B3798" i="2"/>
  <c r="A3798" i="2"/>
  <c r="B3797" i="2"/>
  <c r="A3797" i="2"/>
  <c r="B3796" i="2"/>
  <c r="A3796" i="2"/>
  <c r="B3795" i="2"/>
  <c r="A3795" i="2"/>
  <c r="B3794" i="2"/>
  <c r="A3794" i="2"/>
  <c r="B3793" i="2"/>
  <c r="A3793" i="2"/>
  <c r="B3792" i="2"/>
  <c r="A3792" i="2"/>
  <c r="B3791" i="2"/>
  <c r="A3791" i="2"/>
  <c r="B3790" i="2"/>
  <c r="A3790" i="2"/>
  <c r="B3789" i="2"/>
  <c r="A3789" i="2"/>
  <c r="B3788" i="2"/>
  <c r="A3788" i="2"/>
  <c r="B3787" i="2"/>
  <c r="A3787" i="2"/>
  <c r="B3786" i="2"/>
  <c r="A3786" i="2"/>
  <c r="B3785" i="2"/>
  <c r="A3785" i="2"/>
  <c r="B3784" i="2"/>
  <c r="A3784" i="2"/>
  <c r="B3783" i="2"/>
  <c r="A3783" i="2"/>
  <c r="B3782" i="2"/>
  <c r="A3782" i="2"/>
  <c r="B3781" i="2"/>
  <c r="A3781" i="2"/>
  <c r="B3780" i="2"/>
  <c r="A3780" i="2"/>
  <c r="B3779" i="2"/>
  <c r="A3779" i="2"/>
  <c r="B3778" i="2"/>
  <c r="A3778" i="2"/>
  <c r="C3778" i="2" s="1"/>
  <c r="G3778" i="2" s="1"/>
  <c r="B3777" i="2"/>
  <c r="A3777" i="2"/>
  <c r="B3776" i="2"/>
  <c r="A3776" i="2"/>
  <c r="B3775" i="2"/>
  <c r="A3775" i="2"/>
  <c r="B3774" i="2"/>
  <c r="A3774" i="2"/>
  <c r="B3773" i="2"/>
  <c r="A3773" i="2"/>
  <c r="B3772" i="2"/>
  <c r="A3772" i="2"/>
  <c r="B3771" i="2"/>
  <c r="A3771" i="2"/>
  <c r="B3770" i="2"/>
  <c r="A3770" i="2"/>
  <c r="C3770" i="2" s="1"/>
  <c r="G3770" i="2" s="1"/>
  <c r="B3769" i="2"/>
  <c r="C3769" i="2" s="1"/>
  <c r="G3769" i="2" s="1"/>
  <c r="A3769" i="2"/>
  <c r="B3768" i="2"/>
  <c r="A3768" i="2"/>
  <c r="B3767" i="2"/>
  <c r="A3767" i="2"/>
  <c r="B3766" i="2"/>
  <c r="A3766" i="2"/>
  <c r="C3766" i="2" s="1"/>
  <c r="G3766" i="2" s="1"/>
  <c r="B3765" i="2"/>
  <c r="A3765" i="2"/>
  <c r="B3764" i="2"/>
  <c r="A3764" i="2"/>
  <c r="B3763" i="2"/>
  <c r="A3763" i="2"/>
  <c r="B3762" i="2"/>
  <c r="A3762" i="2"/>
  <c r="B3761" i="2"/>
  <c r="C3761" i="2" s="1"/>
  <c r="G3761" i="2" s="1"/>
  <c r="A3761" i="2"/>
  <c r="B3760" i="2"/>
  <c r="A3760" i="2"/>
  <c r="B3759" i="2"/>
  <c r="A3759" i="2"/>
  <c r="B3758" i="2"/>
  <c r="A3758" i="2"/>
  <c r="C3758" i="2" s="1"/>
  <c r="G3758" i="2" s="1"/>
  <c r="B3757" i="2"/>
  <c r="A3757" i="2"/>
  <c r="B3756" i="2"/>
  <c r="A3756" i="2"/>
  <c r="B3755" i="2"/>
  <c r="A3755" i="2"/>
  <c r="B3754" i="2"/>
  <c r="A3754" i="2"/>
  <c r="B3753" i="2"/>
  <c r="C3753" i="2" s="1"/>
  <c r="G3753" i="2" s="1"/>
  <c r="A3753" i="2"/>
  <c r="B3752" i="2"/>
  <c r="A3752" i="2"/>
  <c r="B3751" i="2"/>
  <c r="A3751" i="2"/>
  <c r="B3750" i="2"/>
  <c r="A3750" i="2"/>
  <c r="C3750" i="2" s="1"/>
  <c r="G3750" i="2" s="1"/>
  <c r="B3749" i="2"/>
  <c r="A3749" i="2"/>
  <c r="B3748" i="2"/>
  <c r="A3748" i="2"/>
  <c r="B3747" i="2"/>
  <c r="A3747" i="2"/>
  <c r="B3746" i="2"/>
  <c r="A3746" i="2"/>
  <c r="B3745" i="2"/>
  <c r="A3745" i="2"/>
  <c r="B3744" i="2"/>
  <c r="A3744" i="2"/>
  <c r="B3743" i="2"/>
  <c r="A3743" i="2"/>
  <c r="B3742" i="2"/>
  <c r="A3742" i="2"/>
  <c r="C3742" i="2" s="1"/>
  <c r="G3742" i="2" s="1"/>
  <c r="B3741" i="2"/>
  <c r="C3741" i="2" s="1"/>
  <c r="G3741" i="2" s="1"/>
  <c r="A3741" i="2"/>
  <c r="B3740" i="2"/>
  <c r="A3740" i="2"/>
  <c r="B3739" i="2"/>
  <c r="A3739" i="2"/>
  <c r="B3738" i="2"/>
  <c r="A3738" i="2"/>
  <c r="C3738" i="2" s="1"/>
  <c r="G3738" i="2" s="1"/>
  <c r="B3737" i="2"/>
  <c r="A3737" i="2"/>
  <c r="B3736" i="2"/>
  <c r="A3736" i="2"/>
  <c r="B3735" i="2"/>
  <c r="A3735" i="2"/>
  <c r="B3734" i="2"/>
  <c r="A3734" i="2"/>
  <c r="B3733" i="2"/>
  <c r="C3733" i="2" s="1"/>
  <c r="G3733" i="2" s="1"/>
  <c r="A3733" i="2"/>
  <c r="B3732" i="2"/>
  <c r="A3732" i="2"/>
  <c r="B3731" i="2"/>
  <c r="A3731" i="2"/>
  <c r="B3730" i="2"/>
  <c r="A3730" i="2"/>
  <c r="C3730" i="2" s="1"/>
  <c r="G3730" i="2" s="1"/>
  <c r="B3729" i="2"/>
  <c r="A3729" i="2"/>
  <c r="B3728" i="2"/>
  <c r="A3728" i="2"/>
  <c r="B3727" i="2"/>
  <c r="A3727" i="2"/>
  <c r="B3726" i="2"/>
  <c r="A3726" i="2"/>
  <c r="B3725" i="2"/>
  <c r="A3725" i="2"/>
  <c r="B3724" i="2"/>
  <c r="A3724" i="2"/>
  <c r="C3724" i="2" s="1"/>
  <c r="G3724" i="2" s="1"/>
  <c r="B3723" i="2"/>
  <c r="A3723" i="2"/>
  <c r="B3722" i="2"/>
  <c r="A3722" i="2"/>
  <c r="C3722" i="2" s="1"/>
  <c r="G3722" i="2" s="1"/>
  <c r="B3721" i="2"/>
  <c r="A3721" i="2"/>
  <c r="B3720" i="2"/>
  <c r="A3720" i="2"/>
  <c r="B3719" i="2"/>
  <c r="A3719" i="2"/>
  <c r="B3718" i="2"/>
  <c r="A3718" i="2"/>
  <c r="B3717" i="2"/>
  <c r="A3717" i="2"/>
  <c r="B3716" i="2"/>
  <c r="A3716" i="2"/>
  <c r="B3715" i="2"/>
  <c r="A3715" i="2"/>
  <c r="B3714" i="2"/>
  <c r="A3714" i="2"/>
  <c r="C3714" i="2" s="1"/>
  <c r="G3714" i="2" s="1"/>
  <c r="B3713" i="2"/>
  <c r="A3713" i="2"/>
  <c r="B3712" i="2"/>
  <c r="A3712" i="2"/>
  <c r="B3711" i="2"/>
  <c r="A3711" i="2"/>
  <c r="B3710" i="2"/>
  <c r="A3710" i="2"/>
  <c r="B3709" i="2"/>
  <c r="A3709" i="2"/>
  <c r="B3708" i="2"/>
  <c r="A3708" i="2"/>
  <c r="B3707" i="2"/>
  <c r="A3707" i="2"/>
  <c r="B3706" i="2"/>
  <c r="A3706" i="2"/>
  <c r="C3706" i="2" s="1"/>
  <c r="G3706" i="2" s="1"/>
  <c r="B3705" i="2"/>
  <c r="A3705" i="2"/>
  <c r="B3704" i="2"/>
  <c r="A3704" i="2"/>
  <c r="B3703" i="2"/>
  <c r="A3703" i="2"/>
  <c r="B3702" i="2"/>
  <c r="A3702" i="2"/>
  <c r="B3701" i="2"/>
  <c r="A3701" i="2"/>
  <c r="B3700" i="2"/>
  <c r="A3700" i="2"/>
  <c r="B3699" i="2"/>
  <c r="A3699" i="2"/>
  <c r="B3698" i="2"/>
  <c r="A3698" i="2"/>
  <c r="B3697" i="2"/>
  <c r="A3697" i="2"/>
  <c r="B3696" i="2"/>
  <c r="A3696" i="2"/>
  <c r="B3695" i="2"/>
  <c r="A3695" i="2"/>
  <c r="C3695" i="2" s="1"/>
  <c r="G3695" i="2" s="1"/>
  <c r="B3694" i="2"/>
  <c r="A3694" i="2"/>
  <c r="B3693" i="2"/>
  <c r="A3693" i="2"/>
  <c r="B3692" i="2"/>
  <c r="A3692" i="2"/>
  <c r="B3691" i="2"/>
  <c r="A3691" i="2"/>
  <c r="B3690" i="2"/>
  <c r="A3690" i="2"/>
  <c r="B3689" i="2"/>
  <c r="C3689" i="2" s="1"/>
  <c r="G3689" i="2" s="1"/>
  <c r="A3689" i="2"/>
  <c r="B3688" i="2"/>
  <c r="A3688" i="2"/>
  <c r="B3687" i="2"/>
  <c r="A3687" i="2"/>
  <c r="C3687" i="2" s="1"/>
  <c r="G3687" i="2" s="1"/>
  <c r="B3686" i="2"/>
  <c r="A3686" i="2"/>
  <c r="C3686" i="2" s="1"/>
  <c r="G3686" i="2" s="1"/>
  <c r="B3685" i="2"/>
  <c r="A3685" i="2"/>
  <c r="B3684" i="2"/>
  <c r="A3684" i="2"/>
  <c r="B3683" i="2"/>
  <c r="A3683" i="2"/>
  <c r="B3682" i="2"/>
  <c r="A3682" i="2"/>
  <c r="B3681" i="2"/>
  <c r="C3681" i="2" s="1"/>
  <c r="G3681" i="2" s="1"/>
  <c r="A3681" i="2"/>
  <c r="B3680" i="2"/>
  <c r="A3680" i="2"/>
  <c r="B3679" i="2"/>
  <c r="A3679" i="2"/>
  <c r="C3679" i="2" s="1"/>
  <c r="G3679" i="2" s="1"/>
  <c r="B3678" i="2"/>
  <c r="A3678" i="2"/>
  <c r="C3678" i="2" s="1"/>
  <c r="G3678" i="2" s="1"/>
  <c r="B3677" i="2"/>
  <c r="A3677" i="2"/>
  <c r="B3676" i="2"/>
  <c r="A3676" i="2"/>
  <c r="B3675" i="2"/>
  <c r="A3675" i="2"/>
  <c r="B3674" i="2"/>
  <c r="A3674" i="2"/>
  <c r="B3673" i="2"/>
  <c r="A3673" i="2"/>
  <c r="B3672" i="2"/>
  <c r="A3672" i="2"/>
  <c r="B3671" i="2"/>
  <c r="A3671" i="2"/>
  <c r="B3670" i="2"/>
  <c r="A3670" i="2"/>
  <c r="B3669" i="2"/>
  <c r="C3669" i="2" s="1"/>
  <c r="G3669" i="2" s="1"/>
  <c r="A3669" i="2"/>
  <c r="B3668" i="2"/>
  <c r="A3668" i="2"/>
  <c r="B3667" i="2"/>
  <c r="A3667" i="2"/>
  <c r="B3666" i="2"/>
  <c r="A3666" i="2"/>
  <c r="B3665" i="2"/>
  <c r="A3665" i="2"/>
  <c r="B3664" i="2"/>
  <c r="A3664" i="2"/>
  <c r="B3663" i="2"/>
  <c r="A3663" i="2"/>
  <c r="B3662" i="2"/>
  <c r="A3662" i="2"/>
  <c r="B3661" i="2"/>
  <c r="C3661" i="2" s="1"/>
  <c r="G3661" i="2" s="1"/>
  <c r="A3661" i="2"/>
  <c r="B3660" i="2"/>
  <c r="A3660" i="2"/>
  <c r="C3660" i="2" s="1"/>
  <c r="G3660" i="2" s="1"/>
  <c r="B3659" i="2"/>
  <c r="A3659" i="2"/>
  <c r="B3658" i="2"/>
  <c r="A3658" i="2"/>
  <c r="B3657" i="2"/>
  <c r="A3657" i="2"/>
  <c r="B3656" i="2"/>
  <c r="A3656" i="2"/>
  <c r="C3656" i="2" s="1"/>
  <c r="G3656" i="2" s="1"/>
  <c r="B3655" i="2"/>
  <c r="A3655" i="2"/>
  <c r="B3654" i="2"/>
  <c r="A3654" i="2"/>
  <c r="C3654" i="2" s="1"/>
  <c r="G3654" i="2" s="1"/>
  <c r="B3653" i="2"/>
  <c r="A3653" i="2"/>
  <c r="B3652" i="2"/>
  <c r="A3652" i="2"/>
  <c r="B3651" i="2"/>
  <c r="A3651" i="2"/>
  <c r="B3650" i="2"/>
  <c r="A3650" i="2"/>
  <c r="B3649" i="2"/>
  <c r="A3649" i="2"/>
  <c r="B3648" i="2"/>
  <c r="A3648" i="2"/>
  <c r="C3648" i="2" s="1"/>
  <c r="G3648" i="2" s="1"/>
  <c r="B3647" i="2"/>
  <c r="A3647" i="2"/>
  <c r="B3646" i="2"/>
  <c r="A3646" i="2"/>
  <c r="C3646" i="2" s="1"/>
  <c r="G3646" i="2" s="1"/>
  <c r="B3645" i="2"/>
  <c r="A3645" i="2"/>
  <c r="B3644" i="2"/>
  <c r="A3644" i="2"/>
  <c r="B3643" i="2"/>
  <c r="A3643" i="2"/>
  <c r="B3642" i="2"/>
  <c r="A3642" i="2"/>
  <c r="B3641" i="2"/>
  <c r="A3641" i="2"/>
  <c r="B3640" i="2"/>
  <c r="A3640" i="2"/>
  <c r="B3639" i="2"/>
  <c r="A3639" i="2"/>
  <c r="B3638" i="2"/>
  <c r="A3638" i="2"/>
  <c r="B3637" i="2"/>
  <c r="A3637" i="2"/>
  <c r="B3636" i="2"/>
  <c r="A3636" i="2"/>
  <c r="B3635" i="2"/>
  <c r="A3635" i="2"/>
  <c r="B3634" i="2"/>
  <c r="A3634" i="2"/>
  <c r="B3633" i="2"/>
  <c r="A3633" i="2"/>
  <c r="B3632" i="2"/>
  <c r="A3632" i="2"/>
  <c r="B3631" i="2"/>
  <c r="A3631" i="2"/>
  <c r="B3630" i="2"/>
  <c r="A3630" i="2"/>
  <c r="B3629" i="2"/>
  <c r="A3629" i="2"/>
  <c r="B3628" i="2"/>
  <c r="A3628" i="2"/>
  <c r="B3627" i="2"/>
  <c r="A3627" i="2"/>
  <c r="B3626" i="2"/>
  <c r="A3626" i="2"/>
  <c r="C3626" i="2" s="1"/>
  <c r="G3626" i="2" s="1"/>
  <c r="B3625" i="2"/>
  <c r="C3625" i="2" s="1"/>
  <c r="G3625" i="2" s="1"/>
  <c r="A3625" i="2"/>
  <c r="B3624" i="2"/>
  <c r="A3624" i="2"/>
  <c r="B3623" i="2"/>
  <c r="A3623" i="2"/>
  <c r="B3622" i="2"/>
  <c r="A3622" i="2"/>
  <c r="B3621" i="2"/>
  <c r="A3621" i="2"/>
  <c r="B3620" i="2"/>
  <c r="A3620" i="2"/>
  <c r="B3619" i="2"/>
  <c r="A3619" i="2"/>
  <c r="B3618" i="2"/>
  <c r="A3618" i="2"/>
  <c r="C3618" i="2" s="1"/>
  <c r="G3618" i="2" s="1"/>
  <c r="B3617" i="2"/>
  <c r="A3617" i="2"/>
  <c r="B3616" i="2"/>
  <c r="A3616" i="2"/>
  <c r="B3615" i="2"/>
  <c r="A3615" i="2"/>
  <c r="C3615" i="2" s="1"/>
  <c r="G3615" i="2" s="1"/>
  <c r="B3614" i="2"/>
  <c r="A3614" i="2"/>
  <c r="C3614" i="2" s="1"/>
  <c r="G3614" i="2" s="1"/>
  <c r="B3613" i="2"/>
  <c r="A3613" i="2"/>
  <c r="B3612" i="2"/>
  <c r="A3612" i="2"/>
  <c r="B3611" i="2"/>
  <c r="A3611" i="2"/>
  <c r="B3610" i="2"/>
  <c r="A3610" i="2"/>
  <c r="B3609" i="2"/>
  <c r="A3609" i="2"/>
  <c r="B3608" i="2"/>
  <c r="A3608" i="2"/>
  <c r="B3607" i="2"/>
  <c r="A3607" i="2"/>
  <c r="C3607" i="2" s="1"/>
  <c r="G3607" i="2" s="1"/>
  <c r="B3606" i="2"/>
  <c r="A3606" i="2"/>
  <c r="C3606" i="2" s="1"/>
  <c r="G3606" i="2" s="1"/>
  <c r="B3605" i="2"/>
  <c r="A3605" i="2"/>
  <c r="B3604" i="2"/>
  <c r="A3604" i="2"/>
  <c r="B3603" i="2"/>
  <c r="A3603" i="2"/>
  <c r="C3603" i="2" s="1"/>
  <c r="G3603" i="2" s="1"/>
  <c r="B3602" i="2"/>
  <c r="A3602" i="2"/>
  <c r="C3602" i="2" s="1"/>
  <c r="G3602" i="2" s="1"/>
  <c r="B3601" i="2"/>
  <c r="A3601" i="2"/>
  <c r="B3600" i="2"/>
  <c r="A3600" i="2"/>
  <c r="B3599" i="2"/>
  <c r="A3599" i="2"/>
  <c r="B3598" i="2"/>
  <c r="A3598" i="2"/>
  <c r="B3597" i="2"/>
  <c r="C3597" i="2" s="1"/>
  <c r="G3597" i="2" s="1"/>
  <c r="A3597" i="2"/>
  <c r="B3596" i="2"/>
  <c r="A3596" i="2"/>
  <c r="B3595" i="2"/>
  <c r="A3595" i="2"/>
  <c r="C3595" i="2" s="1"/>
  <c r="G3595" i="2" s="1"/>
  <c r="B3594" i="2"/>
  <c r="A3594" i="2"/>
  <c r="B3593" i="2"/>
  <c r="A3593" i="2"/>
  <c r="B3592" i="2"/>
  <c r="A3592" i="2"/>
  <c r="B3591" i="2"/>
  <c r="A3591" i="2"/>
  <c r="B3590" i="2"/>
  <c r="A3590" i="2"/>
  <c r="B3589" i="2"/>
  <c r="C3589" i="2" s="1"/>
  <c r="G3589" i="2" s="1"/>
  <c r="A3589" i="2"/>
  <c r="B3588" i="2"/>
  <c r="A3588" i="2"/>
  <c r="B3587" i="2"/>
  <c r="A3587" i="2"/>
  <c r="C3587" i="2" s="1"/>
  <c r="G3587" i="2" s="1"/>
  <c r="B3586" i="2"/>
  <c r="A3586" i="2"/>
  <c r="B3585" i="2"/>
  <c r="A3585" i="2"/>
  <c r="B3584" i="2"/>
  <c r="A3584" i="2"/>
  <c r="B3583" i="2"/>
  <c r="A3583" i="2"/>
  <c r="C3583" i="2" s="1"/>
  <c r="G3583" i="2" s="1"/>
  <c r="B3582" i="2"/>
  <c r="A3582" i="2"/>
  <c r="B3581" i="2"/>
  <c r="C3581" i="2" s="1"/>
  <c r="G3581" i="2" s="1"/>
  <c r="A3581" i="2"/>
  <c r="B3580" i="2"/>
  <c r="A3580" i="2"/>
  <c r="B3579" i="2"/>
  <c r="A3579" i="2"/>
  <c r="C3579" i="2" s="1"/>
  <c r="G3579" i="2" s="1"/>
  <c r="B3578" i="2"/>
  <c r="A3578" i="2"/>
  <c r="B3577" i="2"/>
  <c r="C3577" i="2" s="1"/>
  <c r="G3577" i="2" s="1"/>
  <c r="A3577" i="2"/>
  <c r="B3576" i="2"/>
  <c r="A3576" i="2"/>
  <c r="B3575" i="2"/>
  <c r="A3575" i="2"/>
  <c r="C3575" i="2" s="1"/>
  <c r="G3575" i="2" s="1"/>
  <c r="B3574" i="2"/>
  <c r="A3574" i="2"/>
  <c r="B3573" i="2"/>
  <c r="A3573" i="2"/>
  <c r="B3572" i="2"/>
  <c r="A3572" i="2"/>
  <c r="B3571" i="2"/>
  <c r="A3571" i="2"/>
  <c r="B3570" i="2"/>
  <c r="A3570" i="2"/>
  <c r="B3569" i="2"/>
  <c r="C3569" i="2" s="1"/>
  <c r="G3569" i="2" s="1"/>
  <c r="A3569" i="2"/>
  <c r="B3568" i="2"/>
  <c r="A3568" i="2"/>
  <c r="B3567" i="2"/>
  <c r="A3567" i="2"/>
  <c r="C3567" i="2" s="1"/>
  <c r="G3567" i="2" s="1"/>
  <c r="B3566" i="2"/>
  <c r="A3566" i="2"/>
  <c r="B3565" i="2"/>
  <c r="A3565" i="2"/>
  <c r="B3564" i="2"/>
  <c r="A3564" i="2"/>
  <c r="B3563" i="2"/>
  <c r="A3563" i="2"/>
  <c r="B3562" i="2"/>
  <c r="A3562" i="2"/>
  <c r="B3561" i="2"/>
  <c r="A3561" i="2"/>
  <c r="C3561" i="2" s="1"/>
  <c r="G3561" i="2" s="1"/>
  <c r="B3560" i="2"/>
  <c r="A3560" i="2"/>
  <c r="B3559" i="2"/>
  <c r="A3559" i="2"/>
  <c r="C3559" i="2" s="1"/>
  <c r="G3559" i="2" s="1"/>
  <c r="B3558" i="2"/>
  <c r="A3558" i="2"/>
  <c r="B3557" i="2"/>
  <c r="A3557" i="2"/>
  <c r="B3556" i="2"/>
  <c r="A3556" i="2"/>
  <c r="C3556" i="2" s="1"/>
  <c r="G3556" i="2" s="1"/>
  <c r="B3555" i="2"/>
  <c r="A3555" i="2"/>
  <c r="C3555" i="2" s="1"/>
  <c r="G3555" i="2" s="1"/>
  <c r="B3554" i="2"/>
  <c r="A3554" i="2"/>
  <c r="B3553" i="2"/>
  <c r="A3553" i="2"/>
  <c r="B3552" i="2"/>
  <c r="A3552" i="2"/>
  <c r="C3552" i="2" s="1"/>
  <c r="G3552" i="2" s="1"/>
  <c r="B3551" i="2"/>
  <c r="A3551" i="2"/>
  <c r="B3550" i="2"/>
  <c r="A3550" i="2"/>
  <c r="B3549" i="2"/>
  <c r="A3549" i="2"/>
  <c r="B3548" i="2"/>
  <c r="A3548" i="2"/>
  <c r="B3547" i="2"/>
  <c r="A3547" i="2"/>
  <c r="B3546" i="2"/>
  <c r="A3546" i="2"/>
  <c r="B3545" i="2"/>
  <c r="A3545" i="2"/>
  <c r="B3544" i="2"/>
  <c r="A3544" i="2"/>
  <c r="B3543" i="2"/>
  <c r="A3543" i="2"/>
  <c r="B3542" i="2"/>
  <c r="A3542" i="2"/>
  <c r="B3541" i="2"/>
  <c r="A3541" i="2"/>
  <c r="B3540" i="2"/>
  <c r="A3540" i="2"/>
  <c r="B3539" i="2"/>
  <c r="A3539" i="2"/>
  <c r="B3538" i="2"/>
  <c r="A3538" i="2"/>
  <c r="B3537" i="2"/>
  <c r="A3537" i="2"/>
  <c r="B3536" i="2"/>
  <c r="A3536" i="2"/>
  <c r="C3536" i="2" s="1"/>
  <c r="G3536" i="2" s="1"/>
  <c r="B3535" i="2"/>
  <c r="A3535" i="2"/>
  <c r="B3534" i="2"/>
  <c r="A3534" i="2"/>
  <c r="B3533" i="2"/>
  <c r="A3533" i="2"/>
  <c r="B3532" i="2"/>
  <c r="A3532" i="2"/>
  <c r="B3531" i="2"/>
  <c r="A3531" i="2"/>
  <c r="B3530" i="2"/>
  <c r="A3530" i="2"/>
  <c r="B3529" i="2"/>
  <c r="A3529" i="2"/>
  <c r="B3528" i="2"/>
  <c r="A3528" i="2"/>
  <c r="B3527" i="2"/>
  <c r="A3527" i="2"/>
  <c r="B3526" i="2"/>
  <c r="A3526" i="2"/>
  <c r="B3525" i="2"/>
  <c r="A3525" i="2"/>
  <c r="B3524" i="2"/>
  <c r="A3524" i="2"/>
  <c r="C3524" i="2" s="1"/>
  <c r="G3524" i="2" s="1"/>
  <c r="B3523" i="2"/>
  <c r="A3523" i="2"/>
  <c r="B3522" i="2"/>
  <c r="A3522" i="2"/>
  <c r="B3521" i="2"/>
  <c r="A3521" i="2"/>
  <c r="B3520" i="2"/>
  <c r="A3520" i="2"/>
  <c r="C3520" i="2" s="1"/>
  <c r="G3520" i="2" s="1"/>
  <c r="B3519" i="2"/>
  <c r="A3519" i="2"/>
  <c r="B3518" i="2"/>
  <c r="A3518" i="2"/>
  <c r="B3517" i="2"/>
  <c r="A3517" i="2"/>
  <c r="B3516" i="2"/>
  <c r="A3516" i="2"/>
  <c r="B3515" i="2"/>
  <c r="A3515" i="2"/>
  <c r="C3515" i="2" s="1"/>
  <c r="G3515" i="2" s="1"/>
  <c r="B3514" i="2"/>
  <c r="A3514" i="2"/>
  <c r="B3513" i="2"/>
  <c r="A3513" i="2"/>
  <c r="C3513" i="2" s="1"/>
  <c r="G3513" i="2" s="1"/>
  <c r="B3512" i="2"/>
  <c r="A3512" i="2"/>
  <c r="B3511" i="2"/>
  <c r="A3511" i="2"/>
  <c r="B3510" i="2"/>
  <c r="C3510" i="2" s="1"/>
  <c r="G3510" i="2" s="1"/>
  <c r="A3510" i="2"/>
  <c r="B3509" i="2"/>
  <c r="A3509" i="2"/>
  <c r="B3508" i="2"/>
  <c r="A3508" i="2"/>
  <c r="B3507" i="2"/>
  <c r="A3507" i="2"/>
  <c r="C3506" i="2"/>
  <c r="G3506" i="2" s="1"/>
  <c r="B3506" i="2"/>
  <c r="A3506" i="2"/>
  <c r="B3505" i="2"/>
  <c r="A3505" i="2"/>
  <c r="B3504" i="2"/>
  <c r="A3504" i="2"/>
  <c r="B3503" i="2"/>
  <c r="A3503" i="2"/>
  <c r="B3502" i="2"/>
  <c r="A3502" i="2"/>
  <c r="B3501" i="2"/>
  <c r="A3501" i="2"/>
  <c r="B3500" i="2"/>
  <c r="A3500" i="2"/>
  <c r="C3500" i="2" s="1"/>
  <c r="G3500" i="2" s="1"/>
  <c r="B3499" i="2"/>
  <c r="A3499" i="2"/>
  <c r="C3499" i="2" s="1"/>
  <c r="G3499" i="2" s="1"/>
  <c r="B3498" i="2"/>
  <c r="A3498" i="2"/>
  <c r="B3497" i="2"/>
  <c r="A3497" i="2"/>
  <c r="B3496" i="2"/>
  <c r="A3496" i="2"/>
  <c r="B3495" i="2"/>
  <c r="A3495" i="2"/>
  <c r="B3494" i="2"/>
  <c r="A3494" i="2"/>
  <c r="C3493" i="2"/>
  <c r="G3493" i="2" s="1"/>
  <c r="B3493" i="2"/>
  <c r="A3493" i="2"/>
  <c r="B3492" i="2"/>
  <c r="A3492" i="2"/>
  <c r="B3491" i="2"/>
  <c r="A3491" i="2"/>
  <c r="B3490" i="2"/>
  <c r="A3490" i="2"/>
  <c r="B3489" i="2"/>
  <c r="A3489" i="2"/>
  <c r="B3488" i="2"/>
  <c r="A3488" i="2"/>
  <c r="C3488" i="2" s="1"/>
  <c r="G3488" i="2" s="1"/>
  <c r="B3487" i="2"/>
  <c r="A3487" i="2"/>
  <c r="B3486" i="2"/>
  <c r="A3486" i="2"/>
  <c r="B3485" i="2"/>
  <c r="A3485" i="2"/>
  <c r="B3484" i="2"/>
  <c r="A3484" i="2"/>
  <c r="B3483" i="2"/>
  <c r="A3483" i="2"/>
  <c r="B3482" i="2"/>
  <c r="A3482" i="2"/>
  <c r="C3482" i="2" s="1"/>
  <c r="G3482" i="2" s="1"/>
  <c r="B3481" i="2"/>
  <c r="A3481" i="2"/>
  <c r="B3480" i="2"/>
  <c r="A3480" i="2"/>
  <c r="C3480" i="2" s="1"/>
  <c r="G3480" i="2" s="1"/>
  <c r="B3479" i="2"/>
  <c r="A3479" i="2"/>
  <c r="B3478" i="2"/>
  <c r="A3478" i="2"/>
  <c r="B3477" i="2"/>
  <c r="A3477" i="2"/>
  <c r="B3476" i="2"/>
  <c r="A3476" i="2"/>
  <c r="C3476" i="2" s="1"/>
  <c r="G3476" i="2" s="1"/>
  <c r="B3475" i="2"/>
  <c r="A3475" i="2"/>
  <c r="B3474" i="2"/>
  <c r="A3474" i="2"/>
  <c r="C3474" i="2" s="1"/>
  <c r="G3474" i="2" s="1"/>
  <c r="B3473" i="2"/>
  <c r="A3473" i="2"/>
  <c r="B3472" i="2"/>
  <c r="A3472" i="2"/>
  <c r="B3471" i="2"/>
  <c r="A3471" i="2"/>
  <c r="B3470" i="2"/>
  <c r="A3470" i="2"/>
  <c r="C3470" i="2" s="1"/>
  <c r="G3470" i="2" s="1"/>
  <c r="B3469" i="2"/>
  <c r="A3469" i="2"/>
  <c r="B3468" i="2"/>
  <c r="A3468" i="2"/>
  <c r="C3468" i="2" s="1"/>
  <c r="G3468" i="2" s="1"/>
  <c r="B3467" i="2"/>
  <c r="A3467" i="2"/>
  <c r="B3466" i="2"/>
  <c r="A3466" i="2"/>
  <c r="C3466" i="2" s="1"/>
  <c r="G3466" i="2" s="1"/>
  <c r="B3465" i="2"/>
  <c r="A3465" i="2"/>
  <c r="B3464" i="2"/>
  <c r="A3464" i="2"/>
  <c r="B3463" i="2"/>
  <c r="A3463" i="2"/>
  <c r="B3462" i="2"/>
  <c r="A3462" i="2"/>
  <c r="B3461" i="2"/>
  <c r="A3461" i="2"/>
  <c r="B3460" i="2"/>
  <c r="A3460" i="2"/>
  <c r="C3460" i="2" s="1"/>
  <c r="G3460" i="2" s="1"/>
  <c r="B3459" i="2"/>
  <c r="A3459" i="2"/>
  <c r="B3458" i="2"/>
  <c r="A3458" i="2"/>
  <c r="C3458" i="2" s="1"/>
  <c r="G3458" i="2" s="1"/>
  <c r="B3457" i="2"/>
  <c r="A3457" i="2"/>
  <c r="B3456" i="2"/>
  <c r="A3456" i="2"/>
  <c r="B3455" i="2"/>
  <c r="A3455" i="2"/>
  <c r="B3454" i="2"/>
  <c r="A3454" i="2"/>
  <c r="B3453" i="2"/>
  <c r="A3453" i="2"/>
  <c r="B3452" i="2"/>
  <c r="A3452" i="2"/>
  <c r="B3451" i="2"/>
  <c r="A3451" i="2"/>
  <c r="B3450" i="2"/>
  <c r="A3450" i="2"/>
  <c r="B3449" i="2"/>
  <c r="A3449" i="2"/>
  <c r="C3449" i="2" s="1"/>
  <c r="G3449" i="2" s="1"/>
  <c r="B3448" i="2"/>
  <c r="A3448" i="2"/>
  <c r="B3447" i="2"/>
  <c r="A3447" i="2"/>
  <c r="B3446" i="2"/>
  <c r="A3446" i="2"/>
  <c r="B3445" i="2"/>
  <c r="A3445" i="2"/>
  <c r="B3444" i="2"/>
  <c r="A3444" i="2"/>
  <c r="B3443" i="2"/>
  <c r="A3443" i="2"/>
  <c r="B3442" i="2"/>
  <c r="A3442" i="2"/>
  <c r="B3441" i="2"/>
  <c r="A3441" i="2"/>
  <c r="B3440" i="2"/>
  <c r="A3440" i="2"/>
  <c r="B3439" i="2"/>
  <c r="A3439" i="2"/>
  <c r="B3438" i="2"/>
  <c r="A3438" i="2"/>
  <c r="B3437" i="2"/>
  <c r="A3437" i="2"/>
  <c r="C3437" i="2" s="1"/>
  <c r="G3437" i="2" s="1"/>
  <c r="B3436" i="2"/>
  <c r="A3436" i="2"/>
  <c r="B3435" i="2"/>
  <c r="C3435" i="2" s="1"/>
  <c r="G3435" i="2" s="1"/>
  <c r="A3435" i="2"/>
  <c r="B3434" i="2"/>
  <c r="A3434" i="2"/>
  <c r="B3433" i="2"/>
  <c r="A3433" i="2"/>
  <c r="C3433" i="2" s="1"/>
  <c r="G3433" i="2" s="1"/>
  <c r="B3432" i="2"/>
  <c r="A3432" i="2"/>
  <c r="B3431" i="2"/>
  <c r="A3431" i="2"/>
  <c r="B3430" i="2"/>
  <c r="A3430" i="2"/>
  <c r="B3429" i="2"/>
  <c r="A3429" i="2"/>
  <c r="C3429" i="2" s="1"/>
  <c r="G3429" i="2" s="1"/>
  <c r="B3428" i="2"/>
  <c r="A3428" i="2"/>
  <c r="B3427" i="2"/>
  <c r="A3427" i="2"/>
  <c r="B3426" i="2"/>
  <c r="A3426" i="2"/>
  <c r="B3425" i="2"/>
  <c r="A3425" i="2"/>
  <c r="B3424" i="2"/>
  <c r="A3424" i="2"/>
  <c r="B3423" i="2"/>
  <c r="A3423" i="2"/>
  <c r="B3422" i="2"/>
  <c r="A3422" i="2"/>
  <c r="B3421" i="2"/>
  <c r="A3421" i="2"/>
  <c r="B3420" i="2"/>
  <c r="A3420" i="2"/>
  <c r="B3419" i="2"/>
  <c r="A3419" i="2"/>
  <c r="B3418" i="2"/>
  <c r="A3418" i="2"/>
  <c r="B3417" i="2"/>
  <c r="A3417" i="2"/>
  <c r="C3417" i="2" s="1"/>
  <c r="G3417" i="2" s="1"/>
  <c r="B3416" i="2"/>
  <c r="A3416" i="2"/>
  <c r="C3416" i="2" s="1"/>
  <c r="G3416" i="2" s="1"/>
  <c r="B3415" i="2"/>
  <c r="A3415" i="2"/>
  <c r="B3414" i="2"/>
  <c r="A3414" i="2"/>
  <c r="B3413" i="2"/>
  <c r="A3413" i="2"/>
  <c r="B3412" i="2"/>
  <c r="A3412" i="2"/>
  <c r="C3412" i="2" s="1"/>
  <c r="G3412" i="2" s="1"/>
  <c r="B3411" i="2"/>
  <c r="A3411" i="2"/>
  <c r="B3410" i="2"/>
  <c r="A3410" i="2"/>
  <c r="B3409" i="2"/>
  <c r="A3409" i="2"/>
  <c r="C3409" i="2" s="1"/>
  <c r="G3409" i="2" s="1"/>
  <c r="B3408" i="2"/>
  <c r="A3408" i="2"/>
  <c r="B3407" i="2"/>
  <c r="A3407" i="2"/>
  <c r="B3406" i="2"/>
  <c r="A3406" i="2"/>
  <c r="B3405" i="2"/>
  <c r="A3405" i="2"/>
  <c r="C3405" i="2" s="1"/>
  <c r="G3405" i="2" s="1"/>
  <c r="B3404" i="2"/>
  <c r="A3404" i="2"/>
  <c r="C3404" i="2" s="1"/>
  <c r="G3404" i="2" s="1"/>
  <c r="B3403" i="2"/>
  <c r="A3403" i="2"/>
  <c r="B3402" i="2"/>
  <c r="A3402" i="2"/>
  <c r="B3401" i="2"/>
  <c r="A3401" i="2"/>
  <c r="C3401" i="2" s="1"/>
  <c r="G3401" i="2" s="1"/>
  <c r="B3400" i="2"/>
  <c r="A3400" i="2"/>
  <c r="B3399" i="2"/>
  <c r="A3399" i="2"/>
  <c r="B3398" i="2"/>
  <c r="A3398" i="2"/>
  <c r="B3397" i="2"/>
  <c r="A3397" i="2"/>
  <c r="B3396" i="2"/>
  <c r="A3396" i="2"/>
  <c r="B3395" i="2"/>
  <c r="A3395" i="2"/>
  <c r="B3394" i="2"/>
  <c r="A3394" i="2"/>
  <c r="B3393" i="2"/>
  <c r="A3393" i="2"/>
  <c r="C3393" i="2" s="1"/>
  <c r="G3393" i="2" s="1"/>
  <c r="B3392" i="2"/>
  <c r="A3392" i="2"/>
  <c r="B3391" i="2"/>
  <c r="A3391" i="2"/>
  <c r="B3390" i="2"/>
  <c r="A3390" i="2"/>
  <c r="B3389" i="2"/>
  <c r="A3389" i="2"/>
  <c r="B3388" i="2"/>
  <c r="A3388" i="2"/>
  <c r="B3387" i="2"/>
  <c r="A3387" i="2"/>
  <c r="B3386" i="2"/>
  <c r="A3386" i="2"/>
  <c r="B3385" i="2"/>
  <c r="A3385" i="2"/>
  <c r="C3385" i="2" s="1"/>
  <c r="G3385" i="2" s="1"/>
  <c r="B3384" i="2"/>
  <c r="A3384" i="2"/>
  <c r="B3383" i="2"/>
  <c r="A3383" i="2"/>
  <c r="B3382" i="2"/>
  <c r="C3382" i="2" s="1"/>
  <c r="G3382" i="2" s="1"/>
  <c r="A3382" i="2"/>
  <c r="B3381" i="2"/>
  <c r="A3381" i="2"/>
  <c r="B3380" i="2"/>
  <c r="A3380" i="2"/>
  <c r="B3379" i="2"/>
  <c r="A3379" i="2"/>
  <c r="B3378" i="2"/>
  <c r="A3378" i="2"/>
  <c r="B3377" i="2"/>
  <c r="A3377" i="2"/>
  <c r="B3376" i="2"/>
  <c r="A3376" i="2"/>
  <c r="C3376" i="2" s="1"/>
  <c r="G3376" i="2" s="1"/>
  <c r="B3375" i="2"/>
  <c r="A3375" i="2"/>
  <c r="B3374" i="2"/>
  <c r="A3374" i="2"/>
  <c r="C3374" i="2" s="1"/>
  <c r="G3374" i="2" s="1"/>
  <c r="B3373" i="2"/>
  <c r="A3373" i="2"/>
  <c r="B3372" i="2"/>
  <c r="A3372" i="2"/>
  <c r="B3371" i="2"/>
  <c r="A3371" i="2"/>
  <c r="B3370" i="2"/>
  <c r="A3370" i="2"/>
  <c r="B3369" i="2"/>
  <c r="A3369" i="2"/>
  <c r="B3368" i="2"/>
  <c r="A3368" i="2"/>
  <c r="B3367" i="2"/>
  <c r="A3367" i="2"/>
  <c r="B3366" i="2"/>
  <c r="A3366" i="2"/>
  <c r="C3366" i="2" s="1"/>
  <c r="G3366" i="2" s="1"/>
  <c r="B3365" i="2"/>
  <c r="A3365" i="2"/>
  <c r="B3364" i="2"/>
  <c r="A3364" i="2"/>
  <c r="B3363" i="2"/>
  <c r="A3363" i="2"/>
  <c r="B3362" i="2"/>
  <c r="A3362" i="2"/>
  <c r="C3362" i="2" s="1"/>
  <c r="G3362" i="2" s="1"/>
  <c r="B3361" i="2"/>
  <c r="C3361" i="2" s="1"/>
  <c r="G3361" i="2" s="1"/>
  <c r="A3361" i="2"/>
  <c r="B3360" i="2"/>
  <c r="A3360" i="2"/>
  <c r="B3359" i="2"/>
  <c r="A3359" i="2"/>
  <c r="B3358" i="2"/>
  <c r="A3358" i="2"/>
  <c r="B3357" i="2"/>
  <c r="C3357" i="2" s="1"/>
  <c r="G3357" i="2" s="1"/>
  <c r="A3357" i="2"/>
  <c r="B3356" i="2"/>
  <c r="A3356" i="2"/>
  <c r="C3356" i="2" s="1"/>
  <c r="G3356" i="2" s="1"/>
  <c r="B3355" i="2"/>
  <c r="A3355" i="2"/>
  <c r="B3354" i="2"/>
  <c r="A3354" i="2"/>
  <c r="C3354" i="2" s="1"/>
  <c r="G3354" i="2" s="1"/>
  <c r="B3353" i="2"/>
  <c r="A3353" i="2"/>
  <c r="B3352" i="2"/>
  <c r="A3352" i="2"/>
  <c r="B3351" i="2"/>
  <c r="A3351" i="2"/>
  <c r="B3350" i="2"/>
  <c r="A3350" i="2"/>
  <c r="C3350" i="2" s="1"/>
  <c r="G3350" i="2" s="1"/>
  <c r="B3349" i="2"/>
  <c r="A3349" i="2"/>
  <c r="B3348" i="2"/>
  <c r="A3348" i="2"/>
  <c r="C3348" i="2" s="1"/>
  <c r="G3348" i="2" s="1"/>
  <c r="B3347" i="2"/>
  <c r="C3347" i="2" s="1"/>
  <c r="G3347" i="2" s="1"/>
  <c r="A3347" i="2"/>
  <c r="B3346" i="2"/>
  <c r="A3346" i="2"/>
  <c r="C3346" i="2" s="1"/>
  <c r="G3346" i="2" s="1"/>
  <c r="B3345" i="2"/>
  <c r="A3345" i="2"/>
  <c r="B3344" i="2"/>
  <c r="A3344" i="2"/>
  <c r="B3343" i="2"/>
  <c r="A3343" i="2"/>
  <c r="B3342" i="2"/>
  <c r="A3342" i="2"/>
  <c r="C3342" i="2" s="1"/>
  <c r="G3342" i="2" s="1"/>
  <c r="B3341" i="2"/>
  <c r="A3341" i="2"/>
  <c r="B3340" i="2"/>
  <c r="A3340" i="2"/>
  <c r="C3340" i="2" s="1"/>
  <c r="G3340" i="2" s="1"/>
  <c r="B3339" i="2"/>
  <c r="A3339" i="2"/>
  <c r="B3338" i="2"/>
  <c r="A3338" i="2"/>
  <c r="C3337" i="2"/>
  <c r="G3337" i="2" s="1"/>
  <c r="B3337" i="2"/>
  <c r="A3337" i="2"/>
  <c r="B3336" i="2"/>
  <c r="A3336" i="2"/>
  <c r="B3335" i="2"/>
  <c r="A3335" i="2"/>
  <c r="B3334" i="2"/>
  <c r="A3334" i="2"/>
  <c r="B3333" i="2"/>
  <c r="A3333" i="2"/>
  <c r="B3332" i="2"/>
  <c r="A3332" i="2"/>
  <c r="B3331" i="2"/>
  <c r="A3331" i="2"/>
  <c r="B3330" i="2"/>
  <c r="A3330" i="2"/>
  <c r="B3329" i="2"/>
  <c r="A3329" i="2"/>
  <c r="C3329" i="2" s="1"/>
  <c r="G3329" i="2" s="1"/>
  <c r="B3328" i="2"/>
  <c r="A3328" i="2"/>
  <c r="B3327" i="2"/>
  <c r="A3327" i="2"/>
  <c r="B3326" i="2"/>
  <c r="A3326" i="2"/>
  <c r="B3325" i="2"/>
  <c r="A3325" i="2"/>
  <c r="B3324" i="2"/>
  <c r="A3324" i="2"/>
  <c r="C3324" i="2" s="1"/>
  <c r="G3324" i="2" s="1"/>
  <c r="B3323" i="2"/>
  <c r="A3323" i="2"/>
  <c r="B3322" i="2"/>
  <c r="A3322" i="2"/>
  <c r="B3321" i="2"/>
  <c r="A3321" i="2"/>
  <c r="B3320" i="2"/>
  <c r="A3320" i="2"/>
  <c r="B3319" i="2"/>
  <c r="A3319" i="2"/>
  <c r="B3318" i="2"/>
  <c r="A3318" i="2"/>
  <c r="B3317" i="2"/>
  <c r="A3317" i="2"/>
  <c r="B3316" i="2"/>
  <c r="A3316" i="2"/>
  <c r="C3316" i="2" s="1"/>
  <c r="G3316" i="2" s="1"/>
  <c r="B3315" i="2"/>
  <c r="A3315" i="2"/>
  <c r="B3314" i="2"/>
  <c r="A3314" i="2"/>
  <c r="B3313" i="2"/>
  <c r="A3313" i="2"/>
  <c r="B3312" i="2"/>
  <c r="A3312" i="2"/>
  <c r="B3311" i="2"/>
  <c r="A3311" i="2"/>
  <c r="B3310" i="2"/>
  <c r="A3310" i="2"/>
  <c r="B3309" i="2"/>
  <c r="A3309" i="2"/>
  <c r="C3309" i="2" s="1"/>
  <c r="G3309" i="2" s="1"/>
  <c r="B3308" i="2"/>
  <c r="A3308" i="2"/>
  <c r="B3307" i="2"/>
  <c r="A3307" i="2"/>
  <c r="B3306" i="2"/>
  <c r="A3306" i="2"/>
  <c r="B3305" i="2"/>
  <c r="A3305" i="2"/>
  <c r="B3304" i="2"/>
  <c r="A3304" i="2"/>
  <c r="B3303" i="2"/>
  <c r="A3303" i="2"/>
  <c r="B3302" i="2"/>
  <c r="A3302" i="2"/>
  <c r="B3301" i="2"/>
  <c r="A3301" i="2"/>
  <c r="C3301" i="2" s="1"/>
  <c r="G3301" i="2" s="1"/>
  <c r="B3300" i="2"/>
  <c r="A3300" i="2"/>
  <c r="C3300" i="2" s="1"/>
  <c r="G3300" i="2" s="1"/>
  <c r="B3299" i="2"/>
  <c r="A3299" i="2"/>
  <c r="B3298" i="2"/>
  <c r="A3298" i="2"/>
  <c r="C3298" i="2" s="1"/>
  <c r="G3298" i="2" s="1"/>
  <c r="B3297" i="2"/>
  <c r="A3297" i="2"/>
  <c r="B3296" i="2"/>
  <c r="A3296" i="2"/>
  <c r="B3295" i="2"/>
  <c r="A3295" i="2"/>
  <c r="B3294" i="2"/>
  <c r="A3294" i="2"/>
  <c r="B3293" i="2"/>
  <c r="A3293" i="2"/>
  <c r="B3292" i="2"/>
  <c r="A3292" i="2"/>
  <c r="B3291" i="2"/>
  <c r="A3291" i="2"/>
  <c r="B3290" i="2"/>
  <c r="A3290" i="2"/>
  <c r="B3289" i="2"/>
  <c r="A3289" i="2"/>
  <c r="B3288" i="2"/>
  <c r="A3288" i="2"/>
  <c r="B3287" i="2"/>
  <c r="A3287" i="2"/>
  <c r="B3286" i="2"/>
  <c r="A3286" i="2"/>
  <c r="B3285" i="2"/>
  <c r="A3285" i="2"/>
  <c r="B3284" i="2"/>
  <c r="A3284" i="2"/>
  <c r="C3284" i="2" s="1"/>
  <c r="G3284" i="2" s="1"/>
  <c r="B3283" i="2"/>
  <c r="A3283" i="2"/>
  <c r="B3282" i="2"/>
  <c r="A3282" i="2"/>
  <c r="B3281" i="2"/>
  <c r="A3281" i="2"/>
  <c r="B3280" i="2"/>
  <c r="A3280" i="2"/>
  <c r="B3279" i="2"/>
  <c r="A3279" i="2"/>
  <c r="B3278" i="2"/>
  <c r="A3278" i="2"/>
  <c r="B3277" i="2"/>
  <c r="A3277" i="2"/>
  <c r="B3276" i="2"/>
  <c r="A3276" i="2"/>
  <c r="C3276" i="2" s="1"/>
  <c r="G3276" i="2" s="1"/>
  <c r="B3275" i="2"/>
  <c r="A3275" i="2"/>
  <c r="B3274" i="2"/>
  <c r="A3274" i="2"/>
  <c r="B3273" i="2"/>
  <c r="A3273" i="2"/>
  <c r="B3272" i="2"/>
  <c r="A3272" i="2"/>
  <c r="B3271" i="2"/>
  <c r="A3271" i="2"/>
  <c r="B3270" i="2"/>
  <c r="A3270" i="2"/>
  <c r="B3269" i="2"/>
  <c r="A3269" i="2"/>
  <c r="B3268" i="2"/>
  <c r="A3268" i="2"/>
  <c r="B3267" i="2"/>
  <c r="A3267" i="2"/>
  <c r="B3266" i="2"/>
  <c r="A3266" i="2"/>
  <c r="B3265" i="2"/>
  <c r="A3265" i="2"/>
  <c r="B3264" i="2"/>
  <c r="A3264" i="2"/>
  <c r="B3263" i="2"/>
  <c r="A3263" i="2"/>
  <c r="B3262" i="2"/>
  <c r="A3262" i="2"/>
  <c r="C3262" i="2" s="1"/>
  <c r="G3262" i="2" s="1"/>
  <c r="B3261" i="2"/>
  <c r="A3261" i="2"/>
  <c r="B3260" i="2"/>
  <c r="A3260" i="2"/>
  <c r="B3259" i="2"/>
  <c r="A3259" i="2"/>
  <c r="C3259" i="2" s="1"/>
  <c r="G3259" i="2" s="1"/>
  <c r="B3258" i="2"/>
  <c r="A3258" i="2"/>
  <c r="B3257" i="2"/>
  <c r="A3257" i="2"/>
  <c r="B3256" i="2"/>
  <c r="A3256" i="2"/>
  <c r="B3255" i="2"/>
  <c r="A3255" i="2"/>
  <c r="B3254" i="2"/>
  <c r="A3254" i="2"/>
  <c r="B3253" i="2"/>
  <c r="A3253" i="2"/>
  <c r="B3252" i="2"/>
  <c r="A3252" i="2"/>
  <c r="B3251" i="2"/>
  <c r="A3251" i="2"/>
  <c r="B3250" i="2"/>
  <c r="A3250" i="2"/>
  <c r="B3249" i="2"/>
  <c r="A3249" i="2"/>
  <c r="B3248" i="2"/>
  <c r="A3248" i="2"/>
  <c r="B3247" i="2"/>
  <c r="A3247" i="2"/>
  <c r="B3246" i="2"/>
  <c r="A3246" i="2"/>
  <c r="B3245" i="2"/>
  <c r="A3245" i="2"/>
  <c r="B3244" i="2"/>
  <c r="A3244" i="2"/>
  <c r="B3243" i="2"/>
  <c r="A3243" i="2"/>
  <c r="B3242" i="2"/>
  <c r="A3242" i="2"/>
  <c r="C3242" i="2" s="1"/>
  <c r="G3242" i="2" s="1"/>
  <c r="B3241" i="2"/>
  <c r="A3241" i="2"/>
  <c r="C3240" i="2"/>
  <c r="G3240" i="2" s="1"/>
  <c r="B3240" i="2"/>
  <c r="A3240" i="2"/>
  <c r="B3239" i="2"/>
  <c r="A3239" i="2"/>
  <c r="C3239" i="2" s="1"/>
  <c r="G3239" i="2" s="1"/>
  <c r="B3238" i="2"/>
  <c r="A3238" i="2"/>
  <c r="B3237" i="2"/>
  <c r="A3237" i="2"/>
  <c r="B3236" i="2"/>
  <c r="A3236" i="2"/>
  <c r="B3235" i="2"/>
  <c r="A3235" i="2"/>
  <c r="C3235" i="2" s="1"/>
  <c r="G3235" i="2" s="1"/>
  <c r="B3234" i="2"/>
  <c r="A3234" i="2"/>
  <c r="C3234" i="2" s="1"/>
  <c r="G3234" i="2" s="1"/>
  <c r="B3233" i="2"/>
  <c r="A3233" i="2"/>
  <c r="B3232" i="2"/>
  <c r="C3232" i="2" s="1"/>
  <c r="G3232" i="2" s="1"/>
  <c r="A3232" i="2"/>
  <c r="B3231" i="2"/>
  <c r="A3231" i="2"/>
  <c r="C3231" i="2" s="1"/>
  <c r="G3231" i="2" s="1"/>
  <c r="B3230" i="2"/>
  <c r="A3230" i="2"/>
  <c r="B3229" i="2"/>
  <c r="A3229" i="2"/>
  <c r="B3228" i="2"/>
  <c r="A3228" i="2"/>
  <c r="B3227" i="2"/>
  <c r="A3227" i="2"/>
  <c r="C3227" i="2" s="1"/>
  <c r="G3227" i="2" s="1"/>
  <c r="B3226" i="2"/>
  <c r="A3226" i="2"/>
  <c r="B3225" i="2"/>
  <c r="A3225" i="2"/>
  <c r="B3224" i="2"/>
  <c r="A3224" i="2"/>
  <c r="B3223" i="2"/>
  <c r="A3223" i="2"/>
  <c r="C3223" i="2" s="1"/>
  <c r="G3223" i="2" s="1"/>
  <c r="B3222" i="2"/>
  <c r="A3222" i="2"/>
  <c r="B3221" i="2"/>
  <c r="A3221" i="2"/>
  <c r="B3220" i="2"/>
  <c r="A3220" i="2"/>
  <c r="B3219" i="2"/>
  <c r="A3219" i="2"/>
  <c r="B3218" i="2"/>
  <c r="A3218" i="2"/>
  <c r="B3217" i="2"/>
  <c r="A3217" i="2"/>
  <c r="B3216" i="2"/>
  <c r="A3216" i="2"/>
  <c r="B3215" i="2"/>
  <c r="A3215" i="2"/>
  <c r="C3215" i="2" s="1"/>
  <c r="G3215" i="2" s="1"/>
  <c r="B3214" i="2"/>
  <c r="A3214" i="2"/>
  <c r="B3213" i="2"/>
  <c r="A3213" i="2"/>
  <c r="B3212" i="2"/>
  <c r="A3212" i="2"/>
  <c r="B3211" i="2"/>
  <c r="A3211" i="2"/>
  <c r="B3210" i="2"/>
  <c r="A3210" i="2"/>
  <c r="B3209" i="2"/>
  <c r="A3209" i="2"/>
  <c r="B3208" i="2"/>
  <c r="A3208" i="2"/>
  <c r="B3207" i="2"/>
  <c r="A3207" i="2"/>
  <c r="C3207" i="2" s="1"/>
  <c r="G3207" i="2" s="1"/>
  <c r="B3206" i="2"/>
  <c r="A3206" i="2"/>
  <c r="B3205" i="2"/>
  <c r="A3205" i="2"/>
  <c r="B3204" i="2"/>
  <c r="A3204" i="2"/>
  <c r="B3203" i="2"/>
  <c r="A3203" i="2"/>
  <c r="C3203" i="2" s="1"/>
  <c r="G3203" i="2" s="1"/>
  <c r="B3202" i="2"/>
  <c r="A3202" i="2"/>
  <c r="B3201" i="2"/>
  <c r="A3201" i="2"/>
  <c r="B3200" i="2"/>
  <c r="A3200" i="2"/>
  <c r="B3199" i="2"/>
  <c r="A3199" i="2"/>
  <c r="B3198" i="2"/>
  <c r="A3198" i="2"/>
  <c r="B3197" i="2"/>
  <c r="A3197" i="2"/>
  <c r="B3196" i="2"/>
  <c r="A3196" i="2"/>
  <c r="B3195" i="2"/>
  <c r="A3195" i="2"/>
  <c r="C3195" i="2" s="1"/>
  <c r="G3195" i="2" s="1"/>
  <c r="B3194" i="2"/>
  <c r="A3194" i="2"/>
  <c r="B3193" i="2"/>
  <c r="A3193" i="2"/>
  <c r="B3192" i="2"/>
  <c r="A3192" i="2"/>
  <c r="B3191" i="2"/>
  <c r="A3191" i="2"/>
  <c r="B3190" i="2"/>
  <c r="A3190" i="2"/>
  <c r="B3189" i="2"/>
  <c r="A3189" i="2"/>
  <c r="B3188" i="2"/>
  <c r="A3188" i="2"/>
  <c r="B3187" i="2"/>
  <c r="A3187" i="2"/>
  <c r="B3186" i="2"/>
  <c r="A3186" i="2"/>
  <c r="B3185" i="2"/>
  <c r="A3185" i="2"/>
  <c r="B3184" i="2"/>
  <c r="A3184" i="2"/>
  <c r="B3183" i="2"/>
  <c r="A3183" i="2"/>
  <c r="C3183" i="2" s="1"/>
  <c r="G3183" i="2" s="1"/>
  <c r="B3182" i="2"/>
  <c r="A3182" i="2"/>
  <c r="B3181" i="2"/>
  <c r="A3181" i="2"/>
  <c r="C3181" i="2" s="1"/>
  <c r="G3181" i="2" s="1"/>
  <c r="B3180" i="2"/>
  <c r="A3180" i="2"/>
  <c r="C3180" i="2" s="1"/>
  <c r="G3180" i="2" s="1"/>
  <c r="B3179" i="2"/>
  <c r="A3179" i="2"/>
  <c r="B3178" i="2"/>
  <c r="A3178" i="2"/>
  <c r="B3177" i="2"/>
  <c r="A3177" i="2"/>
  <c r="C3177" i="2" s="1"/>
  <c r="G3177" i="2" s="1"/>
  <c r="B3176" i="2"/>
  <c r="A3176" i="2"/>
  <c r="C3176" i="2" s="1"/>
  <c r="G3176" i="2" s="1"/>
  <c r="B3175" i="2"/>
  <c r="A3175" i="2"/>
  <c r="B3174" i="2"/>
  <c r="A3174" i="2"/>
  <c r="B3173" i="2"/>
  <c r="A3173" i="2"/>
  <c r="C3173" i="2" s="1"/>
  <c r="G3173" i="2" s="1"/>
  <c r="B3172" i="2"/>
  <c r="A3172" i="2"/>
  <c r="B3171" i="2"/>
  <c r="A3171" i="2"/>
  <c r="C3171" i="2" s="1"/>
  <c r="G3171" i="2" s="1"/>
  <c r="B3170" i="2"/>
  <c r="A3170" i="2"/>
  <c r="B3169" i="2"/>
  <c r="A3169" i="2"/>
  <c r="B3168" i="2"/>
  <c r="A3168" i="2"/>
  <c r="B3167" i="2"/>
  <c r="A3167" i="2"/>
  <c r="B3166" i="2"/>
  <c r="A3166" i="2"/>
  <c r="B3165" i="2"/>
  <c r="A3165" i="2"/>
  <c r="C3165" i="2" s="1"/>
  <c r="G3165" i="2" s="1"/>
  <c r="B3164" i="2"/>
  <c r="A3164" i="2"/>
  <c r="B3163" i="2"/>
  <c r="A3163" i="2"/>
  <c r="C3163" i="2" s="1"/>
  <c r="G3163" i="2" s="1"/>
  <c r="B3162" i="2"/>
  <c r="A3162" i="2"/>
  <c r="B3161" i="2"/>
  <c r="A3161" i="2"/>
  <c r="B3160" i="2"/>
  <c r="A3160" i="2"/>
  <c r="B3159" i="2"/>
  <c r="A3159" i="2"/>
  <c r="C3159" i="2" s="1"/>
  <c r="G3159" i="2" s="1"/>
  <c r="B3158" i="2"/>
  <c r="A3158" i="2"/>
  <c r="B3157" i="2"/>
  <c r="A3157" i="2"/>
  <c r="C3157" i="2" s="1"/>
  <c r="G3157" i="2" s="1"/>
  <c r="B3156" i="2"/>
  <c r="A3156" i="2"/>
  <c r="B3155" i="2"/>
  <c r="A3155" i="2"/>
  <c r="B3154" i="2"/>
  <c r="A3154" i="2"/>
  <c r="C3154" i="2" s="1"/>
  <c r="G3154" i="2" s="1"/>
  <c r="B3153" i="2"/>
  <c r="A3153" i="2"/>
  <c r="B3152" i="2"/>
  <c r="A3152" i="2"/>
  <c r="C3152" i="2" s="1"/>
  <c r="G3152" i="2" s="1"/>
  <c r="B3151" i="2"/>
  <c r="A3151" i="2"/>
  <c r="C3151" i="2" s="1"/>
  <c r="G3151" i="2" s="1"/>
  <c r="B3150" i="2"/>
  <c r="A3150" i="2"/>
  <c r="B3149" i="2"/>
  <c r="A3149" i="2"/>
  <c r="B3148" i="2"/>
  <c r="A3148" i="2"/>
  <c r="B3147" i="2"/>
  <c r="A3147" i="2"/>
  <c r="C3147" i="2" s="1"/>
  <c r="G3147" i="2" s="1"/>
  <c r="B3146" i="2"/>
  <c r="A3146" i="2"/>
  <c r="B3145" i="2"/>
  <c r="A3145" i="2"/>
  <c r="B3144" i="2"/>
  <c r="A3144" i="2"/>
  <c r="B3143" i="2"/>
  <c r="A3143" i="2"/>
  <c r="C3143" i="2" s="1"/>
  <c r="G3143" i="2" s="1"/>
  <c r="B3142" i="2"/>
  <c r="A3142" i="2"/>
  <c r="B3141" i="2"/>
  <c r="A3141" i="2"/>
  <c r="B3140" i="2"/>
  <c r="A3140" i="2"/>
  <c r="B3139" i="2"/>
  <c r="A3139" i="2"/>
  <c r="C3139" i="2" s="1"/>
  <c r="G3139" i="2" s="1"/>
  <c r="B3138" i="2"/>
  <c r="A3138" i="2"/>
  <c r="B3137" i="2"/>
  <c r="A3137" i="2"/>
  <c r="C3137" i="2" s="1"/>
  <c r="G3137" i="2" s="1"/>
  <c r="B3136" i="2"/>
  <c r="A3136" i="2"/>
  <c r="B3135" i="2"/>
  <c r="A3135" i="2"/>
  <c r="C3135" i="2" s="1"/>
  <c r="G3135" i="2" s="1"/>
  <c r="B3134" i="2"/>
  <c r="A3134" i="2"/>
  <c r="B3133" i="2"/>
  <c r="A3133" i="2"/>
  <c r="B3132" i="2"/>
  <c r="A3132" i="2"/>
  <c r="B3131" i="2"/>
  <c r="A3131" i="2"/>
  <c r="B3130" i="2"/>
  <c r="A3130" i="2"/>
  <c r="B3129" i="2"/>
  <c r="A3129" i="2"/>
  <c r="C3129" i="2" s="1"/>
  <c r="G3129" i="2" s="1"/>
  <c r="B3128" i="2"/>
  <c r="A3128" i="2"/>
  <c r="B3127" i="2"/>
  <c r="A3127" i="2"/>
  <c r="C3127" i="2" s="1"/>
  <c r="G3127" i="2" s="1"/>
  <c r="B3126" i="2"/>
  <c r="A3126" i="2"/>
  <c r="B3125" i="2"/>
  <c r="A3125" i="2"/>
  <c r="B3124" i="2"/>
  <c r="A3124" i="2"/>
  <c r="B3123" i="2"/>
  <c r="A3123" i="2"/>
  <c r="B3122" i="2"/>
  <c r="A3122" i="2"/>
  <c r="B3121" i="2"/>
  <c r="A3121" i="2"/>
  <c r="C3121" i="2" s="1"/>
  <c r="G3121" i="2" s="1"/>
  <c r="B3120" i="2"/>
  <c r="A3120" i="2"/>
  <c r="B3119" i="2"/>
  <c r="A3119" i="2"/>
  <c r="C3119" i="2" s="1"/>
  <c r="G3119" i="2" s="1"/>
  <c r="B3118" i="2"/>
  <c r="A3118" i="2"/>
  <c r="B3117" i="2"/>
  <c r="A3117" i="2"/>
  <c r="C3117" i="2" s="1"/>
  <c r="G3117" i="2" s="1"/>
  <c r="B3116" i="2"/>
  <c r="A3116" i="2"/>
  <c r="B3115" i="2"/>
  <c r="A3115" i="2"/>
  <c r="C3115" i="2" s="1"/>
  <c r="G3115" i="2" s="1"/>
  <c r="B3114" i="2"/>
  <c r="A3114" i="2"/>
  <c r="B3113" i="2"/>
  <c r="A3113" i="2"/>
  <c r="B3112" i="2"/>
  <c r="A3112" i="2"/>
  <c r="B3111" i="2"/>
  <c r="A3111" i="2"/>
  <c r="C3111" i="2" s="1"/>
  <c r="G3111" i="2" s="1"/>
  <c r="B3110" i="2"/>
  <c r="A3110" i="2"/>
  <c r="B3109" i="2"/>
  <c r="A3109" i="2"/>
  <c r="B3108" i="2"/>
  <c r="A3108" i="2"/>
  <c r="B3107" i="2"/>
  <c r="A3107" i="2"/>
  <c r="B3106" i="2"/>
  <c r="A3106" i="2"/>
  <c r="B3105" i="2"/>
  <c r="A3105" i="2"/>
  <c r="B3104" i="2"/>
  <c r="A3104" i="2"/>
  <c r="B3103" i="2"/>
  <c r="A3103" i="2"/>
  <c r="C3103" i="2" s="1"/>
  <c r="G3103" i="2" s="1"/>
  <c r="B3102" i="2"/>
  <c r="A3102" i="2"/>
  <c r="B3101" i="2"/>
  <c r="A3101" i="2"/>
  <c r="B3100" i="2"/>
  <c r="A3100" i="2"/>
  <c r="B3099" i="2"/>
  <c r="A3099" i="2"/>
  <c r="B3098" i="2"/>
  <c r="A3098" i="2"/>
  <c r="B3097" i="2"/>
  <c r="A3097" i="2"/>
  <c r="B3096" i="2"/>
  <c r="A3096" i="2"/>
  <c r="B3095" i="2"/>
  <c r="A3095" i="2"/>
  <c r="C3095" i="2" s="1"/>
  <c r="G3095" i="2" s="1"/>
  <c r="B3094" i="2"/>
  <c r="A3094" i="2"/>
  <c r="B3093" i="2"/>
  <c r="A3093" i="2"/>
  <c r="B3092" i="2"/>
  <c r="A3092" i="2"/>
  <c r="B3091" i="2"/>
  <c r="A3091" i="2"/>
  <c r="C3091" i="2" s="1"/>
  <c r="G3091" i="2" s="1"/>
  <c r="B3090" i="2"/>
  <c r="A3090" i="2"/>
  <c r="B3089" i="2"/>
  <c r="A3089" i="2"/>
  <c r="B3088" i="2"/>
  <c r="A3088" i="2"/>
  <c r="B3087" i="2"/>
  <c r="A3087" i="2"/>
  <c r="B3086" i="2"/>
  <c r="A3086" i="2"/>
  <c r="B3085" i="2"/>
  <c r="A3085" i="2"/>
  <c r="B3084" i="2"/>
  <c r="A3084" i="2"/>
  <c r="B3083" i="2"/>
  <c r="C3083" i="2" s="1"/>
  <c r="G3083" i="2" s="1"/>
  <c r="A3083" i="2"/>
  <c r="B3082" i="2"/>
  <c r="C3082" i="2" s="1"/>
  <c r="G3082" i="2" s="1"/>
  <c r="A3082" i="2"/>
  <c r="B3081" i="2"/>
  <c r="A3081" i="2"/>
  <c r="B3080" i="2"/>
  <c r="A3080" i="2"/>
  <c r="B3079" i="2"/>
  <c r="C3079" i="2" s="1"/>
  <c r="G3079" i="2" s="1"/>
  <c r="A3079" i="2"/>
  <c r="B3078" i="2"/>
  <c r="C3078" i="2" s="1"/>
  <c r="G3078" i="2" s="1"/>
  <c r="A3078" i="2"/>
  <c r="B3077" i="2"/>
  <c r="A3077" i="2"/>
  <c r="C3077" i="2" s="1"/>
  <c r="G3077" i="2" s="1"/>
  <c r="B3076" i="2"/>
  <c r="A3076" i="2"/>
  <c r="C3076" i="2" s="1"/>
  <c r="G3076" i="2" s="1"/>
  <c r="B3075" i="2"/>
  <c r="A3075" i="2"/>
  <c r="B3074" i="2"/>
  <c r="C3074" i="2" s="1"/>
  <c r="G3074" i="2" s="1"/>
  <c r="A3074" i="2"/>
  <c r="B3073" i="2"/>
  <c r="A3073" i="2"/>
  <c r="B3072" i="2"/>
  <c r="A3072" i="2"/>
  <c r="B3071" i="2"/>
  <c r="A3071" i="2"/>
  <c r="B3070" i="2"/>
  <c r="A3070" i="2"/>
  <c r="B3069" i="2"/>
  <c r="A3069" i="2"/>
  <c r="C3069" i="2" s="1"/>
  <c r="G3069" i="2" s="1"/>
  <c r="B3068" i="2"/>
  <c r="A3068" i="2"/>
  <c r="B3067" i="2"/>
  <c r="A3067" i="2"/>
  <c r="B3066" i="2"/>
  <c r="A3066" i="2"/>
  <c r="B3065" i="2"/>
  <c r="A3065" i="2"/>
  <c r="B3064" i="2"/>
  <c r="A3064" i="2"/>
  <c r="C3064" i="2" s="1"/>
  <c r="G3064" i="2" s="1"/>
  <c r="B3063" i="2"/>
  <c r="A3063" i="2"/>
  <c r="B3062" i="2"/>
  <c r="A3062" i="2"/>
  <c r="B3061" i="2"/>
  <c r="A3061" i="2"/>
  <c r="B3060" i="2"/>
  <c r="A3060" i="2"/>
  <c r="B3059" i="2"/>
  <c r="A3059" i="2"/>
  <c r="B3058" i="2"/>
  <c r="A3058" i="2"/>
  <c r="B3057" i="2"/>
  <c r="A3057" i="2"/>
  <c r="B3056" i="2"/>
  <c r="A3056" i="2"/>
  <c r="B3055" i="2"/>
  <c r="A3055" i="2"/>
  <c r="B3054" i="2"/>
  <c r="A3054" i="2"/>
  <c r="B3053" i="2"/>
  <c r="A3053" i="2"/>
  <c r="B3052" i="2"/>
  <c r="A3052" i="2"/>
  <c r="B3051" i="2"/>
  <c r="A3051" i="2"/>
  <c r="B3050" i="2"/>
  <c r="A3050" i="2"/>
  <c r="B3049" i="2"/>
  <c r="A3049" i="2"/>
  <c r="B3048" i="2"/>
  <c r="A3048" i="2"/>
  <c r="B3047" i="2"/>
  <c r="A3047" i="2"/>
  <c r="B3046" i="2"/>
  <c r="A3046" i="2"/>
  <c r="B3045" i="2"/>
  <c r="A3045" i="2"/>
  <c r="B3044" i="2"/>
  <c r="A3044" i="2"/>
  <c r="B3043" i="2"/>
  <c r="A3043" i="2"/>
  <c r="B3042" i="2"/>
  <c r="A3042" i="2"/>
  <c r="B3041" i="2"/>
  <c r="A3041" i="2"/>
  <c r="B3040" i="2"/>
  <c r="A3040" i="2"/>
  <c r="B3039" i="2"/>
  <c r="A3039" i="2"/>
  <c r="B3038" i="2"/>
  <c r="A3038" i="2"/>
  <c r="B3037" i="2"/>
  <c r="A3037" i="2"/>
  <c r="B3036" i="2"/>
  <c r="A3036" i="2"/>
  <c r="B3035" i="2"/>
  <c r="A3035" i="2"/>
  <c r="B3034" i="2"/>
  <c r="A3034" i="2"/>
  <c r="B3033" i="2"/>
  <c r="A3033" i="2"/>
  <c r="B3032" i="2"/>
  <c r="A3032" i="2"/>
  <c r="C3032" i="2" s="1"/>
  <c r="G3032" i="2" s="1"/>
  <c r="B3031" i="2"/>
  <c r="A3031" i="2"/>
  <c r="C3031" i="2" s="1"/>
  <c r="G3031" i="2" s="1"/>
  <c r="B3030" i="2"/>
  <c r="C3030" i="2" s="1"/>
  <c r="G3030" i="2" s="1"/>
  <c r="A3030" i="2"/>
  <c r="B3029" i="2"/>
  <c r="A3029" i="2"/>
  <c r="B3028" i="2"/>
  <c r="A3028" i="2"/>
  <c r="B3027" i="2"/>
  <c r="A3027" i="2"/>
  <c r="B3026" i="2"/>
  <c r="A3026" i="2"/>
  <c r="B3025" i="2"/>
  <c r="A3025" i="2"/>
  <c r="C3025" i="2" s="1"/>
  <c r="G3025" i="2" s="1"/>
  <c r="B3024" i="2"/>
  <c r="A3024" i="2"/>
  <c r="B3023" i="2"/>
  <c r="A3023" i="2"/>
  <c r="C3023" i="2" s="1"/>
  <c r="G3023" i="2" s="1"/>
  <c r="B3022" i="2"/>
  <c r="A3022" i="2"/>
  <c r="B3021" i="2"/>
  <c r="A3021" i="2"/>
  <c r="B3020" i="2"/>
  <c r="A3020" i="2"/>
  <c r="B3019" i="2"/>
  <c r="A3019" i="2"/>
  <c r="B3018" i="2"/>
  <c r="A3018" i="2"/>
  <c r="B3017" i="2"/>
  <c r="A3017" i="2"/>
  <c r="C3017" i="2" s="1"/>
  <c r="G3017" i="2" s="1"/>
  <c r="B3016" i="2"/>
  <c r="A3016" i="2"/>
  <c r="B3015" i="2"/>
  <c r="A3015" i="2"/>
  <c r="C3015" i="2" s="1"/>
  <c r="G3015" i="2" s="1"/>
  <c r="B3014" i="2"/>
  <c r="A3014" i="2"/>
  <c r="B3013" i="2"/>
  <c r="A3013" i="2"/>
  <c r="B3012" i="2"/>
  <c r="A3012" i="2"/>
  <c r="B3011" i="2"/>
  <c r="A3011" i="2"/>
  <c r="B3010" i="2"/>
  <c r="C3010" i="2" s="1"/>
  <c r="G3010" i="2" s="1"/>
  <c r="A3010" i="2"/>
  <c r="B3009" i="2"/>
  <c r="A3009" i="2"/>
  <c r="C3009" i="2" s="1"/>
  <c r="G3009" i="2" s="1"/>
  <c r="B3008" i="2"/>
  <c r="A3008" i="2"/>
  <c r="B3007" i="2"/>
  <c r="A3007" i="2"/>
  <c r="B3006" i="2"/>
  <c r="A3006" i="2"/>
  <c r="B3005" i="2"/>
  <c r="A3005" i="2"/>
  <c r="C3005" i="2" s="1"/>
  <c r="G3005" i="2" s="1"/>
  <c r="B3004" i="2"/>
  <c r="A3004" i="2"/>
  <c r="B3003" i="2"/>
  <c r="A3003" i="2"/>
  <c r="C3003" i="2" s="1"/>
  <c r="G3003" i="2" s="1"/>
  <c r="B3002" i="2"/>
  <c r="C3002" i="2" s="1"/>
  <c r="G3002" i="2" s="1"/>
  <c r="A3002" i="2"/>
  <c r="B3001" i="2"/>
  <c r="A3001" i="2"/>
  <c r="B3000" i="2"/>
  <c r="A3000" i="2"/>
  <c r="C3000" i="2" s="1"/>
  <c r="G3000" i="2" s="1"/>
  <c r="B2999" i="2"/>
  <c r="A2999" i="2"/>
  <c r="B2998" i="2"/>
  <c r="A2998" i="2"/>
  <c r="B2997" i="2"/>
  <c r="A2997" i="2"/>
  <c r="B2996" i="2"/>
  <c r="A2996" i="2"/>
  <c r="B2995" i="2"/>
  <c r="A2995" i="2"/>
  <c r="B2994" i="2"/>
  <c r="A2994" i="2"/>
  <c r="B2993" i="2"/>
  <c r="A2993" i="2"/>
  <c r="B2992" i="2"/>
  <c r="A2992" i="2"/>
  <c r="B2991" i="2"/>
  <c r="A2991" i="2"/>
  <c r="B2990" i="2"/>
  <c r="A2990" i="2"/>
  <c r="B2989" i="2"/>
  <c r="A2989" i="2"/>
  <c r="B2988" i="2"/>
  <c r="A2988" i="2"/>
  <c r="C2988" i="2" s="1"/>
  <c r="G2988" i="2" s="1"/>
  <c r="B2987" i="2"/>
  <c r="A2987" i="2"/>
  <c r="B2986" i="2"/>
  <c r="A2986" i="2"/>
  <c r="B2985" i="2"/>
  <c r="A2985" i="2"/>
  <c r="B2984" i="2"/>
  <c r="A2984" i="2"/>
  <c r="B2983" i="2"/>
  <c r="A2983" i="2"/>
  <c r="B2982" i="2"/>
  <c r="A2982" i="2"/>
  <c r="B2981" i="2"/>
  <c r="A2981" i="2"/>
  <c r="B2980" i="2"/>
  <c r="A2980" i="2"/>
  <c r="B2979" i="2"/>
  <c r="A2979" i="2"/>
  <c r="C2979" i="2" s="1"/>
  <c r="G2979" i="2" s="1"/>
  <c r="B2978" i="2"/>
  <c r="C2978" i="2" s="1"/>
  <c r="G2978" i="2" s="1"/>
  <c r="A2978" i="2"/>
  <c r="B2977" i="2"/>
  <c r="A2977" i="2"/>
  <c r="B2976" i="2"/>
  <c r="A2976" i="2"/>
  <c r="B2975" i="2"/>
  <c r="A2975" i="2"/>
  <c r="B2974" i="2"/>
  <c r="A2974" i="2"/>
  <c r="B2973" i="2"/>
  <c r="A2973" i="2"/>
  <c r="B2972" i="2"/>
  <c r="A2972" i="2"/>
  <c r="B2971" i="2"/>
  <c r="A2971" i="2"/>
  <c r="C2971" i="2" s="1"/>
  <c r="G2971" i="2" s="1"/>
  <c r="B2970" i="2"/>
  <c r="C2970" i="2" s="1"/>
  <c r="G2970" i="2" s="1"/>
  <c r="A2970" i="2"/>
  <c r="B2969" i="2"/>
  <c r="A2969" i="2"/>
  <c r="B2968" i="2"/>
  <c r="C2968" i="2" s="1"/>
  <c r="G2968" i="2" s="1"/>
  <c r="A2968" i="2"/>
  <c r="B2967" i="2"/>
  <c r="A2967" i="2"/>
  <c r="B2966" i="2"/>
  <c r="C2966" i="2" s="1"/>
  <c r="G2966" i="2" s="1"/>
  <c r="A2966" i="2"/>
  <c r="B2965" i="2"/>
  <c r="A2965" i="2"/>
  <c r="B2964" i="2"/>
  <c r="A2964" i="2"/>
  <c r="B2963" i="2"/>
  <c r="A2963" i="2"/>
  <c r="C2963" i="2" s="1"/>
  <c r="G2963" i="2" s="1"/>
  <c r="B2962" i="2"/>
  <c r="C2962" i="2" s="1"/>
  <c r="G2962" i="2" s="1"/>
  <c r="A2962" i="2"/>
  <c r="B2961" i="2"/>
  <c r="A2961" i="2"/>
  <c r="B2960" i="2"/>
  <c r="C2960" i="2" s="1"/>
  <c r="G2960" i="2" s="1"/>
  <c r="A2960" i="2"/>
  <c r="B2959" i="2"/>
  <c r="A2959" i="2"/>
  <c r="C2959" i="2" s="1"/>
  <c r="G2959" i="2" s="1"/>
  <c r="B2958" i="2"/>
  <c r="A2958" i="2"/>
  <c r="B2957" i="2"/>
  <c r="A2957" i="2"/>
  <c r="B2956" i="2"/>
  <c r="A2956" i="2"/>
  <c r="B2955" i="2"/>
  <c r="A2955" i="2"/>
  <c r="B2954" i="2"/>
  <c r="A2954" i="2"/>
  <c r="B2953" i="2"/>
  <c r="A2953" i="2"/>
  <c r="B2952" i="2"/>
  <c r="A2952" i="2"/>
  <c r="B2951" i="2"/>
  <c r="A2951" i="2"/>
  <c r="C2951" i="2" s="1"/>
  <c r="G2951" i="2" s="1"/>
  <c r="B2950" i="2"/>
  <c r="A2950" i="2"/>
  <c r="B2949" i="2"/>
  <c r="A2949" i="2"/>
  <c r="B2948" i="2"/>
  <c r="A2948" i="2"/>
  <c r="B2947" i="2"/>
  <c r="A2947" i="2"/>
  <c r="B2946" i="2"/>
  <c r="A2946" i="2"/>
  <c r="B2945" i="2"/>
  <c r="A2945" i="2"/>
  <c r="B2944" i="2"/>
  <c r="A2944" i="2"/>
  <c r="B2943" i="2"/>
  <c r="A2943" i="2"/>
  <c r="C2943" i="2" s="1"/>
  <c r="G2943" i="2" s="1"/>
  <c r="B2942" i="2"/>
  <c r="C2942" i="2" s="1"/>
  <c r="G2942" i="2" s="1"/>
  <c r="A2942" i="2"/>
  <c r="B2941" i="2"/>
  <c r="A2941" i="2"/>
  <c r="B2940" i="2"/>
  <c r="A2940" i="2"/>
  <c r="B2939" i="2"/>
  <c r="A2939" i="2"/>
  <c r="B2938" i="2"/>
  <c r="A2938" i="2"/>
  <c r="B2937" i="2"/>
  <c r="A2937" i="2"/>
  <c r="C2937" i="2" s="1"/>
  <c r="G2937" i="2" s="1"/>
  <c r="B2936" i="2"/>
  <c r="A2936" i="2"/>
  <c r="C2936" i="2" s="1"/>
  <c r="G2936" i="2" s="1"/>
  <c r="B2935" i="2"/>
  <c r="A2935" i="2"/>
  <c r="C2935" i="2" s="1"/>
  <c r="G2935" i="2" s="1"/>
  <c r="B2934" i="2"/>
  <c r="A2934" i="2"/>
  <c r="B2933" i="2"/>
  <c r="A2933" i="2"/>
  <c r="B2932" i="2"/>
  <c r="A2932" i="2"/>
  <c r="B2931" i="2"/>
  <c r="A2931" i="2"/>
  <c r="B2930" i="2"/>
  <c r="A2930" i="2"/>
  <c r="B2929" i="2"/>
  <c r="A2929" i="2"/>
  <c r="B2928" i="2"/>
  <c r="A2928" i="2"/>
  <c r="C2928" i="2" s="1"/>
  <c r="G2928" i="2" s="1"/>
  <c r="B2927" i="2"/>
  <c r="A2927" i="2"/>
  <c r="B2926" i="2"/>
  <c r="A2926" i="2"/>
  <c r="B2925" i="2"/>
  <c r="A2925" i="2"/>
  <c r="B2924" i="2"/>
  <c r="A2924" i="2"/>
  <c r="B2923" i="2"/>
  <c r="A2923" i="2"/>
  <c r="B2922" i="2"/>
  <c r="A2922" i="2"/>
  <c r="B2921" i="2"/>
  <c r="A2921" i="2"/>
  <c r="B2920" i="2"/>
  <c r="A2920" i="2"/>
  <c r="B2919" i="2"/>
  <c r="A2919" i="2"/>
  <c r="B2918" i="2"/>
  <c r="A2918" i="2"/>
  <c r="B2917" i="2"/>
  <c r="A2917" i="2"/>
  <c r="B2916" i="2"/>
  <c r="A2916" i="2"/>
  <c r="B2915" i="2"/>
  <c r="A2915" i="2"/>
  <c r="B2914" i="2"/>
  <c r="A2914" i="2"/>
  <c r="B2913" i="2"/>
  <c r="A2913" i="2"/>
  <c r="B2912" i="2"/>
  <c r="A2912" i="2"/>
  <c r="B2911" i="2"/>
  <c r="A2911" i="2"/>
  <c r="B2910" i="2"/>
  <c r="A2910" i="2"/>
  <c r="B2909" i="2"/>
  <c r="A2909" i="2"/>
  <c r="B2908" i="2"/>
  <c r="A2908" i="2"/>
  <c r="B2907" i="2"/>
  <c r="A2907" i="2"/>
  <c r="C2907" i="2" s="1"/>
  <c r="G2907" i="2" s="1"/>
  <c r="B2906" i="2"/>
  <c r="A2906" i="2"/>
  <c r="B2905" i="2"/>
  <c r="A2905" i="2"/>
  <c r="B2904" i="2"/>
  <c r="A2904" i="2"/>
  <c r="B2903" i="2"/>
  <c r="A2903" i="2"/>
  <c r="C2903" i="2" s="1"/>
  <c r="G2903" i="2" s="1"/>
  <c r="B2902" i="2"/>
  <c r="A2902" i="2"/>
  <c r="B2901" i="2"/>
  <c r="A2901" i="2"/>
  <c r="C2901" i="2" s="1"/>
  <c r="G2901" i="2" s="1"/>
  <c r="B2900" i="2"/>
  <c r="A2900" i="2"/>
  <c r="B2899" i="2"/>
  <c r="A2899" i="2"/>
  <c r="C2899" i="2" s="1"/>
  <c r="G2899" i="2" s="1"/>
  <c r="B2898" i="2"/>
  <c r="A2898" i="2"/>
  <c r="B2897" i="2"/>
  <c r="A2897" i="2"/>
  <c r="B2896" i="2"/>
  <c r="A2896" i="2"/>
  <c r="B2895" i="2"/>
  <c r="A2895" i="2"/>
  <c r="B2894" i="2"/>
  <c r="A2894" i="2"/>
  <c r="B2893" i="2"/>
  <c r="A2893" i="2"/>
  <c r="B2892" i="2"/>
  <c r="A2892" i="2"/>
  <c r="B2891" i="2"/>
  <c r="C2891" i="2" s="1"/>
  <c r="G2891" i="2" s="1"/>
  <c r="A2891" i="2"/>
  <c r="B2890" i="2"/>
  <c r="A2890" i="2"/>
  <c r="B2889" i="2"/>
  <c r="A2889" i="2"/>
  <c r="B2888" i="2"/>
  <c r="A2888" i="2"/>
  <c r="B2887" i="2"/>
  <c r="A2887" i="2"/>
  <c r="B2886" i="2"/>
  <c r="A2886" i="2"/>
  <c r="B2885" i="2"/>
  <c r="A2885" i="2"/>
  <c r="B2884" i="2"/>
  <c r="A2884" i="2"/>
  <c r="B2883" i="2"/>
  <c r="A2883" i="2"/>
  <c r="B2882" i="2"/>
  <c r="A2882" i="2"/>
  <c r="B2881" i="2"/>
  <c r="A2881" i="2"/>
  <c r="B2880" i="2"/>
  <c r="A2880" i="2"/>
  <c r="B2879" i="2"/>
  <c r="A2879" i="2"/>
  <c r="B2878" i="2"/>
  <c r="A2878" i="2"/>
  <c r="B2877" i="2"/>
  <c r="A2877" i="2"/>
  <c r="B2876" i="2"/>
  <c r="A2876" i="2"/>
  <c r="B2875" i="2"/>
  <c r="A2875" i="2"/>
  <c r="B2874" i="2"/>
  <c r="A2874" i="2"/>
  <c r="B2873" i="2"/>
  <c r="A2873" i="2"/>
  <c r="C2873" i="2" s="1"/>
  <c r="G2873" i="2" s="1"/>
  <c r="B2872" i="2"/>
  <c r="A2872" i="2"/>
  <c r="C2872" i="2" s="1"/>
  <c r="G2872" i="2" s="1"/>
  <c r="B2871" i="2"/>
  <c r="A2871" i="2"/>
  <c r="C2871" i="2" s="1"/>
  <c r="G2871" i="2" s="1"/>
  <c r="B2870" i="2"/>
  <c r="A2870" i="2"/>
  <c r="B2869" i="2"/>
  <c r="A2869" i="2"/>
  <c r="B2868" i="2"/>
  <c r="A2868" i="2"/>
  <c r="B2867" i="2"/>
  <c r="A2867" i="2"/>
  <c r="B2866" i="2"/>
  <c r="A2866" i="2"/>
  <c r="B2865" i="2"/>
  <c r="A2865" i="2"/>
  <c r="B2864" i="2"/>
  <c r="A2864" i="2"/>
  <c r="C2864" i="2" s="1"/>
  <c r="G2864" i="2" s="1"/>
  <c r="B2863" i="2"/>
  <c r="A2863" i="2"/>
  <c r="B2862" i="2"/>
  <c r="A2862" i="2"/>
  <c r="B2861" i="2"/>
  <c r="A2861" i="2"/>
  <c r="B2860" i="2"/>
  <c r="A2860" i="2"/>
  <c r="C2860" i="2" s="1"/>
  <c r="G2860" i="2" s="1"/>
  <c r="B2859" i="2"/>
  <c r="A2859" i="2"/>
  <c r="B2858" i="2"/>
  <c r="A2858" i="2"/>
  <c r="B2857" i="2"/>
  <c r="A2857" i="2"/>
  <c r="B2856" i="2"/>
  <c r="A2856" i="2"/>
  <c r="C2856" i="2" s="1"/>
  <c r="G2856" i="2" s="1"/>
  <c r="B2855" i="2"/>
  <c r="A2855" i="2"/>
  <c r="B2854" i="2"/>
  <c r="A2854" i="2"/>
  <c r="B2853" i="2"/>
  <c r="A2853" i="2"/>
  <c r="B2852" i="2"/>
  <c r="A2852" i="2"/>
  <c r="B2851" i="2"/>
  <c r="A2851" i="2"/>
  <c r="C2851" i="2" s="1"/>
  <c r="G2851" i="2" s="1"/>
  <c r="B2850" i="2"/>
  <c r="A2850" i="2"/>
  <c r="B2849" i="2"/>
  <c r="A2849" i="2"/>
  <c r="B2848" i="2"/>
  <c r="A2848" i="2"/>
  <c r="B2847" i="2"/>
  <c r="A2847" i="2"/>
  <c r="C2847" i="2" s="1"/>
  <c r="G2847" i="2" s="1"/>
  <c r="B2846" i="2"/>
  <c r="A2846" i="2"/>
  <c r="B2845" i="2"/>
  <c r="A2845" i="2"/>
  <c r="B2844" i="2"/>
  <c r="A2844" i="2"/>
  <c r="B2843" i="2"/>
  <c r="A2843" i="2"/>
  <c r="B2842" i="2"/>
  <c r="A2842" i="2"/>
  <c r="B2841" i="2"/>
  <c r="A2841" i="2"/>
  <c r="B2840" i="2"/>
  <c r="A2840" i="2"/>
  <c r="B2839" i="2"/>
  <c r="A2839" i="2"/>
  <c r="B2838" i="2"/>
  <c r="A2838" i="2"/>
  <c r="B2837" i="2"/>
  <c r="A2837" i="2"/>
  <c r="B2836" i="2"/>
  <c r="A2836" i="2"/>
  <c r="B2835" i="2"/>
  <c r="A2835" i="2"/>
  <c r="B2834" i="2"/>
  <c r="A2834" i="2"/>
  <c r="B2833" i="2"/>
  <c r="A2833" i="2"/>
  <c r="B2832" i="2"/>
  <c r="C2832" i="2" s="1"/>
  <c r="G2832" i="2" s="1"/>
  <c r="A2832" i="2"/>
  <c r="B2831" i="2"/>
  <c r="A2831" i="2"/>
  <c r="B2830" i="2"/>
  <c r="A2830" i="2"/>
  <c r="B2829" i="2"/>
  <c r="A2829" i="2"/>
  <c r="B2828" i="2"/>
  <c r="A2828" i="2"/>
  <c r="B2827" i="2"/>
  <c r="A2827" i="2"/>
  <c r="B2826" i="2"/>
  <c r="A2826" i="2"/>
  <c r="B2825" i="2"/>
  <c r="A2825" i="2"/>
  <c r="B2824" i="2"/>
  <c r="A2824" i="2"/>
  <c r="B2823" i="2"/>
  <c r="A2823" i="2"/>
  <c r="B2822" i="2"/>
  <c r="A2822" i="2"/>
  <c r="B2821" i="2"/>
  <c r="A2821" i="2"/>
  <c r="B2820" i="2"/>
  <c r="A2820" i="2"/>
  <c r="B2819" i="2"/>
  <c r="A2819" i="2"/>
  <c r="B2818" i="2"/>
  <c r="A2818" i="2"/>
  <c r="B2817" i="2"/>
  <c r="A2817" i="2"/>
  <c r="B2816" i="2"/>
  <c r="A2816" i="2"/>
  <c r="B2815" i="2"/>
  <c r="A2815" i="2"/>
  <c r="B2814" i="2"/>
  <c r="A2814" i="2"/>
  <c r="B2813" i="2"/>
  <c r="A2813" i="2"/>
  <c r="B2812" i="2"/>
  <c r="A2812" i="2"/>
  <c r="B2811" i="2"/>
  <c r="A2811" i="2"/>
  <c r="B2810" i="2"/>
  <c r="A2810" i="2"/>
  <c r="B2809" i="2"/>
  <c r="A2809" i="2"/>
  <c r="B2808" i="2"/>
  <c r="A2808" i="2"/>
  <c r="B2807" i="2"/>
  <c r="A2807" i="2"/>
  <c r="B2806" i="2"/>
  <c r="A2806" i="2"/>
  <c r="B2805" i="2"/>
  <c r="A2805" i="2"/>
  <c r="B2804" i="2"/>
  <c r="A2804" i="2"/>
  <c r="B2803" i="2"/>
  <c r="A2803" i="2"/>
  <c r="B2802" i="2"/>
  <c r="A2802" i="2"/>
  <c r="B2801" i="2"/>
  <c r="A2801" i="2"/>
  <c r="B2800" i="2"/>
  <c r="A2800" i="2"/>
  <c r="C2799" i="2"/>
  <c r="G2799" i="2" s="1"/>
  <c r="B2799" i="2"/>
  <c r="A2799" i="2"/>
  <c r="B2798" i="2"/>
  <c r="A2798" i="2"/>
  <c r="B2797" i="2"/>
  <c r="A2797" i="2"/>
  <c r="B2796" i="2"/>
  <c r="A2796" i="2"/>
  <c r="B2795" i="2"/>
  <c r="A2795" i="2"/>
  <c r="C2795" i="2" s="1"/>
  <c r="G2795" i="2" s="1"/>
  <c r="B2794" i="2"/>
  <c r="A2794" i="2"/>
  <c r="B2793" i="2"/>
  <c r="A2793" i="2"/>
  <c r="C2792" i="2"/>
  <c r="G2792" i="2" s="1"/>
  <c r="B2792" i="2"/>
  <c r="A2792" i="2"/>
  <c r="B2791" i="2"/>
  <c r="A2791" i="2"/>
  <c r="B2790" i="2"/>
  <c r="A2790" i="2"/>
  <c r="B2789" i="2"/>
  <c r="A2789" i="2"/>
  <c r="B2788" i="2"/>
  <c r="A2788" i="2"/>
  <c r="B2787" i="2"/>
  <c r="A2787" i="2"/>
  <c r="C2787" i="2" s="1"/>
  <c r="G2787" i="2" s="1"/>
  <c r="B2786" i="2"/>
  <c r="C2786" i="2" s="1"/>
  <c r="G2786" i="2" s="1"/>
  <c r="A2786" i="2"/>
  <c r="B2785" i="2"/>
  <c r="A2785" i="2"/>
  <c r="B2784" i="2"/>
  <c r="A2784" i="2"/>
  <c r="C2784" i="2" s="1"/>
  <c r="G2784" i="2" s="1"/>
  <c r="B2783" i="2"/>
  <c r="A2783" i="2"/>
  <c r="C2783" i="2" s="1"/>
  <c r="G2783" i="2" s="1"/>
  <c r="B2782" i="2"/>
  <c r="C2782" i="2" s="1"/>
  <c r="G2782" i="2" s="1"/>
  <c r="A2782" i="2"/>
  <c r="B2781" i="2"/>
  <c r="A2781" i="2"/>
  <c r="B2780" i="2"/>
  <c r="A2780" i="2"/>
  <c r="B2779" i="2"/>
  <c r="A2779" i="2"/>
  <c r="C2779" i="2" s="1"/>
  <c r="G2779" i="2" s="1"/>
  <c r="B2778" i="2"/>
  <c r="C2778" i="2" s="1"/>
  <c r="G2778" i="2" s="1"/>
  <c r="A2778" i="2"/>
  <c r="B2777" i="2"/>
  <c r="A2777" i="2"/>
  <c r="B2776" i="2"/>
  <c r="A2776" i="2"/>
  <c r="C2776" i="2" s="1"/>
  <c r="G2776" i="2" s="1"/>
  <c r="B2775" i="2"/>
  <c r="A2775" i="2"/>
  <c r="B2774" i="2"/>
  <c r="A2774" i="2"/>
  <c r="B2773" i="2"/>
  <c r="A2773" i="2"/>
  <c r="B2772" i="2"/>
  <c r="A2772" i="2"/>
  <c r="B2771" i="2"/>
  <c r="C2771" i="2" s="1"/>
  <c r="G2771" i="2" s="1"/>
  <c r="A2771" i="2"/>
  <c r="B2770" i="2"/>
  <c r="C2770" i="2" s="1"/>
  <c r="G2770" i="2" s="1"/>
  <c r="A2770" i="2"/>
  <c r="B2769" i="2"/>
  <c r="A2769" i="2"/>
  <c r="B2768" i="2"/>
  <c r="A2768" i="2"/>
  <c r="C2768" i="2" s="1"/>
  <c r="G2768" i="2" s="1"/>
  <c r="B2767" i="2"/>
  <c r="A2767" i="2"/>
  <c r="B2766" i="2"/>
  <c r="A2766" i="2"/>
  <c r="B2765" i="2"/>
  <c r="A2765" i="2"/>
  <c r="B2764" i="2"/>
  <c r="A2764" i="2"/>
  <c r="B2763" i="2"/>
  <c r="A2763" i="2"/>
  <c r="B2762" i="2"/>
  <c r="A2762" i="2"/>
  <c r="B2761" i="2"/>
  <c r="A2761" i="2"/>
  <c r="B2760" i="2"/>
  <c r="A2760" i="2"/>
  <c r="B2759" i="2"/>
  <c r="A2759" i="2"/>
  <c r="B2758" i="2"/>
  <c r="A2758" i="2"/>
  <c r="B2757" i="2"/>
  <c r="A2757" i="2"/>
  <c r="B2756" i="2"/>
  <c r="A2756" i="2"/>
  <c r="C2755" i="2"/>
  <c r="G2755" i="2" s="1"/>
  <c r="B2755" i="2"/>
  <c r="A2755" i="2"/>
  <c r="B2754" i="2"/>
  <c r="A2754" i="2"/>
  <c r="B2753" i="2"/>
  <c r="A2753" i="2"/>
  <c r="B2752" i="2"/>
  <c r="A2752" i="2"/>
  <c r="C2752" i="2" s="1"/>
  <c r="G2752" i="2" s="1"/>
  <c r="C2751" i="2"/>
  <c r="G2751" i="2" s="1"/>
  <c r="B2751" i="2"/>
  <c r="A2751" i="2"/>
  <c r="B2750" i="2"/>
  <c r="A2750" i="2"/>
  <c r="B2749" i="2"/>
  <c r="A2749" i="2"/>
  <c r="B2748" i="2"/>
  <c r="A2748" i="2"/>
  <c r="B2747" i="2"/>
  <c r="A2747" i="2"/>
  <c r="B2746" i="2"/>
  <c r="A2746" i="2"/>
  <c r="B2745" i="2"/>
  <c r="A2745" i="2"/>
  <c r="C2744" i="2"/>
  <c r="G2744" i="2" s="1"/>
  <c r="B2744" i="2"/>
  <c r="A2744" i="2"/>
  <c r="B2743" i="2"/>
  <c r="A2743" i="2"/>
  <c r="C2743" i="2" s="1"/>
  <c r="G2743" i="2" s="1"/>
  <c r="B2742" i="2"/>
  <c r="A2742" i="2"/>
  <c r="B2741" i="2"/>
  <c r="A2741" i="2"/>
  <c r="B2740" i="2"/>
  <c r="A2740" i="2"/>
  <c r="B2739" i="2"/>
  <c r="A2739" i="2"/>
  <c r="C2739" i="2" s="1"/>
  <c r="G2739" i="2" s="1"/>
  <c r="B2738" i="2"/>
  <c r="A2738" i="2"/>
  <c r="B2737" i="2"/>
  <c r="A2737" i="2"/>
  <c r="B2736" i="2"/>
  <c r="A2736" i="2"/>
  <c r="B2735" i="2"/>
  <c r="A2735" i="2"/>
  <c r="C2735" i="2" s="1"/>
  <c r="G2735" i="2" s="1"/>
  <c r="B2734" i="2"/>
  <c r="A2734" i="2"/>
  <c r="B2733" i="2"/>
  <c r="A2733" i="2"/>
  <c r="B2732" i="2"/>
  <c r="A2732" i="2"/>
  <c r="B2731" i="2"/>
  <c r="A2731" i="2"/>
  <c r="B2730" i="2"/>
  <c r="A2730" i="2"/>
  <c r="B2729" i="2"/>
  <c r="A2729" i="2"/>
  <c r="B2728" i="2"/>
  <c r="A2728" i="2"/>
  <c r="B2727" i="2"/>
  <c r="A2727" i="2"/>
  <c r="B2726" i="2"/>
  <c r="A2726" i="2"/>
  <c r="B2725" i="2"/>
  <c r="A2725" i="2"/>
  <c r="B2724" i="2"/>
  <c r="A2724" i="2"/>
  <c r="B2723" i="2"/>
  <c r="A2723" i="2"/>
  <c r="C2723" i="2" s="1"/>
  <c r="G2723" i="2" s="1"/>
  <c r="B2722" i="2"/>
  <c r="A2722" i="2"/>
  <c r="B2721" i="2"/>
  <c r="A2721" i="2"/>
  <c r="C2721" i="2" s="1"/>
  <c r="G2721" i="2" s="1"/>
  <c r="B2720" i="2"/>
  <c r="A2720" i="2"/>
  <c r="B2719" i="2"/>
  <c r="A2719" i="2"/>
  <c r="B2718" i="2"/>
  <c r="A2718" i="2"/>
  <c r="B2717" i="2"/>
  <c r="A2717" i="2"/>
  <c r="C2717" i="2" s="1"/>
  <c r="G2717" i="2" s="1"/>
  <c r="B2716" i="2"/>
  <c r="A2716" i="2"/>
  <c r="B2715" i="2"/>
  <c r="A2715" i="2"/>
  <c r="B2714" i="2"/>
  <c r="A2714" i="2"/>
  <c r="B2713" i="2"/>
  <c r="A2713" i="2"/>
  <c r="B2712" i="2"/>
  <c r="A2712" i="2"/>
  <c r="B2711" i="2"/>
  <c r="A2711" i="2"/>
  <c r="B2710" i="2"/>
  <c r="A2710" i="2"/>
  <c r="B2709" i="2"/>
  <c r="A2709" i="2"/>
  <c r="B2708" i="2"/>
  <c r="A2708" i="2"/>
  <c r="B2707" i="2"/>
  <c r="A2707" i="2"/>
  <c r="B2706" i="2"/>
  <c r="A2706" i="2"/>
  <c r="B2705" i="2"/>
  <c r="A2705" i="2"/>
  <c r="B2704" i="2"/>
  <c r="A2704" i="2"/>
  <c r="B2703" i="2"/>
  <c r="A2703" i="2"/>
  <c r="B2702" i="2"/>
  <c r="A2702" i="2"/>
  <c r="B2701" i="2"/>
  <c r="A2701" i="2"/>
  <c r="B2700" i="2"/>
  <c r="A2700" i="2"/>
  <c r="C2699" i="2"/>
  <c r="G2699" i="2" s="1"/>
  <c r="B2699" i="2"/>
  <c r="A2699" i="2"/>
  <c r="B2698" i="2"/>
  <c r="A2698" i="2"/>
  <c r="B2697" i="2"/>
  <c r="A2697" i="2"/>
  <c r="B2696" i="2"/>
  <c r="A2696" i="2"/>
  <c r="B2695" i="2"/>
  <c r="A2695" i="2"/>
  <c r="C2695" i="2" s="1"/>
  <c r="G2695" i="2" s="1"/>
  <c r="B2694" i="2"/>
  <c r="A2694" i="2"/>
  <c r="B2693" i="2"/>
  <c r="A2693" i="2"/>
  <c r="B2692" i="2"/>
  <c r="A2692" i="2"/>
  <c r="B2691" i="2"/>
  <c r="A2691" i="2"/>
  <c r="C2691" i="2" s="1"/>
  <c r="G2691" i="2" s="1"/>
  <c r="B2690" i="2"/>
  <c r="A2690" i="2"/>
  <c r="B2689" i="2"/>
  <c r="A2689" i="2"/>
  <c r="C2688" i="2"/>
  <c r="G2688" i="2" s="1"/>
  <c r="B2688" i="2"/>
  <c r="A2688" i="2"/>
  <c r="B2687" i="2"/>
  <c r="A2687" i="2"/>
  <c r="B2686" i="2"/>
  <c r="A2686" i="2"/>
  <c r="B2685" i="2"/>
  <c r="A2685" i="2"/>
  <c r="B2684" i="2"/>
  <c r="A2684" i="2"/>
  <c r="C2684" i="2" s="1"/>
  <c r="G2684" i="2" s="1"/>
  <c r="B2683" i="2"/>
  <c r="A2683" i="2"/>
  <c r="B2682" i="2"/>
  <c r="A2682" i="2"/>
  <c r="B2681" i="2"/>
  <c r="A2681" i="2"/>
  <c r="B2680" i="2"/>
  <c r="A2680" i="2"/>
  <c r="C2680" i="2" s="1"/>
  <c r="G2680" i="2" s="1"/>
  <c r="B2679" i="2"/>
  <c r="A2679" i="2"/>
  <c r="C2679" i="2" s="1"/>
  <c r="G2679" i="2" s="1"/>
  <c r="B2678" i="2"/>
  <c r="C2678" i="2" s="1"/>
  <c r="G2678" i="2" s="1"/>
  <c r="A2678" i="2"/>
  <c r="B2677" i="2"/>
  <c r="A2677" i="2"/>
  <c r="B2676" i="2"/>
  <c r="A2676" i="2"/>
  <c r="C2676" i="2" s="1"/>
  <c r="G2676" i="2" s="1"/>
  <c r="B2675" i="2"/>
  <c r="A2675" i="2"/>
  <c r="C2675" i="2" s="1"/>
  <c r="G2675" i="2" s="1"/>
  <c r="B2674" i="2"/>
  <c r="A2674" i="2"/>
  <c r="B2673" i="2"/>
  <c r="A2673" i="2"/>
  <c r="B2672" i="2"/>
  <c r="A2672" i="2"/>
  <c r="B2671" i="2"/>
  <c r="A2671" i="2"/>
  <c r="B2670" i="2"/>
  <c r="A2670" i="2"/>
  <c r="B2669" i="2"/>
  <c r="A2669" i="2"/>
  <c r="B2668" i="2"/>
  <c r="A2668" i="2"/>
  <c r="B2667" i="2"/>
  <c r="A2667" i="2"/>
  <c r="B2666" i="2"/>
  <c r="A2666" i="2"/>
  <c r="B2665" i="2"/>
  <c r="A2665" i="2"/>
  <c r="B2664" i="2"/>
  <c r="A2664" i="2"/>
  <c r="B2663" i="2"/>
  <c r="A2663" i="2"/>
  <c r="B2662" i="2"/>
  <c r="A2662" i="2"/>
  <c r="B2661" i="2"/>
  <c r="A2661" i="2"/>
  <c r="B2660" i="2"/>
  <c r="A2660" i="2"/>
  <c r="B2659" i="2"/>
  <c r="A2659" i="2"/>
  <c r="B2658" i="2"/>
  <c r="A2658" i="2"/>
  <c r="B2657" i="2"/>
  <c r="A2657" i="2"/>
  <c r="C2657" i="2" s="1"/>
  <c r="G2657" i="2" s="1"/>
  <c r="B2656" i="2"/>
  <c r="A2656" i="2"/>
  <c r="B2655" i="2"/>
  <c r="C2655" i="2" s="1"/>
  <c r="G2655" i="2" s="1"/>
  <c r="A2655" i="2"/>
  <c r="B2654" i="2"/>
  <c r="A2654" i="2"/>
  <c r="B2653" i="2"/>
  <c r="A2653" i="2"/>
  <c r="B2652" i="2"/>
  <c r="A2652" i="2"/>
  <c r="C2651" i="2"/>
  <c r="G2651" i="2" s="1"/>
  <c r="B2651" i="2"/>
  <c r="A2651" i="2"/>
  <c r="B2650" i="2"/>
  <c r="A2650" i="2"/>
  <c r="B2649" i="2"/>
  <c r="A2649" i="2"/>
  <c r="B2648" i="2"/>
  <c r="C2648" i="2" s="1"/>
  <c r="G2648" i="2" s="1"/>
  <c r="A2648" i="2"/>
  <c r="B2647" i="2"/>
  <c r="A2647" i="2"/>
  <c r="B2646" i="2"/>
  <c r="A2646" i="2"/>
  <c r="B2645" i="2"/>
  <c r="A2645" i="2"/>
  <c r="B2644" i="2"/>
  <c r="A2644" i="2"/>
  <c r="B2643" i="2"/>
  <c r="A2643" i="2"/>
  <c r="B2642" i="2"/>
  <c r="A2642" i="2"/>
  <c r="B2641" i="2"/>
  <c r="A2641" i="2"/>
  <c r="B2640" i="2"/>
  <c r="A2640" i="2"/>
  <c r="B2639" i="2"/>
  <c r="A2639" i="2"/>
  <c r="B2638" i="2"/>
  <c r="A2638" i="2"/>
  <c r="B2637" i="2"/>
  <c r="A2637" i="2"/>
  <c r="B2636" i="2"/>
  <c r="A2636" i="2"/>
  <c r="B2635" i="2"/>
  <c r="A2635" i="2"/>
  <c r="B2634" i="2"/>
  <c r="A2634" i="2"/>
  <c r="B2633" i="2"/>
  <c r="A2633" i="2"/>
  <c r="B2632" i="2"/>
  <c r="A2632" i="2"/>
  <c r="C2631" i="2"/>
  <c r="G2631" i="2" s="1"/>
  <c r="B2631" i="2"/>
  <c r="A2631" i="2"/>
  <c r="B2630" i="2"/>
  <c r="C2630" i="2" s="1"/>
  <c r="G2630" i="2" s="1"/>
  <c r="A2630" i="2"/>
  <c r="B2629" i="2"/>
  <c r="A2629" i="2"/>
  <c r="C2629" i="2" s="1"/>
  <c r="G2629" i="2" s="1"/>
  <c r="B2628" i="2"/>
  <c r="A2628" i="2"/>
  <c r="B2627" i="2"/>
  <c r="A2627" i="2"/>
  <c r="B2626" i="2"/>
  <c r="C2626" i="2" s="1"/>
  <c r="G2626" i="2" s="1"/>
  <c r="A2626" i="2"/>
  <c r="B2625" i="2"/>
  <c r="A2625" i="2"/>
  <c r="B2624" i="2"/>
  <c r="A2624" i="2"/>
  <c r="B2623" i="2"/>
  <c r="A2623" i="2"/>
  <c r="B2622" i="2"/>
  <c r="A2622" i="2"/>
  <c r="B2621" i="2"/>
  <c r="A2621" i="2"/>
  <c r="B2620" i="2"/>
  <c r="A2620" i="2"/>
  <c r="B2619" i="2"/>
  <c r="A2619" i="2"/>
  <c r="B2618" i="2"/>
  <c r="A2618" i="2"/>
  <c r="B2617" i="2"/>
  <c r="A2617" i="2"/>
  <c r="B2616" i="2"/>
  <c r="A2616" i="2"/>
  <c r="B2615" i="2"/>
  <c r="A2615" i="2"/>
  <c r="B2614" i="2"/>
  <c r="A2614" i="2"/>
  <c r="B2613" i="2"/>
  <c r="A2613" i="2"/>
  <c r="C2613" i="2" s="1"/>
  <c r="G2613" i="2" s="1"/>
  <c r="B2612" i="2"/>
  <c r="A2612" i="2"/>
  <c r="B2611" i="2"/>
  <c r="A2611" i="2"/>
  <c r="C2611" i="2" s="1"/>
  <c r="G2611" i="2" s="1"/>
  <c r="B2610" i="2"/>
  <c r="A2610" i="2"/>
  <c r="B2609" i="2"/>
  <c r="A2609" i="2"/>
  <c r="B2608" i="2"/>
  <c r="A2608" i="2"/>
  <c r="B2607" i="2"/>
  <c r="A2607" i="2"/>
  <c r="C2607" i="2" s="1"/>
  <c r="G2607" i="2" s="1"/>
  <c r="B2606" i="2"/>
  <c r="A2606" i="2"/>
  <c r="B2605" i="2"/>
  <c r="A2605" i="2"/>
  <c r="B2604" i="2"/>
  <c r="A2604" i="2"/>
  <c r="B2603" i="2"/>
  <c r="A2603" i="2"/>
  <c r="C2603" i="2" s="1"/>
  <c r="G2603" i="2" s="1"/>
  <c r="B2602" i="2"/>
  <c r="A2602" i="2"/>
  <c r="B2601" i="2"/>
  <c r="A2601" i="2"/>
  <c r="B2600" i="2"/>
  <c r="A2600" i="2"/>
  <c r="C2600" i="2" s="1"/>
  <c r="G2600" i="2" s="1"/>
  <c r="B2599" i="2"/>
  <c r="A2599" i="2"/>
  <c r="C2599" i="2" s="1"/>
  <c r="G2599" i="2" s="1"/>
  <c r="B2598" i="2"/>
  <c r="C2598" i="2" s="1"/>
  <c r="G2598" i="2" s="1"/>
  <c r="A2598" i="2"/>
  <c r="B2597" i="2"/>
  <c r="A2597" i="2"/>
  <c r="B2596" i="2"/>
  <c r="A2596" i="2"/>
  <c r="C2596" i="2" s="1"/>
  <c r="G2596" i="2" s="1"/>
  <c r="B2595" i="2"/>
  <c r="A2595" i="2"/>
  <c r="C2595" i="2" s="1"/>
  <c r="G2595" i="2" s="1"/>
  <c r="B2594" i="2"/>
  <c r="C2594" i="2" s="1"/>
  <c r="G2594" i="2" s="1"/>
  <c r="A2594" i="2"/>
  <c r="B2593" i="2"/>
  <c r="A2593" i="2"/>
  <c r="B2592" i="2"/>
  <c r="A2592" i="2"/>
  <c r="C2592" i="2" s="1"/>
  <c r="G2592" i="2" s="1"/>
  <c r="B2591" i="2"/>
  <c r="A2591" i="2"/>
  <c r="B2590" i="2"/>
  <c r="A2590" i="2"/>
  <c r="B2589" i="2"/>
  <c r="A2589" i="2"/>
  <c r="B2588" i="2"/>
  <c r="A2588" i="2"/>
  <c r="B2587" i="2"/>
  <c r="A2587" i="2"/>
  <c r="B2586" i="2"/>
  <c r="A2586" i="2"/>
  <c r="B2585" i="2"/>
  <c r="A2585" i="2"/>
  <c r="B2584" i="2"/>
  <c r="A2584" i="2"/>
  <c r="C2584" i="2" s="1"/>
  <c r="G2584" i="2" s="1"/>
  <c r="B2583" i="2"/>
  <c r="A2583" i="2"/>
  <c r="C2583" i="2" s="1"/>
  <c r="G2583" i="2" s="1"/>
  <c r="B2582" i="2"/>
  <c r="A2582" i="2"/>
  <c r="B2581" i="2"/>
  <c r="A2581" i="2"/>
  <c r="B2580" i="2"/>
  <c r="A2580" i="2"/>
  <c r="B2579" i="2"/>
  <c r="A2579" i="2"/>
  <c r="C2579" i="2" s="1"/>
  <c r="G2579" i="2" s="1"/>
  <c r="B2578" i="2"/>
  <c r="A2578" i="2"/>
  <c r="B2577" i="2"/>
  <c r="A2577" i="2"/>
  <c r="C2577" i="2" s="1"/>
  <c r="G2577" i="2" s="1"/>
  <c r="C2576" i="2"/>
  <c r="G2576" i="2" s="1"/>
  <c r="B2576" i="2"/>
  <c r="A2576" i="2"/>
  <c r="B2575" i="2"/>
  <c r="A2575" i="2"/>
  <c r="B2574" i="2"/>
  <c r="A2574" i="2"/>
  <c r="B2573" i="2"/>
  <c r="A2573" i="2"/>
  <c r="B2572" i="2"/>
  <c r="A2572" i="2"/>
  <c r="B2571" i="2"/>
  <c r="A2571" i="2"/>
  <c r="B2570" i="2"/>
  <c r="A2570" i="2"/>
  <c r="B2569" i="2"/>
  <c r="A2569" i="2"/>
  <c r="B2568" i="2"/>
  <c r="A2568" i="2"/>
  <c r="B2567" i="2"/>
  <c r="A2567" i="2"/>
  <c r="B2566" i="2"/>
  <c r="A2566" i="2"/>
  <c r="B2565" i="2"/>
  <c r="A2565" i="2"/>
  <c r="B2564" i="2"/>
  <c r="A2564" i="2"/>
  <c r="B2563" i="2"/>
  <c r="A2563" i="2"/>
  <c r="B2562" i="2"/>
  <c r="A2562" i="2"/>
  <c r="B2561" i="2"/>
  <c r="A2561" i="2"/>
  <c r="C2561" i="2" s="1"/>
  <c r="G2561" i="2" s="1"/>
  <c r="B2560" i="2"/>
  <c r="A2560" i="2"/>
  <c r="B2559" i="2"/>
  <c r="C2559" i="2" s="1"/>
  <c r="G2559" i="2" s="1"/>
  <c r="A2559" i="2"/>
  <c r="B2558" i="2"/>
  <c r="A2558" i="2"/>
  <c r="B2557" i="2"/>
  <c r="A2557" i="2"/>
  <c r="B2556" i="2"/>
  <c r="A2556" i="2"/>
  <c r="B2555" i="2"/>
  <c r="C2555" i="2" s="1"/>
  <c r="G2555" i="2" s="1"/>
  <c r="A2555" i="2"/>
  <c r="B2554" i="2"/>
  <c r="A2554" i="2"/>
  <c r="B2553" i="2"/>
  <c r="A2553" i="2"/>
  <c r="B2552" i="2"/>
  <c r="A2552" i="2"/>
  <c r="C2552" i="2" s="1"/>
  <c r="G2552" i="2" s="1"/>
  <c r="B2551" i="2"/>
  <c r="A2551" i="2"/>
  <c r="B2550" i="2"/>
  <c r="A2550" i="2"/>
  <c r="B2549" i="2"/>
  <c r="A2549" i="2"/>
  <c r="B2548" i="2"/>
  <c r="A2548" i="2"/>
  <c r="B2547" i="2"/>
  <c r="A2547" i="2"/>
  <c r="B2546" i="2"/>
  <c r="A2546" i="2"/>
  <c r="B2545" i="2"/>
  <c r="A2545" i="2"/>
  <c r="B2544" i="2"/>
  <c r="A2544" i="2"/>
  <c r="C2544" i="2" s="1"/>
  <c r="G2544" i="2" s="1"/>
  <c r="B2543" i="2"/>
  <c r="A2543" i="2"/>
  <c r="B2542" i="2"/>
  <c r="A2542" i="2"/>
  <c r="B2541" i="2"/>
  <c r="A2541" i="2"/>
  <c r="B2540" i="2"/>
  <c r="A2540" i="2"/>
  <c r="B2539" i="2"/>
  <c r="A2539" i="2"/>
  <c r="B2538" i="2"/>
  <c r="C2538" i="2" s="1"/>
  <c r="G2538" i="2" s="1"/>
  <c r="A2538" i="2"/>
  <c r="B2537" i="2"/>
  <c r="A2537" i="2"/>
  <c r="B2536" i="2"/>
  <c r="A2536" i="2"/>
  <c r="B2535" i="2"/>
  <c r="A2535" i="2"/>
  <c r="B2534" i="2"/>
  <c r="A2534" i="2"/>
  <c r="B2533" i="2"/>
  <c r="A2533" i="2"/>
  <c r="B2532" i="2"/>
  <c r="A2532" i="2"/>
  <c r="C2532" i="2" s="1"/>
  <c r="G2532" i="2" s="1"/>
  <c r="B2531" i="2"/>
  <c r="A2531" i="2"/>
  <c r="B2530" i="2"/>
  <c r="A2530" i="2"/>
  <c r="B2529" i="2"/>
  <c r="A2529" i="2"/>
  <c r="B2528" i="2"/>
  <c r="A2528" i="2"/>
  <c r="B2527" i="2"/>
  <c r="A2527" i="2"/>
  <c r="B2526" i="2"/>
  <c r="A2526" i="2"/>
  <c r="B2525" i="2"/>
  <c r="A2525" i="2"/>
  <c r="B2524" i="2"/>
  <c r="A2524" i="2"/>
  <c r="B2523" i="2"/>
  <c r="A2523" i="2"/>
  <c r="B2522" i="2"/>
  <c r="A2522" i="2"/>
  <c r="B2521" i="2"/>
  <c r="A2521" i="2"/>
  <c r="B2520" i="2"/>
  <c r="A2520" i="2"/>
  <c r="B2519" i="2"/>
  <c r="A2519" i="2"/>
  <c r="C2519" i="2" s="1"/>
  <c r="G2519" i="2" s="1"/>
  <c r="B2518" i="2"/>
  <c r="A2518" i="2"/>
  <c r="B2517" i="2"/>
  <c r="A2517" i="2"/>
  <c r="B2516" i="2"/>
  <c r="A2516" i="2"/>
  <c r="B2515" i="2"/>
  <c r="A2515" i="2"/>
  <c r="C2515" i="2" s="1"/>
  <c r="G2515" i="2" s="1"/>
  <c r="B2514" i="2"/>
  <c r="A2514" i="2"/>
  <c r="B2513" i="2"/>
  <c r="A2513" i="2"/>
  <c r="B2512" i="2"/>
  <c r="A2512" i="2"/>
  <c r="B2511" i="2"/>
  <c r="A2511" i="2"/>
  <c r="B2510" i="2"/>
  <c r="A2510" i="2"/>
  <c r="B2509" i="2"/>
  <c r="A2509" i="2"/>
  <c r="B2508" i="2"/>
  <c r="A2508" i="2"/>
  <c r="B2507" i="2"/>
  <c r="A2507" i="2"/>
  <c r="B2506" i="2"/>
  <c r="A2506" i="2"/>
  <c r="B2505" i="2"/>
  <c r="A2505" i="2"/>
  <c r="B2504" i="2"/>
  <c r="A2504" i="2"/>
  <c r="B2503" i="2"/>
  <c r="A2503" i="2"/>
  <c r="B2502" i="2"/>
  <c r="A2502" i="2"/>
  <c r="B2501" i="2"/>
  <c r="A2501" i="2"/>
  <c r="B2500" i="2"/>
  <c r="A2500" i="2"/>
  <c r="B2499" i="2"/>
  <c r="A2499" i="2"/>
  <c r="B2498" i="2"/>
  <c r="A2498" i="2"/>
  <c r="B2497" i="2"/>
  <c r="A2497" i="2"/>
  <c r="B2496" i="2"/>
  <c r="A2496" i="2"/>
  <c r="C2496" i="2" s="1"/>
  <c r="G2496" i="2" s="1"/>
  <c r="B2495" i="2"/>
  <c r="A2495" i="2"/>
  <c r="C2495" i="2" s="1"/>
  <c r="G2495" i="2" s="1"/>
  <c r="B2494" i="2"/>
  <c r="A2494" i="2"/>
  <c r="B2493" i="2"/>
  <c r="A2493" i="2"/>
  <c r="B2492" i="2"/>
  <c r="A2492" i="2"/>
  <c r="C2492" i="2" s="1"/>
  <c r="G2492" i="2" s="1"/>
  <c r="B2491" i="2"/>
  <c r="A2491" i="2"/>
  <c r="B2490" i="2"/>
  <c r="A2490" i="2"/>
  <c r="B2489" i="2"/>
  <c r="A2489" i="2"/>
  <c r="B2488" i="2"/>
  <c r="A2488" i="2"/>
  <c r="C2488" i="2" s="1"/>
  <c r="G2488" i="2" s="1"/>
  <c r="B2487" i="2"/>
  <c r="A2487" i="2"/>
  <c r="C2487" i="2" s="1"/>
  <c r="G2487" i="2" s="1"/>
  <c r="B2486" i="2"/>
  <c r="A2486" i="2"/>
  <c r="B2485" i="2"/>
  <c r="A2485" i="2"/>
  <c r="B2484" i="2"/>
  <c r="A2484" i="2"/>
  <c r="C2484" i="2" s="1"/>
  <c r="G2484" i="2" s="1"/>
  <c r="B2483" i="2"/>
  <c r="A2483" i="2"/>
  <c r="B2482" i="2"/>
  <c r="A2482" i="2"/>
  <c r="B2481" i="2"/>
  <c r="A2481" i="2"/>
  <c r="B2480" i="2"/>
  <c r="A2480" i="2"/>
  <c r="C2480" i="2" s="1"/>
  <c r="G2480" i="2" s="1"/>
  <c r="B2479" i="2"/>
  <c r="A2479" i="2"/>
  <c r="B2478" i="2"/>
  <c r="A2478" i="2"/>
  <c r="B2477" i="2"/>
  <c r="A2477" i="2"/>
  <c r="C2477" i="2" s="1"/>
  <c r="G2477" i="2" s="1"/>
  <c r="B2476" i="2"/>
  <c r="A2476" i="2"/>
  <c r="B2475" i="2"/>
  <c r="A2475" i="2"/>
  <c r="B2474" i="2"/>
  <c r="A2474" i="2"/>
  <c r="B2473" i="2"/>
  <c r="A2473" i="2"/>
  <c r="C2473" i="2" s="1"/>
  <c r="G2473" i="2" s="1"/>
  <c r="B2472" i="2"/>
  <c r="A2472" i="2"/>
  <c r="C2472" i="2" s="1"/>
  <c r="G2472" i="2" s="1"/>
  <c r="B2471" i="2"/>
  <c r="A2471" i="2"/>
  <c r="C2471" i="2" s="1"/>
  <c r="G2471" i="2" s="1"/>
  <c r="B2470" i="2"/>
  <c r="A2470" i="2"/>
  <c r="B2469" i="2"/>
  <c r="A2469" i="2"/>
  <c r="B2468" i="2"/>
  <c r="A2468" i="2"/>
  <c r="B2467" i="2"/>
  <c r="A2467" i="2"/>
  <c r="B2466" i="2"/>
  <c r="A2466" i="2"/>
  <c r="B2465" i="2"/>
  <c r="A2465" i="2"/>
  <c r="B2464" i="2"/>
  <c r="A2464" i="2"/>
  <c r="B2463" i="2"/>
  <c r="A2463" i="2"/>
  <c r="C2463" i="2" s="1"/>
  <c r="G2463" i="2" s="1"/>
  <c r="B2462" i="2"/>
  <c r="A2462" i="2"/>
  <c r="B2461" i="2"/>
  <c r="A2461" i="2"/>
  <c r="B2460" i="2"/>
  <c r="A2460" i="2"/>
  <c r="B2459" i="2"/>
  <c r="A2459" i="2"/>
  <c r="B2458" i="2"/>
  <c r="A2458" i="2"/>
  <c r="B2457" i="2"/>
  <c r="A2457" i="2"/>
  <c r="B2456" i="2"/>
  <c r="A2456" i="2"/>
  <c r="B2455" i="2"/>
  <c r="A2455" i="2"/>
  <c r="B2454" i="2"/>
  <c r="A2454" i="2"/>
  <c r="C2454" i="2" s="1"/>
  <c r="G2454" i="2" s="1"/>
  <c r="B2453" i="2"/>
  <c r="A2453" i="2"/>
  <c r="B2452" i="2"/>
  <c r="A2452" i="2"/>
  <c r="B2451" i="2"/>
  <c r="A2451" i="2"/>
  <c r="B2450" i="2"/>
  <c r="A2450" i="2"/>
  <c r="B2449" i="2"/>
  <c r="A2449" i="2"/>
  <c r="B2448" i="2"/>
  <c r="A2448" i="2"/>
  <c r="B2447" i="2"/>
  <c r="A2447" i="2"/>
  <c r="B2446" i="2"/>
  <c r="A2446" i="2"/>
  <c r="C2446" i="2" s="1"/>
  <c r="G2446" i="2" s="1"/>
  <c r="B2445" i="2"/>
  <c r="A2445" i="2"/>
  <c r="B2444" i="2"/>
  <c r="A2444" i="2"/>
  <c r="B2443" i="2"/>
  <c r="A2443" i="2"/>
  <c r="B2442" i="2"/>
  <c r="A2442" i="2"/>
  <c r="B2441" i="2"/>
  <c r="A2441" i="2"/>
  <c r="C2440" i="2"/>
  <c r="G2440" i="2" s="1"/>
  <c r="B2440" i="2"/>
  <c r="A2440" i="2"/>
  <c r="B2439" i="2"/>
  <c r="A2439" i="2"/>
  <c r="B2438" i="2"/>
  <c r="A2438" i="2"/>
  <c r="B2437" i="2"/>
  <c r="A2437" i="2"/>
  <c r="B2436" i="2"/>
  <c r="A2436" i="2"/>
  <c r="B2435" i="2"/>
  <c r="A2435" i="2"/>
  <c r="C2435" i="2" s="1"/>
  <c r="G2435" i="2" s="1"/>
  <c r="B2434" i="2"/>
  <c r="C2434" i="2" s="1"/>
  <c r="G2434" i="2" s="1"/>
  <c r="A2434" i="2"/>
  <c r="B2433" i="2"/>
  <c r="A2433" i="2"/>
  <c r="B2432" i="2"/>
  <c r="A2432" i="2"/>
  <c r="C2432" i="2" s="1"/>
  <c r="G2432" i="2" s="1"/>
  <c r="B2431" i="2"/>
  <c r="A2431" i="2"/>
  <c r="B2430" i="2"/>
  <c r="A2430" i="2"/>
  <c r="B2429" i="2"/>
  <c r="A2429" i="2"/>
  <c r="B2428" i="2"/>
  <c r="A2428" i="2"/>
  <c r="B2427" i="2"/>
  <c r="A2427" i="2"/>
  <c r="C2427" i="2" s="1"/>
  <c r="G2427" i="2" s="1"/>
  <c r="B2426" i="2"/>
  <c r="A2426" i="2"/>
  <c r="B2425" i="2"/>
  <c r="A2425" i="2"/>
  <c r="B2424" i="2"/>
  <c r="A2424" i="2"/>
  <c r="C2424" i="2" s="1"/>
  <c r="G2424" i="2" s="1"/>
  <c r="B2423" i="2"/>
  <c r="A2423" i="2"/>
  <c r="C2423" i="2" s="1"/>
  <c r="G2423" i="2" s="1"/>
  <c r="B2422" i="2"/>
  <c r="A2422" i="2"/>
  <c r="B2421" i="2"/>
  <c r="A2421" i="2"/>
  <c r="C2421" i="2" s="1"/>
  <c r="G2421" i="2" s="1"/>
  <c r="B2420" i="2"/>
  <c r="A2420" i="2"/>
  <c r="B2419" i="2"/>
  <c r="A2419" i="2"/>
  <c r="B2418" i="2"/>
  <c r="A2418" i="2"/>
  <c r="B2417" i="2"/>
  <c r="A2417" i="2"/>
  <c r="B2416" i="2"/>
  <c r="A2416" i="2"/>
  <c r="B2415" i="2"/>
  <c r="A2415" i="2"/>
  <c r="B2414" i="2"/>
  <c r="A2414" i="2"/>
  <c r="B2413" i="2"/>
  <c r="A2413" i="2"/>
  <c r="B2412" i="2"/>
  <c r="A2412" i="2"/>
  <c r="B2411" i="2"/>
  <c r="A2411" i="2"/>
  <c r="B2410" i="2"/>
  <c r="A2410" i="2"/>
  <c r="B2409" i="2"/>
  <c r="A2409" i="2"/>
  <c r="B2408" i="2"/>
  <c r="A2408" i="2"/>
  <c r="B2407" i="2"/>
  <c r="A2407" i="2"/>
  <c r="B2406" i="2"/>
  <c r="A2406" i="2"/>
  <c r="B2405" i="2"/>
  <c r="A2405" i="2"/>
  <c r="B2404" i="2"/>
  <c r="A2404" i="2"/>
  <c r="B2403" i="2"/>
  <c r="A2403" i="2"/>
  <c r="B2402" i="2"/>
  <c r="A2402" i="2"/>
  <c r="B2401" i="2"/>
  <c r="A2401" i="2"/>
  <c r="B2400" i="2"/>
  <c r="A2400" i="2"/>
  <c r="B2399" i="2"/>
  <c r="A2399" i="2"/>
  <c r="B2398" i="2"/>
  <c r="A2398" i="2"/>
  <c r="B2397" i="2"/>
  <c r="A2397" i="2"/>
  <c r="B2396" i="2"/>
  <c r="A2396" i="2"/>
  <c r="B2395" i="2"/>
  <c r="A2395" i="2"/>
  <c r="B2394" i="2"/>
  <c r="C2394" i="2" s="1"/>
  <c r="G2394" i="2" s="1"/>
  <c r="A2394" i="2"/>
  <c r="B2393" i="2"/>
  <c r="A2393" i="2"/>
  <c r="B2392" i="2"/>
  <c r="A2392" i="2"/>
  <c r="C2392" i="2" s="1"/>
  <c r="G2392" i="2" s="1"/>
  <c r="B2391" i="2"/>
  <c r="A2391" i="2"/>
  <c r="C2391" i="2" s="1"/>
  <c r="G2391" i="2" s="1"/>
  <c r="B2390" i="2"/>
  <c r="A2390" i="2"/>
  <c r="C2390" i="2" s="1"/>
  <c r="G2390" i="2" s="1"/>
  <c r="B2389" i="2"/>
  <c r="A2389" i="2"/>
  <c r="B2388" i="2"/>
  <c r="A2388" i="2"/>
  <c r="C2388" i="2" s="1"/>
  <c r="G2388" i="2" s="1"/>
  <c r="B2387" i="2"/>
  <c r="A2387" i="2"/>
  <c r="B2386" i="2"/>
  <c r="A2386" i="2"/>
  <c r="B2385" i="2"/>
  <c r="A2385" i="2"/>
  <c r="B2384" i="2"/>
  <c r="A2384" i="2"/>
  <c r="C2384" i="2" s="1"/>
  <c r="G2384" i="2" s="1"/>
  <c r="B2383" i="2"/>
  <c r="A2383" i="2"/>
  <c r="C2383" i="2" s="1"/>
  <c r="G2383" i="2" s="1"/>
  <c r="B2382" i="2"/>
  <c r="A2382" i="2"/>
  <c r="B2381" i="2"/>
  <c r="A2381" i="2"/>
  <c r="B2380" i="2"/>
  <c r="A2380" i="2"/>
  <c r="B2379" i="2"/>
  <c r="A2379" i="2"/>
  <c r="B2378" i="2"/>
  <c r="A2378" i="2"/>
  <c r="B2377" i="2"/>
  <c r="A2377" i="2"/>
  <c r="C2377" i="2" s="1"/>
  <c r="G2377" i="2" s="1"/>
  <c r="B2376" i="2"/>
  <c r="A2376" i="2"/>
  <c r="B2375" i="2"/>
  <c r="A2375" i="2"/>
  <c r="B2374" i="2"/>
  <c r="A2374" i="2"/>
  <c r="B2373" i="2"/>
  <c r="A2373" i="2"/>
  <c r="C2373" i="2" s="1"/>
  <c r="G2373" i="2" s="1"/>
  <c r="B2372" i="2"/>
  <c r="A2372" i="2"/>
  <c r="B2371" i="2"/>
  <c r="A2371" i="2"/>
  <c r="B2370" i="2"/>
  <c r="A2370" i="2"/>
  <c r="B2369" i="2"/>
  <c r="A2369" i="2"/>
  <c r="B2368" i="2"/>
  <c r="A2368" i="2"/>
  <c r="B2367" i="2"/>
  <c r="A2367" i="2"/>
  <c r="B2366" i="2"/>
  <c r="A2366" i="2"/>
  <c r="C2366" i="2" s="1"/>
  <c r="G2366" i="2" s="1"/>
  <c r="B2365" i="2"/>
  <c r="A2365" i="2"/>
  <c r="B2364" i="2"/>
  <c r="A2364" i="2"/>
  <c r="B2363" i="2"/>
  <c r="A2363" i="2"/>
  <c r="B2362" i="2"/>
  <c r="A2362" i="2"/>
  <c r="B2361" i="2"/>
  <c r="A2361" i="2"/>
  <c r="B2360" i="2"/>
  <c r="A2360" i="2"/>
  <c r="C2360" i="2" s="1"/>
  <c r="G2360" i="2" s="1"/>
  <c r="B2359" i="2"/>
  <c r="A2359" i="2"/>
  <c r="C2359" i="2" s="1"/>
  <c r="G2359" i="2" s="1"/>
  <c r="B2358" i="2"/>
  <c r="A2358" i="2"/>
  <c r="C2358" i="2" s="1"/>
  <c r="G2358" i="2" s="1"/>
  <c r="B2357" i="2"/>
  <c r="A2357" i="2"/>
  <c r="B2356" i="2"/>
  <c r="A2356" i="2"/>
  <c r="B2355" i="2"/>
  <c r="A2355" i="2"/>
  <c r="B2354" i="2"/>
  <c r="A2354" i="2"/>
  <c r="B2353" i="2"/>
  <c r="A2353" i="2"/>
  <c r="B2352" i="2"/>
  <c r="A2352" i="2"/>
  <c r="C2352" i="2" s="1"/>
  <c r="G2352" i="2" s="1"/>
  <c r="B2351" i="2"/>
  <c r="A2351" i="2"/>
  <c r="B2350" i="2"/>
  <c r="A2350" i="2"/>
  <c r="B2349" i="2"/>
  <c r="A2349" i="2"/>
  <c r="B2348" i="2"/>
  <c r="A2348" i="2"/>
  <c r="C2348" i="2" s="1"/>
  <c r="G2348" i="2" s="1"/>
  <c r="B2347" i="2"/>
  <c r="A2347" i="2"/>
  <c r="C2347" i="2" s="1"/>
  <c r="G2347" i="2" s="1"/>
  <c r="B2346" i="2"/>
  <c r="A2346" i="2"/>
  <c r="B2345" i="2"/>
  <c r="A2345" i="2"/>
  <c r="B2344" i="2"/>
  <c r="A2344" i="2"/>
  <c r="B2343" i="2"/>
  <c r="A2343" i="2"/>
  <c r="B2342" i="2"/>
  <c r="A2342" i="2"/>
  <c r="C2342" i="2" s="1"/>
  <c r="G2342" i="2" s="1"/>
  <c r="B2341" i="2"/>
  <c r="A2341" i="2"/>
  <c r="B2340" i="2"/>
  <c r="A2340" i="2"/>
  <c r="B2339" i="2"/>
  <c r="A2339" i="2"/>
  <c r="B2338" i="2"/>
  <c r="A2338" i="2"/>
  <c r="B2337" i="2"/>
  <c r="C2337" i="2" s="1"/>
  <c r="G2337" i="2" s="1"/>
  <c r="A2337" i="2"/>
  <c r="B2336" i="2"/>
  <c r="A2336" i="2"/>
  <c r="B2335" i="2"/>
  <c r="A2335" i="2"/>
  <c r="B2334" i="2"/>
  <c r="A2334" i="2"/>
  <c r="C2334" i="2" s="1"/>
  <c r="G2334" i="2" s="1"/>
  <c r="B2333" i="2"/>
  <c r="A2333" i="2"/>
  <c r="B2332" i="2"/>
  <c r="A2332" i="2"/>
  <c r="B2331" i="2"/>
  <c r="A2331" i="2"/>
  <c r="B2330" i="2"/>
  <c r="A2330" i="2"/>
  <c r="C2330" i="2" s="1"/>
  <c r="G2330" i="2" s="1"/>
  <c r="B2329" i="2"/>
  <c r="A2329" i="2"/>
  <c r="B2328" i="2"/>
  <c r="A2328" i="2"/>
  <c r="B2327" i="2"/>
  <c r="A2327" i="2"/>
  <c r="C2327" i="2" s="1"/>
  <c r="G2327" i="2" s="1"/>
  <c r="B2326" i="2"/>
  <c r="A2326" i="2"/>
  <c r="B2325" i="2"/>
  <c r="A2325" i="2"/>
  <c r="B2324" i="2"/>
  <c r="A2324" i="2"/>
  <c r="B2323" i="2"/>
  <c r="A2323" i="2"/>
  <c r="B2322" i="2"/>
  <c r="A2322" i="2"/>
  <c r="C2322" i="2" s="1"/>
  <c r="G2322" i="2" s="1"/>
  <c r="B2321" i="2"/>
  <c r="A2321" i="2"/>
  <c r="B2320" i="2"/>
  <c r="A2320" i="2"/>
  <c r="B2319" i="2"/>
  <c r="A2319" i="2"/>
  <c r="B2318" i="2"/>
  <c r="A2318" i="2"/>
  <c r="B2317" i="2"/>
  <c r="A2317" i="2"/>
  <c r="B2316" i="2"/>
  <c r="A2316" i="2"/>
  <c r="B2315" i="2"/>
  <c r="A2315" i="2"/>
  <c r="C2315" i="2" s="1"/>
  <c r="G2315" i="2" s="1"/>
  <c r="B2314" i="2"/>
  <c r="A2314" i="2"/>
  <c r="B2313" i="2"/>
  <c r="A2313" i="2"/>
  <c r="B2312" i="2"/>
  <c r="A2312" i="2"/>
  <c r="B2311" i="2"/>
  <c r="A2311" i="2"/>
  <c r="C2311" i="2" s="1"/>
  <c r="G2311" i="2" s="1"/>
  <c r="B2310" i="2"/>
  <c r="A2310" i="2"/>
  <c r="B2309" i="2"/>
  <c r="A2309" i="2"/>
  <c r="B2308" i="2"/>
  <c r="A2308" i="2"/>
  <c r="B2307" i="2"/>
  <c r="A2307" i="2"/>
  <c r="B2306" i="2"/>
  <c r="A2306" i="2"/>
  <c r="B2305" i="2"/>
  <c r="A2305" i="2"/>
  <c r="C2304" i="2"/>
  <c r="G2304" i="2" s="1"/>
  <c r="B2304" i="2"/>
  <c r="A2304" i="2"/>
  <c r="B2303" i="2"/>
  <c r="A2303" i="2"/>
  <c r="B2302" i="2"/>
  <c r="A2302" i="2"/>
  <c r="B2301" i="2"/>
  <c r="A2301" i="2"/>
  <c r="B2300" i="2"/>
  <c r="A2300" i="2"/>
  <c r="B2299" i="2"/>
  <c r="A2299" i="2"/>
  <c r="B2298" i="2"/>
  <c r="A2298" i="2"/>
  <c r="B2297" i="2"/>
  <c r="A2297" i="2"/>
  <c r="B2296" i="2"/>
  <c r="A2296" i="2"/>
  <c r="C2296" i="2" s="1"/>
  <c r="G2296" i="2" s="1"/>
  <c r="B2295" i="2"/>
  <c r="A2295" i="2"/>
  <c r="B2294" i="2"/>
  <c r="A2294" i="2"/>
  <c r="B2293" i="2"/>
  <c r="A2293" i="2"/>
  <c r="C2293" i="2" s="1"/>
  <c r="G2293" i="2" s="1"/>
  <c r="B2292" i="2"/>
  <c r="A2292" i="2"/>
  <c r="B2291" i="2"/>
  <c r="A2291" i="2"/>
  <c r="B2290" i="2"/>
  <c r="A2290" i="2"/>
  <c r="B2289" i="2"/>
  <c r="A2289" i="2"/>
  <c r="B2288" i="2"/>
  <c r="A2288" i="2"/>
  <c r="B2287" i="2"/>
  <c r="A2287" i="2"/>
  <c r="B2286" i="2"/>
  <c r="A2286" i="2"/>
  <c r="B2285" i="2"/>
  <c r="A2285" i="2"/>
  <c r="B2284" i="2"/>
  <c r="A2284" i="2"/>
  <c r="B2283" i="2"/>
  <c r="A2283" i="2"/>
  <c r="B2282" i="2"/>
  <c r="C2282" i="2" s="1"/>
  <c r="G2282" i="2" s="1"/>
  <c r="A2282" i="2"/>
  <c r="B2281" i="2"/>
  <c r="A2281" i="2"/>
  <c r="B2280" i="2"/>
  <c r="A2280" i="2"/>
  <c r="B2279" i="2"/>
  <c r="A2279" i="2"/>
  <c r="B2278" i="2"/>
  <c r="A2278" i="2"/>
  <c r="B2277" i="2"/>
  <c r="A2277" i="2"/>
  <c r="B2276" i="2"/>
  <c r="A2276" i="2"/>
  <c r="B2275" i="2"/>
  <c r="A2275" i="2"/>
  <c r="B2274" i="2"/>
  <c r="A2274" i="2"/>
  <c r="B2273" i="2"/>
  <c r="C2273" i="2" s="1"/>
  <c r="G2273" i="2" s="1"/>
  <c r="A2273" i="2"/>
  <c r="B2272" i="2"/>
  <c r="A2272" i="2"/>
  <c r="B2271" i="2"/>
  <c r="A2271" i="2"/>
  <c r="C2270" i="2"/>
  <c r="G2270" i="2" s="1"/>
  <c r="B2270" i="2"/>
  <c r="A2270" i="2"/>
  <c r="B2269" i="2"/>
  <c r="A2269" i="2"/>
  <c r="C2269" i="2" s="1"/>
  <c r="G2269" i="2" s="1"/>
  <c r="B2268" i="2"/>
  <c r="A2268" i="2"/>
  <c r="B2267" i="2"/>
  <c r="A2267" i="2"/>
  <c r="B2266" i="2"/>
  <c r="A2266" i="2"/>
  <c r="B2265" i="2"/>
  <c r="A2265" i="2"/>
  <c r="B2264" i="2"/>
  <c r="A2264" i="2"/>
  <c r="B2263" i="2"/>
  <c r="A2263" i="2"/>
  <c r="B2262" i="2"/>
  <c r="A2262" i="2"/>
  <c r="B2261" i="2"/>
  <c r="A2261" i="2"/>
  <c r="B2260" i="2"/>
  <c r="A2260" i="2"/>
  <c r="B2259" i="2"/>
  <c r="A2259" i="2"/>
  <c r="B2258" i="2"/>
  <c r="A2258" i="2"/>
  <c r="B2257" i="2"/>
  <c r="A2257" i="2"/>
  <c r="B2256" i="2"/>
  <c r="A2256" i="2"/>
  <c r="B2255" i="2"/>
  <c r="A2255" i="2"/>
  <c r="C2255" i="2" s="1"/>
  <c r="G2255" i="2" s="1"/>
  <c r="B2254" i="2"/>
  <c r="A2254" i="2"/>
  <c r="B2253" i="2"/>
  <c r="A2253" i="2"/>
  <c r="B2252" i="2"/>
  <c r="A2252" i="2"/>
  <c r="B2251" i="2"/>
  <c r="A2251" i="2"/>
  <c r="B2250" i="2"/>
  <c r="A2250" i="2"/>
  <c r="B2249" i="2"/>
  <c r="A2249" i="2"/>
  <c r="B2248" i="2"/>
  <c r="A2248" i="2"/>
  <c r="B2247" i="2"/>
  <c r="A2247" i="2"/>
  <c r="B2246" i="2"/>
  <c r="A2246" i="2"/>
  <c r="B2245" i="2"/>
  <c r="A2245" i="2"/>
  <c r="C2245" i="2" s="1"/>
  <c r="G2245" i="2" s="1"/>
  <c r="B2244" i="2"/>
  <c r="A2244" i="2"/>
  <c r="B2243" i="2"/>
  <c r="A2243" i="2"/>
  <c r="B2242" i="2"/>
  <c r="A2242" i="2"/>
  <c r="C2242" i="2" s="1"/>
  <c r="G2242" i="2" s="1"/>
  <c r="B2241" i="2"/>
  <c r="A2241" i="2"/>
  <c r="C2241" i="2" s="1"/>
  <c r="G2241" i="2" s="1"/>
  <c r="B2240" i="2"/>
  <c r="A2240" i="2"/>
  <c r="B2239" i="2"/>
  <c r="A2239" i="2"/>
  <c r="B2238" i="2"/>
  <c r="A2238" i="2"/>
  <c r="B2237" i="2"/>
  <c r="A2237" i="2"/>
  <c r="B2236" i="2"/>
  <c r="A2236" i="2"/>
  <c r="B2235" i="2"/>
  <c r="A2235" i="2"/>
  <c r="B2234" i="2"/>
  <c r="A2234" i="2"/>
  <c r="B2233" i="2"/>
  <c r="A2233" i="2"/>
  <c r="C2233" i="2" s="1"/>
  <c r="G2233" i="2" s="1"/>
  <c r="B2232" i="2"/>
  <c r="A2232" i="2"/>
  <c r="B2231" i="2"/>
  <c r="A2231" i="2"/>
  <c r="B2230" i="2"/>
  <c r="A2230" i="2"/>
  <c r="C2230" i="2" s="1"/>
  <c r="G2230" i="2" s="1"/>
  <c r="B2229" i="2"/>
  <c r="A2229" i="2"/>
  <c r="B2228" i="2"/>
  <c r="A2228" i="2"/>
  <c r="B2227" i="2"/>
  <c r="A2227" i="2"/>
  <c r="B2226" i="2"/>
  <c r="A2226" i="2"/>
  <c r="B2225" i="2"/>
  <c r="A2225" i="2"/>
  <c r="B2224" i="2"/>
  <c r="A2224" i="2"/>
  <c r="B2223" i="2"/>
  <c r="A2223" i="2"/>
  <c r="B2222" i="2"/>
  <c r="A2222" i="2"/>
  <c r="C2222" i="2" s="1"/>
  <c r="G2222" i="2" s="1"/>
  <c r="B2221" i="2"/>
  <c r="A2221" i="2"/>
  <c r="B2220" i="2"/>
  <c r="A2220" i="2"/>
  <c r="B2219" i="2"/>
  <c r="A2219" i="2"/>
  <c r="B2218" i="2"/>
  <c r="A2218" i="2"/>
  <c r="B2217" i="2"/>
  <c r="A2217" i="2"/>
  <c r="C2217" i="2" s="1"/>
  <c r="G2217" i="2" s="1"/>
  <c r="B2216" i="2"/>
  <c r="A2216" i="2"/>
  <c r="B2215" i="2"/>
  <c r="A2215" i="2"/>
  <c r="C2215" i="2" s="1"/>
  <c r="G2215" i="2" s="1"/>
  <c r="B2214" i="2"/>
  <c r="A2214" i="2"/>
  <c r="B2213" i="2"/>
  <c r="A2213" i="2"/>
  <c r="B2212" i="2"/>
  <c r="A2212" i="2"/>
  <c r="B2211" i="2"/>
  <c r="A2211" i="2"/>
  <c r="B2210" i="2"/>
  <c r="A2210" i="2"/>
  <c r="B2209" i="2"/>
  <c r="A2209" i="2"/>
  <c r="B2208" i="2"/>
  <c r="A2208" i="2"/>
  <c r="B2207" i="2"/>
  <c r="A2207" i="2"/>
  <c r="C2207" i="2" s="1"/>
  <c r="G2207" i="2" s="1"/>
  <c r="B2206" i="2"/>
  <c r="A2206" i="2"/>
  <c r="B2205" i="2"/>
  <c r="A2205" i="2"/>
  <c r="B2204" i="2"/>
  <c r="A2204" i="2"/>
  <c r="B2203" i="2"/>
  <c r="A2203" i="2"/>
  <c r="B2202" i="2"/>
  <c r="A2202" i="2"/>
  <c r="B2201" i="2"/>
  <c r="A2201" i="2"/>
  <c r="C2201" i="2" s="1"/>
  <c r="G2201" i="2" s="1"/>
  <c r="B2200" i="2"/>
  <c r="A2200" i="2"/>
  <c r="B2199" i="2"/>
  <c r="A2199" i="2"/>
  <c r="B2198" i="2"/>
  <c r="A2198" i="2"/>
  <c r="C2198" i="2" s="1"/>
  <c r="G2198" i="2" s="1"/>
  <c r="B2197" i="2"/>
  <c r="A2197" i="2"/>
  <c r="B2196" i="2"/>
  <c r="A2196" i="2"/>
  <c r="B2195" i="2"/>
  <c r="A2195" i="2"/>
  <c r="B2194" i="2"/>
  <c r="A2194" i="2"/>
  <c r="B2193" i="2"/>
  <c r="C2193" i="2" s="1"/>
  <c r="G2193" i="2" s="1"/>
  <c r="A2193" i="2"/>
  <c r="B2192" i="2"/>
  <c r="A2192" i="2"/>
  <c r="B2191" i="2"/>
  <c r="A2191" i="2"/>
  <c r="C2191" i="2" s="1"/>
  <c r="G2191" i="2" s="1"/>
  <c r="B2190" i="2"/>
  <c r="A2190" i="2"/>
  <c r="C2190" i="2" s="1"/>
  <c r="G2190" i="2" s="1"/>
  <c r="B2189" i="2"/>
  <c r="A2189" i="2"/>
  <c r="B2188" i="2"/>
  <c r="A2188" i="2"/>
  <c r="B2187" i="2"/>
  <c r="A2187" i="2"/>
  <c r="C2187" i="2" s="1"/>
  <c r="G2187" i="2" s="1"/>
  <c r="B2186" i="2"/>
  <c r="A2186" i="2"/>
  <c r="B2185" i="2"/>
  <c r="C2185" i="2" s="1"/>
  <c r="G2185" i="2" s="1"/>
  <c r="A2185" i="2"/>
  <c r="B2184" i="2"/>
  <c r="A2184" i="2"/>
  <c r="B2183" i="2"/>
  <c r="A2183" i="2"/>
  <c r="C2183" i="2" s="1"/>
  <c r="G2183" i="2" s="1"/>
  <c r="B2182" i="2"/>
  <c r="A2182" i="2"/>
  <c r="B2181" i="2"/>
  <c r="A2181" i="2"/>
  <c r="B2180" i="2"/>
  <c r="A2180" i="2"/>
  <c r="B2179" i="2"/>
  <c r="A2179" i="2"/>
  <c r="C2179" i="2" s="1"/>
  <c r="G2179" i="2" s="1"/>
  <c r="B2178" i="2"/>
  <c r="A2178" i="2"/>
  <c r="B2177" i="2"/>
  <c r="A2177" i="2"/>
  <c r="B2176" i="2"/>
  <c r="A2176" i="2"/>
  <c r="B2175" i="2"/>
  <c r="A2175" i="2"/>
  <c r="C2175" i="2" s="1"/>
  <c r="G2175" i="2" s="1"/>
  <c r="B2174" i="2"/>
  <c r="A2174" i="2"/>
  <c r="C2174" i="2" s="1"/>
  <c r="G2174" i="2" s="1"/>
  <c r="B2173" i="2"/>
  <c r="A2173" i="2"/>
  <c r="B2172" i="2"/>
  <c r="A2172" i="2"/>
  <c r="B2171" i="2"/>
  <c r="A2171" i="2"/>
  <c r="B2170" i="2"/>
  <c r="A2170" i="2"/>
  <c r="B2169" i="2"/>
  <c r="A2169" i="2"/>
  <c r="C2169" i="2" s="1"/>
  <c r="G2169" i="2" s="1"/>
  <c r="B2168" i="2"/>
  <c r="A2168" i="2"/>
  <c r="B2167" i="2"/>
  <c r="A2167" i="2"/>
  <c r="C2167" i="2" s="1"/>
  <c r="G2167" i="2" s="1"/>
  <c r="B2166" i="2"/>
  <c r="A2166" i="2"/>
  <c r="C2166" i="2" s="1"/>
  <c r="G2166" i="2" s="1"/>
  <c r="B2165" i="2"/>
  <c r="A2165" i="2"/>
  <c r="B2164" i="2"/>
  <c r="A2164" i="2"/>
  <c r="B2163" i="2"/>
  <c r="A2163" i="2"/>
  <c r="B2162" i="2"/>
  <c r="A2162" i="2"/>
  <c r="B2161" i="2"/>
  <c r="A2161" i="2"/>
  <c r="B2160" i="2"/>
  <c r="A2160" i="2"/>
  <c r="C2160" i="2" s="1"/>
  <c r="G2160" i="2" s="1"/>
  <c r="B2159" i="2"/>
  <c r="A2159" i="2"/>
  <c r="B2158" i="2"/>
  <c r="C2158" i="2" s="1"/>
  <c r="G2158" i="2" s="1"/>
  <c r="A2158" i="2"/>
  <c r="B2157" i="2"/>
  <c r="A2157" i="2"/>
  <c r="B2156" i="2"/>
  <c r="A2156" i="2"/>
  <c r="B2155" i="2"/>
  <c r="A2155" i="2"/>
  <c r="B2154" i="2"/>
  <c r="A2154" i="2"/>
  <c r="B2153" i="2"/>
  <c r="A2153" i="2"/>
  <c r="B2152" i="2"/>
  <c r="A2152" i="2"/>
  <c r="C2152" i="2" s="1"/>
  <c r="G2152" i="2" s="1"/>
  <c r="B2151" i="2"/>
  <c r="A2151" i="2"/>
  <c r="C2151" i="2" s="1"/>
  <c r="G2151" i="2" s="1"/>
  <c r="B2150" i="2"/>
  <c r="A2150" i="2"/>
  <c r="B2149" i="2"/>
  <c r="A2149" i="2"/>
  <c r="B2148" i="2"/>
  <c r="A2148" i="2"/>
  <c r="B2147" i="2"/>
  <c r="A2147" i="2"/>
  <c r="B2146" i="2"/>
  <c r="C2146" i="2" s="1"/>
  <c r="G2146" i="2" s="1"/>
  <c r="A2146" i="2"/>
  <c r="B2145" i="2"/>
  <c r="A2145" i="2"/>
  <c r="B2144" i="2"/>
  <c r="A2144" i="2"/>
  <c r="B2143" i="2"/>
  <c r="A2143" i="2"/>
  <c r="B2142" i="2"/>
  <c r="A2142" i="2"/>
  <c r="B2141" i="2"/>
  <c r="A2141" i="2"/>
  <c r="B2140" i="2"/>
  <c r="A2140" i="2"/>
  <c r="B2139" i="2"/>
  <c r="A2139" i="2"/>
  <c r="B2138" i="2"/>
  <c r="C2138" i="2" s="1"/>
  <c r="G2138" i="2" s="1"/>
  <c r="A2138" i="2"/>
  <c r="B2137" i="2"/>
  <c r="A2137" i="2"/>
  <c r="B2136" i="2"/>
  <c r="A2136" i="2"/>
  <c r="B2135" i="2"/>
  <c r="A2135" i="2"/>
  <c r="B2134" i="2"/>
  <c r="A2134" i="2"/>
  <c r="B2133" i="2"/>
  <c r="A2133" i="2"/>
  <c r="B2132" i="2"/>
  <c r="A2132" i="2"/>
  <c r="B2131" i="2"/>
  <c r="A2131" i="2"/>
  <c r="B2130" i="2"/>
  <c r="A2130" i="2"/>
  <c r="C2129" i="2"/>
  <c r="G2129" i="2" s="1"/>
  <c r="B2129" i="2"/>
  <c r="A2129" i="2"/>
  <c r="B2128" i="2"/>
  <c r="A2128" i="2"/>
  <c r="B2127" i="2"/>
  <c r="A2127" i="2"/>
  <c r="C2127" i="2" s="1"/>
  <c r="G2127" i="2" s="1"/>
  <c r="B2126" i="2"/>
  <c r="A2126" i="2"/>
  <c r="C2126" i="2" s="1"/>
  <c r="G2126" i="2" s="1"/>
  <c r="B2125" i="2"/>
  <c r="A2125" i="2"/>
  <c r="B2124" i="2"/>
  <c r="A2124" i="2"/>
  <c r="B2123" i="2"/>
  <c r="A2123" i="2"/>
  <c r="B2122" i="2"/>
  <c r="A2122" i="2"/>
  <c r="B2121" i="2"/>
  <c r="A2121" i="2"/>
  <c r="B2120" i="2"/>
  <c r="A2120" i="2"/>
  <c r="B2119" i="2"/>
  <c r="A2119" i="2"/>
  <c r="B2118" i="2"/>
  <c r="A2118" i="2"/>
  <c r="B2117" i="2"/>
  <c r="A2117" i="2"/>
  <c r="B2116" i="2"/>
  <c r="A2116" i="2"/>
  <c r="C2116" i="2" s="1"/>
  <c r="G2116" i="2" s="1"/>
  <c r="B2115" i="2"/>
  <c r="A2115" i="2"/>
  <c r="B2114" i="2"/>
  <c r="A2114" i="2"/>
  <c r="B2113" i="2"/>
  <c r="A2113" i="2"/>
  <c r="B2112" i="2"/>
  <c r="A2112" i="2"/>
  <c r="B2111" i="2"/>
  <c r="A2111" i="2"/>
  <c r="C2110" i="2"/>
  <c r="G2110" i="2" s="1"/>
  <c r="B2110" i="2"/>
  <c r="A2110" i="2"/>
  <c r="B2109" i="2"/>
  <c r="A2109" i="2"/>
  <c r="B2108" i="2"/>
  <c r="A2108" i="2"/>
  <c r="C2108" i="2" s="1"/>
  <c r="G2108" i="2" s="1"/>
  <c r="B2107" i="2"/>
  <c r="A2107" i="2"/>
  <c r="B2106" i="2"/>
  <c r="A2106" i="2"/>
  <c r="B2105" i="2"/>
  <c r="A2105" i="2"/>
  <c r="B2104" i="2"/>
  <c r="A2104" i="2"/>
  <c r="B2103" i="2"/>
  <c r="A2103" i="2"/>
  <c r="B2102" i="2"/>
  <c r="A2102" i="2"/>
  <c r="C2102" i="2" s="1"/>
  <c r="G2102" i="2" s="1"/>
  <c r="B2101" i="2"/>
  <c r="A2101" i="2"/>
  <c r="B2100" i="2"/>
  <c r="A2100" i="2"/>
  <c r="B2099" i="2"/>
  <c r="A2099" i="2"/>
  <c r="B2098" i="2"/>
  <c r="A2098" i="2"/>
  <c r="B2097" i="2"/>
  <c r="A2097" i="2"/>
  <c r="C2097" i="2" s="1"/>
  <c r="G2097" i="2" s="1"/>
  <c r="B2096" i="2"/>
  <c r="A2096" i="2"/>
  <c r="B2095" i="2"/>
  <c r="A2095" i="2"/>
  <c r="C2095" i="2" s="1"/>
  <c r="G2095" i="2" s="1"/>
  <c r="C2094" i="2"/>
  <c r="G2094" i="2" s="1"/>
  <c r="B2094" i="2"/>
  <c r="A2094" i="2"/>
  <c r="B2093" i="2"/>
  <c r="A2093" i="2"/>
  <c r="B2092" i="2"/>
  <c r="A2092" i="2"/>
  <c r="B2091" i="2"/>
  <c r="A2091" i="2"/>
  <c r="C2091" i="2" s="1"/>
  <c r="G2091" i="2" s="1"/>
  <c r="B2090" i="2"/>
  <c r="A2090" i="2"/>
  <c r="B2089" i="2"/>
  <c r="A2089" i="2"/>
  <c r="B2088" i="2"/>
  <c r="A2088" i="2"/>
  <c r="B2087" i="2"/>
  <c r="A2087" i="2"/>
  <c r="B2086" i="2"/>
  <c r="A2086" i="2"/>
  <c r="B2085" i="2"/>
  <c r="A2085" i="2"/>
  <c r="B2084" i="2"/>
  <c r="A2084" i="2"/>
  <c r="B2083" i="2"/>
  <c r="A2083" i="2"/>
  <c r="B2082" i="2"/>
  <c r="A2082" i="2"/>
  <c r="B2081" i="2"/>
  <c r="A2081" i="2"/>
  <c r="B2080" i="2"/>
  <c r="A2080" i="2"/>
  <c r="B2079" i="2"/>
  <c r="A2079" i="2"/>
  <c r="B2078" i="2"/>
  <c r="A2078" i="2"/>
  <c r="B2077" i="2"/>
  <c r="A2077" i="2"/>
  <c r="B2076" i="2"/>
  <c r="A2076" i="2"/>
  <c r="B2075" i="2"/>
  <c r="A2075" i="2"/>
  <c r="B2074" i="2"/>
  <c r="A2074" i="2"/>
  <c r="B2073" i="2"/>
  <c r="A2073" i="2"/>
  <c r="C2073" i="2" s="1"/>
  <c r="G2073" i="2" s="1"/>
  <c r="B2072" i="2"/>
  <c r="A2072" i="2"/>
  <c r="C2072" i="2" s="1"/>
  <c r="G2072" i="2" s="1"/>
  <c r="B2071" i="2"/>
  <c r="A2071" i="2"/>
  <c r="B2070" i="2"/>
  <c r="A2070" i="2"/>
  <c r="B2069" i="2"/>
  <c r="A2069" i="2"/>
  <c r="B2068" i="2"/>
  <c r="A2068" i="2"/>
  <c r="B2067" i="2"/>
  <c r="A2067" i="2"/>
  <c r="B2066" i="2"/>
  <c r="A2066" i="2"/>
  <c r="B2065" i="2"/>
  <c r="A2065" i="2"/>
  <c r="C2065" i="2" s="1"/>
  <c r="G2065" i="2" s="1"/>
  <c r="B2064" i="2"/>
  <c r="A2064" i="2"/>
  <c r="C2063" i="2"/>
  <c r="G2063" i="2" s="1"/>
  <c r="B2063" i="2"/>
  <c r="A2063" i="2"/>
  <c r="B2062" i="2"/>
  <c r="A2062" i="2"/>
  <c r="B2061" i="2"/>
  <c r="A2061" i="2"/>
  <c r="B2060" i="2"/>
  <c r="A2060" i="2"/>
  <c r="B2059" i="2"/>
  <c r="A2059" i="2"/>
  <c r="B2058" i="2"/>
  <c r="A2058" i="2"/>
  <c r="B2057" i="2"/>
  <c r="A2057" i="2"/>
  <c r="B2056" i="2"/>
  <c r="A2056" i="2"/>
  <c r="B2055" i="2"/>
  <c r="A2055" i="2"/>
  <c r="B2054" i="2"/>
  <c r="A2054" i="2"/>
  <c r="B2053" i="2"/>
  <c r="A2053" i="2"/>
  <c r="B2052" i="2"/>
  <c r="A2052" i="2"/>
  <c r="C2052" i="2" s="1"/>
  <c r="G2052" i="2" s="1"/>
  <c r="B2051" i="2"/>
  <c r="A2051" i="2"/>
  <c r="B2050" i="2"/>
  <c r="A2050" i="2"/>
  <c r="B2049" i="2"/>
  <c r="C2049" i="2" s="1"/>
  <c r="G2049" i="2" s="1"/>
  <c r="A2049" i="2"/>
  <c r="B2048" i="2"/>
  <c r="A2048" i="2"/>
  <c r="B2047" i="2"/>
  <c r="A2047" i="2"/>
  <c r="B2046" i="2"/>
  <c r="A2046" i="2"/>
  <c r="B2045" i="2"/>
  <c r="A2045" i="2"/>
  <c r="B2044" i="2"/>
  <c r="A2044" i="2"/>
  <c r="C2044" i="2" s="1"/>
  <c r="G2044" i="2" s="1"/>
  <c r="B2043" i="2"/>
  <c r="A2043" i="2"/>
  <c r="B2042" i="2"/>
  <c r="A2042" i="2"/>
  <c r="B2041" i="2"/>
  <c r="A2041" i="2"/>
  <c r="B2040" i="2"/>
  <c r="A2040" i="2"/>
  <c r="B2039" i="2"/>
  <c r="A2039" i="2"/>
  <c r="B2038" i="2"/>
  <c r="A2038" i="2"/>
  <c r="B2037" i="2"/>
  <c r="A2037" i="2"/>
  <c r="B2036" i="2"/>
  <c r="A2036" i="2"/>
  <c r="B2035" i="2"/>
  <c r="A2035" i="2"/>
  <c r="B2034" i="2"/>
  <c r="C2034" i="2" s="1"/>
  <c r="G2034" i="2" s="1"/>
  <c r="A2034" i="2"/>
  <c r="C2033" i="2"/>
  <c r="G2033" i="2" s="1"/>
  <c r="B2033" i="2"/>
  <c r="A2033" i="2"/>
  <c r="B2032" i="2"/>
  <c r="A2032" i="2"/>
  <c r="B2031" i="2"/>
  <c r="A2031" i="2"/>
  <c r="C2031" i="2" s="1"/>
  <c r="G2031" i="2" s="1"/>
  <c r="B2030" i="2"/>
  <c r="A2030" i="2"/>
  <c r="C2030" i="2" s="1"/>
  <c r="G2030" i="2" s="1"/>
  <c r="B2029" i="2"/>
  <c r="A2029" i="2"/>
  <c r="B2028" i="2"/>
  <c r="A2028" i="2"/>
  <c r="B2027" i="2"/>
  <c r="A2027" i="2"/>
  <c r="B2026" i="2"/>
  <c r="A2026" i="2"/>
  <c r="B2025" i="2"/>
  <c r="A2025" i="2"/>
  <c r="C2025" i="2" s="1"/>
  <c r="G2025" i="2" s="1"/>
  <c r="B2024" i="2"/>
  <c r="A2024" i="2"/>
  <c r="B2023" i="2"/>
  <c r="C2023" i="2" s="1"/>
  <c r="G2023" i="2" s="1"/>
  <c r="A2023" i="2"/>
  <c r="B2022" i="2"/>
  <c r="A2022" i="2"/>
  <c r="B2021" i="2"/>
  <c r="A2021" i="2"/>
  <c r="B2020" i="2"/>
  <c r="A2020" i="2"/>
  <c r="B2019" i="2"/>
  <c r="A2019" i="2"/>
  <c r="B2018" i="2"/>
  <c r="A2018" i="2"/>
  <c r="B2017" i="2"/>
  <c r="A2017" i="2"/>
  <c r="B2016" i="2"/>
  <c r="A2016" i="2"/>
  <c r="B2015" i="2"/>
  <c r="A2015" i="2"/>
  <c r="B2014" i="2"/>
  <c r="A2014" i="2"/>
  <c r="B2013" i="2"/>
  <c r="A2013" i="2"/>
  <c r="B2012" i="2"/>
  <c r="A2012" i="2"/>
  <c r="B2011" i="2"/>
  <c r="A2011" i="2"/>
  <c r="B2010" i="2"/>
  <c r="A2010" i="2"/>
  <c r="B2009" i="2"/>
  <c r="A2009" i="2"/>
  <c r="C2009" i="2" s="1"/>
  <c r="G2009" i="2" s="1"/>
  <c r="B2008" i="2"/>
  <c r="A2008" i="2"/>
  <c r="B2007" i="2"/>
  <c r="A2007" i="2"/>
  <c r="C2007" i="2" s="1"/>
  <c r="G2007" i="2" s="1"/>
  <c r="B2006" i="2"/>
  <c r="A2006" i="2"/>
  <c r="B2005" i="2"/>
  <c r="A2005" i="2"/>
  <c r="B2004" i="2"/>
  <c r="A2004" i="2"/>
  <c r="B2003" i="2"/>
  <c r="A2003" i="2"/>
  <c r="B2002" i="2"/>
  <c r="A2002" i="2"/>
  <c r="B2001" i="2"/>
  <c r="A2001" i="2"/>
  <c r="B2000" i="2"/>
  <c r="A2000" i="2"/>
  <c r="B1999" i="2"/>
  <c r="A1999" i="2"/>
  <c r="C1999" i="2" s="1"/>
  <c r="G1999" i="2" s="1"/>
  <c r="B1998" i="2"/>
  <c r="A1998" i="2"/>
  <c r="C1998" i="2" s="1"/>
  <c r="G1998" i="2" s="1"/>
  <c r="B1997" i="2"/>
  <c r="A1997" i="2"/>
  <c r="B1996" i="2"/>
  <c r="A1996" i="2"/>
  <c r="B1995" i="2"/>
  <c r="A1995" i="2"/>
  <c r="B1994" i="2"/>
  <c r="A1994" i="2"/>
  <c r="B1993" i="2"/>
  <c r="A1993" i="2"/>
  <c r="B1992" i="2"/>
  <c r="A1992" i="2"/>
  <c r="B1991" i="2"/>
  <c r="A1991" i="2"/>
  <c r="C1991" i="2" s="1"/>
  <c r="G1991" i="2" s="1"/>
  <c r="B1990" i="2"/>
  <c r="A1990" i="2"/>
  <c r="C1990" i="2" s="1"/>
  <c r="G1990" i="2" s="1"/>
  <c r="B1989" i="2"/>
  <c r="A1989" i="2"/>
  <c r="B1988" i="2"/>
  <c r="A1988" i="2"/>
  <c r="B1987" i="2"/>
  <c r="A1987" i="2"/>
  <c r="B1986" i="2"/>
  <c r="A1986" i="2"/>
  <c r="B1985" i="2"/>
  <c r="A1985" i="2"/>
  <c r="B1984" i="2"/>
  <c r="A1984" i="2"/>
  <c r="B1983" i="2"/>
  <c r="A1983" i="2"/>
  <c r="B1982" i="2"/>
  <c r="A1982" i="2"/>
  <c r="C1982" i="2" s="1"/>
  <c r="G1982" i="2" s="1"/>
  <c r="B1981" i="2"/>
  <c r="A1981" i="2"/>
  <c r="B1980" i="2"/>
  <c r="A1980" i="2"/>
  <c r="B1979" i="2"/>
  <c r="A1979" i="2"/>
  <c r="B1978" i="2"/>
  <c r="A1978" i="2"/>
  <c r="B1977" i="2"/>
  <c r="A1977" i="2"/>
  <c r="C1977" i="2" s="1"/>
  <c r="G1977" i="2" s="1"/>
  <c r="B1976" i="2"/>
  <c r="A1976" i="2"/>
  <c r="C1975" i="2"/>
  <c r="G1975" i="2" s="1"/>
  <c r="B1975" i="2"/>
  <c r="A1975" i="2"/>
  <c r="B1974" i="2"/>
  <c r="A1974" i="2"/>
  <c r="B1973" i="2"/>
  <c r="A1973" i="2"/>
  <c r="B1972" i="2"/>
  <c r="A1972" i="2"/>
  <c r="B1971" i="2"/>
  <c r="A1971" i="2"/>
  <c r="B1970" i="2"/>
  <c r="A1970" i="2"/>
  <c r="B1969" i="2"/>
  <c r="A1969" i="2"/>
  <c r="C1969" i="2" s="1"/>
  <c r="G1969" i="2" s="1"/>
  <c r="B1968" i="2"/>
  <c r="A1968" i="2"/>
  <c r="B1967" i="2"/>
  <c r="A1967" i="2"/>
  <c r="C1967" i="2" s="1"/>
  <c r="G1967" i="2" s="1"/>
  <c r="B1966" i="2"/>
  <c r="A1966" i="2"/>
  <c r="B1965" i="2"/>
  <c r="A1965" i="2"/>
  <c r="B1964" i="2"/>
  <c r="A1964" i="2"/>
  <c r="C1964" i="2" s="1"/>
  <c r="G1964" i="2" s="1"/>
  <c r="B1963" i="2"/>
  <c r="A1963" i="2"/>
  <c r="B1962" i="2"/>
  <c r="A1962" i="2"/>
  <c r="B1961" i="2"/>
  <c r="A1961" i="2"/>
  <c r="B1960" i="2"/>
  <c r="A1960" i="2"/>
  <c r="B1959" i="2"/>
  <c r="A1959" i="2"/>
  <c r="B1958" i="2"/>
  <c r="A1958" i="2"/>
  <c r="B1957" i="2"/>
  <c r="A1957" i="2"/>
  <c r="B1956" i="2"/>
  <c r="A1956" i="2"/>
  <c r="C1956" i="2" s="1"/>
  <c r="G1956" i="2" s="1"/>
  <c r="B1955" i="2"/>
  <c r="A1955" i="2"/>
  <c r="B1954" i="2"/>
  <c r="A1954" i="2"/>
  <c r="B1953" i="2"/>
  <c r="A1953" i="2"/>
  <c r="C1953" i="2" s="1"/>
  <c r="G1953" i="2" s="1"/>
  <c r="B1952" i="2"/>
  <c r="A1952" i="2"/>
  <c r="B1951" i="2"/>
  <c r="A1951" i="2"/>
  <c r="C1951" i="2" s="1"/>
  <c r="G1951" i="2" s="1"/>
  <c r="B1950" i="2"/>
  <c r="A1950" i="2"/>
  <c r="B1949" i="2"/>
  <c r="A1949" i="2"/>
  <c r="C1949" i="2" s="1"/>
  <c r="G1949" i="2" s="1"/>
  <c r="B1948" i="2"/>
  <c r="A1948" i="2"/>
  <c r="B1947" i="2"/>
  <c r="A1947" i="2"/>
  <c r="B1946" i="2"/>
  <c r="A1946" i="2"/>
  <c r="B1945" i="2"/>
  <c r="A1945" i="2"/>
  <c r="B1944" i="2"/>
  <c r="A1944" i="2"/>
  <c r="B1943" i="2"/>
  <c r="A1943" i="2"/>
  <c r="C1943" i="2" s="1"/>
  <c r="G1943" i="2" s="1"/>
  <c r="B1942" i="2"/>
  <c r="A1942" i="2"/>
  <c r="B1941" i="2"/>
  <c r="A1941" i="2"/>
  <c r="B1940" i="2"/>
  <c r="A1940" i="2"/>
  <c r="C1940" i="2" s="1"/>
  <c r="G1940" i="2" s="1"/>
  <c r="B1939" i="2"/>
  <c r="A1939" i="2"/>
  <c r="B1938" i="2"/>
  <c r="A1938" i="2"/>
  <c r="B1937" i="2"/>
  <c r="A1937" i="2"/>
  <c r="B1936" i="2"/>
  <c r="A1936" i="2"/>
  <c r="B1935" i="2"/>
  <c r="A1935" i="2"/>
  <c r="C1934" i="2"/>
  <c r="G1934" i="2" s="1"/>
  <c r="B1934" i="2"/>
  <c r="A1934" i="2"/>
  <c r="B1933" i="2"/>
  <c r="A1933" i="2"/>
  <c r="B1932" i="2"/>
  <c r="A1932" i="2"/>
  <c r="B1931" i="2"/>
  <c r="A1931" i="2"/>
  <c r="B1930" i="2"/>
  <c r="A1930" i="2"/>
  <c r="B1929" i="2"/>
  <c r="A1929" i="2"/>
  <c r="B1928" i="2"/>
  <c r="A1928" i="2"/>
  <c r="B1927" i="2"/>
  <c r="A1927" i="2"/>
  <c r="C1927" i="2" s="1"/>
  <c r="G1927" i="2" s="1"/>
  <c r="B1926" i="2"/>
  <c r="A1926" i="2"/>
  <c r="C1926" i="2" s="1"/>
  <c r="G1926" i="2" s="1"/>
  <c r="B1925" i="2"/>
  <c r="A1925" i="2"/>
  <c r="B1924" i="2"/>
  <c r="A1924" i="2"/>
  <c r="B1923" i="2"/>
  <c r="A1923" i="2"/>
  <c r="B1922" i="2"/>
  <c r="A1922" i="2"/>
  <c r="C1921" i="2"/>
  <c r="G1921" i="2" s="1"/>
  <c r="B1921" i="2"/>
  <c r="A1921" i="2"/>
  <c r="B1920" i="2"/>
  <c r="A1920" i="2"/>
  <c r="B1919" i="2"/>
  <c r="A1919" i="2"/>
  <c r="B1918" i="2"/>
  <c r="C1918" i="2" s="1"/>
  <c r="G1918" i="2" s="1"/>
  <c r="A1918" i="2"/>
  <c r="B1917" i="2"/>
  <c r="A1917" i="2"/>
  <c r="B1916" i="2"/>
  <c r="A1916" i="2"/>
  <c r="B1915" i="2"/>
  <c r="A1915" i="2"/>
  <c r="C1915" i="2" s="1"/>
  <c r="G1915" i="2" s="1"/>
  <c r="B1914" i="2"/>
  <c r="A1914" i="2"/>
  <c r="B1913" i="2"/>
  <c r="A1913" i="2"/>
  <c r="B1912" i="2"/>
  <c r="A1912" i="2"/>
  <c r="B1911" i="2"/>
  <c r="A1911" i="2"/>
  <c r="B1910" i="2"/>
  <c r="A1910" i="2"/>
  <c r="B1909" i="2"/>
  <c r="A1909" i="2"/>
  <c r="B1908" i="2"/>
  <c r="A1908" i="2"/>
  <c r="B1907" i="2"/>
  <c r="A1907" i="2"/>
  <c r="B1906" i="2"/>
  <c r="A1906" i="2"/>
  <c r="B1905" i="2"/>
  <c r="A1905" i="2"/>
  <c r="B1904" i="2"/>
  <c r="A1904" i="2"/>
  <c r="B1903" i="2"/>
  <c r="A1903" i="2"/>
  <c r="B1902" i="2"/>
  <c r="A1902" i="2"/>
  <c r="B1901" i="2"/>
  <c r="A1901" i="2"/>
  <c r="B1900" i="2"/>
  <c r="A1900" i="2"/>
  <c r="B1899" i="2"/>
  <c r="A1899" i="2"/>
  <c r="B1898" i="2"/>
  <c r="A1898" i="2"/>
  <c r="C1897" i="2"/>
  <c r="G1897" i="2" s="1"/>
  <c r="B1897" i="2"/>
  <c r="A1897" i="2"/>
  <c r="B1896" i="2"/>
  <c r="A1896" i="2"/>
  <c r="B1895" i="2"/>
  <c r="A1895" i="2"/>
  <c r="C1895" i="2" s="1"/>
  <c r="G1895" i="2" s="1"/>
  <c r="B1894" i="2"/>
  <c r="A1894" i="2"/>
  <c r="B1893" i="2"/>
  <c r="A1893" i="2"/>
  <c r="B1892" i="2"/>
  <c r="A1892" i="2"/>
  <c r="B1891" i="2"/>
  <c r="A1891" i="2"/>
  <c r="B1890" i="2"/>
  <c r="A1890" i="2"/>
  <c r="B1889" i="2"/>
  <c r="A1889" i="2"/>
  <c r="C1889" i="2" s="1"/>
  <c r="G1889" i="2" s="1"/>
  <c r="B1888" i="2"/>
  <c r="A1888" i="2"/>
  <c r="B1887" i="2"/>
  <c r="A1887" i="2"/>
  <c r="C1887" i="2" s="1"/>
  <c r="G1887" i="2" s="1"/>
  <c r="B1886" i="2"/>
  <c r="A1886" i="2"/>
  <c r="C1886" i="2" s="1"/>
  <c r="G1886" i="2" s="1"/>
  <c r="B1885" i="2"/>
  <c r="A1885" i="2"/>
  <c r="C1885" i="2" s="1"/>
  <c r="G1885" i="2" s="1"/>
  <c r="B1884" i="2"/>
  <c r="A1884" i="2"/>
  <c r="B1883" i="2"/>
  <c r="A1883" i="2"/>
  <c r="B1882" i="2"/>
  <c r="A1882" i="2"/>
  <c r="B1881" i="2"/>
  <c r="A1881" i="2"/>
  <c r="C1881" i="2" s="1"/>
  <c r="G1881" i="2" s="1"/>
  <c r="B1880" i="2"/>
  <c r="A1880" i="2"/>
  <c r="B1879" i="2"/>
  <c r="A1879" i="2"/>
  <c r="C1879" i="2" s="1"/>
  <c r="G1879" i="2" s="1"/>
  <c r="B1878" i="2"/>
  <c r="A1878" i="2"/>
  <c r="B1877" i="2"/>
  <c r="A1877" i="2"/>
  <c r="B1876" i="2"/>
  <c r="A1876" i="2"/>
  <c r="B1875" i="2"/>
  <c r="A1875" i="2"/>
  <c r="B1874" i="2"/>
  <c r="A1874" i="2"/>
  <c r="B1873" i="2"/>
  <c r="A1873" i="2"/>
  <c r="B1872" i="2"/>
  <c r="A1872" i="2"/>
  <c r="B1871" i="2"/>
  <c r="A1871" i="2"/>
  <c r="B1870" i="2"/>
  <c r="A1870" i="2"/>
  <c r="C1870" i="2" s="1"/>
  <c r="G1870" i="2" s="1"/>
  <c r="B1869" i="2"/>
  <c r="A1869" i="2"/>
  <c r="B1868" i="2"/>
  <c r="A1868" i="2"/>
  <c r="B1867" i="2"/>
  <c r="A1867" i="2"/>
  <c r="B1866" i="2"/>
  <c r="A1866" i="2"/>
  <c r="B1865" i="2"/>
  <c r="A1865" i="2"/>
  <c r="C1865" i="2" s="1"/>
  <c r="G1865" i="2" s="1"/>
  <c r="B1864" i="2"/>
  <c r="A1864" i="2"/>
  <c r="B1863" i="2"/>
  <c r="A1863" i="2"/>
  <c r="C1863" i="2" s="1"/>
  <c r="G1863" i="2" s="1"/>
  <c r="B1862" i="2"/>
  <c r="A1862" i="2"/>
  <c r="C1862" i="2" s="1"/>
  <c r="G1862" i="2" s="1"/>
  <c r="B1861" i="2"/>
  <c r="A1861" i="2"/>
  <c r="B1860" i="2"/>
  <c r="A1860" i="2"/>
  <c r="B1859" i="2"/>
  <c r="A1859" i="2"/>
  <c r="B1858" i="2"/>
  <c r="A1858" i="2"/>
  <c r="B1857" i="2"/>
  <c r="A1857" i="2"/>
  <c r="C1857" i="2" s="1"/>
  <c r="G1857" i="2" s="1"/>
  <c r="B1856" i="2"/>
  <c r="A1856" i="2"/>
  <c r="B1855" i="2"/>
  <c r="A1855" i="2"/>
  <c r="C1854" i="2"/>
  <c r="G1854" i="2" s="1"/>
  <c r="B1854" i="2"/>
  <c r="A1854" i="2"/>
  <c r="B1853" i="2"/>
  <c r="A1853" i="2"/>
  <c r="B1852" i="2"/>
  <c r="A1852" i="2"/>
  <c r="B1851" i="2"/>
  <c r="A1851" i="2"/>
  <c r="C1851" i="2" s="1"/>
  <c r="G1851" i="2" s="1"/>
  <c r="B1850" i="2"/>
  <c r="A1850" i="2"/>
  <c r="B1849" i="2"/>
  <c r="A1849" i="2"/>
  <c r="C1849" i="2" s="1"/>
  <c r="G1849" i="2" s="1"/>
  <c r="B1848" i="2"/>
  <c r="A1848" i="2"/>
  <c r="B1847" i="2"/>
  <c r="A1847" i="2"/>
  <c r="B1846" i="2"/>
  <c r="A1846" i="2"/>
  <c r="C1846" i="2" s="1"/>
  <c r="G1846" i="2" s="1"/>
  <c r="B1845" i="2"/>
  <c r="A1845" i="2"/>
  <c r="B1844" i="2"/>
  <c r="A1844" i="2"/>
  <c r="B1843" i="2"/>
  <c r="A1843" i="2"/>
  <c r="B1842" i="2"/>
  <c r="A1842" i="2"/>
  <c r="B1841" i="2"/>
  <c r="A1841" i="2"/>
  <c r="B1840" i="2"/>
  <c r="A1840" i="2"/>
  <c r="B1839" i="2"/>
  <c r="A1839" i="2"/>
  <c r="B1838" i="2"/>
  <c r="A1838" i="2"/>
  <c r="C1838" i="2" s="1"/>
  <c r="G1838" i="2" s="1"/>
  <c r="B1837" i="2"/>
  <c r="A1837" i="2"/>
  <c r="B1836" i="2"/>
  <c r="A1836" i="2"/>
  <c r="B1835" i="2"/>
  <c r="A1835" i="2"/>
  <c r="B1834" i="2"/>
  <c r="A1834" i="2"/>
  <c r="B1833" i="2"/>
  <c r="A1833" i="2"/>
  <c r="B1832" i="2"/>
  <c r="A1832" i="2"/>
  <c r="B1831" i="2"/>
  <c r="A1831" i="2"/>
  <c r="B1830" i="2"/>
  <c r="A1830" i="2"/>
  <c r="B1829" i="2"/>
  <c r="A1829" i="2"/>
  <c r="B1828" i="2"/>
  <c r="A1828" i="2"/>
  <c r="B1827" i="2"/>
  <c r="A1827" i="2"/>
  <c r="B1826" i="2"/>
  <c r="A1826" i="2"/>
  <c r="B1825" i="2"/>
  <c r="A1825" i="2"/>
  <c r="B1824" i="2"/>
  <c r="A1824" i="2"/>
  <c r="B1823" i="2"/>
  <c r="A1823" i="2"/>
  <c r="B1822" i="2"/>
  <c r="A1822" i="2"/>
  <c r="C1822" i="2" s="1"/>
  <c r="G1822" i="2" s="1"/>
  <c r="B1821" i="2"/>
  <c r="A1821" i="2"/>
  <c r="B1820" i="2"/>
  <c r="A1820" i="2"/>
  <c r="B1819" i="2"/>
  <c r="A1819" i="2"/>
  <c r="B1818" i="2"/>
  <c r="A1818" i="2"/>
  <c r="B1817" i="2"/>
  <c r="A1817" i="2"/>
  <c r="C1817" i="2" s="1"/>
  <c r="G1817" i="2" s="1"/>
  <c r="B1816" i="2"/>
  <c r="A1816" i="2"/>
  <c r="B1815" i="2"/>
  <c r="A1815" i="2"/>
  <c r="B1814" i="2"/>
  <c r="A1814" i="2"/>
  <c r="C1814" i="2" s="1"/>
  <c r="G1814" i="2" s="1"/>
  <c r="B1813" i="2"/>
  <c r="A1813" i="2"/>
  <c r="B1812" i="2"/>
  <c r="A1812" i="2"/>
  <c r="B1811" i="2"/>
  <c r="A1811" i="2"/>
  <c r="B1810" i="2"/>
  <c r="A1810" i="2"/>
  <c r="B1809" i="2"/>
  <c r="A1809" i="2"/>
  <c r="B1808" i="2"/>
  <c r="A1808" i="2"/>
  <c r="B1807" i="2"/>
  <c r="A1807" i="2"/>
  <c r="B1806" i="2"/>
  <c r="A1806" i="2"/>
  <c r="C1806" i="2" s="1"/>
  <c r="G1806" i="2" s="1"/>
  <c r="B1805" i="2"/>
  <c r="A1805" i="2"/>
  <c r="C1805" i="2" s="1"/>
  <c r="G1805" i="2" s="1"/>
  <c r="B1804" i="2"/>
  <c r="A1804" i="2"/>
  <c r="B1803" i="2"/>
  <c r="A1803" i="2"/>
  <c r="B1802" i="2"/>
  <c r="A1802" i="2"/>
  <c r="B1801" i="2"/>
  <c r="A1801" i="2"/>
  <c r="C1801" i="2" s="1"/>
  <c r="G1801" i="2" s="1"/>
  <c r="B1800" i="2"/>
  <c r="A1800" i="2"/>
  <c r="B1799" i="2"/>
  <c r="A1799" i="2"/>
  <c r="B1798" i="2"/>
  <c r="A1798" i="2"/>
  <c r="B1797" i="2"/>
  <c r="A1797" i="2"/>
  <c r="B1796" i="2"/>
  <c r="A1796" i="2"/>
  <c r="B1795" i="2"/>
  <c r="A1795" i="2"/>
  <c r="B1794" i="2"/>
  <c r="A1794" i="2"/>
  <c r="B1793" i="2"/>
  <c r="A1793" i="2"/>
  <c r="C1793" i="2" s="1"/>
  <c r="G1793" i="2" s="1"/>
  <c r="B1792" i="2"/>
  <c r="A1792" i="2"/>
  <c r="B1791" i="2"/>
  <c r="A1791" i="2"/>
  <c r="B1790" i="2"/>
  <c r="A1790" i="2"/>
  <c r="B1789" i="2"/>
  <c r="A1789" i="2"/>
  <c r="B1788" i="2"/>
  <c r="A1788" i="2"/>
  <c r="B1787" i="2"/>
  <c r="A1787" i="2"/>
  <c r="B1786" i="2"/>
  <c r="A1786" i="2"/>
  <c r="B1785" i="2"/>
  <c r="A1785" i="2"/>
  <c r="C1785" i="2" s="1"/>
  <c r="G1785" i="2" s="1"/>
  <c r="B1784" i="2"/>
  <c r="A1784" i="2"/>
  <c r="B1783" i="2"/>
  <c r="A1783" i="2"/>
  <c r="B1782" i="2"/>
  <c r="A1782" i="2"/>
  <c r="C1782" i="2" s="1"/>
  <c r="G1782" i="2" s="1"/>
  <c r="B1781" i="2"/>
  <c r="A1781" i="2"/>
  <c r="B1780" i="2"/>
  <c r="A1780" i="2"/>
  <c r="B1779" i="2"/>
  <c r="A1779" i="2"/>
  <c r="B1778" i="2"/>
  <c r="A1778" i="2"/>
  <c r="B1777" i="2"/>
  <c r="C1777" i="2" s="1"/>
  <c r="G1777" i="2" s="1"/>
  <c r="A1777" i="2"/>
  <c r="B1776" i="2"/>
  <c r="A1776" i="2"/>
  <c r="B1775" i="2"/>
  <c r="A1775" i="2"/>
  <c r="C1775" i="2" s="1"/>
  <c r="G1775" i="2" s="1"/>
  <c r="B1774" i="2"/>
  <c r="A1774" i="2"/>
  <c r="C1774" i="2" s="1"/>
  <c r="G1774" i="2" s="1"/>
  <c r="B1773" i="2"/>
  <c r="A1773" i="2"/>
  <c r="B1772" i="2"/>
  <c r="A1772" i="2"/>
  <c r="B1771" i="2"/>
  <c r="A1771" i="2"/>
  <c r="C1771" i="2" s="1"/>
  <c r="G1771" i="2" s="1"/>
  <c r="B1770" i="2"/>
  <c r="A1770" i="2"/>
  <c r="B1769" i="2"/>
  <c r="C1769" i="2" s="1"/>
  <c r="G1769" i="2" s="1"/>
  <c r="A1769" i="2"/>
  <c r="B1768" i="2"/>
  <c r="A1768" i="2"/>
  <c r="B1767" i="2"/>
  <c r="A1767" i="2"/>
  <c r="C1767" i="2" s="1"/>
  <c r="G1767" i="2" s="1"/>
  <c r="B1766" i="2"/>
  <c r="A1766" i="2"/>
  <c r="B1765" i="2"/>
  <c r="A1765" i="2"/>
  <c r="B1764" i="2"/>
  <c r="A1764" i="2"/>
  <c r="B1763" i="2"/>
  <c r="A1763" i="2"/>
  <c r="B1762" i="2"/>
  <c r="A1762" i="2"/>
  <c r="B1761" i="2"/>
  <c r="A1761" i="2"/>
  <c r="C1761" i="2" s="1"/>
  <c r="G1761" i="2" s="1"/>
  <c r="B1760" i="2"/>
  <c r="A1760" i="2"/>
  <c r="B1759" i="2"/>
  <c r="A1759" i="2"/>
  <c r="C1759" i="2" s="1"/>
  <c r="G1759" i="2" s="1"/>
  <c r="B1758" i="2"/>
  <c r="A1758" i="2"/>
  <c r="C1758" i="2" s="1"/>
  <c r="G1758" i="2" s="1"/>
  <c r="B1757" i="2"/>
  <c r="A1757" i="2"/>
  <c r="B1756" i="2"/>
  <c r="A1756" i="2"/>
  <c r="B1755" i="2"/>
  <c r="A1755" i="2"/>
  <c r="B1754" i="2"/>
  <c r="A1754" i="2"/>
  <c r="B1753" i="2"/>
  <c r="A1753" i="2"/>
  <c r="C1753" i="2" s="1"/>
  <c r="G1753" i="2" s="1"/>
  <c r="B1752" i="2"/>
  <c r="A1752" i="2"/>
  <c r="B1751" i="2"/>
  <c r="A1751" i="2"/>
  <c r="B1750" i="2"/>
  <c r="A1750" i="2"/>
  <c r="C1750" i="2" s="1"/>
  <c r="G1750" i="2" s="1"/>
  <c r="B1749" i="2"/>
  <c r="A1749" i="2"/>
  <c r="B1748" i="2"/>
  <c r="A1748" i="2"/>
  <c r="B1747" i="2"/>
  <c r="A1747" i="2"/>
  <c r="B1746" i="2"/>
  <c r="A1746" i="2"/>
  <c r="B1745" i="2"/>
  <c r="A1745" i="2"/>
  <c r="C1745" i="2" s="1"/>
  <c r="G1745" i="2" s="1"/>
  <c r="B1744" i="2"/>
  <c r="A1744" i="2"/>
  <c r="B1743" i="2"/>
  <c r="A1743" i="2"/>
  <c r="B1742" i="2"/>
  <c r="A1742" i="2"/>
  <c r="B1741" i="2"/>
  <c r="A1741" i="2"/>
  <c r="B1740" i="2"/>
  <c r="A1740" i="2"/>
  <c r="C1740" i="2" s="1"/>
  <c r="G1740" i="2" s="1"/>
  <c r="B1739" i="2"/>
  <c r="A1739" i="2"/>
  <c r="B1738" i="2"/>
  <c r="A1738" i="2"/>
  <c r="B1737" i="2"/>
  <c r="A1737" i="2"/>
  <c r="B1736" i="2"/>
  <c r="A1736" i="2"/>
  <c r="B1735" i="2"/>
  <c r="A1735" i="2"/>
  <c r="C1735" i="2" s="1"/>
  <c r="G1735" i="2" s="1"/>
  <c r="C1734" i="2"/>
  <c r="G1734" i="2" s="1"/>
  <c r="B1734" i="2"/>
  <c r="A1734" i="2"/>
  <c r="B1733" i="2"/>
  <c r="A1733" i="2"/>
  <c r="B1732" i="2"/>
  <c r="A1732" i="2"/>
  <c r="B1731" i="2"/>
  <c r="A1731" i="2"/>
  <c r="B1730" i="2"/>
  <c r="A1730" i="2"/>
  <c r="B1729" i="2"/>
  <c r="A1729" i="2"/>
  <c r="B1728" i="2"/>
  <c r="A1728" i="2"/>
  <c r="B1727" i="2"/>
  <c r="A1727" i="2"/>
  <c r="B1726" i="2"/>
  <c r="A1726" i="2"/>
  <c r="C1726" i="2" s="1"/>
  <c r="G1726" i="2" s="1"/>
  <c r="B1725" i="2"/>
  <c r="A1725" i="2"/>
  <c r="B1724" i="2"/>
  <c r="A1724" i="2"/>
  <c r="B1723" i="2"/>
  <c r="A1723" i="2"/>
  <c r="B1722" i="2"/>
  <c r="A1722" i="2"/>
  <c r="B1721" i="2"/>
  <c r="A1721" i="2"/>
  <c r="C1721" i="2" s="1"/>
  <c r="G1721" i="2" s="1"/>
  <c r="B1720" i="2"/>
  <c r="A1720" i="2"/>
  <c r="B1719" i="2"/>
  <c r="A1719" i="2"/>
  <c r="B1718" i="2"/>
  <c r="A1718" i="2"/>
  <c r="C1718" i="2" s="1"/>
  <c r="G1718" i="2" s="1"/>
  <c r="B1717" i="2"/>
  <c r="A1717" i="2"/>
  <c r="B1716" i="2"/>
  <c r="A1716" i="2"/>
  <c r="B1715" i="2"/>
  <c r="A1715" i="2"/>
  <c r="B1714" i="2"/>
  <c r="A1714" i="2"/>
  <c r="B1713" i="2"/>
  <c r="A1713" i="2"/>
  <c r="C1713" i="2" s="1"/>
  <c r="G1713" i="2" s="1"/>
  <c r="B1712" i="2"/>
  <c r="A1712" i="2"/>
  <c r="B1711" i="2"/>
  <c r="A1711" i="2"/>
  <c r="B1710" i="2"/>
  <c r="A1710" i="2"/>
  <c r="B1709" i="2"/>
  <c r="A1709" i="2"/>
  <c r="B1708" i="2"/>
  <c r="A1708" i="2"/>
  <c r="B1707" i="2"/>
  <c r="A1707" i="2"/>
  <c r="B1706" i="2"/>
  <c r="A1706" i="2"/>
  <c r="B1705" i="2"/>
  <c r="A1705" i="2"/>
  <c r="C1705" i="2" s="1"/>
  <c r="G1705" i="2" s="1"/>
  <c r="B1704" i="2"/>
  <c r="A1704" i="2"/>
  <c r="B1703" i="2"/>
  <c r="A1703" i="2"/>
  <c r="C1702" i="2"/>
  <c r="G1702" i="2" s="1"/>
  <c r="B1702" i="2"/>
  <c r="A1702" i="2"/>
  <c r="B1701" i="2"/>
  <c r="A1701" i="2"/>
  <c r="B1700" i="2"/>
  <c r="A1700" i="2"/>
  <c r="B1699" i="2"/>
  <c r="A1699" i="2"/>
  <c r="B1698" i="2"/>
  <c r="A1698" i="2"/>
  <c r="B1697" i="2"/>
  <c r="A1697" i="2"/>
  <c r="B1696" i="2"/>
  <c r="A1696" i="2"/>
  <c r="C1696" i="2" s="1"/>
  <c r="G1696" i="2" s="1"/>
  <c r="B1695" i="2"/>
  <c r="A1695" i="2"/>
  <c r="B1694" i="2"/>
  <c r="A1694" i="2"/>
  <c r="C1694" i="2" s="1"/>
  <c r="G1694" i="2" s="1"/>
  <c r="B1693" i="2"/>
  <c r="A1693" i="2"/>
  <c r="B1692" i="2"/>
  <c r="A1692" i="2"/>
  <c r="C1692" i="2" s="1"/>
  <c r="G1692" i="2" s="1"/>
  <c r="B1691" i="2"/>
  <c r="A1691" i="2"/>
  <c r="B1690" i="2"/>
  <c r="A1690" i="2"/>
  <c r="B1689" i="2"/>
  <c r="A1689" i="2"/>
  <c r="B1688" i="2"/>
  <c r="A1688" i="2"/>
  <c r="B1687" i="2"/>
  <c r="A1687" i="2"/>
  <c r="B1686" i="2"/>
  <c r="A1686" i="2"/>
  <c r="C1686" i="2" s="1"/>
  <c r="G1686" i="2" s="1"/>
  <c r="B1685" i="2"/>
  <c r="A1685" i="2"/>
  <c r="B1684" i="2"/>
  <c r="A1684" i="2"/>
  <c r="B1683" i="2"/>
  <c r="A1683" i="2"/>
  <c r="B1682" i="2"/>
  <c r="A1682" i="2"/>
  <c r="C1681" i="2"/>
  <c r="G1681" i="2" s="1"/>
  <c r="B1681" i="2"/>
  <c r="A1681" i="2"/>
  <c r="B1680" i="2"/>
  <c r="A1680" i="2"/>
  <c r="B1679" i="2"/>
  <c r="A1679" i="2"/>
  <c r="B1678" i="2"/>
  <c r="A1678" i="2"/>
  <c r="C1678" i="2" s="1"/>
  <c r="G1678" i="2" s="1"/>
  <c r="B1677" i="2"/>
  <c r="A1677" i="2"/>
  <c r="B1676" i="2"/>
  <c r="A1676" i="2"/>
  <c r="B1675" i="2"/>
  <c r="A1675" i="2"/>
  <c r="B1674" i="2"/>
  <c r="A1674" i="2"/>
  <c r="B1673" i="2"/>
  <c r="A1673" i="2"/>
  <c r="B1672" i="2"/>
  <c r="A1672" i="2"/>
  <c r="B1671" i="2"/>
  <c r="A1671" i="2"/>
  <c r="B1670" i="2"/>
  <c r="A1670" i="2"/>
  <c r="C1670" i="2" s="1"/>
  <c r="G1670" i="2" s="1"/>
  <c r="B1669" i="2"/>
  <c r="A1669" i="2"/>
  <c r="B1668" i="2"/>
  <c r="A1668" i="2"/>
  <c r="B1667" i="2"/>
  <c r="A1667" i="2"/>
  <c r="C1667" i="2" s="1"/>
  <c r="G1667" i="2" s="1"/>
  <c r="B1666" i="2"/>
  <c r="A1666" i="2"/>
  <c r="B1665" i="2"/>
  <c r="A1665" i="2"/>
  <c r="B1664" i="2"/>
  <c r="A1664" i="2"/>
  <c r="C1664" i="2" s="1"/>
  <c r="G1664" i="2" s="1"/>
  <c r="B1663" i="2"/>
  <c r="A1663" i="2"/>
  <c r="B1662" i="2"/>
  <c r="A1662" i="2"/>
  <c r="C1662" i="2" s="1"/>
  <c r="G1662" i="2" s="1"/>
  <c r="B1661" i="2"/>
  <c r="A1661" i="2"/>
  <c r="B1660" i="2"/>
  <c r="A1660" i="2"/>
  <c r="B1659" i="2"/>
  <c r="A1659" i="2"/>
  <c r="B1658" i="2"/>
  <c r="A1658" i="2"/>
  <c r="B1657" i="2"/>
  <c r="A1657" i="2"/>
  <c r="B1656" i="2"/>
  <c r="A1656" i="2"/>
  <c r="B1655" i="2"/>
  <c r="A1655" i="2"/>
  <c r="B1654" i="2"/>
  <c r="A1654" i="2"/>
  <c r="C1654" i="2" s="1"/>
  <c r="G1654" i="2" s="1"/>
  <c r="B1653" i="2"/>
  <c r="A1653" i="2"/>
  <c r="B1652" i="2"/>
  <c r="A1652" i="2"/>
  <c r="B1651" i="2"/>
  <c r="A1651" i="2"/>
  <c r="B1650" i="2"/>
  <c r="A1650" i="2"/>
  <c r="B1649" i="2"/>
  <c r="C1649" i="2" s="1"/>
  <c r="G1649" i="2" s="1"/>
  <c r="A1649" i="2"/>
  <c r="B1648" i="2"/>
  <c r="A1648" i="2"/>
  <c r="B1647" i="2"/>
  <c r="A1647" i="2"/>
  <c r="B1646" i="2"/>
  <c r="A1646" i="2"/>
  <c r="B1645" i="2"/>
  <c r="A1645" i="2"/>
  <c r="B1644" i="2"/>
  <c r="A1644" i="2"/>
  <c r="C1644" i="2" s="1"/>
  <c r="G1644" i="2" s="1"/>
  <c r="B1643" i="2"/>
  <c r="A1643" i="2"/>
  <c r="B1642" i="2"/>
  <c r="A1642" i="2"/>
  <c r="C1641" i="2"/>
  <c r="G1641" i="2" s="1"/>
  <c r="B1641" i="2"/>
  <c r="A1641" i="2"/>
  <c r="B1640" i="2"/>
  <c r="A1640" i="2"/>
  <c r="B1639" i="2"/>
  <c r="A1639" i="2"/>
  <c r="C1639" i="2" s="1"/>
  <c r="G1639" i="2" s="1"/>
  <c r="B1638" i="2"/>
  <c r="A1638" i="2"/>
  <c r="B1637" i="2"/>
  <c r="A1637" i="2"/>
  <c r="B1636" i="2"/>
  <c r="A1636" i="2"/>
  <c r="B1635" i="2"/>
  <c r="A1635" i="2"/>
  <c r="B1634" i="2"/>
  <c r="A1634" i="2"/>
  <c r="B1633" i="2"/>
  <c r="A1633" i="2"/>
  <c r="B1632" i="2"/>
  <c r="A1632" i="2"/>
  <c r="B1631" i="2"/>
  <c r="A1631" i="2"/>
  <c r="B1630" i="2"/>
  <c r="A1630" i="2"/>
  <c r="B1629" i="2"/>
  <c r="A1629" i="2"/>
  <c r="B1628" i="2"/>
  <c r="A1628" i="2"/>
  <c r="B1627" i="2"/>
  <c r="A1627" i="2"/>
  <c r="B1626" i="2"/>
  <c r="A1626" i="2"/>
  <c r="B1625" i="2"/>
  <c r="A1625" i="2"/>
  <c r="B1624" i="2"/>
  <c r="A1624" i="2"/>
  <c r="B1623" i="2"/>
  <c r="A1623" i="2"/>
  <c r="B1622" i="2"/>
  <c r="C1622" i="2" s="1"/>
  <c r="G1622" i="2" s="1"/>
  <c r="A1622" i="2"/>
  <c r="B1621" i="2"/>
  <c r="A1621" i="2"/>
  <c r="B1620" i="2"/>
  <c r="A1620" i="2"/>
  <c r="B1619" i="2"/>
  <c r="A1619" i="2"/>
  <c r="B1618" i="2"/>
  <c r="C1618" i="2" s="1"/>
  <c r="G1618" i="2" s="1"/>
  <c r="A1618" i="2"/>
  <c r="B1617" i="2"/>
  <c r="A1617" i="2"/>
  <c r="B1616" i="2"/>
  <c r="A1616" i="2"/>
  <c r="B1615" i="2"/>
  <c r="A1615" i="2"/>
  <c r="B1614" i="2"/>
  <c r="A1614" i="2"/>
  <c r="B1613" i="2"/>
  <c r="A1613" i="2"/>
  <c r="B1612" i="2"/>
  <c r="A1612" i="2"/>
  <c r="B1611" i="2"/>
  <c r="A1611" i="2"/>
  <c r="B1610" i="2"/>
  <c r="A1610" i="2"/>
  <c r="B1609" i="2"/>
  <c r="C1609" i="2" s="1"/>
  <c r="G1609" i="2" s="1"/>
  <c r="A1609" i="2"/>
  <c r="B1608" i="2"/>
  <c r="A1608" i="2"/>
  <c r="B1607" i="2"/>
  <c r="A1607" i="2"/>
  <c r="B1606" i="2"/>
  <c r="A1606" i="2"/>
  <c r="B1605" i="2"/>
  <c r="A1605" i="2"/>
  <c r="B1604" i="2"/>
  <c r="A1604" i="2"/>
  <c r="B1603" i="2"/>
  <c r="A1603" i="2"/>
  <c r="C1603" i="2" s="1"/>
  <c r="G1603" i="2" s="1"/>
  <c r="B1602" i="2"/>
  <c r="A1602" i="2"/>
  <c r="B1601" i="2"/>
  <c r="A1601" i="2"/>
  <c r="B1600" i="2"/>
  <c r="A1600" i="2"/>
  <c r="B1599" i="2"/>
  <c r="A1599" i="2"/>
  <c r="C1599" i="2" s="1"/>
  <c r="G1599" i="2" s="1"/>
  <c r="B1598" i="2"/>
  <c r="A1598" i="2"/>
  <c r="B1597" i="2"/>
  <c r="A1597" i="2"/>
  <c r="B1596" i="2"/>
  <c r="A1596" i="2"/>
  <c r="B1595" i="2"/>
  <c r="A1595" i="2"/>
  <c r="B1594" i="2"/>
  <c r="A1594" i="2"/>
  <c r="B1593" i="2"/>
  <c r="C1593" i="2" s="1"/>
  <c r="G1593" i="2" s="1"/>
  <c r="A1593" i="2"/>
  <c r="B1592" i="2"/>
  <c r="A1592" i="2"/>
  <c r="B1591" i="2"/>
  <c r="A1591" i="2"/>
  <c r="B1590" i="2"/>
  <c r="A1590" i="2"/>
  <c r="B1589" i="2"/>
  <c r="A1589" i="2"/>
  <c r="B1588" i="2"/>
  <c r="A1588" i="2"/>
  <c r="B1587" i="2"/>
  <c r="A1587" i="2"/>
  <c r="C1587" i="2" s="1"/>
  <c r="G1587" i="2" s="1"/>
  <c r="B1586" i="2"/>
  <c r="A1586" i="2"/>
  <c r="B1585" i="2"/>
  <c r="A1585" i="2"/>
  <c r="B1584" i="2"/>
  <c r="A1584" i="2"/>
  <c r="B1583" i="2"/>
  <c r="A1583" i="2"/>
  <c r="C1583" i="2" s="1"/>
  <c r="G1583" i="2" s="1"/>
  <c r="B1582" i="2"/>
  <c r="C1582" i="2" s="1"/>
  <c r="G1582" i="2" s="1"/>
  <c r="A1582" i="2"/>
  <c r="B1581" i="2"/>
  <c r="A1581" i="2"/>
  <c r="B1580" i="2"/>
  <c r="A1580" i="2"/>
  <c r="B1579" i="2"/>
  <c r="A1579" i="2"/>
  <c r="B1578" i="2"/>
  <c r="A1578" i="2"/>
  <c r="B1577" i="2"/>
  <c r="A1577" i="2"/>
  <c r="B1576" i="2"/>
  <c r="A1576" i="2"/>
  <c r="B1575" i="2"/>
  <c r="A1575" i="2"/>
  <c r="C1575" i="2" s="1"/>
  <c r="G1575" i="2" s="1"/>
  <c r="B1574" i="2"/>
  <c r="A1574" i="2"/>
  <c r="B1573" i="2"/>
  <c r="A1573" i="2"/>
  <c r="B1572" i="2"/>
  <c r="A1572" i="2"/>
  <c r="B1571" i="2"/>
  <c r="A1571" i="2"/>
  <c r="B1570" i="2"/>
  <c r="A1570" i="2"/>
  <c r="B1569" i="2"/>
  <c r="A1569" i="2"/>
  <c r="B1568" i="2"/>
  <c r="A1568" i="2"/>
  <c r="B1567" i="2"/>
  <c r="A1567" i="2"/>
  <c r="C1567" i="2" s="1"/>
  <c r="G1567" i="2" s="1"/>
  <c r="B1566" i="2"/>
  <c r="A1566" i="2"/>
  <c r="B1565" i="2"/>
  <c r="A1565" i="2"/>
  <c r="B1564" i="2"/>
  <c r="A1564" i="2"/>
  <c r="B1563" i="2"/>
  <c r="A1563" i="2"/>
  <c r="B1562" i="2"/>
  <c r="A1562" i="2"/>
  <c r="B1561" i="2"/>
  <c r="A1561" i="2"/>
  <c r="C1561" i="2" s="1"/>
  <c r="G1561" i="2" s="1"/>
  <c r="B1560" i="2"/>
  <c r="A1560" i="2"/>
  <c r="B1559" i="2"/>
  <c r="A1559" i="2"/>
  <c r="C1558" i="2"/>
  <c r="G1558" i="2" s="1"/>
  <c r="B1558" i="2"/>
  <c r="A1558" i="2"/>
  <c r="B1557" i="2"/>
  <c r="C1557" i="2" s="1"/>
  <c r="G1557" i="2" s="1"/>
  <c r="A1557" i="2"/>
  <c r="B1556" i="2"/>
  <c r="A1556" i="2"/>
  <c r="B1555" i="2"/>
  <c r="A1555" i="2"/>
  <c r="B1554" i="2"/>
  <c r="A1554" i="2"/>
  <c r="B1553" i="2"/>
  <c r="C1553" i="2" s="1"/>
  <c r="G1553" i="2" s="1"/>
  <c r="A1553" i="2"/>
  <c r="B1552" i="2"/>
  <c r="A1552" i="2"/>
  <c r="B1551" i="2"/>
  <c r="A1551" i="2"/>
  <c r="B1550" i="2"/>
  <c r="A1550" i="2"/>
  <c r="B1549" i="2"/>
  <c r="A1549" i="2"/>
  <c r="B1548" i="2"/>
  <c r="A1548" i="2"/>
  <c r="B1547" i="2"/>
  <c r="A1547" i="2"/>
  <c r="C1547" i="2" s="1"/>
  <c r="G1547" i="2" s="1"/>
  <c r="B1546" i="2"/>
  <c r="A1546" i="2"/>
  <c r="B1545" i="2"/>
  <c r="A1545" i="2"/>
  <c r="B1544" i="2"/>
  <c r="A1544" i="2"/>
  <c r="B1543" i="2"/>
  <c r="A1543" i="2"/>
  <c r="C1543" i="2" s="1"/>
  <c r="G1543" i="2" s="1"/>
  <c r="B1542" i="2"/>
  <c r="C1542" i="2" s="1"/>
  <c r="G1542" i="2" s="1"/>
  <c r="A1542" i="2"/>
  <c r="B1541" i="2"/>
  <c r="A1541" i="2"/>
  <c r="B1540" i="2"/>
  <c r="A1540" i="2"/>
  <c r="B1539" i="2"/>
  <c r="A1539" i="2"/>
  <c r="B1538" i="2"/>
  <c r="A1538" i="2"/>
  <c r="B1537" i="2"/>
  <c r="A1537" i="2"/>
  <c r="B1536" i="2"/>
  <c r="A1536" i="2"/>
  <c r="B1535" i="2"/>
  <c r="A1535" i="2"/>
  <c r="B1534" i="2"/>
  <c r="A1534" i="2"/>
  <c r="B1533" i="2"/>
  <c r="A1533" i="2"/>
  <c r="B1532" i="2"/>
  <c r="A1532" i="2"/>
  <c r="B1531" i="2"/>
  <c r="A1531" i="2"/>
  <c r="B1530" i="2"/>
  <c r="A1530" i="2"/>
  <c r="B1529" i="2"/>
  <c r="A1529" i="2"/>
  <c r="B1528" i="2"/>
  <c r="A1528" i="2"/>
  <c r="B1527" i="2"/>
  <c r="A1527" i="2"/>
  <c r="B1526" i="2"/>
  <c r="A1526" i="2"/>
  <c r="B1525" i="2"/>
  <c r="A1525" i="2"/>
  <c r="B1524" i="2"/>
  <c r="A1524" i="2"/>
  <c r="B1523" i="2"/>
  <c r="A1523" i="2"/>
  <c r="B1522" i="2"/>
  <c r="C1522" i="2" s="1"/>
  <c r="G1522" i="2" s="1"/>
  <c r="A1522" i="2"/>
  <c r="B1521" i="2"/>
  <c r="A1521" i="2"/>
  <c r="B1520" i="2"/>
  <c r="A1520" i="2"/>
  <c r="B1519" i="2"/>
  <c r="A1519" i="2"/>
  <c r="B1518" i="2"/>
  <c r="A1518" i="2"/>
  <c r="B1517" i="2"/>
  <c r="A1517" i="2"/>
  <c r="B1516" i="2"/>
  <c r="A1516" i="2"/>
  <c r="B1515" i="2"/>
  <c r="A1515" i="2"/>
  <c r="B1514" i="2"/>
  <c r="C1514" i="2" s="1"/>
  <c r="G1514" i="2" s="1"/>
  <c r="A1514" i="2"/>
  <c r="B1513" i="2"/>
  <c r="A1513" i="2"/>
  <c r="B1512" i="2"/>
  <c r="A1512" i="2"/>
  <c r="B1511" i="2"/>
  <c r="A1511" i="2"/>
  <c r="B1510" i="2"/>
  <c r="A1510" i="2"/>
  <c r="C1510" i="2" s="1"/>
  <c r="G1510" i="2" s="1"/>
  <c r="B1509" i="2"/>
  <c r="A1509" i="2"/>
  <c r="B1508" i="2"/>
  <c r="A1508" i="2"/>
  <c r="B1507" i="2"/>
  <c r="A1507" i="2"/>
  <c r="B1506" i="2"/>
  <c r="A1506" i="2"/>
  <c r="B1505" i="2"/>
  <c r="A1505" i="2"/>
  <c r="B1504" i="2"/>
  <c r="A1504" i="2"/>
  <c r="B1503" i="2"/>
  <c r="A1503" i="2"/>
  <c r="B1502" i="2"/>
  <c r="A1502" i="2"/>
  <c r="C1502" i="2" s="1"/>
  <c r="G1502" i="2" s="1"/>
  <c r="B1501" i="2"/>
  <c r="A1501" i="2"/>
  <c r="B1500" i="2"/>
  <c r="A1500" i="2"/>
  <c r="B1499" i="2"/>
  <c r="A1499" i="2"/>
  <c r="B1498" i="2"/>
  <c r="A1498" i="2"/>
  <c r="C1498" i="2" s="1"/>
  <c r="G1498" i="2" s="1"/>
  <c r="B1497" i="2"/>
  <c r="A1497" i="2"/>
  <c r="B1496" i="2"/>
  <c r="A1496" i="2"/>
  <c r="B1495" i="2"/>
  <c r="A1495" i="2"/>
  <c r="B1494" i="2"/>
  <c r="A1494" i="2"/>
  <c r="C1494" i="2" s="1"/>
  <c r="G1494" i="2" s="1"/>
  <c r="B1493" i="2"/>
  <c r="A1493" i="2"/>
  <c r="C1493" i="2" s="1"/>
  <c r="G1493" i="2" s="1"/>
  <c r="B1492" i="2"/>
  <c r="A1492" i="2"/>
  <c r="B1491" i="2"/>
  <c r="A1491" i="2"/>
  <c r="B1490" i="2"/>
  <c r="A1490" i="2"/>
  <c r="B1489" i="2"/>
  <c r="A1489" i="2"/>
  <c r="B1488" i="2"/>
  <c r="A1488" i="2"/>
  <c r="B1487" i="2"/>
  <c r="A1487" i="2"/>
  <c r="B1486" i="2"/>
  <c r="A1486" i="2"/>
  <c r="C1486" i="2" s="1"/>
  <c r="G1486" i="2" s="1"/>
  <c r="B1485" i="2"/>
  <c r="A1485" i="2"/>
  <c r="B1484" i="2"/>
  <c r="A1484" i="2"/>
  <c r="B1483" i="2"/>
  <c r="A1483" i="2"/>
  <c r="B1482" i="2"/>
  <c r="A1482" i="2"/>
  <c r="B1481" i="2"/>
  <c r="A1481" i="2"/>
  <c r="B1480" i="2"/>
  <c r="A1480" i="2"/>
  <c r="B1479" i="2"/>
  <c r="A1479" i="2"/>
  <c r="B1478" i="2"/>
  <c r="A1478" i="2"/>
  <c r="C1478" i="2" s="1"/>
  <c r="G1478" i="2" s="1"/>
  <c r="B1477" i="2"/>
  <c r="A1477" i="2"/>
  <c r="B1476" i="2"/>
  <c r="A1476" i="2"/>
  <c r="C1476" i="2" s="1"/>
  <c r="G1476" i="2" s="1"/>
  <c r="B1475" i="2"/>
  <c r="A1475" i="2"/>
  <c r="B1474" i="2"/>
  <c r="A1474" i="2"/>
  <c r="C1474" i="2" s="1"/>
  <c r="G1474" i="2" s="1"/>
  <c r="B1473" i="2"/>
  <c r="A1473" i="2"/>
  <c r="B1472" i="2"/>
  <c r="A1472" i="2"/>
  <c r="B1471" i="2"/>
  <c r="A1471" i="2"/>
  <c r="B1470" i="2"/>
  <c r="A1470" i="2"/>
  <c r="C1470" i="2" s="1"/>
  <c r="G1470" i="2" s="1"/>
  <c r="B1469" i="2"/>
  <c r="A1469" i="2"/>
  <c r="B1468" i="2"/>
  <c r="A1468" i="2"/>
  <c r="B1467" i="2"/>
  <c r="A1467" i="2"/>
  <c r="B1466" i="2"/>
  <c r="A1466" i="2"/>
  <c r="B1465" i="2"/>
  <c r="A1465" i="2"/>
  <c r="C1465" i="2" s="1"/>
  <c r="G1465" i="2" s="1"/>
  <c r="B1464" i="2"/>
  <c r="A1464" i="2"/>
  <c r="B1463" i="2"/>
  <c r="A1463" i="2"/>
  <c r="B1462" i="2"/>
  <c r="A1462" i="2"/>
  <c r="B1461" i="2"/>
  <c r="A1461" i="2"/>
  <c r="C1461" i="2" s="1"/>
  <c r="G1461" i="2" s="1"/>
  <c r="B1460" i="2"/>
  <c r="A1460" i="2"/>
  <c r="B1459" i="2"/>
  <c r="A1459" i="2"/>
  <c r="B1458" i="2"/>
  <c r="A1458" i="2"/>
  <c r="B1457" i="2"/>
  <c r="A1457" i="2"/>
  <c r="C1457" i="2" s="1"/>
  <c r="G1457" i="2" s="1"/>
  <c r="B1456" i="2"/>
  <c r="A1456" i="2"/>
  <c r="B1455" i="2"/>
  <c r="A1455" i="2"/>
  <c r="B1454" i="2"/>
  <c r="A1454" i="2"/>
  <c r="B1453" i="2"/>
  <c r="A1453" i="2"/>
  <c r="B1452" i="2"/>
  <c r="A1452" i="2"/>
  <c r="B1451" i="2"/>
  <c r="A1451" i="2"/>
  <c r="B1450" i="2"/>
  <c r="A1450" i="2"/>
  <c r="C1450" i="2" s="1"/>
  <c r="G1450" i="2" s="1"/>
  <c r="B1449" i="2"/>
  <c r="A1449" i="2"/>
  <c r="B1448" i="2"/>
  <c r="A1448" i="2"/>
  <c r="B1447" i="2"/>
  <c r="A1447" i="2"/>
  <c r="B1446" i="2"/>
  <c r="A1446" i="2"/>
  <c r="C1446" i="2" s="1"/>
  <c r="G1446" i="2" s="1"/>
  <c r="B1445" i="2"/>
  <c r="A1445" i="2"/>
  <c r="B1444" i="2"/>
  <c r="A1444" i="2"/>
  <c r="B1443" i="2"/>
  <c r="A1443" i="2"/>
  <c r="B1442" i="2"/>
  <c r="A1442" i="2"/>
  <c r="B1441" i="2"/>
  <c r="A1441" i="2"/>
  <c r="B1440" i="2"/>
  <c r="A1440" i="2"/>
  <c r="B1439" i="2"/>
  <c r="A1439" i="2"/>
  <c r="B1438" i="2"/>
  <c r="A1438" i="2"/>
  <c r="B1437" i="2"/>
  <c r="A1437" i="2"/>
  <c r="B1436" i="2"/>
  <c r="A1436" i="2"/>
  <c r="B1435" i="2"/>
  <c r="A1435" i="2"/>
  <c r="B1434" i="2"/>
  <c r="A1434" i="2"/>
  <c r="B1433" i="2"/>
  <c r="A1433" i="2"/>
  <c r="B1432" i="2"/>
  <c r="A1432" i="2"/>
  <c r="B1431" i="2"/>
  <c r="A1431" i="2"/>
  <c r="B1430" i="2"/>
  <c r="C1430" i="2" s="1"/>
  <c r="G1430" i="2" s="1"/>
  <c r="A1430" i="2"/>
  <c r="B1429" i="2"/>
  <c r="A1429" i="2"/>
  <c r="B1428" i="2"/>
  <c r="A1428" i="2"/>
  <c r="B1427" i="2"/>
  <c r="A1427" i="2"/>
  <c r="B1426" i="2"/>
  <c r="A1426" i="2"/>
  <c r="B1425" i="2"/>
  <c r="A1425" i="2"/>
  <c r="B1424" i="2"/>
  <c r="A1424" i="2"/>
  <c r="B1423" i="2"/>
  <c r="A1423" i="2"/>
  <c r="B1422" i="2"/>
  <c r="C1422" i="2" s="1"/>
  <c r="G1422" i="2" s="1"/>
  <c r="A1422" i="2"/>
  <c r="B1421" i="2"/>
  <c r="A1421" i="2"/>
  <c r="B1420" i="2"/>
  <c r="A1420" i="2"/>
  <c r="B1419" i="2"/>
  <c r="A1419" i="2"/>
  <c r="B1418" i="2"/>
  <c r="C1418" i="2" s="1"/>
  <c r="G1418" i="2" s="1"/>
  <c r="A1418" i="2"/>
  <c r="B1417" i="2"/>
  <c r="A1417" i="2"/>
  <c r="B1416" i="2"/>
  <c r="A1416" i="2"/>
  <c r="B1415" i="2"/>
  <c r="A1415" i="2"/>
  <c r="B1414" i="2"/>
  <c r="A1414" i="2"/>
  <c r="C1414" i="2" s="1"/>
  <c r="G1414" i="2" s="1"/>
  <c r="B1413" i="2"/>
  <c r="A1413" i="2"/>
  <c r="B1412" i="2"/>
  <c r="A1412" i="2"/>
  <c r="B1411" i="2"/>
  <c r="A1411" i="2"/>
  <c r="C1411" i="2" s="1"/>
  <c r="G1411" i="2" s="1"/>
  <c r="B1410" i="2"/>
  <c r="A1410" i="2"/>
  <c r="B1409" i="2"/>
  <c r="A1409" i="2"/>
  <c r="B1408" i="2"/>
  <c r="A1408" i="2"/>
  <c r="B1407" i="2"/>
  <c r="A1407" i="2"/>
  <c r="C1407" i="2" s="1"/>
  <c r="G1407" i="2" s="1"/>
  <c r="B1406" i="2"/>
  <c r="A1406" i="2"/>
  <c r="C1406" i="2" s="1"/>
  <c r="G1406" i="2" s="1"/>
  <c r="B1405" i="2"/>
  <c r="A1405" i="2"/>
  <c r="B1404" i="2"/>
  <c r="A1404" i="2"/>
  <c r="B1403" i="2"/>
  <c r="A1403" i="2"/>
  <c r="B1402" i="2"/>
  <c r="A1402" i="2"/>
  <c r="C1402" i="2" s="1"/>
  <c r="G1402" i="2" s="1"/>
  <c r="B1401" i="2"/>
  <c r="A1401" i="2"/>
  <c r="B1400" i="2"/>
  <c r="A1400" i="2"/>
  <c r="B1399" i="2"/>
  <c r="A1399" i="2"/>
  <c r="B1398" i="2"/>
  <c r="A1398" i="2"/>
  <c r="C1398" i="2" s="1"/>
  <c r="G1398" i="2" s="1"/>
  <c r="B1397" i="2"/>
  <c r="A1397" i="2"/>
  <c r="B1396" i="2"/>
  <c r="A1396" i="2"/>
  <c r="B1395" i="2"/>
  <c r="A1395" i="2"/>
  <c r="B1394" i="2"/>
  <c r="A1394" i="2"/>
  <c r="B1393" i="2"/>
  <c r="A1393" i="2"/>
  <c r="B1392" i="2"/>
  <c r="A1392" i="2"/>
  <c r="B1391" i="2"/>
  <c r="A1391" i="2"/>
  <c r="B1390" i="2"/>
  <c r="A1390" i="2"/>
  <c r="C1390" i="2" s="1"/>
  <c r="G1390" i="2" s="1"/>
  <c r="B1389" i="2"/>
  <c r="A1389" i="2"/>
  <c r="B1388" i="2"/>
  <c r="A1388" i="2"/>
  <c r="B1387" i="2"/>
  <c r="A1387" i="2"/>
  <c r="B1386" i="2"/>
  <c r="A1386" i="2"/>
  <c r="B1385" i="2"/>
  <c r="A1385" i="2"/>
  <c r="B1384" i="2"/>
  <c r="A1384" i="2"/>
  <c r="B1383" i="2"/>
  <c r="A1383" i="2"/>
  <c r="B1382" i="2"/>
  <c r="A1382" i="2"/>
  <c r="C1382" i="2" s="1"/>
  <c r="G1382" i="2" s="1"/>
  <c r="B1381" i="2"/>
  <c r="A1381" i="2"/>
  <c r="B1380" i="2"/>
  <c r="A1380" i="2"/>
  <c r="B1379" i="2"/>
  <c r="A1379" i="2"/>
  <c r="B1378" i="2"/>
  <c r="A1378" i="2"/>
  <c r="B1377" i="2"/>
  <c r="A1377" i="2"/>
  <c r="B1376" i="2"/>
  <c r="A1376" i="2"/>
  <c r="B1375" i="2"/>
  <c r="A1375" i="2"/>
  <c r="B1374" i="2"/>
  <c r="A1374" i="2"/>
  <c r="B1373" i="2"/>
  <c r="A1373" i="2"/>
  <c r="B1372" i="2"/>
  <c r="A1372" i="2"/>
  <c r="B1371" i="2"/>
  <c r="A1371" i="2"/>
  <c r="B1370" i="2"/>
  <c r="A1370" i="2"/>
  <c r="B1369" i="2"/>
  <c r="A1369" i="2"/>
  <c r="B1368" i="2"/>
  <c r="A1368" i="2"/>
  <c r="B1367" i="2"/>
  <c r="A1367" i="2"/>
  <c r="B1366" i="2"/>
  <c r="A1366" i="2"/>
  <c r="C1366" i="2" s="1"/>
  <c r="G1366" i="2" s="1"/>
  <c r="B1365" i="2"/>
  <c r="A1365" i="2"/>
  <c r="B1364" i="2"/>
  <c r="A1364" i="2"/>
  <c r="B1363" i="2"/>
  <c r="A1363" i="2"/>
  <c r="B1362" i="2"/>
  <c r="A1362" i="2"/>
  <c r="B1361" i="2"/>
  <c r="A1361" i="2"/>
  <c r="B1360" i="2"/>
  <c r="A1360" i="2"/>
  <c r="B1359" i="2"/>
  <c r="A1359" i="2"/>
  <c r="B1358" i="2"/>
  <c r="A1358" i="2"/>
  <c r="B1357" i="2"/>
  <c r="A1357" i="2"/>
  <c r="B1356" i="2"/>
  <c r="A1356" i="2"/>
  <c r="B1355" i="2"/>
  <c r="A1355" i="2"/>
  <c r="C1355" i="2" s="1"/>
  <c r="G1355" i="2" s="1"/>
  <c r="B1354" i="2"/>
  <c r="A1354" i="2"/>
  <c r="B1353" i="2"/>
  <c r="A1353" i="2"/>
  <c r="B1352" i="2"/>
  <c r="A1352" i="2"/>
  <c r="B1351" i="2"/>
  <c r="A1351" i="2"/>
  <c r="C1351" i="2" s="1"/>
  <c r="G1351" i="2" s="1"/>
  <c r="B1350" i="2"/>
  <c r="A1350" i="2"/>
  <c r="B1349" i="2"/>
  <c r="A1349" i="2"/>
  <c r="B1348" i="2"/>
  <c r="A1348" i="2"/>
  <c r="B1347" i="2"/>
  <c r="A1347" i="2"/>
  <c r="B1346" i="2"/>
  <c r="A1346" i="2"/>
  <c r="B1345" i="2"/>
  <c r="A1345" i="2"/>
  <c r="B1344" i="2"/>
  <c r="A1344" i="2"/>
  <c r="B1343" i="2"/>
  <c r="A1343" i="2"/>
  <c r="C1343" i="2" s="1"/>
  <c r="G1343" i="2" s="1"/>
  <c r="B1342" i="2"/>
  <c r="C1342" i="2" s="1"/>
  <c r="G1342" i="2" s="1"/>
  <c r="A1342" i="2"/>
  <c r="B1341" i="2"/>
  <c r="C1341" i="2" s="1"/>
  <c r="G1341" i="2" s="1"/>
  <c r="A1341" i="2"/>
  <c r="B1340" i="2"/>
  <c r="A1340" i="2"/>
  <c r="B1339" i="2"/>
  <c r="A1339" i="2"/>
  <c r="B1338" i="2"/>
  <c r="C1338" i="2" s="1"/>
  <c r="G1338" i="2" s="1"/>
  <c r="A1338" i="2"/>
  <c r="C1337" i="2"/>
  <c r="G1337" i="2" s="1"/>
  <c r="B1337" i="2"/>
  <c r="A1337" i="2"/>
  <c r="B1336" i="2"/>
  <c r="A1336" i="2"/>
  <c r="B1335" i="2"/>
  <c r="C1335" i="2" s="1"/>
  <c r="G1335" i="2" s="1"/>
  <c r="A1335" i="2"/>
  <c r="B1334" i="2"/>
  <c r="A1334" i="2"/>
  <c r="B1333" i="2"/>
  <c r="A1333" i="2"/>
  <c r="B1332" i="2"/>
  <c r="A1332" i="2"/>
  <c r="B1331" i="2"/>
  <c r="A1331" i="2"/>
  <c r="B1330" i="2"/>
  <c r="C1330" i="2" s="1"/>
  <c r="G1330" i="2" s="1"/>
  <c r="A1330" i="2"/>
  <c r="B1329" i="2"/>
  <c r="A1329" i="2"/>
  <c r="B1328" i="2"/>
  <c r="A1328" i="2"/>
  <c r="B1327" i="2"/>
  <c r="A1327" i="2"/>
  <c r="C1326" i="2"/>
  <c r="G1326" i="2" s="1"/>
  <c r="B1326" i="2"/>
  <c r="A1326" i="2"/>
  <c r="B1325" i="2"/>
  <c r="A1325" i="2"/>
  <c r="B1324" i="2"/>
  <c r="A1324" i="2"/>
  <c r="B1323" i="2"/>
  <c r="A1323" i="2"/>
  <c r="B1322" i="2"/>
  <c r="A1322" i="2"/>
  <c r="B1321" i="2"/>
  <c r="A1321" i="2"/>
  <c r="C1321" i="2" s="1"/>
  <c r="G1321" i="2" s="1"/>
  <c r="B1320" i="2"/>
  <c r="A1320" i="2"/>
  <c r="B1319" i="2"/>
  <c r="A1319" i="2"/>
  <c r="B1318" i="2"/>
  <c r="A1318" i="2"/>
  <c r="B1317" i="2"/>
  <c r="A1317" i="2"/>
  <c r="C1317" i="2" s="1"/>
  <c r="G1317" i="2" s="1"/>
  <c r="B1316" i="2"/>
  <c r="A1316" i="2"/>
  <c r="B1315" i="2"/>
  <c r="A1315" i="2"/>
  <c r="B1314" i="2"/>
  <c r="A1314" i="2"/>
  <c r="B1313" i="2"/>
  <c r="A1313" i="2"/>
  <c r="B1312" i="2"/>
  <c r="A1312" i="2"/>
  <c r="B1311" i="2"/>
  <c r="A1311" i="2"/>
  <c r="B1310" i="2"/>
  <c r="A1310" i="2"/>
  <c r="C1310" i="2" s="1"/>
  <c r="G1310" i="2" s="1"/>
  <c r="B1309" i="2"/>
  <c r="A1309" i="2"/>
  <c r="B1308" i="2"/>
  <c r="A1308" i="2"/>
  <c r="B1307" i="2"/>
  <c r="A1307" i="2"/>
  <c r="B1306" i="2"/>
  <c r="A1306" i="2"/>
  <c r="B1305" i="2"/>
  <c r="A1305" i="2"/>
  <c r="C1305" i="2" s="1"/>
  <c r="G1305" i="2" s="1"/>
  <c r="B1304" i="2"/>
  <c r="A1304" i="2"/>
  <c r="B1303" i="2"/>
  <c r="A1303" i="2"/>
  <c r="B1302" i="2"/>
  <c r="A1302" i="2"/>
  <c r="B1301" i="2"/>
  <c r="A1301" i="2"/>
  <c r="B1300" i="2"/>
  <c r="A1300" i="2"/>
  <c r="B1299" i="2"/>
  <c r="A1299" i="2"/>
  <c r="B1298" i="2"/>
  <c r="A1298" i="2"/>
  <c r="B1297" i="2"/>
  <c r="A1297" i="2"/>
  <c r="C1297" i="2" s="1"/>
  <c r="G1297" i="2" s="1"/>
  <c r="B1296" i="2"/>
  <c r="A1296" i="2"/>
  <c r="B1295" i="2"/>
  <c r="A1295" i="2"/>
  <c r="B1294" i="2"/>
  <c r="A1294" i="2"/>
  <c r="C1294" i="2" s="1"/>
  <c r="G1294" i="2" s="1"/>
  <c r="B1293" i="2"/>
  <c r="A1293" i="2"/>
  <c r="B1292" i="2"/>
  <c r="A1292" i="2"/>
  <c r="B1291" i="2"/>
  <c r="A1291" i="2"/>
  <c r="B1290" i="2"/>
  <c r="A1290" i="2"/>
  <c r="B1289" i="2"/>
  <c r="A1289" i="2"/>
  <c r="B1288" i="2"/>
  <c r="A1288" i="2"/>
  <c r="B1287" i="2"/>
  <c r="A1287" i="2"/>
  <c r="B1286" i="2"/>
  <c r="A1286" i="2"/>
  <c r="B1285" i="2"/>
  <c r="A1285" i="2"/>
  <c r="B1284" i="2"/>
  <c r="A1284" i="2"/>
  <c r="B1283" i="2"/>
  <c r="A1283" i="2"/>
  <c r="B1282" i="2"/>
  <c r="A1282" i="2"/>
  <c r="C1282" i="2" s="1"/>
  <c r="G1282" i="2" s="1"/>
  <c r="B1281" i="2"/>
  <c r="A1281" i="2"/>
  <c r="B1280" i="2"/>
  <c r="A1280" i="2"/>
  <c r="B1279" i="2"/>
  <c r="A1279" i="2"/>
  <c r="B1278" i="2"/>
  <c r="A1278" i="2"/>
  <c r="C1278" i="2" s="1"/>
  <c r="G1278" i="2" s="1"/>
  <c r="B1277" i="2"/>
  <c r="A1277" i="2"/>
  <c r="C1277" i="2" s="1"/>
  <c r="G1277" i="2" s="1"/>
  <c r="B1276" i="2"/>
  <c r="A1276" i="2"/>
  <c r="B1275" i="2"/>
  <c r="A1275" i="2"/>
  <c r="C1275" i="2" s="1"/>
  <c r="G1275" i="2" s="1"/>
  <c r="B1274" i="2"/>
  <c r="A1274" i="2"/>
  <c r="B1273" i="2"/>
  <c r="A1273" i="2"/>
  <c r="C1273" i="2" s="1"/>
  <c r="G1273" i="2" s="1"/>
  <c r="B1272" i="2"/>
  <c r="A1272" i="2"/>
  <c r="B1271" i="2"/>
  <c r="A1271" i="2"/>
  <c r="B1270" i="2"/>
  <c r="A1270" i="2"/>
  <c r="B1269" i="2"/>
  <c r="A1269" i="2"/>
  <c r="B1268" i="2"/>
  <c r="A1268" i="2"/>
  <c r="B1267" i="2"/>
  <c r="A1267" i="2"/>
  <c r="B1266" i="2"/>
  <c r="A1266" i="2"/>
  <c r="B1265" i="2"/>
  <c r="A1265" i="2"/>
  <c r="C1265" i="2" s="1"/>
  <c r="G1265" i="2" s="1"/>
  <c r="B1264" i="2"/>
  <c r="A1264" i="2"/>
  <c r="B1263" i="2"/>
  <c r="A1263" i="2"/>
  <c r="B1262" i="2"/>
  <c r="A1262" i="2"/>
  <c r="B1261" i="2"/>
  <c r="A1261" i="2"/>
  <c r="C1261" i="2" s="1"/>
  <c r="G1261" i="2" s="1"/>
  <c r="B1260" i="2"/>
  <c r="A1260" i="2"/>
  <c r="B1259" i="2"/>
  <c r="A1259" i="2"/>
  <c r="B1258" i="2"/>
  <c r="A1258" i="2"/>
  <c r="B1257" i="2"/>
  <c r="A1257" i="2"/>
  <c r="C1257" i="2" s="1"/>
  <c r="G1257" i="2" s="1"/>
  <c r="B1256" i="2"/>
  <c r="A1256" i="2"/>
  <c r="B1255" i="2"/>
  <c r="A1255" i="2"/>
  <c r="B1254" i="2"/>
  <c r="A1254" i="2"/>
  <c r="B1253" i="2"/>
  <c r="A1253" i="2"/>
  <c r="C1253" i="2" s="1"/>
  <c r="G1253" i="2" s="1"/>
  <c r="B1252" i="2"/>
  <c r="A1252" i="2"/>
  <c r="B1251" i="2"/>
  <c r="A1251" i="2"/>
  <c r="B1250" i="2"/>
  <c r="A1250" i="2"/>
  <c r="B1249" i="2"/>
  <c r="A1249" i="2"/>
  <c r="B1248" i="2"/>
  <c r="A1248" i="2"/>
  <c r="B1247" i="2"/>
  <c r="A1247" i="2"/>
  <c r="B1246" i="2"/>
  <c r="A1246" i="2"/>
  <c r="B1245" i="2"/>
  <c r="A1245" i="2"/>
  <c r="C1245" i="2" s="1"/>
  <c r="G1245" i="2" s="1"/>
  <c r="B1244" i="2"/>
  <c r="A1244" i="2"/>
  <c r="C1244" i="2" s="1"/>
  <c r="G1244" i="2" s="1"/>
  <c r="B1243" i="2"/>
  <c r="A1243" i="2"/>
  <c r="C1243" i="2" s="1"/>
  <c r="G1243" i="2" s="1"/>
  <c r="B1242" i="2"/>
  <c r="A1242" i="2"/>
  <c r="B1241" i="2"/>
  <c r="A1241" i="2"/>
  <c r="B1240" i="2"/>
  <c r="A1240" i="2"/>
  <c r="B1239" i="2"/>
  <c r="A1239" i="2"/>
  <c r="C1239" i="2" s="1"/>
  <c r="G1239" i="2" s="1"/>
  <c r="B1238" i="2"/>
  <c r="A1238" i="2"/>
  <c r="C1238" i="2" s="1"/>
  <c r="G1238" i="2" s="1"/>
  <c r="B1237" i="2"/>
  <c r="A1237" i="2"/>
  <c r="B1236" i="2"/>
  <c r="A1236" i="2"/>
  <c r="B1235" i="2"/>
  <c r="A1235" i="2"/>
  <c r="C1235" i="2" s="1"/>
  <c r="G1235" i="2" s="1"/>
  <c r="B1234" i="2"/>
  <c r="A1234" i="2"/>
  <c r="B1233" i="2"/>
  <c r="A1233" i="2"/>
  <c r="B1232" i="2"/>
  <c r="A1232" i="2"/>
  <c r="B1231" i="2"/>
  <c r="A1231" i="2"/>
  <c r="B1230" i="2"/>
  <c r="A1230" i="2"/>
  <c r="C1230" i="2" s="1"/>
  <c r="G1230" i="2" s="1"/>
  <c r="B1229" i="2"/>
  <c r="A1229" i="2"/>
  <c r="B1228" i="2"/>
  <c r="A1228" i="2"/>
  <c r="C1228" i="2" s="1"/>
  <c r="G1228" i="2" s="1"/>
  <c r="B1227" i="2"/>
  <c r="A1227" i="2"/>
  <c r="B1226" i="2"/>
  <c r="A1226" i="2"/>
  <c r="B1225" i="2"/>
  <c r="A1225" i="2"/>
  <c r="B1224" i="2"/>
  <c r="A1224" i="2"/>
  <c r="C1224" i="2" s="1"/>
  <c r="G1224" i="2" s="1"/>
  <c r="B1223" i="2"/>
  <c r="A1223" i="2"/>
  <c r="B1222" i="2"/>
  <c r="A1222" i="2"/>
  <c r="C1222" i="2" s="1"/>
  <c r="G1222" i="2" s="1"/>
  <c r="B1221" i="2"/>
  <c r="A1221" i="2"/>
  <c r="B1220" i="2"/>
  <c r="A1220" i="2"/>
  <c r="B1219" i="2"/>
  <c r="A1219" i="2"/>
  <c r="B1218" i="2"/>
  <c r="A1218" i="2"/>
  <c r="C1218" i="2" s="1"/>
  <c r="G1218" i="2" s="1"/>
  <c r="B1217" i="2"/>
  <c r="A1217" i="2"/>
  <c r="B1216" i="2"/>
  <c r="A1216" i="2"/>
  <c r="B1215" i="2"/>
  <c r="A1215" i="2"/>
  <c r="B1214" i="2"/>
  <c r="A1214" i="2"/>
  <c r="C1214" i="2" s="1"/>
  <c r="G1214" i="2" s="1"/>
  <c r="B1213" i="2"/>
  <c r="A1213" i="2"/>
  <c r="B1212" i="2"/>
  <c r="A1212" i="2"/>
  <c r="B1211" i="2"/>
  <c r="A1211" i="2"/>
  <c r="B1210" i="2"/>
  <c r="A1210" i="2"/>
  <c r="B1209" i="2"/>
  <c r="A1209" i="2"/>
  <c r="C1209" i="2" s="1"/>
  <c r="G1209" i="2" s="1"/>
  <c r="B1208" i="2"/>
  <c r="A1208" i="2"/>
  <c r="B1207" i="2"/>
  <c r="A1207" i="2"/>
  <c r="C1207" i="2" s="1"/>
  <c r="G1207" i="2" s="1"/>
  <c r="B1206" i="2"/>
  <c r="A1206" i="2"/>
  <c r="B1205" i="2"/>
  <c r="A1205" i="2"/>
  <c r="B1204" i="2"/>
  <c r="A1204" i="2"/>
  <c r="B1203" i="2"/>
  <c r="A1203" i="2"/>
  <c r="C1203" i="2" s="1"/>
  <c r="G1203" i="2" s="1"/>
  <c r="B1202" i="2"/>
  <c r="A1202" i="2"/>
  <c r="B1201" i="2"/>
  <c r="A1201" i="2"/>
  <c r="B1200" i="2"/>
  <c r="A1200" i="2"/>
  <c r="B1199" i="2"/>
  <c r="A1199" i="2"/>
  <c r="C1199" i="2" s="1"/>
  <c r="G1199" i="2" s="1"/>
  <c r="B1198" i="2"/>
  <c r="A1198" i="2"/>
  <c r="B1197" i="2"/>
  <c r="A1197" i="2"/>
  <c r="C1197" i="2" s="1"/>
  <c r="G1197" i="2" s="1"/>
  <c r="B1196" i="2"/>
  <c r="A1196" i="2"/>
  <c r="C1196" i="2" s="1"/>
  <c r="G1196" i="2" s="1"/>
  <c r="B1195" i="2"/>
  <c r="A1195" i="2"/>
  <c r="B1194" i="2"/>
  <c r="A1194" i="2"/>
  <c r="B1193" i="2"/>
  <c r="A1193" i="2"/>
  <c r="B1192" i="2"/>
  <c r="A1192" i="2"/>
  <c r="C1192" i="2" s="1"/>
  <c r="G1192" i="2" s="1"/>
  <c r="B1191" i="2"/>
  <c r="A1191" i="2"/>
  <c r="C1191" i="2" s="1"/>
  <c r="G1191" i="2" s="1"/>
  <c r="B1190" i="2"/>
  <c r="A1190" i="2"/>
  <c r="B1189" i="2"/>
  <c r="A1189" i="2"/>
  <c r="C1189" i="2" s="1"/>
  <c r="G1189" i="2" s="1"/>
  <c r="B1188" i="2"/>
  <c r="A1188" i="2"/>
  <c r="B1187" i="2"/>
  <c r="A1187" i="2"/>
  <c r="B1186" i="2"/>
  <c r="A1186" i="2"/>
  <c r="B1185" i="2"/>
  <c r="A1185" i="2"/>
  <c r="B1184" i="2"/>
  <c r="A1184" i="2"/>
  <c r="B1183" i="2"/>
  <c r="A1183" i="2"/>
  <c r="B1182" i="2"/>
  <c r="A1182" i="2"/>
  <c r="B1181" i="2"/>
  <c r="A1181" i="2"/>
  <c r="B1180" i="2"/>
  <c r="A1180" i="2"/>
  <c r="B1179" i="2"/>
  <c r="A1179" i="2"/>
  <c r="B1178" i="2"/>
  <c r="A1178" i="2"/>
  <c r="B1177" i="2"/>
  <c r="A1177" i="2"/>
  <c r="B1176" i="2"/>
  <c r="A1176" i="2"/>
  <c r="B1175" i="2"/>
  <c r="A1175" i="2"/>
  <c r="B1174" i="2"/>
  <c r="A1174" i="2"/>
  <c r="B1173" i="2"/>
  <c r="A1173" i="2"/>
  <c r="B1172" i="2"/>
  <c r="A1172" i="2"/>
  <c r="B1171" i="2"/>
  <c r="A1171" i="2"/>
  <c r="B1170" i="2"/>
  <c r="A1170" i="2"/>
  <c r="B1169" i="2"/>
  <c r="A1169" i="2"/>
  <c r="B1168" i="2"/>
  <c r="A1168" i="2"/>
  <c r="B1167" i="2"/>
  <c r="A1167" i="2"/>
  <c r="B1166" i="2"/>
  <c r="A1166" i="2"/>
  <c r="B1165" i="2"/>
  <c r="A1165" i="2"/>
  <c r="B1164" i="2"/>
  <c r="A1164" i="2"/>
  <c r="B1163" i="2"/>
  <c r="A1163" i="2"/>
  <c r="B1162" i="2"/>
  <c r="C1162" i="2" s="1"/>
  <c r="G1162" i="2" s="1"/>
  <c r="A1162" i="2"/>
  <c r="B1161" i="2"/>
  <c r="A1161" i="2"/>
  <c r="B1160" i="2"/>
  <c r="A1160" i="2"/>
  <c r="B1159" i="2"/>
  <c r="A1159" i="2"/>
  <c r="B1158" i="2"/>
  <c r="A1158" i="2"/>
  <c r="B1157" i="2"/>
  <c r="A1157" i="2"/>
  <c r="B1156" i="2"/>
  <c r="A1156" i="2"/>
  <c r="B1155" i="2"/>
  <c r="A1155" i="2"/>
  <c r="B1154" i="2"/>
  <c r="A1154" i="2"/>
  <c r="B1153" i="2"/>
  <c r="A1153" i="2"/>
  <c r="B1152" i="2"/>
  <c r="A1152" i="2"/>
  <c r="C1152" i="2" s="1"/>
  <c r="G1152" i="2" s="1"/>
  <c r="B1151" i="2"/>
  <c r="C1151" i="2" s="1"/>
  <c r="G1151" i="2" s="1"/>
  <c r="A1151" i="2"/>
  <c r="B1150" i="2"/>
  <c r="A1150" i="2"/>
  <c r="B1149" i="2"/>
  <c r="A1149" i="2"/>
  <c r="B1148" i="2"/>
  <c r="A1148" i="2"/>
  <c r="B1147" i="2"/>
  <c r="A1147" i="2"/>
  <c r="B1146" i="2"/>
  <c r="C1146" i="2" s="1"/>
  <c r="G1146" i="2" s="1"/>
  <c r="A1146" i="2"/>
  <c r="B1145" i="2"/>
  <c r="A1145" i="2"/>
  <c r="B1144" i="2"/>
  <c r="A1144" i="2"/>
  <c r="B1143" i="2"/>
  <c r="A1143" i="2"/>
  <c r="B1142" i="2"/>
  <c r="A1142" i="2"/>
  <c r="B1141" i="2"/>
  <c r="A1141" i="2"/>
  <c r="B1140" i="2"/>
  <c r="A1140" i="2"/>
  <c r="C1140" i="2" s="1"/>
  <c r="G1140" i="2" s="1"/>
  <c r="B1139" i="2"/>
  <c r="A1139" i="2"/>
  <c r="B1138" i="2"/>
  <c r="A1138" i="2"/>
  <c r="B1137" i="2"/>
  <c r="A1137" i="2"/>
  <c r="B1136" i="2"/>
  <c r="A1136" i="2"/>
  <c r="B1135" i="2"/>
  <c r="A1135" i="2"/>
  <c r="B1134" i="2"/>
  <c r="A1134" i="2"/>
  <c r="B1133" i="2"/>
  <c r="A1133" i="2"/>
  <c r="B1132" i="2"/>
  <c r="A1132" i="2"/>
  <c r="B1131" i="2"/>
  <c r="A1131" i="2"/>
  <c r="B1130" i="2"/>
  <c r="C1130" i="2" s="1"/>
  <c r="G1130" i="2" s="1"/>
  <c r="A1130" i="2"/>
  <c r="B1129" i="2"/>
  <c r="A1129" i="2"/>
  <c r="B1128" i="2"/>
  <c r="A1128" i="2"/>
  <c r="B1127" i="2"/>
  <c r="A1127" i="2"/>
  <c r="B1126" i="2"/>
  <c r="A1126" i="2"/>
  <c r="B1125" i="2"/>
  <c r="A1125" i="2"/>
  <c r="B1124" i="2"/>
  <c r="A1124" i="2"/>
  <c r="C1124" i="2" s="1"/>
  <c r="G1124" i="2" s="1"/>
  <c r="B1123" i="2"/>
  <c r="A1123" i="2"/>
  <c r="B1122" i="2"/>
  <c r="A1122" i="2"/>
  <c r="B1121" i="2"/>
  <c r="A1121" i="2"/>
  <c r="B1120" i="2"/>
  <c r="A1120" i="2"/>
  <c r="C1120" i="2" s="1"/>
  <c r="G1120" i="2" s="1"/>
  <c r="B1119" i="2"/>
  <c r="A1119" i="2"/>
  <c r="B1118" i="2"/>
  <c r="A1118" i="2"/>
  <c r="B1117" i="2"/>
  <c r="A1117" i="2"/>
  <c r="B1116" i="2"/>
  <c r="A1116" i="2"/>
  <c r="B1115" i="2"/>
  <c r="A1115" i="2"/>
  <c r="B1114" i="2"/>
  <c r="A1114" i="2"/>
  <c r="B1113" i="2"/>
  <c r="A1113" i="2"/>
  <c r="B1112" i="2"/>
  <c r="A1112" i="2"/>
  <c r="B1111" i="2"/>
  <c r="A1111" i="2"/>
  <c r="B1110" i="2"/>
  <c r="A1110" i="2"/>
  <c r="B1109" i="2"/>
  <c r="A1109" i="2"/>
  <c r="B1108" i="2"/>
  <c r="A1108" i="2"/>
  <c r="B1107" i="2"/>
  <c r="A1107" i="2"/>
  <c r="B1106" i="2"/>
  <c r="A1106" i="2"/>
  <c r="B1105" i="2"/>
  <c r="A1105" i="2"/>
  <c r="B1104" i="2"/>
  <c r="A1104" i="2"/>
  <c r="C1104" i="2" s="1"/>
  <c r="G1104" i="2" s="1"/>
  <c r="B1103" i="2"/>
  <c r="A1103" i="2"/>
  <c r="B1102" i="2"/>
  <c r="A1102" i="2"/>
  <c r="B1101" i="2"/>
  <c r="A1101" i="2"/>
  <c r="B1100" i="2"/>
  <c r="A1100" i="2"/>
  <c r="B1099" i="2"/>
  <c r="A1099" i="2"/>
  <c r="B1098" i="2"/>
  <c r="A1098" i="2"/>
  <c r="B1097" i="2"/>
  <c r="A1097" i="2"/>
  <c r="B1096" i="2"/>
  <c r="A1096" i="2"/>
  <c r="C1096" i="2" s="1"/>
  <c r="G1096" i="2" s="1"/>
  <c r="B1095" i="2"/>
  <c r="A1095" i="2"/>
  <c r="B1094" i="2"/>
  <c r="A1094" i="2"/>
  <c r="B1093" i="2"/>
  <c r="A1093" i="2"/>
  <c r="B1092" i="2"/>
  <c r="A1092" i="2"/>
  <c r="C1092" i="2" s="1"/>
  <c r="G1092" i="2" s="1"/>
  <c r="B1091" i="2"/>
  <c r="A1091" i="2"/>
  <c r="B1090" i="2"/>
  <c r="A1090" i="2"/>
  <c r="B1089" i="2"/>
  <c r="A1089" i="2"/>
  <c r="B1088" i="2"/>
  <c r="A1088" i="2"/>
  <c r="B1087" i="2"/>
  <c r="A1087" i="2"/>
  <c r="B1086" i="2"/>
  <c r="C1086" i="2" s="1"/>
  <c r="G1086" i="2" s="1"/>
  <c r="A1086" i="2"/>
  <c r="B1085" i="2"/>
  <c r="A1085" i="2"/>
  <c r="B1084" i="2"/>
  <c r="A1084" i="2"/>
  <c r="B1083" i="2"/>
  <c r="A1083" i="2"/>
  <c r="B1082" i="2"/>
  <c r="A1082" i="2"/>
  <c r="B1081" i="2"/>
  <c r="A1081" i="2"/>
  <c r="C1081" i="2" s="1"/>
  <c r="G1081" i="2" s="1"/>
  <c r="B1080" i="2"/>
  <c r="A1080" i="2"/>
  <c r="B1079" i="2"/>
  <c r="A1079" i="2"/>
  <c r="B1078" i="2"/>
  <c r="A1078" i="2"/>
  <c r="B1077" i="2"/>
  <c r="A1077" i="2"/>
  <c r="C1077" i="2" s="1"/>
  <c r="G1077" i="2" s="1"/>
  <c r="B1076" i="2"/>
  <c r="A1076" i="2"/>
  <c r="C1076" i="2" s="1"/>
  <c r="G1076" i="2" s="1"/>
  <c r="B1075" i="2"/>
  <c r="A1075" i="2"/>
  <c r="B1074" i="2"/>
  <c r="C1074" i="2" s="1"/>
  <c r="G1074" i="2" s="1"/>
  <c r="A1074" i="2"/>
  <c r="B1073" i="2"/>
  <c r="A1073" i="2"/>
  <c r="B1072" i="2"/>
  <c r="A1072" i="2"/>
  <c r="B1071" i="2"/>
  <c r="A1071" i="2"/>
  <c r="B1070" i="2"/>
  <c r="A1070" i="2"/>
  <c r="B1069" i="2"/>
  <c r="A1069" i="2"/>
  <c r="B1068" i="2"/>
  <c r="A1068" i="2"/>
  <c r="B1067" i="2"/>
  <c r="A1067" i="2"/>
  <c r="B1066" i="2"/>
  <c r="A1066" i="2"/>
  <c r="B1065" i="2"/>
  <c r="A1065" i="2"/>
  <c r="B1064" i="2"/>
  <c r="A1064" i="2"/>
  <c r="B1063" i="2"/>
  <c r="C1063" i="2" s="1"/>
  <c r="G1063" i="2" s="1"/>
  <c r="A1063" i="2"/>
  <c r="B1062" i="2"/>
  <c r="A1062" i="2"/>
  <c r="B1061" i="2"/>
  <c r="A1061" i="2"/>
  <c r="B1060" i="2"/>
  <c r="A1060" i="2"/>
  <c r="B1059" i="2"/>
  <c r="C1059" i="2" s="1"/>
  <c r="G1059" i="2" s="1"/>
  <c r="A1059" i="2"/>
  <c r="B1058" i="2"/>
  <c r="A1058" i="2"/>
  <c r="B1057" i="2"/>
  <c r="A1057" i="2"/>
  <c r="B1056" i="2"/>
  <c r="A1056" i="2"/>
  <c r="B1055" i="2"/>
  <c r="A1055" i="2"/>
  <c r="B1054" i="2"/>
  <c r="A1054" i="2"/>
  <c r="B1053" i="2"/>
  <c r="A1053" i="2"/>
  <c r="B1052" i="2"/>
  <c r="A1052" i="2"/>
  <c r="B1051" i="2"/>
  <c r="A1051" i="2"/>
  <c r="B1050" i="2"/>
  <c r="A1050" i="2"/>
  <c r="B1049" i="2"/>
  <c r="A1049" i="2"/>
  <c r="B1048" i="2"/>
  <c r="A1048" i="2"/>
  <c r="B1047" i="2"/>
  <c r="A1047" i="2"/>
  <c r="B1046" i="2"/>
  <c r="A1046" i="2"/>
  <c r="B1045" i="2"/>
  <c r="A1045" i="2"/>
  <c r="B1044" i="2"/>
  <c r="A1044" i="2"/>
  <c r="B1043" i="2"/>
  <c r="A1043" i="2"/>
  <c r="B1042" i="2"/>
  <c r="A1042" i="2"/>
  <c r="B1041" i="2"/>
  <c r="A1041" i="2"/>
  <c r="B1040" i="2"/>
  <c r="A1040" i="2"/>
  <c r="B1039" i="2"/>
  <c r="A1039" i="2"/>
  <c r="B1038" i="2"/>
  <c r="A1038" i="2"/>
  <c r="B1037" i="2"/>
  <c r="A1037" i="2"/>
  <c r="B1036" i="2"/>
  <c r="A1036" i="2"/>
  <c r="B1035" i="2"/>
  <c r="A1035" i="2"/>
  <c r="B1034" i="2"/>
  <c r="A1034" i="2"/>
  <c r="B1033" i="2"/>
  <c r="A1033" i="2"/>
  <c r="B1032" i="2"/>
  <c r="A1032" i="2"/>
  <c r="B1031" i="2"/>
  <c r="A1031" i="2"/>
  <c r="B1030" i="2"/>
  <c r="A1030" i="2"/>
  <c r="B1029" i="2"/>
  <c r="A1029" i="2"/>
  <c r="B1028" i="2"/>
  <c r="A1028" i="2"/>
  <c r="C1028" i="2" s="1"/>
  <c r="G1028" i="2" s="1"/>
  <c r="B1027" i="2"/>
  <c r="A1027" i="2"/>
  <c r="B1026" i="2"/>
  <c r="A1026" i="2"/>
  <c r="B1025" i="2"/>
  <c r="A1025" i="2"/>
  <c r="B1024" i="2"/>
  <c r="A1024" i="2"/>
  <c r="B1023" i="2"/>
  <c r="A1023" i="2"/>
  <c r="B1022" i="2"/>
  <c r="A1022" i="2"/>
  <c r="B1021" i="2"/>
  <c r="A1021" i="2"/>
  <c r="B1020" i="2"/>
  <c r="A1020" i="2"/>
  <c r="C1020" i="2" s="1"/>
  <c r="G1020" i="2" s="1"/>
  <c r="B1019" i="2"/>
  <c r="A1019" i="2"/>
  <c r="B1018" i="2"/>
  <c r="A1018" i="2"/>
  <c r="B1017" i="2"/>
  <c r="A1017" i="2"/>
  <c r="C1017" i="2" s="1"/>
  <c r="G1017" i="2" s="1"/>
  <c r="B1016" i="2"/>
  <c r="A1016" i="2"/>
  <c r="B1015" i="2"/>
  <c r="A1015" i="2"/>
  <c r="B1014" i="2"/>
  <c r="A1014" i="2"/>
  <c r="B1013" i="2"/>
  <c r="A1013" i="2"/>
  <c r="C1013" i="2" s="1"/>
  <c r="G1013" i="2" s="1"/>
  <c r="B1012" i="2"/>
  <c r="A1012" i="2"/>
  <c r="C1012" i="2" s="1"/>
  <c r="G1012" i="2" s="1"/>
  <c r="B1011" i="2"/>
  <c r="A1011" i="2"/>
  <c r="B1010" i="2"/>
  <c r="A1010" i="2"/>
  <c r="B1009" i="2"/>
  <c r="A1009" i="2"/>
  <c r="C1009" i="2" s="1"/>
  <c r="G1009" i="2" s="1"/>
  <c r="B1008" i="2"/>
  <c r="A1008" i="2"/>
  <c r="B1007" i="2"/>
  <c r="A1007" i="2"/>
  <c r="B1006" i="2"/>
  <c r="A1006" i="2"/>
  <c r="B1005" i="2"/>
  <c r="A1005" i="2"/>
  <c r="B1004" i="2"/>
  <c r="A1004" i="2"/>
  <c r="B1003" i="2"/>
  <c r="A1003" i="2"/>
  <c r="B1002" i="2"/>
  <c r="A1002" i="2"/>
  <c r="B1001" i="2"/>
  <c r="A1001" i="2"/>
  <c r="B1000" i="2"/>
  <c r="A1000" i="2"/>
  <c r="B999" i="2"/>
  <c r="A999" i="2"/>
  <c r="B998" i="2"/>
  <c r="A998" i="2"/>
  <c r="B997" i="2"/>
  <c r="A997" i="2"/>
  <c r="B996" i="2"/>
  <c r="A996" i="2"/>
  <c r="B995" i="2"/>
  <c r="A995" i="2"/>
  <c r="B994" i="2"/>
  <c r="A994" i="2"/>
  <c r="B993" i="2"/>
  <c r="A993" i="2"/>
  <c r="B992" i="2"/>
  <c r="A992" i="2"/>
  <c r="B991" i="2"/>
  <c r="A991" i="2"/>
  <c r="B990" i="2"/>
  <c r="A990" i="2"/>
  <c r="B989" i="2"/>
  <c r="A989" i="2"/>
  <c r="B988" i="2"/>
  <c r="A988" i="2"/>
  <c r="B987" i="2"/>
  <c r="A987" i="2"/>
  <c r="B986" i="2"/>
  <c r="A986" i="2"/>
  <c r="B985" i="2"/>
  <c r="A985" i="2"/>
  <c r="B984" i="2"/>
  <c r="A984" i="2"/>
  <c r="B983" i="2"/>
  <c r="A983" i="2"/>
  <c r="B982" i="2"/>
  <c r="A982" i="2"/>
  <c r="B981" i="2"/>
  <c r="A981" i="2"/>
  <c r="B980" i="2"/>
  <c r="A980" i="2"/>
  <c r="B979" i="2"/>
  <c r="A979" i="2"/>
  <c r="B978" i="2"/>
  <c r="A978" i="2"/>
  <c r="B977" i="2"/>
  <c r="A977" i="2"/>
  <c r="B976" i="2"/>
  <c r="A976" i="2"/>
  <c r="B975" i="2"/>
  <c r="A975" i="2"/>
  <c r="B974" i="2"/>
  <c r="A974" i="2"/>
  <c r="B973" i="2"/>
  <c r="A973" i="2"/>
  <c r="B972" i="2"/>
  <c r="A972" i="2"/>
  <c r="B971" i="2"/>
  <c r="A971" i="2"/>
  <c r="B970" i="2"/>
  <c r="A970" i="2"/>
  <c r="B969" i="2"/>
  <c r="A969" i="2"/>
  <c r="B968" i="2"/>
  <c r="A968" i="2"/>
  <c r="B967" i="2"/>
  <c r="A967" i="2"/>
  <c r="B966" i="2"/>
  <c r="A966" i="2"/>
  <c r="B965" i="2"/>
  <c r="A965" i="2"/>
  <c r="C965" i="2" s="1"/>
  <c r="G965" i="2" s="1"/>
  <c r="B964" i="2"/>
  <c r="A964" i="2"/>
  <c r="B963" i="2"/>
  <c r="A963" i="2"/>
  <c r="B962" i="2"/>
  <c r="A962" i="2"/>
  <c r="B961" i="2"/>
  <c r="A961" i="2"/>
  <c r="C961" i="2" s="1"/>
  <c r="G961" i="2" s="1"/>
  <c r="B960" i="2"/>
  <c r="A960" i="2"/>
  <c r="B959" i="2"/>
  <c r="A959" i="2"/>
  <c r="B958" i="2"/>
  <c r="A958" i="2"/>
  <c r="B957" i="2"/>
  <c r="A957" i="2"/>
  <c r="C957" i="2" s="1"/>
  <c r="G957" i="2" s="1"/>
  <c r="B956" i="2"/>
  <c r="A956" i="2"/>
  <c r="B955" i="2"/>
  <c r="A955" i="2"/>
  <c r="B954" i="2"/>
  <c r="A954" i="2"/>
  <c r="B953" i="2"/>
  <c r="A953" i="2"/>
  <c r="B952" i="2"/>
  <c r="A952" i="2"/>
  <c r="B951" i="2"/>
  <c r="A951" i="2"/>
  <c r="B950" i="2"/>
  <c r="A950" i="2"/>
  <c r="B949" i="2"/>
  <c r="A949" i="2"/>
  <c r="C949" i="2" s="1"/>
  <c r="G949" i="2" s="1"/>
  <c r="B948" i="2"/>
  <c r="A948" i="2"/>
  <c r="B947" i="2"/>
  <c r="A947" i="2"/>
  <c r="B946" i="2"/>
  <c r="A946" i="2"/>
  <c r="B945" i="2"/>
  <c r="A945" i="2"/>
  <c r="C945" i="2" s="1"/>
  <c r="G945" i="2" s="1"/>
  <c r="B944" i="2"/>
  <c r="A944" i="2"/>
  <c r="B943" i="2"/>
  <c r="A943" i="2"/>
  <c r="B942" i="2"/>
  <c r="A942" i="2"/>
  <c r="B941" i="2"/>
  <c r="A941" i="2"/>
  <c r="B940" i="2"/>
  <c r="A940" i="2"/>
  <c r="B939" i="2"/>
  <c r="A939" i="2"/>
  <c r="B938" i="2"/>
  <c r="A938" i="2"/>
  <c r="B937" i="2"/>
  <c r="A937" i="2"/>
  <c r="C937" i="2" s="1"/>
  <c r="G937" i="2" s="1"/>
  <c r="B936" i="2"/>
  <c r="A936" i="2"/>
  <c r="B935" i="2"/>
  <c r="A935" i="2"/>
  <c r="B934" i="2"/>
  <c r="A934" i="2"/>
  <c r="B933" i="2"/>
  <c r="A933" i="2"/>
  <c r="C933" i="2" s="1"/>
  <c r="G933" i="2" s="1"/>
  <c r="B932" i="2"/>
  <c r="A932" i="2"/>
  <c r="B931" i="2"/>
  <c r="A931" i="2"/>
  <c r="B930" i="2"/>
  <c r="A930" i="2"/>
  <c r="B929" i="2"/>
  <c r="A929" i="2"/>
  <c r="B928" i="2"/>
  <c r="A928" i="2"/>
  <c r="B927" i="2"/>
  <c r="A927" i="2"/>
  <c r="B926" i="2"/>
  <c r="A926" i="2"/>
  <c r="B925" i="2"/>
  <c r="A925" i="2"/>
  <c r="B924" i="2"/>
  <c r="A924" i="2"/>
  <c r="B923" i="2"/>
  <c r="A923" i="2"/>
  <c r="B922" i="2"/>
  <c r="A922" i="2"/>
  <c r="B921" i="2"/>
  <c r="A921" i="2"/>
  <c r="B920" i="2"/>
  <c r="A920" i="2"/>
  <c r="B919" i="2"/>
  <c r="A919" i="2"/>
  <c r="B918" i="2"/>
  <c r="A918" i="2"/>
  <c r="B917" i="2"/>
  <c r="A917" i="2"/>
  <c r="B916" i="2"/>
  <c r="A916" i="2"/>
  <c r="C916" i="2" s="1"/>
  <c r="G916" i="2" s="1"/>
  <c r="B915" i="2"/>
  <c r="A915" i="2"/>
  <c r="B914" i="2"/>
  <c r="A914" i="2"/>
  <c r="B913" i="2"/>
  <c r="A913" i="2"/>
  <c r="B912" i="2"/>
  <c r="A912" i="2"/>
  <c r="B911" i="2"/>
  <c r="A911" i="2"/>
  <c r="B910" i="2"/>
  <c r="A910" i="2"/>
  <c r="B909" i="2"/>
  <c r="A909" i="2"/>
  <c r="B908" i="2"/>
  <c r="A908" i="2"/>
  <c r="B907" i="2"/>
  <c r="A907" i="2"/>
  <c r="B906" i="2"/>
  <c r="A906" i="2"/>
  <c r="B905" i="2"/>
  <c r="A905" i="2"/>
  <c r="B904" i="2"/>
  <c r="A904" i="2"/>
  <c r="B903" i="2"/>
  <c r="A903" i="2"/>
  <c r="B902" i="2"/>
  <c r="A902" i="2"/>
  <c r="B901" i="2"/>
  <c r="A901" i="2"/>
  <c r="B900" i="2"/>
  <c r="A900" i="2"/>
  <c r="B899" i="2"/>
  <c r="A899" i="2"/>
  <c r="B898" i="2"/>
  <c r="A898" i="2"/>
  <c r="B897" i="2"/>
  <c r="A897" i="2"/>
  <c r="B896" i="2"/>
  <c r="A896" i="2"/>
  <c r="B895" i="2"/>
  <c r="A895" i="2"/>
  <c r="C895" i="2" s="1"/>
  <c r="G895" i="2" s="1"/>
  <c r="B894" i="2"/>
  <c r="A894" i="2"/>
  <c r="B893" i="2"/>
  <c r="A893" i="2"/>
  <c r="B892" i="2"/>
  <c r="A892" i="2"/>
  <c r="B891" i="2"/>
  <c r="A891" i="2"/>
  <c r="C891" i="2" s="1"/>
  <c r="G891" i="2" s="1"/>
  <c r="B890" i="2"/>
  <c r="A890" i="2"/>
  <c r="B889" i="2"/>
  <c r="A889" i="2"/>
  <c r="B888" i="2"/>
  <c r="C888" i="2" s="1"/>
  <c r="G888" i="2" s="1"/>
  <c r="A888" i="2"/>
  <c r="B887" i="2"/>
  <c r="A887" i="2"/>
  <c r="C887" i="2" s="1"/>
  <c r="G887" i="2" s="1"/>
  <c r="B886" i="2"/>
  <c r="A886" i="2"/>
  <c r="B885" i="2"/>
  <c r="A885" i="2"/>
  <c r="B884" i="2"/>
  <c r="A884" i="2"/>
  <c r="B883" i="2"/>
  <c r="A883" i="2"/>
  <c r="C883" i="2" s="1"/>
  <c r="G883" i="2" s="1"/>
  <c r="B882" i="2"/>
  <c r="A882" i="2"/>
  <c r="B881" i="2"/>
  <c r="C881" i="2" s="1"/>
  <c r="G881" i="2" s="1"/>
  <c r="A881" i="2"/>
  <c r="B880" i="2"/>
  <c r="A880" i="2"/>
  <c r="B879" i="2"/>
  <c r="A879" i="2"/>
  <c r="B878" i="2"/>
  <c r="A878" i="2"/>
  <c r="B877" i="2"/>
  <c r="A877" i="2"/>
  <c r="B876" i="2"/>
  <c r="A876" i="2"/>
  <c r="B875" i="2"/>
  <c r="A875" i="2"/>
  <c r="B874" i="2"/>
  <c r="A874" i="2"/>
  <c r="C873" i="2"/>
  <c r="G873" i="2" s="1"/>
  <c r="B873" i="2"/>
  <c r="A873" i="2"/>
  <c r="B872" i="2"/>
  <c r="A872" i="2"/>
  <c r="B871" i="2"/>
  <c r="A871" i="2"/>
  <c r="B870" i="2"/>
  <c r="A870" i="2"/>
  <c r="B869" i="2"/>
  <c r="A869" i="2"/>
  <c r="B868" i="2"/>
  <c r="A868" i="2"/>
  <c r="B867" i="2"/>
  <c r="A867" i="2"/>
  <c r="B866" i="2"/>
  <c r="A866" i="2"/>
  <c r="B865" i="2"/>
  <c r="A865" i="2"/>
  <c r="B864" i="2"/>
  <c r="A864" i="2"/>
  <c r="B863" i="2"/>
  <c r="A863" i="2"/>
  <c r="B862" i="2"/>
  <c r="A862" i="2"/>
  <c r="C862" i="2" s="1"/>
  <c r="G862" i="2" s="1"/>
  <c r="B861" i="2"/>
  <c r="A861" i="2"/>
  <c r="B860" i="2"/>
  <c r="A860" i="2"/>
  <c r="B859" i="2"/>
  <c r="A859" i="2"/>
  <c r="B858" i="2"/>
  <c r="A858" i="2"/>
  <c r="C858" i="2" s="1"/>
  <c r="G858" i="2" s="1"/>
  <c r="B857" i="2"/>
  <c r="A857" i="2"/>
  <c r="B856" i="2"/>
  <c r="C856" i="2" s="1"/>
  <c r="G856" i="2" s="1"/>
  <c r="A856" i="2"/>
  <c r="B855" i="2"/>
  <c r="A855" i="2"/>
  <c r="B854" i="2"/>
  <c r="A854" i="2"/>
  <c r="C854" i="2" s="1"/>
  <c r="G854" i="2" s="1"/>
  <c r="B853" i="2"/>
  <c r="C853" i="2" s="1"/>
  <c r="G853" i="2" s="1"/>
  <c r="A853" i="2"/>
  <c r="B852" i="2"/>
  <c r="A852" i="2"/>
  <c r="B851" i="2"/>
  <c r="A851" i="2"/>
  <c r="B850" i="2"/>
  <c r="A850" i="2"/>
  <c r="B849" i="2"/>
  <c r="A849" i="2"/>
  <c r="B848" i="2"/>
  <c r="C848" i="2" s="1"/>
  <c r="G848" i="2" s="1"/>
  <c r="A848" i="2"/>
  <c r="B847" i="2"/>
  <c r="A847" i="2"/>
  <c r="B846" i="2"/>
  <c r="A846" i="2"/>
  <c r="B845" i="2"/>
  <c r="A845" i="2"/>
  <c r="B844" i="2"/>
  <c r="A844" i="2"/>
  <c r="B843" i="2"/>
  <c r="A843" i="2"/>
  <c r="B842" i="2"/>
  <c r="A842" i="2"/>
  <c r="C842" i="2" s="1"/>
  <c r="G842" i="2" s="1"/>
  <c r="B841" i="2"/>
  <c r="A841" i="2"/>
  <c r="B840" i="2"/>
  <c r="C840" i="2" s="1"/>
  <c r="G840" i="2" s="1"/>
  <c r="A840" i="2"/>
  <c r="B839" i="2"/>
  <c r="A839" i="2"/>
  <c r="B838" i="2"/>
  <c r="A838" i="2"/>
  <c r="C838" i="2" s="1"/>
  <c r="G838" i="2" s="1"/>
  <c r="B837" i="2"/>
  <c r="A837" i="2"/>
  <c r="B836" i="2"/>
  <c r="C836" i="2" s="1"/>
  <c r="G836" i="2" s="1"/>
  <c r="A836" i="2"/>
  <c r="B835" i="2"/>
  <c r="A835" i="2"/>
  <c r="B834" i="2"/>
  <c r="A834" i="2"/>
  <c r="B833" i="2"/>
  <c r="A833" i="2"/>
  <c r="B832" i="2"/>
  <c r="A832" i="2"/>
  <c r="B831" i="2"/>
  <c r="A831" i="2"/>
  <c r="B830" i="2"/>
  <c r="A830" i="2"/>
  <c r="C830" i="2" s="1"/>
  <c r="G830" i="2" s="1"/>
  <c r="B829" i="2"/>
  <c r="C829" i="2" s="1"/>
  <c r="G829" i="2" s="1"/>
  <c r="A829" i="2"/>
  <c r="B828" i="2"/>
  <c r="A828" i="2"/>
  <c r="B827" i="2"/>
  <c r="A827" i="2"/>
  <c r="B826" i="2"/>
  <c r="A826" i="2"/>
  <c r="B825" i="2"/>
  <c r="A825" i="2"/>
  <c r="B824" i="2"/>
  <c r="A824" i="2"/>
  <c r="B823" i="2"/>
  <c r="A823" i="2"/>
  <c r="B822" i="2"/>
  <c r="A822" i="2"/>
  <c r="B821" i="2"/>
  <c r="A821" i="2"/>
  <c r="B820" i="2"/>
  <c r="A820" i="2"/>
  <c r="B819" i="2"/>
  <c r="A819" i="2"/>
  <c r="B818" i="2"/>
  <c r="A818" i="2"/>
  <c r="B817" i="2"/>
  <c r="A817" i="2"/>
  <c r="B816" i="2"/>
  <c r="A816" i="2"/>
  <c r="B815" i="2"/>
  <c r="A815" i="2"/>
  <c r="B814" i="2"/>
  <c r="A814" i="2"/>
  <c r="B813" i="2"/>
  <c r="A813" i="2"/>
  <c r="B812" i="2"/>
  <c r="A812" i="2"/>
  <c r="B811" i="2"/>
  <c r="A811" i="2"/>
  <c r="B810" i="2"/>
  <c r="A810" i="2"/>
  <c r="B809" i="2"/>
  <c r="A809" i="2"/>
  <c r="B808" i="2"/>
  <c r="A808" i="2"/>
  <c r="B807" i="2"/>
  <c r="A807" i="2"/>
  <c r="B806" i="2"/>
  <c r="A806" i="2"/>
  <c r="B805" i="2"/>
  <c r="A805" i="2"/>
  <c r="B804" i="2"/>
  <c r="A804" i="2"/>
  <c r="B803" i="2"/>
  <c r="A803" i="2"/>
  <c r="B802" i="2"/>
  <c r="A802" i="2"/>
  <c r="B801" i="2"/>
  <c r="A801" i="2"/>
  <c r="B800" i="2"/>
  <c r="A800" i="2"/>
  <c r="B799" i="2"/>
  <c r="A799" i="2"/>
  <c r="C799" i="2" s="1"/>
  <c r="G799" i="2" s="1"/>
  <c r="B798" i="2"/>
  <c r="A798" i="2"/>
  <c r="B797" i="2"/>
  <c r="A797" i="2"/>
  <c r="B796" i="2"/>
  <c r="C796" i="2" s="1"/>
  <c r="G796" i="2" s="1"/>
  <c r="A796" i="2"/>
  <c r="B795" i="2"/>
  <c r="A795" i="2"/>
  <c r="B794" i="2"/>
  <c r="A794" i="2"/>
  <c r="B793" i="2"/>
  <c r="A793" i="2"/>
  <c r="B792" i="2"/>
  <c r="A792" i="2"/>
  <c r="B791" i="2"/>
  <c r="A791" i="2"/>
  <c r="C791" i="2" s="1"/>
  <c r="G791" i="2" s="1"/>
  <c r="B790" i="2"/>
  <c r="A790" i="2"/>
  <c r="B789" i="2"/>
  <c r="A789" i="2"/>
  <c r="B788" i="2"/>
  <c r="A788" i="2"/>
  <c r="B787" i="2"/>
  <c r="A787" i="2"/>
  <c r="C787" i="2" s="1"/>
  <c r="G787" i="2" s="1"/>
  <c r="B786" i="2"/>
  <c r="A786" i="2"/>
  <c r="B785" i="2"/>
  <c r="A785" i="2"/>
  <c r="B784" i="2"/>
  <c r="A784" i="2"/>
  <c r="B783" i="2"/>
  <c r="A783" i="2"/>
  <c r="B782" i="2"/>
  <c r="A782" i="2"/>
  <c r="B781" i="2"/>
  <c r="A781" i="2"/>
  <c r="B780" i="2"/>
  <c r="A780" i="2"/>
  <c r="B779" i="2"/>
  <c r="A779" i="2"/>
  <c r="B778" i="2"/>
  <c r="A778" i="2"/>
  <c r="B777" i="2"/>
  <c r="A777" i="2"/>
  <c r="B776" i="2"/>
  <c r="C776" i="2" s="1"/>
  <c r="G776" i="2" s="1"/>
  <c r="A776" i="2"/>
  <c r="B775" i="2"/>
  <c r="A775" i="2"/>
  <c r="B774" i="2"/>
  <c r="A774" i="2"/>
  <c r="B773" i="2"/>
  <c r="A773" i="2"/>
  <c r="B772" i="2"/>
  <c r="A772" i="2"/>
  <c r="B771" i="2"/>
  <c r="A771" i="2"/>
  <c r="B770" i="2"/>
  <c r="A770" i="2"/>
  <c r="B769" i="2"/>
  <c r="A769" i="2"/>
  <c r="B768" i="2"/>
  <c r="A768" i="2"/>
  <c r="B767" i="2"/>
  <c r="A767" i="2"/>
  <c r="C767" i="2" s="1"/>
  <c r="G767" i="2" s="1"/>
  <c r="B766" i="2"/>
  <c r="A766" i="2"/>
  <c r="B765" i="2"/>
  <c r="A765" i="2"/>
  <c r="B764" i="2"/>
  <c r="A764" i="2"/>
  <c r="C764" i="2" s="1"/>
  <c r="G764" i="2" s="1"/>
  <c r="B763" i="2"/>
  <c r="A763" i="2"/>
  <c r="B762" i="2"/>
  <c r="A762" i="2"/>
  <c r="B761" i="2"/>
  <c r="A761" i="2"/>
  <c r="B760" i="2"/>
  <c r="A760" i="2"/>
  <c r="B759" i="2"/>
  <c r="A759" i="2"/>
  <c r="B758" i="2"/>
  <c r="A758" i="2"/>
  <c r="B757" i="2"/>
  <c r="A757" i="2"/>
  <c r="B756" i="2"/>
  <c r="A756" i="2"/>
  <c r="B755" i="2"/>
  <c r="C755" i="2" s="1"/>
  <c r="G755" i="2" s="1"/>
  <c r="A755" i="2"/>
  <c r="B754" i="2"/>
  <c r="A754" i="2"/>
  <c r="B753" i="2"/>
  <c r="A753" i="2"/>
  <c r="B752" i="2"/>
  <c r="A752" i="2"/>
  <c r="B751" i="2"/>
  <c r="A751" i="2"/>
  <c r="B750" i="2"/>
  <c r="A750" i="2"/>
  <c r="B749" i="2"/>
  <c r="A749" i="2"/>
  <c r="B748" i="2"/>
  <c r="A748" i="2"/>
  <c r="C748" i="2" s="1"/>
  <c r="G748" i="2" s="1"/>
  <c r="B747" i="2"/>
  <c r="A747" i="2"/>
  <c r="B746" i="2"/>
  <c r="A746" i="2"/>
  <c r="B745" i="2"/>
  <c r="A745" i="2"/>
  <c r="B744" i="2"/>
  <c r="A744" i="2"/>
  <c r="B743" i="2"/>
  <c r="A743" i="2"/>
  <c r="B742" i="2"/>
  <c r="A742" i="2"/>
  <c r="B741" i="2"/>
  <c r="C741" i="2" s="1"/>
  <c r="G741" i="2" s="1"/>
  <c r="A741" i="2"/>
  <c r="B740" i="2"/>
  <c r="A740" i="2"/>
  <c r="B739" i="2"/>
  <c r="A739" i="2"/>
  <c r="B738" i="2"/>
  <c r="A738" i="2"/>
  <c r="B737" i="2"/>
  <c r="A737" i="2"/>
  <c r="B736" i="2"/>
  <c r="A736" i="2"/>
  <c r="B735" i="2"/>
  <c r="A735" i="2"/>
  <c r="B734" i="2"/>
  <c r="A734" i="2"/>
  <c r="B733" i="2"/>
  <c r="A733" i="2"/>
  <c r="B732" i="2"/>
  <c r="A732" i="2"/>
  <c r="C732" i="2" s="1"/>
  <c r="G732" i="2" s="1"/>
  <c r="B731" i="2"/>
  <c r="C731" i="2" s="1"/>
  <c r="G731" i="2" s="1"/>
  <c r="A731" i="2"/>
  <c r="B730" i="2"/>
  <c r="A730" i="2"/>
  <c r="B729" i="2"/>
  <c r="A729" i="2"/>
  <c r="B728" i="2"/>
  <c r="A728" i="2"/>
  <c r="B727" i="2"/>
  <c r="C727" i="2" s="1"/>
  <c r="G727" i="2" s="1"/>
  <c r="A727" i="2"/>
  <c r="B726" i="2"/>
  <c r="A726" i="2"/>
  <c r="B725" i="2"/>
  <c r="A725" i="2"/>
  <c r="B724" i="2"/>
  <c r="A724" i="2"/>
  <c r="B723" i="2"/>
  <c r="A723" i="2"/>
  <c r="B722" i="2"/>
  <c r="A722" i="2"/>
  <c r="B721" i="2"/>
  <c r="C721" i="2" s="1"/>
  <c r="G721" i="2" s="1"/>
  <c r="A721" i="2"/>
  <c r="B720" i="2"/>
  <c r="A720" i="2"/>
  <c r="C720" i="2" s="1"/>
  <c r="G720" i="2" s="1"/>
  <c r="B719" i="2"/>
  <c r="A719" i="2"/>
  <c r="B718" i="2"/>
  <c r="A718" i="2"/>
  <c r="B717" i="2"/>
  <c r="A717" i="2"/>
  <c r="B716" i="2"/>
  <c r="A716" i="2"/>
  <c r="C716" i="2" s="1"/>
  <c r="G716" i="2" s="1"/>
  <c r="B715" i="2"/>
  <c r="A715" i="2"/>
  <c r="B714" i="2"/>
  <c r="A714" i="2"/>
  <c r="B713" i="2"/>
  <c r="A713" i="2"/>
  <c r="B712" i="2"/>
  <c r="A712" i="2"/>
  <c r="B711" i="2"/>
  <c r="A711" i="2"/>
  <c r="B710" i="2"/>
  <c r="A710" i="2"/>
  <c r="B709" i="2"/>
  <c r="A709" i="2"/>
  <c r="B708" i="2"/>
  <c r="A708" i="2"/>
  <c r="B707" i="2"/>
  <c r="A707" i="2"/>
  <c r="B706" i="2"/>
  <c r="A706" i="2"/>
  <c r="B705" i="2"/>
  <c r="A705" i="2"/>
  <c r="B704" i="2"/>
  <c r="A704" i="2"/>
  <c r="B703" i="2"/>
  <c r="A703" i="2"/>
  <c r="B702" i="2"/>
  <c r="A702" i="2"/>
  <c r="C702" i="2" s="1"/>
  <c r="G702" i="2" s="1"/>
  <c r="B701" i="2"/>
  <c r="A701" i="2"/>
  <c r="B700" i="2"/>
  <c r="A700" i="2"/>
  <c r="B699" i="2"/>
  <c r="A699" i="2"/>
  <c r="B698" i="2"/>
  <c r="A698" i="2"/>
  <c r="B697" i="2"/>
  <c r="A697" i="2"/>
  <c r="B696" i="2"/>
  <c r="A696" i="2"/>
  <c r="B695" i="2"/>
  <c r="A695" i="2"/>
  <c r="B694" i="2"/>
  <c r="A694" i="2"/>
  <c r="B693" i="2"/>
  <c r="A693" i="2"/>
  <c r="B692" i="2"/>
  <c r="A692" i="2"/>
  <c r="B691" i="2"/>
  <c r="A691" i="2"/>
  <c r="B690" i="2"/>
  <c r="A690" i="2"/>
  <c r="B689" i="2"/>
  <c r="A689" i="2"/>
  <c r="B688" i="2"/>
  <c r="A688" i="2"/>
  <c r="B687" i="2"/>
  <c r="A687" i="2"/>
  <c r="B686" i="2"/>
  <c r="A686" i="2"/>
  <c r="B685" i="2"/>
  <c r="A685" i="2"/>
  <c r="B684" i="2"/>
  <c r="A684" i="2"/>
  <c r="C684" i="2" s="1"/>
  <c r="G684" i="2" s="1"/>
  <c r="B683" i="2"/>
  <c r="A683" i="2"/>
  <c r="B682" i="2"/>
  <c r="A682" i="2"/>
  <c r="B681" i="2"/>
  <c r="A681" i="2"/>
  <c r="B680" i="2"/>
  <c r="A680" i="2"/>
  <c r="B679" i="2"/>
  <c r="A679" i="2"/>
  <c r="B678" i="2"/>
  <c r="A678" i="2"/>
  <c r="B677" i="2"/>
  <c r="C677" i="2" s="1"/>
  <c r="G677" i="2" s="1"/>
  <c r="A677" i="2"/>
  <c r="B676" i="2"/>
  <c r="A676" i="2"/>
  <c r="B675" i="2"/>
  <c r="A675" i="2"/>
  <c r="B674" i="2"/>
  <c r="A674" i="2"/>
  <c r="B673" i="2"/>
  <c r="A673" i="2"/>
  <c r="B672" i="2"/>
  <c r="A672" i="2"/>
  <c r="B671" i="2"/>
  <c r="A671" i="2"/>
  <c r="B670" i="2"/>
  <c r="A670" i="2"/>
  <c r="B669" i="2"/>
  <c r="A669" i="2"/>
  <c r="B668" i="2"/>
  <c r="A668" i="2"/>
  <c r="C668" i="2" s="1"/>
  <c r="G668" i="2" s="1"/>
  <c r="B667" i="2"/>
  <c r="A667" i="2"/>
  <c r="B666" i="2"/>
  <c r="A666" i="2"/>
  <c r="B665" i="2"/>
  <c r="A665" i="2"/>
  <c r="B664" i="2"/>
  <c r="A664" i="2"/>
  <c r="B663" i="2"/>
  <c r="A663" i="2"/>
  <c r="B662" i="2"/>
  <c r="A662" i="2"/>
  <c r="B661" i="2"/>
  <c r="A661" i="2"/>
  <c r="B660" i="2"/>
  <c r="A660" i="2"/>
  <c r="B659" i="2"/>
  <c r="A659" i="2"/>
  <c r="B658" i="2"/>
  <c r="A658" i="2"/>
  <c r="B657" i="2"/>
  <c r="C657" i="2" s="1"/>
  <c r="G657" i="2" s="1"/>
  <c r="A657" i="2"/>
  <c r="B656" i="2"/>
  <c r="A656" i="2"/>
  <c r="C656" i="2" s="1"/>
  <c r="G656" i="2" s="1"/>
  <c r="B655" i="2"/>
  <c r="A655" i="2"/>
  <c r="B654" i="2"/>
  <c r="A654" i="2"/>
  <c r="B653" i="2"/>
  <c r="A653" i="2"/>
  <c r="B652" i="2"/>
  <c r="A652" i="2"/>
  <c r="C652" i="2" s="1"/>
  <c r="G652" i="2" s="1"/>
  <c r="B651" i="2"/>
  <c r="A651" i="2"/>
  <c r="B650" i="2"/>
  <c r="A650" i="2"/>
  <c r="B649" i="2"/>
  <c r="A649" i="2"/>
  <c r="B648" i="2"/>
  <c r="A648" i="2"/>
  <c r="B647" i="2"/>
  <c r="A647" i="2"/>
  <c r="B646" i="2"/>
  <c r="A646" i="2"/>
  <c r="B645" i="2"/>
  <c r="A645" i="2"/>
  <c r="B644" i="2"/>
  <c r="A644" i="2"/>
  <c r="B643" i="2"/>
  <c r="C643" i="2" s="1"/>
  <c r="G643" i="2" s="1"/>
  <c r="A643" i="2"/>
  <c r="B642" i="2"/>
  <c r="A642" i="2"/>
  <c r="B641" i="2"/>
  <c r="A641" i="2"/>
  <c r="B640" i="2"/>
  <c r="A640" i="2"/>
  <c r="B639" i="2"/>
  <c r="A639" i="2"/>
  <c r="B638" i="2"/>
  <c r="A638" i="2"/>
  <c r="B637" i="2"/>
  <c r="C637" i="2" s="1"/>
  <c r="G637" i="2" s="1"/>
  <c r="A637" i="2"/>
  <c r="B636" i="2"/>
  <c r="A636" i="2"/>
  <c r="B635" i="2"/>
  <c r="A635" i="2"/>
  <c r="B634" i="2"/>
  <c r="A634" i="2"/>
  <c r="B633" i="2"/>
  <c r="A633" i="2"/>
  <c r="B632" i="2"/>
  <c r="A632" i="2"/>
  <c r="B631" i="2"/>
  <c r="A631" i="2"/>
  <c r="B630" i="2"/>
  <c r="A630" i="2"/>
  <c r="B629" i="2"/>
  <c r="A629" i="2"/>
  <c r="B628" i="2"/>
  <c r="A628" i="2"/>
  <c r="B627" i="2"/>
  <c r="A627" i="2"/>
  <c r="B626" i="2"/>
  <c r="A626" i="2"/>
  <c r="C626" i="2" s="1"/>
  <c r="G626" i="2" s="1"/>
  <c r="B625" i="2"/>
  <c r="A625" i="2"/>
  <c r="B624" i="2"/>
  <c r="A624" i="2"/>
  <c r="B623" i="2"/>
  <c r="A623" i="2"/>
  <c r="B622" i="2"/>
  <c r="A622" i="2"/>
  <c r="C622" i="2" s="1"/>
  <c r="G622" i="2" s="1"/>
  <c r="B621" i="2"/>
  <c r="A621" i="2"/>
  <c r="B620" i="2"/>
  <c r="A620" i="2"/>
  <c r="B619" i="2"/>
  <c r="C619" i="2" s="1"/>
  <c r="G619" i="2" s="1"/>
  <c r="A619" i="2"/>
  <c r="B618" i="2"/>
  <c r="A618" i="2"/>
  <c r="B617" i="2"/>
  <c r="A617" i="2"/>
  <c r="B616" i="2"/>
  <c r="A616" i="2"/>
  <c r="B615" i="2"/>
  <c r="A615" i="2"/>
  <c r="B614" i="2"/>
  <c r="A614" i="2"/>
  <c r="C614" i="2" s="1"/>
  <c r="G614" i="2" s="1"/>
  <c r="B613" i="2"/>
  <c r="A613" i="2"/>
  <c r="B612" i="2"/>
  <c r="A612" i="2"/>
  <c r="B611" i="2"/>
  <c r="A611" i="2"/>
  <c r="B610" i="2"/>
  <c r="A610" i="2"/>
  <c r="C610" i="2" s="1"/>
  <c r="G610" i="2" s="1"/>
  <c r="B609" i="2"/>
  <c r="A609" i="2"/>
  <c r="B608" i="2"/>
  <c r="A608" i="2"/>
  <c r="B607" i="2"/>
  <c r="A607" i="2"/>
  <c r="B606" i="2"/>
  <c r="A606" i="2"/>
  <c r="B605" i="2"/>
  <c r="A605" i="2"/>
  <c r="B604" i="2"/>
  <c r="A604" i="2"/>
  <c r="C603" i="2"/>
  <c r="G603" i="2" s="1"/>
  <c r="B603" i="2"/>
  <c r="A603" i="2"/>
  <c r="B602" i="2"/>
  <c r="A602" i="2"/>
  <c r="B601" i="2"/>
  <c r="A601" i="2"/>
  <c r="C601" i="2" s="1"/>
  <c r="G601" i="2" s="1"/>
  <c r="B600" i="2"/>
  <c r="A600" i="2"/>
  <c r="B599" i="2"/>
  <c r="A599" i="2"/>
  <c r="C599" i="2" s="1"/>
  <c r="G599" i="2" s="1"/>
  <c r="B598" i="2"/>
  <c r="A598" i="2"/>
  <c r="B597" i="2"/>
  <c r="A597" i="2"/>
  <c r="B596" i="2"/>
  <c r="A596" i="2"/>
  <c r="B595" i="2"/>
  <c r="A595" i="2"/>
  <c r="C595" i="2" s="1"/>
  <c r="G595" i="2" s="1"/>
  <c r="B594" i="2"/>
  <c r="A594" i="2"/>
  <c r="B593" i="2"/>
  <c r="A593" i="2"/>
  <c r="B592" i="2"/>
  <c r="A592" i="2"/>
  <c r="B591" i="2"/>
  <c r="A591" i="2"/>
  <c r="B590" i="2"/>
  <c r="C590" i="2" s="1"/>
  <c r="G590" i="2" s="1"/>
  <c r="A590" i="2"/>
  <c r="B589" i="2"/>
  <c r="A589" i="2"/>
  <c r="B588" i="2"/>
  <c r="A588" i="2"/>
  <c r="B587" i="2"/>
  <c r="A587" i="2"/>
  <c r="B586" i="2"/>
  <c r="A586" i="2"/>
  <c r="B585" i="2"/>
  <c r="A585" i="2"/>
  <c r="B584" i="2"/>
  <c r="A584" i="2"/>
  <c r="B583" i="2"/>
  <c r="A583" i="2"/>
  <c r="C583" i="2" s="1"/>
  <c r="G583" i="2" s="1"/>
  <c r="B582" i="2"/>
  <c r="A582" i="2"/>
  <c r="B581" i="2"/>
  <c r="A581" i="2"/>
  <c r="B580" i="2"/>
  <c r="A580" i="2"/>
  <c r="B579" i="2"/>
  <c r="A579" i="2"/>
  <c r="C579" i="2" s="1"/>
  <c r="G579" i="2" s="1"/>
  <c r="B578" i="2"/>
  <c r="A578" i="2"/>
  <c r="B577" i="2"/>
  <c r="A577" i="2"/>
  <c r="B576" i="2"/>
  <c r="A576" i="2"/>
  <c r="B575" i="2"/>
  <c r="A575" i="2"/>
  <c r="B574" i="2"/>
  <c r="A574" i="2"/>
  <c r="B573" i="2"/>
  <c r="A573" i="2"/>
  <c r="B572" i="2"/>
  <c r="A572" i="2"/>
  <c r="B571" i="2"/>
  <c r="A571" i="2"/>
  <c r="B570" i="2"/>
  <c r="A570" i="2"/>
  <c r="B569" i="2"/>
  <c r="A569" i="2"/>
  <c r="B568" i="2"/>
  <c r="A568" i="2"/>
  <c r="B567" i="2"/>
  <c r="A567" i="2"/>
  <c r="B566" i="2"/>
  <c r="A566" i="2"/>
  <c r="B565" i="2"/>
  <c r="A565" i="2"/>
  <c r="C565" i="2" s="1"/>
  <c r="G565" i="2" s="1"/>
  <c r="B564" i="2"/>
  <c r="A564" i="2"/>
  <c r="B563" i="2"/>
  <c r="A563" i="2"/>
  <c r="B562" i="2"/>
  <c r="A562" i="2"/>
  <c r="B561" i="2"/>
  <c r="A561" i="2"/>
  <c r="C561" i="2" s="1"/>
  <c r="G561" i="2" s="1"/>
  <c r="B560" i="2"/>
  <c r="A560" i="2"/>
  <c r="B559" i="2"/>
  <c r="A559" i="2"/>
  <c r="B558" i="2"/>
  <c r="A558" i="2"/>
  <c r="B557" i="2"/>
  <c r="A557" i="2"/>
  <c r="C557" i="2" s="1"/>
  <c r="G557" i="2" s="1"/>
  <c r="B556" i="2"/>
  <c r="A556" i="2"/>
  <c r="B555" i="2"/>
  <c r="A555" i="2"/>
  <c r="B554" i="2"/>
  <c r="A554" i="2"/>
  <c r="B553" i="2"/>
  <c r="A553" i="2"/>
  <c r="C553" i="2" s="1"/>
  <c r="G553" i="2" s="1"/>
  <c r="B552" i="2"/>
  <c r="A552" i="2"/>
  <c r="B551" i="2"/>
  <c r="A551" i="2"/>
  <c r="B550" i="2"/>
  <c r="A550" i="2"/>
  <c r="B549" i="2"/>
  <c r="A549" i="2"/>
  <c r="B548" i="2"/>
  <c r="A548" i="2"/>
  <c r="B547" i="2"/>
  <c r="A547" i="2"/>
  <c r="B546" i="2"/>
  <c r="A546" i="2"/>
  <c r="B545" i="2"/>
  <c r="A545" i="2"/>
  <c r="B544" i="2"/>
  <c r="A544" i="2"/>
  <c r="C544" i="2" s="1"/>
  <c r="G544" i="2" s="1"/>
  <c r="B543" i="2"/>
  <c r="A543" i="2"/>
  <c r="B542" i="2"/>
  <c r="C542" i="2" s="1"/>
  <c r="G542" i="2" s="1"/>
  <c r="A542" i="2"/>
  <c r="B541" i="2"/>
  <c r="A541" i="2"/>
  <c r="B540" i="2"/>
  <c r="A540" i="2"/>
  <c r="C540" i="2" s="1"/>
  <c r="G540" i="2" s="1"/>
  <c r="B539" i="2"/>
  <c r="A539" i="2"/>
  <c r="B538" i="2"/>
  <c r="A538" i="2"/>
  <c r="B537" i="2"/>
  <c r="A537" i="2"/>
  <c r="B536" i="2"/>
  <c r="A536" i="2"/>
  <c r="B535" i="2"/>
  <c r="A535" i="2"/>
  <c r="B534" i="2"/>
  <c r="A534" i="2"/>
  <c r="B533" i="2"/>
  <c r="A533" i="2"/>
  <c r="B532" i="2"/>
  <c r="A532" i="2"/>
  <c r="B531" i="2"/>
  <c r="A531" i="2"/>
  <c r="B530" i="2"/>
  <c r="A530" i="2"/>
  <c r="B529" i="2"/>
  <c r="A529" i="2"/>
  <c r="B528" i="2"/>
  <c r="A528" i="2"/>
  <c r="C528" i="2" s="1"/>
  <c r="G528" i="2" s="1"/>
  <c r="B527" i="2"/>
  <c r="A527" i="2"/>
  <c r="B526" i="2"/>
  <c r="C526" i="2" s="1"/>
  <c r="G526" i="2" s="1"/>
  <c r="A526" i="2"/>
  <c r="B525" i="2"/>
  <c r="A525" i="2"/>
  <c r="B524" i="2"/>
  <c r="A524" i="2"/>
  <c r="C524" i="2" s="1"/>
  <c r="G524" i="2" s="1"/>
  <c r="B523" i="2"/>
  <c r="A523" i="2"/>
  <c r="B522" i="2"/>
  <c r="A522" i="2"/>
  <c r="B521" i="2"/>
  <c r="A521" i="2"/>
  <c r="B520" i="2"/>
  <c r="A520" i="2"/>
  <c r="B519" i="2"/>
  <c r="A519" i="2"/>
  <c r="B518" i="2"/>
  <c r="A518" i="2"/>
  <c r="B517" i="2"/>
  <c r="A517" i="2"/>
  <c r="B516" i="2"/>
  <c r="A516" i="2"/>
  <c r="C516" i="2" s="1"/>
  <c r="G516" i="2" s="1"/>
  <c r="B515" i="2"/>
  <c r="A515" i="2"/>
  <c r="B514" i="2"/>
  <c r="A514" i="2"/>
  <c r="B513" i="2"/>
  <c r="A513" i="2"/>
  <c r="B512" i="2"/>
  <c r="A512" i="2"/>
  <c r="B511" i="2"/>
  <c r="A511" i="2"/>
  <c r="B510" i="2"/>
  <c r="A510" i="2"/>
  <c r="B509" i="2"/>
  <c r="A509" i="2"/>
  <c r="B508" i="2"/>
  <c r="A508" i="2"/>
  <c r="B507" i="2"/>
  <c r="A507" i="2"/>
  <c r="B506" i="2"/>
  <c r="A506" i="2"/>
  <c r="B505" i="2"/>
  <c r="A505" i="2"/>
  <c r="B504" i="2"/>
  <c r="A504" i="2"/>
  <c r="C504" i="2" s="1"/>
  <c r="G504" i="2" s="1"/>
  <c r="B503" i="2"/>
  <c r="A503" i="2"/>
  <c r="B502" i="2"/>
  <c r="C502" i="2" s="1"/>
  <c r="G502" i="2" s="1"/>
  <c r="A502" i="2"/>
  <c r="B501" i="2"/>
  <c r="A501" i="2"/>
  <c r="B500" i="2"/>
  <c r="A500" i="2"/>
  <c r="C500" i="2" s="1"/>
  <c r="G500" i="2" s="1"/>
  <c r="B499" i="2"/>
  <c r="A499" i="2"/>
  <c r="B498" i="2"/>
  <c r="A498" i="2"/>
  <c r="B497" i="2"/>
  <c r="A497" i="2"/>
  <c r="B496" i="2"/>
  <c r="A496" i="2"/>
  <c r="B495" i="2"/>
  <c r="A495" i="2"/>
  <c r="C494" i="2"/>
  <c r="G494" i="2" s="1"/>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C478" i="2" s="1"/>
  <c r="G478" i="2" s="1"/>
  <c r="A478" i="2"/>
  <c r="B477" i="2"/>
  <c r="A477" i="2"/>
  <c r="C477" i="2" s="1"/>
  <c r="G477" i="2" s="1"/>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463" i="2"/>
  <c r="A463" i="2"/>
  <c r="B462" i="2"/>
  <c r="A462" i="2"/>
  <c r="B461" i="2"/>
  <c r="A461" i="2"/>
  <c r="B460" i="2"/>
  <c r="A460" i="2"/>
  <c r="B459" i="2"/>
  <c r="A459" i="2"/>
  <c r="B458" i="2"/>
  <c r="A458" i="2"/>
  <c r="B457" i="2"/>
  <c r="A457" i="2"/>
  <c r="B456" i="2"/>
  <c r="A456" i="2"/>
  <c r="B455" i="2"/>
  <c r="A455" i="2"/>
  <c r="B454" i="2"/>
  <c r="A454" i="2"/>
  <c r="B453" i="2"/>
  <c r="A453" i="2"/>
  <c r="B452" i="2"/>
  <c r="C452" i="2" s="1"/>
  <c r="G452" i="2" s="1"/>
  <c r="A452" i="2"/>
  <c r="B451" i="2"/>
  <c r="A451" i="2"/>
  <c r="B450" i="2"/>
  <c r="A450" i="2"/>
  <c r="B449" i="2"/>
  <c r="A449" i="2"/>
  <c r="B448" i="2"/>
  <c r="A448" i="2"/>
  <c r="B447" i="2"/>
  <c r="A447" i="2"/>
  <c r="B446" i="2"/>
  <c r="A446" i="2"/>
  <c r="B445" i="2"/>
  <c r="A445" i="2"/>
  <c r="B444" i="2"/>
  <c r="C444" i="2" s="1"/>
  <c r="G444" i="2" s="1"/>
  <c r="A444" i="2"/>
  <c r="B443" i="2"/>
  <c r="C443" i="2" s="1"/>
  <c r="G443" i="2" s="1"/>
  <c r="A443" i="2"/>
  <c r="B442" i="2"/>
  <c r="A442" i="2"/>
  <c r="B441" i="2"/>
  <c r="A441" i="2"/>
  <c r="C441" i="2" s="1"/>
  <c r="G441" i="2" s="1"/>
  <c r="B440" i="2"/>
  <c r="A440" i="2"/>
  <c r="C440" i="2" s="1"/>
  <c r="G440" i="2" s="1"/>
  <c r="B439" i="2"/>
  <c r="A439" i="2"/>
  <c r="B438" i="2"/>
  <c r="A438" i="2"/>
  <c r="B437" i="2"/>
  <c r="A437" i="2"/>
  <c r="B436" i="2"/>
  <c r="A436" i="2"/>
  <c r="B435" i="2"/>
  <c r="A435" i="2"/>
  <c r="B434" i="2"/>
  <c r="A434" i="2"/>
  <c r="B433" i="2"/>
  <c r="A433" i="2"/>
  <c r="B432" i="2"/>
  <c r="A432" i="2"/>
  <c r="B431" i="2"/>
  <c r="A431" i="2"/>
  <c r="B430" i="2"/>
  <c r="A430" i="2"/>
  <c r="B429" i="2"/>
  <c r="A429" i="2"/>
  <c r="B428" i="2"/>
  <c r="A428" i="2"/>
  <c r="B427" i="2"/>
  <c r="A427" i="2"/>
  <c r="B426" i="2"/>
  <c r="A426" i="2"/>
  <c r="B425" i="2"/>
  <c r="A425" i="2"/>
  <c r="B424" i="2"/>
  <c r="A424" i="2"/>
  <c r="B423" i="2"/>
  <c r="A423" i="2"/>
  <c r="B422" i="2"/>
  <c r="A422" i="2"/>
  <c r="B421" i="2"/>
  <c r="A421" i="2"/>
  <c r="B420" i="2"/>
  <c r="A420" i="2"/>
  <c r="B419" i="2"/>
  <c r="A419" i="2"/>
  <c r="B418" i="2"/>
  <c r="A418" i="2"/>
  <c r="B417" i="2"/>
  <c r="A417" i="2"/>
  <c r="B416" i="2"/>
  <c r="A416" i="2"/>
  <c r="B415" i="2"/>
  <c r="A415" i="2"/>
  <c r="B414" i="2"/>
  <c r="A414" i="2"/>
  <c r="C414" i="2" s="1"/>
  <c r="G414" i="2" s="1"/>
  <c r="B413" i="2"/>
  <c r="C413" i="2" s="1"/>
  <c r="G413" i="2" s="1"/>
  <c r="A413" i="2"/>
  <c r="B412" i="2"/>
  <c r="A412" i="2"/>
  <c r="B411" i="2"/>
  <c r="C411" i="2" s="1"/>
  <c r="G411" i="2" s="1"/>
  <c r="A411" i="2"/>
  <c r="B410" i="2"/>
  <c r="A410" i="2"/>
  <c r="B409" i="2"/>
  <c r="A409" i="2"/>
  <c r="B408" i="2"/>
  <c r="A408" i="2"/>
  <c r="B407" i="2"/>
  <c r="A407" i="2"/>
  <c r="B406" i="2"/>
  <c r="A406" i="2"/>
  <c r="B405" i="2"/>
  <c r="C405" i="2" s="1"/>
  <c r="G405" i="2" s="1"/>
  <c r="A405" i="2"/>
  <c r="B404" i="2"/>
  <c r="A404" i="2"/>
  <c r="B403" i="2"/>
  <c r="A403" i="2"/>
  <c r="B402" i="2"/>
  <c r="A402" i="2"/>
  <c r="B401" i="2"/>
  <c r="A401" i="2"/>
  <c r="B400" i="2"/>
  <c r="A400" i="2"/>
  <c r="B399" i="2"/>
  <c r="A399" i="2"/>
  <c r="B398" i="2"/>
  <c r="A398" i="2"/>
  <c r="C398" i="2" s="1"/>
  <c r="G398" i="2" s="1"/>
  <c r="B397" i="2"/>
  <c r="C397" i="2" s="1"/>
  <c r="G397" i="2" s="1"/>
  <c r="A397" i="2"/>
  <c r="B396" i="2"/>
  <c r="A396" i="2"/>
  <c r="B395" i="2"/>
  <c r="A395" i="2"/>
  <c r="B394" i="2"/>
  <c r="A394" i="2"/>
  <c r="B393" i="2"/>
  <c r="A393" i="2"/>
  <c r="B392" i="2"/>
  <c r="A392" i="2"/>
  <c r="B391" i="2"/>
  <c r="A391" i="2"/>
  <c r="B390" i="2"/>
  <c r="A390" i="2"/>
  <c r="C390" i="2" s="1"/>
  <c r="G390" i="2" s="1"/>
  <c r="B389" i="2"/>
  <c r="C389" i="2" s="1"/>
  <c r="G389" i="2" s="1"/>
  <c r="A389" i="2"/>
  <c r="B388" i="2"/>
  <c r="A388" i="2"/>
  <c r="C388" i="2" s="1"/>
  <c r="G388" i="2" s="1"/>
  <c r="B387" i="2"/>
  <c r="A387" i="2"/>
  <c r="B386" i="2"/>
  <c r="A386" i="2"/>
  <c r="B385" i="2"/>
  <c r="A385" i="2"/>
  <c r="B384" i="2"/>
  <c r="A384" i="2"/>
  <c r="B383" i="2"/>
  <c r="A383" i="2"/>
  <c r="B382" i="2"/>
  <c r="C382" i="2" s="1"/>
  <c r="G382" i="2" s="1"/>
  <c r="A382" i="2"/>
  <c r="B381" i="2"/>
  <c r="A381" i="2"/>
  <c r="B380" i="2"/>
  <c r="A380" i="2"/>
  <c r="B379" i="2"/>
  <c r="A379" i="2"/>
  <c r="C379" i="2" s="1"/>
  <c r="G379" i="2" s="1"/>
  <c r="B378" i="2"/>
  <c r="A378" i="2"/>
  <c r="B377" i="2"/>
  <c r="A377" i="2"/>
  <c r="B376" i="2"/>
  <c r="A376" i="2"/>
  <c r="B375" i="2"/>
  <c r="A375" i="2"/>
  <c r="C375" i="2" s="1"/>
  <c r="G375" i="2" s="1"/>
  <c r="B374" i="2"/>
  <c r="C374" i="2" s="1"/>
  <c r="G374" i="2" s="1"/>
  <c r="A374" i="2"/>
  <c r="B373" i="2"/>
  <c r="A373" i="2"/>
  <c r="B372" i="2"/>
  <c r="A372" i="2"/>
  <c r="B371" i="2"/>
  <c r="A371" i="2"/>
  <c r="C371" i="2" s="1"/>
  <c r="G371" i="2" s="1"/>
  <c r="B370" i="2"/>
  <c r="A370" i="2"/>
  <c r="B369" i="2"/>
  <c r="A369" i="2"/>
  <c r="B368" i="2"/>
  <c r="A368" i="2"/>
  <c r="B367" i="2"/>
  <c r="A367" i="2"/>
  <c r="C367" i="2" s="1"/>
  <c r="G367" i="2" s="1"/>
  <c r="B366" i="2"/>
  <c r="C366" i="2" s="1"/>
  <c r="G366" i="2" s="1"/>
  <c r="A366" i="2"/>
  <c r="B365" i="2"/>
  <c r="C365" i="2" s="1"/>
  <c r="G365" i="2" s="1"/>
  <c r="A365" i="2"/>
  <c r="B364" i="2"/>
  <c r="A364" i="2"/>
  <c r="B363" i="2"/>
  <c r="A363" i="2"/>
  <c r="B362" i="2"/>
  <c r="A362" i="2"/>
  <c r="B361" i="2"/>
  <c r="A361" i="2"/>
  <c r="B360" i="2"/>
  <c r="A360" i="2"/>
  <c r="B359" i="2"/>
  <c r="A359" i="2"/>
  <c r="B358" i="2"/>
  <c r="A358" i="2"/>
  <c r="B357" i="2"/>
  <c r="A357" i="2"/>
  <c r="B356" i="2"/>
  <c r="C356" i="2" s="1"/>
  <c r="G356" i="2" s="1"/>
  <c r="A356" i="2"/>
  <c r="B355" i="2"/>
  <c r="A355" i="2"/>
  <c r="B354" i="2"/>
  <c r="A354" i="2"/>
  <c r="B353" i="2"/>
  <c r="A353" i="2"/>
  <c r="B352" i="2"/>
  <c r="A352" i="2"/>
  <c r="B351" i="2"/>
  <c r="A351" i="2"/>
  <c r="B350" i="2"/>
  <c r="A350" i="2"/>
  <c r="B349" i="2"/>
  <c r="A349" i="2"/>
  <c r="C349" i="2" s="1"/>
  <c r="G349" i="2" s="1"/>
  <c r="B348" i="2"/>
  <c r="A348" i="2"/>
  <c r="C348" i="2" s="1"/>
  <c r="G348" i="2" s="1"/>
  <c r="B347" i="2"/>
  <c r="C347" i="2" s="1"/>
  <c r="G347" i="2" s="1"/>
  <c r="A347" i="2"/>
  <c r="B346" i="2"/>
  <c r="A346" i="2"/>
  <c r="B345" i="2"/>
  <c r="A345" i="2"/>
  <c r="B344" i="2"/>
  <c r="A344" i="2"/>
  <c r="B343" i="2"/>
  <c r="A343" i="2"/>
  <c r="B342" i="2"/>
  <c r="C342" i="2" s="1"/>
  <c r="G342" i="2" s="1"/>
  <c r="A342" i="2"/>
  <c r="B341" i="2"/>
  <c r="A341" i="2"/>
  <c r="B340" i="2"/>
  <c r="A340" i="2"/>
  <c r="B339" i="2"/>
  <c r="A339" i="2"/>
  <c r="B338" i="2"/>
  <c r="A338" i="2"/>
  <c r="B337" i="2"/>
  <c r="A337" i="2"/>
  <c r="B336" i="2"/>
  <c r="A336" i="2"/>
  <c r="B335" i="2"/>
  <c r="A335" i="2"/>
  <c r="B334" i="2"/>
  <c r="A334" i="2"/>
  <c r="B333" i="2"/>
  <c r="C333" i="2" s="1"/>
  <c r="G333" i="2" s="1"/>
  <c r="A333" i="2"/>
  <c r="B332" i="2"/>
  <c r="A332" i="2"/>
  <c r="B331" i="2"/>
  <c r="A331" i="2"/>
  <c r="B330" i="2"/>
  <c r="A330" i="2"/>
  <c r="B329" i="2"/>
  <c r="A329" i="2"/>
  <c r="B328" i="2"/>
  <c r="A328" i="2"/>
  <c r="B327" i="2"/>
  <c r="A327" i="2"/>
  <c r="B326" i="2"/>
  <c r="A326" i="2"/>
  <c r="C326" i="2" s="1"/>
  <c r="G326" i="2" s="1"/>
  <c r="B325" i="2"/>
  <c r="A325" i="2"/>
  <c r="C325" i="2" s="1"/>
  <c r="G325" i="2" s="1"/>
  <c r="B324" i="2"/>
  <c r="C324" i="2" s="1"/>
  <c r="G324" i="2" s="1"/>
  <c r="A324" i="2"/>
  <c r="B323" i="2"/>
  <c r="C323" i="2" s="1"/>
  <c r="G323" i="2" s="1"/>
  <c r="A323" i="2"/>
  <c r="B322" i="2"/>
  <c r="A322" i="2"/>
  <c r="B321" i="2"/>
  <c r="A321" i="2"/>
  <c r="B320" i="2"/>
  <c r="A320" i="2"/>
  <c r="B319" i="2"/>
  <c r="A319" i="2"/>
  <c r="B318" i="2"/>
  <c r="A318" i="2"/>
  <c r="B317" i="2"/>
  <c r="A317" i="2"/>
  <c r="B316" i="2"/>
  <c r="A316" i="2"/>
  <c r="B315" i="2"/>
  <c r="A315" i="2"/>
  <c r="B314" i="2"/>
  <c r="A314" i="2"/>
  <c r="B313" i="2"/>
  <c r="A313" i="2"/>
  <c r="B312" i="2"/>
  <c r="A312" i="2"/>
  <c r="B311" i="2"/>
  <c r="A311" i="2"/>
  <c r="B310" i="2"/>
  <c r="A310" i="2"/>
  <c r="B309" i="2"/>
  <c r="A309" i="2"/>
  <c r="B308" i="2"/>
  <c r="A308" i="2"/>
  <c r="B307" i="2"/>
  <c r="A307" i="2"/>
  <c r="B306" i="2"/>
  <c r="A306" i="2"/>
  <c r="B305" i="2"/>
  <c r="A305" i="2"/>
  <c r="C305" i="2" s="1"/>
  <c r="G305" i="2" s="1"/>
  <c r="B304" i="2"/>
  <c r="A304" i="2"/>
  <c r="B303" i="2"/>
  <c r="A303" i="2"/>
  <c r="B302" i="2"/>
  <c r="A302" i="2"/>
  <c r="B301" i="2"/>
  <c r="A301" i="2"/>
  <c r="C301" i="2" s="1"/>
  <c r="G301" i="2" s="1"/>
  <c r="B300" i="2"/>
  <c r="A300" i="2"/>
  <c r="B299" i="2"/>
  <c r="A299" i="2"/>
  <c r="B298" i="2"/>
  <c r="A298" i="2"/>
  <c r="B297" i="2"/>
  <c r="A297" i="2"/>
  <c r="C297" i="2" s="1"/>
  <c r="G297" i="2" s="1"/>
  <c r="B296" i="2"/>
  <c r="A296" i="2"/>
  <c r="B295" i="2"/>
  <c r="A295" i="2"/>
  <c r="B294" i="2"/>
  <c r="C294" i="2" s="1"/>
  <c r="G294" i="2" s="1"/>
  <c r="A294" i="2"/>
  <c r="B293" i="2"/>
  <c r="A293" i="2"/>
  <c r="C293" i="2" s="1"/>
  <c r="G293" i="2" s="1"/>
  <c r="B292" i="2"/>
  <c r="A292" i="2"/>
  <c r="B291" i="2"/>
  <c r="C291" i="2" s="1"/>
  <c r="G291" i="2" s="1"/>
  <c r="A291" i="2"/>
  <c r="B290" i="2"/>
  <c r="A290" i="2"/>
  <c r="B289" i="2"/>
  <c r="A289" i="2"/>
  <c r="B288" i="2"/>
  <c r="A288" i="2"/>
  <c r="B287" i="2"/>
  <c r="A287" i="2"/>
  <c r="B286" i="2"/>
  <c r="A286" i="2"/>
  <c r="B285" i="2"/>
  <c r="A285" i="2"/>
  <c r="C285" i="2" s="1"/>
  <c r="G285" i="2" s="1"/>
  <c r="B284" i="2"/>
  <c r="A284" i="2"/>
  <c r="B283" i="2"/>
  <c r="A283" i="2"/>
  <c r="B282" i="2"/>
  <c r="A282" i="2"/>
  <c r="B281" i="2"/>
  <c r="A281" i="2"/>
  <c r="B280" i="2"/>
  <c r="A280" i="2"/>
  <c r="B279" i="2"/>
  <c r="A279" i="2"/>
  <c r="B278" i="2"/>
  <c r="C278" i="2" s="1"/>
  <c r="G278" i="2" s="1"/>
  <c r="A278" i="2"/>
  <c r="B277" i="2"/>
  <c r="A277" i="2"/>
  <c r="B276" i="2"/>
  <c r="C276" i="2" s="1"/>
  <c r="G276" i="2" s="1"/>
  <c r="A276" i="2"/>
  <c r="B275" i="2"/>
  <c r="A275" i="2"/>
  <c r="B274" i="2"/>
  <c r="A274" i="2"/>
  <c r="B273" i="2"/>
  <c r="A273" i="2"/>
  <c r="B272" i="2"/>
  <c r="A272" i="2"/>
  <c r="B271" i="2"/>
  <c r="A271" i="2"/>
  <c r="B270" i="2"/>
  <c r="A270" i="2"/>
  <c r="B269" i="2"/>
  <c r="A269" i="2"/>
  <c r="C269" i="2" s="1"/>
  <c r="G269" i="2" s="1"/>
  <c r="B268" i="2"/>
  <c r="A268" i="2"/>
  <c r="B267" i="2"/>
  <c r="C267" i="2" s="1"/>
  <c r="G267" i="2" s="1"/>
  <c r="A267" i="2"/>
  <c r="B266" i="2"/>
  <c r="A266" i="2"/>
  <c r="B265" i="2"/>
  <c r="A265" i="2"/>
  <c r="B264" i="2"/>
  <c r="A264" i="2"/>
  <c r="B263" i="2"/>
  <c r="A263" i="2"/>
  <c r="B262" i="2"/>
  <c r="A262" i="2"/>
  <c r="B261" i="2"/>
  <c r="A261" i="2"/>
  <c r="B260" i="2"/>
  <c r="C260" i="2" s="1"/>
  <c r="G260" i="2" s="1"/>
  <c r="A260" i="2"/>
  <c r="B259" i="2"/>
  <c r="A259" i="2"/>
  <c r="B258" i="2"/>
  <c r="A258" i="2"/>
  <c r="B257" i="2"/>
  <c r="A257" i="2"/>
  <c r="B256" i="2"/>
  <c r="A256" i="2"/>
  <c r="B255" i="2"/>
  <c r="A255" i="2"/>
  <c r="B254" i="2"/>
  <c r="A254" i="2"/>
  <c r="B253" i="2"/>
  <c r="A253" i="2"/>
  <c r="B252" i="2"/>
  <c r="A252" i="2"/>
  <c r="C252" i="2" s="1"/>
  <c r="G252" i="2" s="1"/>
  <c r="B251" i="2"/>
  <c r="A251" i="2"/>
  <c r="B250" i="2"/>
  <c r="A250" i="2"/>
  <c r="B249" i="2"/>
  <c r="A249" i="2"/>
  <c r="B248" i="2"/>
  <c r="A248" i="2"/>
  <c r="B247" i="2"/>
  <c r="A247" i="2"/>
  <c r="B246" i="2"/>
  <c r="A246" i="2"/>
  <c r="B245" i="2"/>
  <c r="A245" i="2"/>
  <c r="B244" i="2"/>
  <c r="A244" i="2"/>
  <c r="B243" i="2"/>
  <c r="C243" i="2" s="1"/>
  <c r="G243" i="2" s="1"/>
  <c r="A243" i="2"/>
  <c r="B242" i="2"/>
  <c r="A242" i="2"/>
  <c r="B241" i="2"/>
  <c r="A241" i="2"/>
  <c r="B240" i="2"/>
  <c r="A240" i="2"/>
  <c r="B239" i="2"/>
  <c r="A239" i="2"/>
  <c r="B238" i="2"/>
  <c r="A238" i="2"/>
  <c r="B237" i="2"/>
  <c r="A237" i="2"/>
  <c r="B236" i="2"/>
  <c r="A236" i="2"/>
  <c r="C236" i="2" s="1"/>
  <c r="G236" i="2" s="1"/>
  <c r="B235" i="2"/>
  <c r="A235" i="2"/>
  <c r="B234" i="2"/>
  <c r="A234" i="2"/>
  <c r="C234" i="2" s="1"/>
  <c r="G234" i="2" s="1"/>
  <c r="B233" i="2"/>
  <c r="A233" i="2"/>
  <c r="B232" i="2"/>
  <c r="A232" i="2"/>
  <c r="B231" i="2"/>
  <c r="A231" i="2"/>
  <c r="B230" i="2"/>
  <c r="A230" i="2"/>
  <c r="C230" i="2" s="1"/>
  <c r="G230" i="2" s="1"/>
  <c r="B229" i="2"/>
  <c r="A229" i="2"/>
  <c r="B228" i="2"/>
  <c r="A228" i="2"/>
  <c r="C228" i="2" s="1"/>
  <c r="G228" i="2" s="1"/>
  <c r="B227" i="2"/>
  <c r="A227" i="2"/>
  <c r="B226" i="2"/>
  <c r="A226" i="2"/>
  <c r="B225" i="2"/>
  <c r="A225" i="2"/>
  <c r="C225" i="2" s="1"/>
  <c r="G225" i="2" s="1"/>
  <c r="B224" i="2"/>
  <c r="A224" i="2"/>
  <c r="B223" i="2"/>
  <c r="A223" i="2"/>
  <c r="B222" i="2"/>
  <c r="A222" i="2"/>
  <c r="C222" i="2" s="1"/>
  <c r="G222" i="2" s="1"/>
  <c r="B221" i="2"/>
  <c r="A221" i="2"/>
  <c r="B220" i="2"/>
  <c r="C220" i="2" s="1"/>
  <c r="G220" i="2" s="1"/>
  <c r="A220" i="2"/>
  <c r="B219" i="2"/>
  <c r="A219" i="2"/>
  <c r="C219" i="2" s="1"/>
  <c r="G219" i="2" s="1"/>
  <c r="B218" i="2"/>
  <c r="A218" i="2"/>
  <c r="B217" i="2"/>
  <c r="A217" i="2"/>
  <c r="B216" i="2"/>
  <c r="A216" i="2"/>
  <c r="B215" i="2"/>
  <c r="A215" i="2"/>
  <c r="C215" i="2" s="1"/>
  <c r="G215" i="2" s="1"/>
  <c r="B214" i="2"/>
  <c r="A214" i="2"/>
  <c r="B213" i="2"/>
  <c r="A213" i="2"/>
  <c r="B212" i="2"/>
  <c r="C212" i="2" s="1"/>
  <c r="G212" i="2" s="1"/>
  <c r="A212" i="2"/>
  <c r="B211" i="2"/>
  <c r="A211" i="2"/>
  <c r="B210" i="2"/>
  <c r="A210" i="2"/>
  <c r="B209" i="2"/>
  <c r="A209" i="2"/>
  <c r="B208" i="2"/>
  <c r="A208" i="2"/>
  <c r="B207" i="2"/>
  <c r="A207" i="2"/>
  <c r="B206" i="2"/>
  <c r="A206" i="2"/>
  <c r="B205" i="2"/>
  <c r="A205" i="2"/>
  <c r="B204" i="2"/>
  <c r="A204" i="2"/>
  <c r="B203" i="2"/>
  <c r="A203" i="2"/>
  <c r="C203" i="2" s="1"/>
  <c r="G203" i="2" s="1"/>
  <c r="B202" i="2"/>
  <c r="A202" i="2"/>
  <c r="B201" i="2"/>
  <c r="A201" i="2"/>
  <c r="B200" i="2"/>
  <c r="A200" i="2"/>
  <c r="B199" i="2"/>
  <c r="A199" i="2"/>
  <c r="C199" i="2" s="1"/>
  <c r="G199" i="2" s="1"/>
  <c r="B198" i="2"/>
  <c r="A198" i="2"/>
  <c r="B197" i="2"/>
  <c r="A197" i="2"/>
  <c r="B196" i="2"/>
  <c r="A196" i="2"/>
  <c r="B195" i="2"/>
  <c r="A195" i="2"/>
  <c r="B194" i="2"/>
  <c r="A194" i="2"/>
  <c r="B193" i="2"/>
  <c r="A193" i="2"/>
  <c r="B192" i="2"/>
  <c r="C192" i="2" s="1"/>
  <c r="G192" i="2" s="1"/>
  <c r="A192" i="2"/>
  <c r="B191" i="2"/>
  <c r="A191" i="2"/>
  <c r="B190" i="2"/>
  <c r="A190" i="2"/>
  <c r="B189" i="2"/>
  <c r="C189" i="2" s="1"/>
  <c r="G189" i="2" s="1"/>
  <c r="A189" i="2"/>
  <c r="B188" i="2"/>
  <c r="A188" i="2"/>
  <c r="B187" i="2"/>
  <c r="A187" i="2"/>
  <c r="B186" i="2"/>
  <c r="A186" i="2"/>
  <c r="B185" i="2"/>
  <c r="A185" i="2"/>
  <c r="B184" i="2"/>
  <c r="C184" i="2" s="1"/>
  <c r="G184" i="2" s="1"/>
  <c r="A184" i="2"/>
  <c r="B183" i="2"/>
  <c r="A183" i="2"/>
  <c r="B182" i="2"/>
  <c r="C182" i="2" s="1"/>
  <c r="G182" i="2" s="1"/>
  <c r="A182" i="2"/>
  <c r="B181" i="2"/>
  <c r="C181" i="2" s="1"/>
  <c r="G181" i="2" s="1"/>
  <c r="A181" i="2"/>
  <c r="B180" i="2"/>
  <c r="A180" i="2"/>
  <c r="B179" i="2"/>
  <c r="A179" i="2"/>
  <c r="B178" i="2"/>
  <c r="A178" i="2"/>
  <c r="B177" i="2"/>
  <c r="A177" i="2"/>
  <c r="B176" i="2"/>
  <c r="C176" i="2" s="1"/>
  <c r="G176" i="2" s="1"/>
  <c r="A176" i="2"/>
  <c r="B175" i="2"/>
  <c r="A175" i="2"/>
  <c r="B174" i="2"/>
  <c r="A174" i="2"/>
  <c r="B173" i="2"/>
  <c r="A173" i="2"/>
  <c r="B172" i="2"/>
  <c r="A172" i="2"/>
  <c r="B171" i="2"/>
  <c r="A171" i="2"/>
  <c r="C171" i="2" s="1"/>
  <c r="G171" i="2" s="1"/>
  <c r="B170" i="2"/>
  <c r="A170" i="2"/>
  <c r="B169" i="2"/>
  <c r="A169" i="2"/>
  <c r="B168" i="2"/>
  <c r="A168" i="2"/>
  <c r="B167" i="2"/>
  <c r="A167" i="2"/>
  <c r="C167" i="2" s="1"/>
  <c r="G167" i="2" s="1"/>
  <c r="B166" i="2"/>
  <c r="A166" i="2"/>
  <c r="B165" i="2"/>
  <c r="A165" i="2"/>
  <c r="B164" i="2"/>
  <c r="A164" i="2"/>
  <c r="B163" i="2"/>
  <c r="A163" i="2"/>
  <c r="C163" i="2" s="1"/>
  <c r="G163" i="2" s="1"/>
  <c r="B162" i="2"/>
  <c r="A162" i="2"/>
  <c r="B161" i="2"/>
  <c r="A161" i="2"/>
  <c r="B160" i="2"/>
  <c r="A160" i="2"/>
  <c r="B159" i="2"/>
  <c r="A159" i="2"/>
  <c r="C159" i="2" s="1"/>
  <c r="G159" i="2" s="1"/>
  <c r="B158" i="2"/>
  <c r="A158" i="2"/>
  <c r="B157" i="2"/>
  <c r="A157" i="2"/>
  <c r="B156" i="2"/>
  <c r="C156" i="2" s="1"/>
  <c r="G156" i="2" s="1"/>
  <c r="A156" i="2"/>
  <c r="B155" i="2"/>
  <c r="A155" i="2"/>
  <c r="C155" i="2" s="1"/>
  <c r="G155" i="2" s="1"/>
  <c r="B154" i="2"/>
  <c r="A154" i="2"/>
  <c r="C154" i="2" s="1"/>
  <c r="G154" i="2" s="1"/>
  <c r="B153" i="2"/>
  <c r="A153" i="2"/>
  <c r="B152" i="2"/>
  <c r="A152" i="2"/>
  <c r="B151" i="2"/>
  <c r="A151" i="2"/>
  <c r="C151" i="2" s="1"/>
  <c r="G151" i="2" s="1"/>
  <c r="B150" i="2"/>
  <c r="A150" i="2"/>
  <c r="C150" i="2" s="1"/>
  <c r="G150" i="2" s="1"/>
  <c r="B149" i="2"/>
  <c r="A149" i="2"/>
  <c r="C149" i="2" s="1"/>
  <c r="G149" i="2" s="1"/>
  <c r="B148" i="2"/>
  <c r="A148" i="2"/>
  <c r="B147" i="2"/>
  <c r="A147" i="2"/>
  <c r="C147" i="2" s="1"/>
  <c r="G147" i="2" s="1"/>
  <c r="B146" i="2"/>
  <c r="A146" i="2"/>
  <c r="C146" i="2" s="1"/>
  <c r="G146" i="2" s="1"/>
  <c r="B145" i="2"/>
  <c r="A145" i="2"/>
  <c r="C145" i="2" s="1"/>
  <c r="G145" i="2" s="1"/>
  <c r="B144" i="2"/>
  <c r="A144" i="2"/>
  <c r="B143" i="2"/>
  <c r="A143" i="2"/>
  <c r="C143" i="2" s="1"/>
  <c r="G143" i="2" s="1"/>
  <c r="B142" i="2"/>
  <c r="A142" i="2"/>
  <c r="B141" i="2"/>
  <c r="A141" i="2"/>
  <c r="B140" i="2"/>
  <c r="A140" i="2"/>
  <c r="B139" i="2"/>
  <c r="A139" i="2"/>
  <c r="B138" i="2"/>
  <c r="A138" i="2"/>
  <c r="B137" i="2"/>
  <c r="A137" i="2"/>
  <c r="B136" i="2"/>
  <c r="A136" i="2"/>
  <c r="B135" i="2"/>
  <c r="A135" i="2"/>
  <c r="B134" i="2"/>
  <c r="A134" i="2"/>
  <c r="C134" i="2" s="1"/>
  <c r="G134" i="2" s="1"/>
  <c r="B133" i="2"/>
  <c r="A133" i="2"/>
  <c r="B132" i="2"/>
  <c r="A132" i="2"/>
  <c r="B131" i="2"/>
  <c r="A131" i="2"/>
  <c r="B130" i="2"/>
  <c r="A130" i="2"/>
  <c r="B129" i="2"/>
  <c r="A129" i="2"/>
  <c r="B128" i="2"/>
  <c r="C128" i="2" s="1"/>
  <c r="G128" i="2" s="1"/>
  <c r="A128" i="2"/>
  <c r="B127" i="2"/>
  <c r="A127" i="2"/>
  <c r="B126" i="2"/>
  <c r="A126" i="2"/>
  <c r="B125" i="2"/>
  <c r="A125" i="2"/>
  <c r="B124" i="2"/>
  <c r="C124" i="2" s="1"/>
  <c r="G124" i="2" s="1"/>
  <c r="A124" i="2"/>
  <c r="B123" i="2"/>
  <c r="A123" i="2"/>
  <c r="B122" i="2"/>
  <c r="A122" i="2"/>
  <c r="C122" i="2" s="1"/>
  <c r="G122" i="2" s="1"/>
  <c r="B121" i="2"/>
  <c r="A121" i="2"/>
  <c r="B120" i="2"/>
  <c r="A120" i="2"/>
  <c r="B119" i="2"/>
  <c r="A119" i="2"/>
  <c r="B118" i="2"/>
  <c r="A118" i="2"/>
  <c r="C118" i="2" s="1"/>
  <c r="G118" i="2" s="1"/>
  <c r="B117" i="2"/>
  <c r="A117" i="2"/>
  <c r="C117" i="2" s="1"/>
  <c r="G117" i="2" s="1"/>
  <c r="B116" i="2"/>
  <c r="C116" i="2" s="1"/>
  <c r="G116" i="2" s="1"/>
  <c r="A116" i="2"/>
  <c r="B115" i="2"/>
  <c r="A115" i="2"/>
  <c r="C115" i="2" s="1"/>
  <c r="G115" i="2" s="1"/>
  <c r="B114" i="2"/>
  <c r="A114" i="2"/>
  <c r="C114" i="2" s="1"/>
  <c r="G114" i="2" s="1"/>
  <c r="B113" i="2"/>
  <c r="A113" i="2"/>
  <c r="B112" i="2"/>
  <c r="A112" i="2"/>
  <c r="B111" i="2"/>
  <c r="A111" i="2"/>
  <c r="C111" i="2" s="1"/>
  <c r="G111" i="2" s="1"/>
  <c r="B110" i="2"/>
  <c r="A110" i="2"/>
  <c r="C110" i="2" s="1"/>
  <c r="G110" i="2" s="1"/>
  <c r="B109" i="2"/>
  <c r="A109" i="2"/>
  <c r="B108" i="2"/>
  <c r="A108" i="2"/>
  <c r="B107" i="2"/>
  <c r="A107" i="2"/>
  <c r="B106" i="2"/>
  <c r="A106" i="2"/>
  <c r="B105" i="2"/>
  <c r="A105" i="2"/>
  <c r="B104" i="2"/>
  <c r="A104" i="2"/>
  <c r="B103" i="2"/>
  <c r="A103" i="2"/>
  <c r="B102" i="2"/>
  <c r="A102" i="2"/>
  <c r="B101" i="2"/>
  <c r="A101" i="2"/>
  <c r="B100" i="2"/>
  <c r="A100" i="2"/>
  <c r="B99" i="2"/>
  <c r="A99" i="2"/>
  <c r="B98" i="2"/>
  <c r="A98" i="2"/>
  <c r="B97" i="2"/>
  <c r="A97" i="2"/>
  <c r="B96" i="2"/>
  <c r="A96" i="2"/>
  <c r="B95" i="2"/>
  <c r="A95" i="2"/>
  <c r="B94" i="2"/>
  <c r="C94" i="2" s="1"/>
  <c r="G94" i="2" s="1"/>
  <c r="A94" i="2"/>
  <c r="B93" i="2"/>
  <c r="A93" i="2"/>
  <c r="B92" i="2"/>
  <c r="A92" i="2"/>
  <c r="C92" i="2" s="1"/>
  <c r="G92" i="2" s="1"/>
  <c r="B91" i="2"/>
  <c r="A91" i="2"/>
  <c r="C91" i="2" s="1"/>
  <c r="G91" i="2" s="1"/>
  <c r="B90" i="2"/>
  <c r="A90" i="2"/>
  <c r="B89" i="2"/>
  <c r="A89" i="2"/>
  <c r="B88" i="2"/>
  <c r="A88" i="2"/>
  <c r="B87" i="2"/>
  <c r="A87" i="2"/>
  <c r="B86" i="2"/>
  <c r="C86" i="2" s="1"/>
  <c r="G86" i="2" s="1"/>
  <c r="A86" i="2"/>
  <c r="B85" i="2"/>
  <c r="A85" i="2"/>
  <c r="B84" i="2"/>
  <c r="A84" i="2"/>
  <c r="C84" i="2" s="1"/>
  <c r="G84" i="2" s="1"/>
  <c r="B83" i="2"/>
  <c r="A83" i="2"/>
  <c r="C83" i="2" s="1"/>
  <c r="G83" i="2" s="1"/>
  <c r="B82" i="2"/>
  <c r="A82" i="2"/>
  <c r="B81" i="2"/>
  <c r="A81" i="2"/>
  <c r="B80" i="2"/>
  <c r="A80" i="2"/>
  <c r="B79" i="2"/>
  <c r="A79" i="2"/>
  <c r="C79" i="2" s="1"/>
  <c r="G79" i="2" s="1"/>
  <c r="B78" i="2"/>
  <c r="A78" i="2"/>
  <c r="B77" i="2"/>
  <c r="A77" i="2"/>
  <c r="B76" i="2"/>
  <c r="A76" i="2"/>
  <c r="C76" i="2" s="1"/>
  <c r="G76" i="2" s="1"/>
  <c r="B75" i="2"/>
  <c r="A75" i="2"/>
  <c r="B74" i="2"/>
  <c r="A74" i="2"/>
  <c r="B73" i="2"/>
  <c r="A73" i="2"/>
  <c r="B72" i="2"/>
  <c r="A72" i="2"/>
  <c r="B71" i="2"/>
  <c r="A71" i="2"/>
  <c r="B70" i="2"/>
  <c r="A70" i="2"/>
  <c r="B69" i="2"/>
  <c r="A69" i="2"/>
  <c r="B68" i="2"/>
  <c r="A68" i="2"/>
  <c r="B67" i="2"/>
  <c r="A67" i="2"/>
  <c r="C67" i="2" s="1"/>
  <c r="G67" i="2" s="1"/>
  <c r="B66" i="2"/>
  <c r="A66" i="2"/>
  <c r="B65" i="2"/>
  <c r="A65" i="2"/>
  <c r="B64" i="2"/>
  <c r="A64" i="2"/>
  <c r="B63" i="2"/>
  <c r="A63" i="2"/>
  <c r="C63" i="2" s="1"/>
  <c r="G63" i="2" s="1"/>
  <c r="B62" i="2"/>
  <c r="A62" i="2"/>
  <c r="B61" i="2"/>
  <c r="C61" i="2" s="1"/>
  <c r="G61" i="2" s="1"/>
  <c r="A61" i="2"/>
  <c r="B60" i="2"/>
  <c r="A60" i="2"/>
  <c r="B59" i="2"/>
  <c r="A59" i="2"/>
  <c r="C59" i="2" s="1"/>
  <c r="G59" i="2" s="1"/>
  <c r="B58" i="2"/>
  <c r="A58" i="2"/>
  <c r="B57" i="2"/>
  <c r="A57" i="2"/>
  <c r="B56" i="2"/>
  <c r="A56" i="2"/>
  <c r="B55" i="2"/>
  <c r="A55" i="2"/>
  <c r="C55" i="2" s="1"/>
  <c r="G55" i="2" s="1"/>
  <c r="B54" i="2"/>
  <c r="A54" i="2"/>
  <c r="B53" i="2"/>
  <c r="A53" i="2"/>
  <c r="B52" i="2"/>
  <c r="A52" i="2"/>
  <c r="B51" i="2"/>
  <c r="A51" i="2"/>
  <c r="C51" i="2" s="1"/>
  <c r="G51" i="2" s="1"/>
  <c r="B50" i="2"/>
  <c r="A50" i="2"/>
  <c r="B49" i="2"/>
  <c r="A49" i="2"/>
  <c r="B48" i="2"/>
  <c r="A48" i="2"/>
  <c r="B47" i="2"/>
  <c r="A47" i="2"/>
  <c r="C47" i="2" s="1"/>
  <c r="G47" i="2" s="1"/>
  <c r="B46" i="2"/>
  <c r="A46" i="2"/>
  <c r="B45" i="2"/>
  <c r="C45" i="2" s="1"/>
  <c r="G45" i="2" s="1"/>
  <c r="A45" i="2"/>
  <c r="B44" i="2"/>
  <c r="A44" i="2"/>
  <c r="B43" i="2"/>
  <c r="A43" i="2"/>
  <c r="C43" i="2" s="1"/>
  <c r="G43" i="2" s="1"/>
  <c r="B42" i="2"/>
  <c r="A42" i="2"/>
  <c r="B41" i="2"/>
  <c r="A41" i="2"/>
  <c r="B40" i="2"/>
  <c r="A40" i="2"/>
  <c r="B39" i="2"/>
  <c r="A39" i="2"/>
  <c r="B38" i="2"/>
  <c r="A38" i="2"/>
  <c r="C38" i="2" s="1"/>
  <c r="G38" i="2" s="1"/>
  <c r="B37" i="2"/>
  <c r="A37" i="2"/>
  <c r="B36" i="2"/>
  <c r="A36" i="2"/>
  <c r="C36" i="2" s="1"/>
  <c r="G36" i="2" s="1"/>
  <c r="B35" i="2"/>
  <c r="A35" i="2"/>
  <c r="B34" i="2"/>
  <c r="A34" i="2"/>
  <c r="B33" i="2"/>
  <c r="A33" i="2"/>
  <c r="B32" i="2"/>
  <c r="A32" i="2"/>
  <c r="B31" i="2"/>
  <c r="A31" i="2"/>
  <c r="B30" i="2"/>
  <c r="A30" i="2"/>
  <c r="B29" i="2"/>
  <c r="C29" i="2" s="1"/>
  <c r="G29" i="2" s="1"/>
  <c r="A29" i="2"/>
  <c r="B28" i="2"/>
  <c r="A28" i="2"/>
  <c r="C28" i="2" s="1"/>
  <c r="G28" i="2" s="1"/>
  <c r="B27" i="2"/>
  <c r="A27" i="2"/>
  <c r="B26" i="2"/>
  <c r="A26" i="2"/>
  <c r="B25" i="2"/>
  <c r="A25" i="2"/>
  <c r="B24" i="2"/>
  <c r="A24" i="2"/>
  <c r="B23" i="2"/>
  <c r="A23" i="2"/>
  <c r="B22" i="2"/>
  <c r="C22" i="2" s="1"/>
  <c r="G22" i="2" s="1"/>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C6" i="2" s="1"/>
  <c r="G6" i="2" s="1"/>
  <c r="A6" i="2"/>
  <c r="B5" i="2"/>
  <c r="A5" i="2"/>
  <c r="C5" i="2" s="1"/>
  <c r="G5" i="2" s="1"/>
  <c r="B4" i="2"/>
  <c r="A4" i="2"/>
  <c r="B3" i="2"/>
  <c r="A3" i="2"/>
  <c r="B2" i="2"/>
  <c r="A2" i="2"/>
  <c r="C62" i="2" l="1"/>
  <c r="G62" i="2" s="1"/>
  <c r="C66" i="2"/>
  <c r="G66" i="2" s="1"/>
  <c r="C70" i="2"/>
  <c r="G70" i="2" s="1"/>
  <c r="C74" i="2"/>
  <c r="G74" i="2" s="1"/>
  <c r="C82" i="2"/>
  <c r="G82" i="2" s="1"/>
  <c r="C101" i="2"/>
  <c r="G101" i="2" s="1"/>
  <c r="C157" i="2"/>
  <c r="G157" i="2" s="1"/>
  <c r="C161" i="2"/>
  <c r="G161" i="2" s="1"/>
  <c r="C205" i="2"/>
  <c r="G205" i="2" s="1"/>
  <c r="C240" i="2"/>
  <c r="G240" i="2" s="1"/>
  <c r="C279" i="2"/>
  <c r="G279" i="2" s="1"/>
  <c r="C283" i="2"/>
  <c r="G283" i="2" s="1"/>
  <c r="C295" i="2"/>
  <c r="G295" i="2" s="1"/>
  <c r="C299" i="2"/>
  <c r="G299" i="2" s="1"/>
  <c r="C303" i="2"/>
  <c r="G303" i="2" s="1"/>
  <c r="C307" i="2"/>
  <c r="G307" i="2" s="1"/>
  <c r="C311" i="2"/>
  <c r="G311" i="2" s="1"/>
  <c r="C315" i="2"/>
  <c r="G315" i="2" s="1"/>
  <c r="C369" i="2"/>
  <c r="G369" i="2" s="1"/>
  <c r="C404" i="2"/>
  <c r="G404" i="2" s="1"/>
  <c r="C412" i="2"/>
  <c r="G412" i="2" s="1"/>
  <c r="C420" i="2"/>
  <c r="G420" i="2" s="1"/>
  <c r="C938" i="2"/>
  <c r="G938" i="2" s="1"/>
  <c r="C942" i="2"/>
  <c r="G942" i="2" s="1"/>
  <c r="C946" i="2"/>
  <c r="G946" i="2" s="1"/>
  <c r="C950" i="2"/>
  <c r="G950" i="2" s="1"/>
  <c r="C954" i="2"/>
  <c r="G954" i="2" s="1"/>
  <c r="C958" i="2"/>
  <c r="G958" i="2" s="1"/>
  <c r="C966" i="2"/>
  <c r="G966" i="2" s="1"/>
  <c r="C1034" i="2"/>
  <c r="G1034" i="2" s="1"/>
  <c r="C1038" i="2"/>
  <c r="G1038" i="2" s="1"/>
  <c r="C1046" i="2"/>
  <c r="G1046" i="2" s="1"/>
  <c r="C1054" i="2"/>
  <c r="G1054" i="2" s="1"/>
  <c r="C1058" i="2"/>
  <c r="G1058" i="2" s="1"/>
  <c r="C1066" i="2"/>
  <c r="G1066" i="2" s="1"/>
  <c r="C1186" i="2"/>
  <c r="G1186" i="2" s="1"/>
  <c r="C1559" i="2"/>
  <c r="G1559" i="2" s="1"/>
  <c r="C1642" i="2"/>
  <c r="G1642" i="2" s="1"/>
  <c r="C1650" i="2"/>
  <c r="G1650" i="2" s="1"/>
  <c r="C1937" i="2"/>
  <c r="G1937" i="2" s="1"/>
  <c r="C1961" i="2"/>
  <c r="G1961" i="2" s="1"/>
  <c r="C2433" i="2"/>
  <c r="G2433" i="2" s="1"/>
  <c r="C2512" i="2"/>
  <c r="G2512" i="2" s="1"/>
  <c r="C2520" i="2"/>
  <c r="G2520" i="2" s="1"/>
  <c r="C2682" i="2"/>
  <c r="G2682" i="2" s="1"/>
  <c r="C2686" i="2"/>
  <c r="G2686" i="2" s="1"/>
  <c r="C3981" i="2"/>
  <c r="G3981" i="2" s="1"/>
  <c r="C4102" i="2"/>
  <c r="G4102" i="2" s="1"/>
  <c r="C4106" i="2"/>
  <c r="G4106" i="2" s="1"/>
  <c r="C4118" i="2"/>
  <c r="G4118" i="2" s="1"/>
  <c r="C2256" i="2"/>
  <c r="G2256" i="2" s="1"/>
  <c r="C4009" i="2"/>
  <c r="G4009" i="2" s="1"/>
  <c r="C4029" i="2"/>
  <c r="G4029" i="2" s="1"/>
  <c r="C3230" i="2"/>
  <c r="G3230" i="2" s="1"/>
  <c r="C3950" i="2"/>
  <c r="G3950" i="2" s="1"/>
  <c r="C429" i="2"/>
  <c r="G429" i="2" s="1"/>
  <c r="C556" i="2"/>
  <c r="G556" i="2" s="1"/>
  <c r="C568" i="2"/>
  <c r="G568" i="2" s="1"/>
  <c r="C580" i="2"/>
  <c r="G580" i="2" s="1"/>
  <c r="C1766" i="2"/>
  <c r="G1766" i="2" s="1"/>
  <c r="C1809" i="2"/>
  <c r="G1809" i="2" s="1"/>
  <c r="C48" i="2"/>
  <c r="G48" i="2" s="1"/>
  <c r="C131" i="2"/>
  <c r="G131" i="2" s="1"/>
  <c r="C485" i="2"/>
  <c r="G485" i="2" s="1"/>
  <c r="C640" i="2"/>
  <c r="G640" i="2" s="1"/>
  <c r="C2225" i="2"/>
  <c r="G2225" i="2" s="1"/>
  <c r="C2419" i="2"/>
  <c r="G2419" i="2" s="1"/>
  <c r="C2482" i="2"/>
  <c r="G2482" i="2" s="1"/>
  <c r="C16" i="2"/>
  <c r="G16" i="2" s="1"/>
  <c r="C1762" i="2"/>
  <c r="G1762" i="2" s="1"/>
  <c r="C2178" i="2"/>
  <c r="G2178" i="2" s="1"/>
  <c r="C3166" i="2"/>
  <c r="G3166" i="2" s="1"/>
  <c r="C40" i="2"/>
  <c r="G40" i="2" s="1"/>
  <c r="C52" i="2"/>
  <c r="G52" i="2" s="1"/>
  <c r="C107" i="2"/>
  <c r="G107" i="2" s="1"/>
  <c r="C123" i="2"/>
  <c r="G123" i="2" s="1"/>
  <c r="C246" i="2"/>
  <c r="G246" i="2" s="1"/>
  <c r="C469" i="2"/>
  <c r="G469" i="2" s="1"/>
  <c r="C489" i="2"/>
  <c r="G489" i="2" s="1"/>
  <c r="C620" i="2"/>
  <c r="G620" i="2" s="1"/>
  <c r="C632" i="2"/>
  <c r="G632" i="2" s="1"/>
  <c r="C700" i="2"/>
  <c r="G700" i="2" s="1"/>
  <c r="C57" i="2"/>
  <c r="G57" i="2" s="1"/>
  <c r="C60" i="2"/>
  <c r="G60" i="2" s="1"/>
  <c r="C100" i="2"/>
  <c r="G100" i="2" s="1"/>
  <c r="C108" i="2"/>
  <c r="G108" i="2" s="1"/>
  <c r="C179" i="2"/>
  <c r="G179" i="2" s="1"/>
  <c r="C195" i="2"/>
  <c r="G195" i="2" s="1"/>
  <c r="C211" i="2"/>
  <c r="G211" i="2" s="1"/>
  <c r="C231" i="2"/>
  <c r="G231" i="2" s="1"/>
  <c r="C235" i="2"/>
  <c r="G235" i="2" s="1"/>
  <c r="C262" i="2"/>
  <c r="G262" i="2" s="1"/>
  <c r="C340" i="2"/>
  <c r="G340" i="2" s="1"/>
  <c r="C805" i="2"/>
  <c r="G805" i="2" s="1"/>
  <c r="C809" i="2"/>
  <c r="G809" i="2" s="1"/>
  <c r="C813" i="2"/>
  <c r="G813" i="2" s="1"/>
  <c r="C817" i="2"/>
  <c r="G817" i="2" s="1"/>
  <c r="C821" i="2"/>
  <c r="G821" i="2" s="1"/>
  <c r="C825" i="2"/>
  <c r="G825" i="2" s="1"/>
  <c r="C940" i="2"/>
  <c r="G940" i="2" s="1"/>
  <c r="C944" i="2"/>
  <c r="G944" i="2" s="1"/>
  <c r="C968" i="2"/>
  <c r="G968" i="2" s="1"/>
  <c r="C976" i="2"/>
  <c r="G976" i="2" s="1"/>
  <c r="C984" i="2"/>
  <c r="G984" i="2" s="1"/>
  <c r="C992" i="2"/>
  <c r="G992" i="2" s="1"/>
  <c r="C1004" i="2"/>
  <c r="G1004" i="2" s="1"/>
  <c r="C1056" i="2"/>
  <c r="G1056" i="2" s="1"/>
  <c r="C1328" i="2"/>
  <c r="G1328" i="2" s="1"/>
  <c r="C1354" i="2"/>
  <c r="G1354" i="2" s="1"/>
  <c r="C1358" i="2"/>
  <c r="G1358" i="2" s="1"/>
  <c r="C1454" i="2"/>
  <c r="G1454" i="2" s="1"/>
  <c r="C2258" i="2"/>
  <c r="G2258" i="2" s="1"/>
  <c r="C2404" i="2"/>
  <c r="G2404" i="2" s="1"/>
  <c r="C2408" i="2"/>
  <c r="G2408" i="2" s="1"/>
  <c r="C2416" i="2"/>
  <c r="G2416" i="2" s="1"/>
  <c r="C3087" i="2"/>
  <c r="G3087" i="2" s="1"/>
  <c r="C20" i="2"/>
  <c r="G20" i="2" s="1"/>
  <c r="C421" i="2"/>
  <c r="G421" i="2" s="1"/>
  <c r="C576" i="2"/>
  <c r="G576" i="2" s="1"/>
  <c r="C600" i="2"/>
  <c r="G600" i="2" s="1"/>
  <c r="C2182" i="2"/>
  <c r="G2182" i="2" s="1"/>
  <c r="C65" i="2"/>
  <c r="G65" i="2" s="1"/>
  <c r="C69" i="2"/>
  <c r="G69" i="2" s="1"/>
  <c r="C77" i="2"/>
  <c r="G77" i="2" s="1"/>
  <c r="C85" i="2"/>
  <c r="G85" i="2" s="1"/>
  <c r="C89" i="2"/>
  <c r="G89" i="2" s="1"/>
  <c r="C93" i="2"/>
  <c r="G93" i="2" s="1"/>
  <c r="C172" i="2"/>
  <c r="G172" i="2" s="1"/>
  <c r="C196" i="2"/>
  <c r="G196" i="2" s="1"/>
  <c r="C204" i="2"/>
  <c r="G204" i="2" s="1"/>
  <c r="C263" i="2"/>
  <c r="G263" i="2" s="1"/>
  <c r="C435" i="2"/>
  <c r="G435" i="2" s="1"/>
  <c r="C550" i="2"/>
  <c r="G550" i="2" s="1"/>
  <c r="C558" i="2"/>
  <c r="G558" i="2" s="1"/>
  <c r="C562" i="2"/>
  <c r="G562" i="2" s="1"/>
  <c r="C885" i="2"/>
  <c r="G885" i="2" s="1"/>
  <c r="C901" i="2"/>
  <c r="G901" i="2" s="1"/>
  <c r="C1562" i="2"/>
  <c r="G1562" i="2" s="1"/>
  <c r="C1574" i="2"/>
  <c r="G1574" i="2" s="1"/>
  <c r="C1590" i="2"/>
  <c r="G1590" i="2" s="1"/>
  <c r="C1598" i="2"/>
  <c r="G1598" i="2" s="1"/>
  <c r="C1606" i="2"/>
  <c r="G1606" i="2" s="1"/>
  <c r="C1614" i="2"/>
  <c r="G1614" i="2" s="1"/>
  <c r="C1630" i="2"/>
  <c r="G1630" i="2" s="1"/>
  <c r="C1689" i="2"/>
  <c r="G1689" i="2" s="1"/>
  <c r="C1697" i="2"/>
  <c r="G1697" i="2" s="1"/>
  <c r="C1831" i="2"/>
  <c r="G1831" i="2" s="1"/>
  <c r="C1988" i="2"/>
  <c r="G1988" i="2" s="1"/>
  <c r="C2008" i="2"/>
  <c r="G2008" i="2" s="1"/>
  <c r="C2071" i="2"/>
  <c r="G2071" i="2" s="1"/>
  <c r="C2290" i="2"/>
  <c r="G2290" i="2" s="1"/>
  <c r="C2302" i="2"/>
  <c r="G2302" i="2" s="1"/>
  <c r="C2361" i="2"/>
  <c r="G2361" i="2" s="1"/>
  <c r="C2369" i="2"/>
  <c r="G2369" i="2" s="1"/>
  <c r="C2763" i="2"/>
  <c r="G2763" i="2" s="1"/>
  <c r="C2767" i="2"/>
  <c r="G2767" i="2" s="1"/>
  <c r="C274" i="2"/>
  <c r="G274" i="2" s="1"/>
  <c r="C286" i="2"/>
  <c r="G286" i="2" s="1"/>
  <c r="C290" i="2"/>
  <c r="G290" i="2" s="1"/>
  <c r="C306" i="2"/>
  <c r="G306" i="2" s="1"/>
  <c r="C314" i="2"/>
  <c r="G314" i="2" s="1"/>
  <c r="C318" i="2"/>
  <c r="G318" i="2" s="1"/>
  <c r="C368" i="2"/>
  <c r="G368" i="2" s="1"/>
  <c r="C376" i="2"/>
  <c r="G376" i="2" s="1"/>
  <c r="C380" i="2"/>
  <c r="G380" i="2" s="1"/>
  <c r="C403" i="2"/>
  <c r="G403" i="2" s="1"/>
  <c r="C450" i="2"/>
  <c r="G450" i="2" s="1"/>
  <c r="C454" i="2"/>
  <c r="G454" i="2" s="1"/>
  <c r="C458" i="2"/>
  <c r="G458" i="2" s="1"/>
  <c r="C462" i="2"/>
  <c r="G462" i="2" s="1"/>
  <c r="C486" i="2"/>
  <c r="G486" i="2" s="1"/>
  <c r="C497" i="2"/>
  <c r="G497" i="2" s="1"/>
  <c r="C501" i="2"/>
  <c r="G501" i="2" s="1"/>
  <c r="C513" i="2"/>
  <c r="G513" i="2" s="1"/>
  <c r="C517" i="2"/>
  <c r="G517" i="2" s="1"/>
  <c r="C521" i="2"/>
  <c r="G521" i="2" s="1"/>
  <c r="C525" i="2"/>
  <c r="G525" i="2" s="1"/>
  <c r="C537" i="2"/>
  <c r="G537" i="2" s="1"/>
  <c r="C541" i="2"/>
  <c r="G541" i="2" s="1"/>
  <c r="C685" i="2"/>
  <c r="G685" i="2" s="1"/>
  <c r="C689" i="2"/>
  <c r="G689" i="2" s="1"/>
  <c r="C693" i="2"/>
  <c r="G693" i="2" s="1"/>
  <c r="C753" i="2"/>
  <c r="G753" i="2" s="1"/>
  <c r="C757" i="2"/>
  <c r="G757" i="2" s="1"/>
  <c r="C884" i="2"/>
  <c r="G884" i="2" s="1"/>
  <c r="C1365" i="2"/>
  <c r="G1365" i="2" s="1"/>
  <c r="C1377" i="2"/>
  <c r="G1377" i="2" s="1"/>
  <c r="C1437" i="2"/>
  <c r="G1437" i="2" s="1"/>
  <c r="C1453" i="2"/>
  <c r="G1453" i="2" s="1"/>
  <c r="C1868" i="2"/>
  <c r="G1868" i="2" s="1"/>
  <c r="C1876" i="2"/>
  <c r="G1876" i="2" s="1"/>
  <c r="C1896" i="2"/>
  <c r="G1896" i="2" s="1"/>
  <c r="C1911" i="2"/>
  <c r="G1911" i="2" s="1"/>
  <c r="C1919" i="2"/>
  <c r="G1919" i="2" s="1"/>
  <c r="C1942" i="2"/>
  <c r="G1942" i="2" s="1"/>
  <c r="C1958" i="2"/>
  <c r="G1958" i="2" s="1"/>
  <c r="C1985" i="2"/>
  <c r="G1985" i="2" s="1"/>
  <c r="C2103" i="2"/>
  <c r="G2103" i="2" s="1"/>
  <c r="C2216" i="2"/>
  <c r="G2216" i="2" s="1"/>
  <c r="C2248" i="2"/>
  <c r="G2248" i="2" s="1"/>
  <c r="C2252" i="2"/>
  <c r="G2252" i="2" s="1"/>
  <c r="C2259" i="2"/>
  <c r="G2259" i="2" s="1"/>
  <c r="C2267" i="2"/>
  <c r="G2267" i="2" s="1"/>
  <c r="C2279" i="2"/>
  <c r="G2279" i="2" s="1"/>
  <c r="C2283" i="2"/>
  <c r="G2283" i="2" s="1"/>
  <c r="C2303" i="2"/>
  <c r="G2303" i="2" s="1"/>
  <c r="C2306" i="2"/>
  <c r="G2306" i="2" s="1"/>
  <c r="C2511" i="2"/>
  <c r="G2511" i="2" s="1"/>
  <c r="C2683" i="2"/>
  <c r="G2683" i="2" s="1"/>
  <c r="C2687" i="2"/>
  <c r="G2687" i="2" s="1"/>
  <c r="C2843" i="2"/>
  <c r="G2843" i="2" s="1"/>
  <c r="C3088" i="2"/>
  <c r="G3088" i="2" s="1"/>
  <c r="C3096" i="2"/>
  <c r="G3096" i="2" s="1"/>
  <c r="C3104" i="2"/>
  <c r="G3104" i="2" s="1"/>
  <c r="C3144" i="2"/>
  <c r="G3144" i="2" s="1"/>
  <c r="C3175" i="2"/>
  <c r="G3175" i="2" s="1"/>
  <c r="C3494" i="2"/>
  <c r="G3494" i="2" s="1"/>
  <c r="C3498" i="2"/>
  <c r="G3498" i="2" s="1"/>
  <c r="C3529" i="2"/>
  <c r="G3529" i="2" s="1"/>
  <c r="C3537" i="2"/>
  <c r="G3537" i="2" s="1"/>
  <c r="C3541" i="2"/>
  <c r="G3541" i="2" s="1"/>
  <c r="C3549" i="2"/>
  <c r="G3549" i="2" s="1"/>
  <c r="C3557" i="2"/>
  <c r="G3557" i="2" s="1"/>
  <c r="C3649" i="2"/>
  <c r="G3649" i="2" s="1"/>
  <c r="C3713" i="2"/>
  <c r="G3713" i="2" s="1"/>
  <c r="C3721" i="2"/>
  <c r="G3721" i="2" s="1"/>
  <c r="C3785" i="2"/>
  <c r="G3785" i="2" s="1"/>
  <c r="C3978" i="2"/>
  <c r="G3978" i="2" s="1"/>
  <c r="C4980" i="2"/>
  <c r="G4980" i="2" s="1"/>
  <c r="C6429" i="2"/>
  <c r="G6429" i="2" s="1"/>
  <c r="C2672" i="2"/>
  <c r="G2672" i="2" s="1"/>
  <c r="C3339" i="2"/>
  <c r="G3339" i="2" s="1"/>
  <c r="C3367" i="2"/>
  <c r="G3367" i="2" s="1"/>
  <c r="C3379" i="2"/>
  <c r="G3379" i="2" s="1"/>
  <c r="C3387" i="2"/>
  <c r="G3387" i="2" s="1"/>
  <c r="C3391" i="2"/>
  <c r="G3391" i="2" s="1"/>
  <c r="C3451" i="2"/>
  <c r="G3451" i="2" s="1"/>
  <c r="C3459" i="2"/>
  <c r="G3459" i="2" s="1"/>
  <c r="C3467" i="2"/>
  <c r="G3467" i="2" s="1"/>
  <c r="C3471" i="2"/>
  <c r="G3471" i="2" s="1"/>
  <c r="C3475" i="2"/>
  <c r="G3475" i="2" s="1"/>
  <c r="C3483" i="2"/>
  <c r="G3483" i="2" s="1"/>
  <c r="C3518" i="2"/>
  <c r="G3518" i="2" s="1"/>
  <c r="C3522" i="2"/>
  <c r="G3522" i="2" s="1"/>
  <c r="C3526" i="2"/>
  <c r="G3526" i="2" s="1"/>
  <c r="C3534" i="2"/>
  <c r="G3534" i="2" s="1"/>
  <c r="C3538" i="2"/>
  <c r="G3538" i="2" s="1"/>
  <c r="C3542" i="2"/>
  <c r="G3542" i="2" s="1"/>
  <c r="C3546" i="2"/>
  <c r="G3546" i="2" s="1"/>
  <c r="C3550" i="2"/>
  <c r="G3550" i="2" s="1"/>
  <c r="C3554" i="2"/>
  <c r="G3554" i="2" s="1"/>
  <c r="C3558" i="2"/>
  <c r="G3558" i="2" s="1"/>
  <c r="C4750" i="2"/>
  <c r="G4750" i="2" s="1"/>
  <c r="C4774" i="2"/>
  <c r="G4774" i="2" s="1"/>
  <c r="C4778" i="2"/>
  <c r="G4778" i="2" s="1"/>
  <c r="C4798" i="2"/>
  <c r="G4798" i="2" s="1"/>
  <c r="C4806" i="2"/>
  <c r="G4806" i="2" s="1"/>
  <c r="C5319" i="2"/>
  <c r="G5319" i="2" s="1"/>
  <c r="C5327" i="2"/>
  <c r="G5327" i="2" s="1"/>
  <c r="C5331" i="2"/>
  <c r="G5331" i="2" s="1"/>
  <c r="C5335" i="2"/>
  <c r="G5335" i="2" s="1"/>
  <c r="C5343" i="2"/>
  <c r="G5343" i="2" s="1"/>
  <c r="C3336" i="2"/>
  <c r="G3336" i="2" s="1"/>
  <c r="C162" i="2"/>
  <c r="G162" i="2" s="1"/>
  <c r="C166" i="2"/>
  <c r="G166" i="2" s="1"/>
  <c r="C170" i="2"/>
  <c r="G170" i="2" s="1"/>
  <c r="C198" i="2"/>
  <c r="G198" i="2" s="1"/>
  <c r="C202" i="2"/>
  <c r="G202" i="2" s="1"/>
  <c r="C206" i="2"/>
  <c r="G206" i="2" s="1"/>
  <c r="C218" i="2"/>
  <c r="G218" i="2" s="1"/>
  <c r="C221" i="2"/>
  <c r="G221" i="2" s="1"/>
  <c r="C237" i="2"/>
  <c r="G237" i="2" s="1"/>
  <c r="C245" i="2"/>
  <c r="G245" i="2" s="1"/>
  <c r="C296" i="2"/>
  <c r="G296" i="2" s="1"/>
  <c r="C312" i="2"/>
  <c r="G312" i="2" s="1"/>
  <c r="C335" i="2"/>
  <c r="G335" i="2" s="1"/>
  <c r="C339" i="2"/>
  <c r="G339" i="2" s="1"/>
  <c r="C343" i="2"/>
  <c r="G343" i="2" s="1"/>
  <c r="C354" i="2"/>
  <c r="G354" i="2" s="1"/>
  <c r="C362" i="2"/>
  <c r="G362" i="2" s="1"/>
  <c r="C436" i="2"/>
  <c r="G436" i="2" s="1"/>
  <c r="C468" i="2"/>
  <c r="G468" i="2" s="1"/>
  <c r="C476" i="2"/>
  <c r="G476" i="2" s="1"/>
  <c r="C499" i="2"/>
  <c r="G499" i="2" s="1"/>
  <c r="C515" i="2"/>
  <c r="G515" i="2" s="1"/>
  <c r="C523" i="2"/>
  <c r="G523" i="2" s="1"/>
  <c r="C539" i="2"/>
  <c r="G539" i="2" s="1"/>
  <c r="C555" i="2"/>
  <c r="G555" i="2" s="1"/>
  <c r="C647" i="2"/>
  <c r="G647" i="2" s="1"/>
  <c r="C655" i="2"/>
  <c r="G655" i="2" s="1"/>
  <c r="C659" i="2"/>
  <c r="G659" i="2" s="1"/>
  <c r="C671" i="2"/>
  <c r="G671" i="2" s="1"/>
  <c r="C679" i="2"/>
  <c r="G679" i="2" s="1"/>
  <c r="C695" i="2"/>
  <c r="G695" i="2" s="1"/>
  <c r="C703" i="2"/>
  <c r="G703" i="2" s="1"/>
  <c r="C890" i="2"/>
  <c r="G890" i="2" s="1"/>
  <c r="C894" i="2"/>
  <c r="G894" i="2" s="1"/>
  <c r="C929" i="2"/>
  <c r="G929" i="2" s="1"/>
  <c r="C981" i="2"/>
  <c r="G981" i="2" s="1"/>
  <c r="C1001" i="2"/>
  <c r="G1001" i="2" s="1"/>
  <c r="C1049" i="2"/>
  <c r="G1049" i="2" s="1"/>
  <c r="C1061" i="2"/>
  <c r="G1061" i="2" s="1"/>
  <c r="C1097" i="2"/>
  <c r="G1097" i="2" s="1"/>
  <c r="C1101" i="2"/>
  <c r="G1101" i="2" s="1"/>
  <c r="C1137" i="2"/>
  <c r="G1137" i="2" s="1"/>
  <c r="C1169" i="2"/>
  <c r="G1169" i="2" s="1"/>
  <c r="C1181" i="2"/>
  <c r="G1181" i="2" s="1"/>
  <c r="C1439" i="2"/>
  <c r="G1439" i="2" s="1"/>
  <c r="C1467" i="2"/>
  <c r="G1467" i="2" s="1"/>
  <c r="C1487" i="2"/>
  <c r="G1487" i="2" s="1"/>
  <c r="C1499" i="2"/>
  <c r="G1499" i="2" s="1"/>
  <c r="C1507" i="2"/>
  <c r="G1507" i="2" s="1"/>
  <c r="C1657" i="2"/>
  <c r="G1657" i="2" s="1"/>
  <c r="C1673" i="2"/>
  <c r="G1673" i="2" s="1"/>
  <c r="C1708" i="2"/>
  <c r="G1708" i="2" s="1"/>
  <c r="C1728" i="2"/>
  <c r="G1728" i="2" s="1"/>
  <c r="C2039" i="2"/>
  <c r="G2039" i="2" s="1"/>
  <c r="C2055" i="2"/>
  <c r="G2055" i="2" s="1"/>
  <c r="C2066" i="2"/>
  <c r="G2066" i="2" s="1"/>
  <c r="C2070" i="2"/>
  <c r="G2070" i="2" s="1"/>
  <c r="C2105" i="2"/>
  <c r="G2105" i="2" s="1"/>
  <c r="C2289" i="2"/>
  <c r="G2289" i="2" s="1"/>
  <c r="C2438" i="2"/>
  <c r="G2438" i="2" s="1"/>
  <c r="C2501" i="2"/>
  <c r="G2501" i="2" s="1"/>
  <c r="C2536" i="2"/>
  <c r="G2536" i="2" s="1"/>
  <c r="C2587" i="2"/>
  <c r="G2587" i="2" s="1"/>
  <c r="C2736" i="2"/>
  <c r="G2736" i="2" s="1"/>
  <c r="C2829" i="2"/>
  <c r="G2829" i="2" s="1"/>
  <c r="C2845" i="2"/>
  <c r="G2845" i="2" s="1"/>
  <c r="C2892" i="2"/>
  <c r="G2892" i="2" s="1"/>
  <c r="C2896" i="2"/>
  <c r="G2896" i="2" s="1"/>
  <c r="C2911" i="2"/>
  <c r="G2911" i="2" s="1"/>
  <c r="C2915" i="2"/>
  <c r="G2915" i="2" s="1"/>
  <c r="C2923" i="2"/>
  <c r="G2923" i="2" s="1"/>
  <c r="C3063" i="2"/>
  <c r="G3063" i="2" s="1"/>
  <c r="C3245" i="2"/>
  <c r="G3245" i="2" s="1"/>
  <c r="C3257" i="2"/>
  <c r="G3257" i="2" s="1"/>
  <c r="C3273" i="2"/>
  <c r="G3273" i="2" s="1"/>
  <c r="C4130" i="2"/>
  <c r="G4130" i="2" s="1"/>
  <c r="C4158" i="2"/>
  <c r="G4158" i="2" s="1"/>
  <c r="C4162" i="2"/>
  <c r="G4162" i="2" s="1"/>
  <c r="C4166" i="2"/>
  <c r="G4166" i="2" s="1"/>
  <c r="C4225" i="2"/>
  <c r="G4225" i="2" s="1"/>
  <c r="C4229" i="2"/>
  <c r="G4229" i="2" s="1"/>
  <c r="C1794" i="2"/>
  <c r="G1794" i="2" s="1"/>
  <c r="C1826" i="2"/>
  <c r="G1826" i="2" s="1"/>
  <c r="C1830" i="2"/>
  <c r="G1830" i="2" s="1"/>
  <c r="C2087" i="2"/>
  <c r="G2087" i="2" s="1"/>
  <c r="C2113" i="2"/>
  <c r="G2113" i="2" s="1"/>
  <c r="C2194" i="2"/>
  <c r="G2194" i="2" s="1"/>
  <c r="C2307" i="2"/>
  <c r="G2307" i="2" s="1"/>
  <c r="C2362" i="2"/>
  <c r="G2362" i="2" s="1"/>
  <c r="C2443" i="2"/>
  <c r="G2443" i="2" s="1"/>
  <c r="C2451" i="2"/>
  <c r="G2451" i="2" s="1"/>
  <c r="C2638" i="2"/>
  <c r="G2638" i="2" s="1"/>
  <c r="C2642" i="2"/>
  <c r="G2642" i="2" s="1"/>
  <c r="C2706" i="2"/>
  <c r="G2706" i="2" s="1"/>
  <c r="C2710" i="2"/>
  <c r="G2710" i="2" s="1"/>
  <c r="C2718" i="2"/>
  <c r="G2718" i="2" s="1"/>
  <c r="C2722" i="2"/>
  <c r="G2722" i="2" s="1"/>
  <c r="C2806" i="2"/>
  <c r="G2806" i="2" s="1"/>
  <c r="C2810" i="2"/>
  <c r="G2810" i="2" s="1"/>
  <c r="C2814" i="2"/>
  <c r="G2814" i="2" s="1"/>
  <c r="C2826" i="2"/>
  <c r="G2826" i="2" s="1"/>
  <c r="C2830" i="2"/>
  <c r="G2830" i="2" s="1"/>
  <c r="C2834" i="2"/>
  <c r="G2834" i="2" s="1"/>
  <c r="C2975" i="2"/>
  <c r="G2975" i="2" s="1"/>
  <c r="C3191" i="2"/>
  <c r="G3191" i="2" s="1"/>
  <c r="C3254" i="2"/>
  <c r="G3254" i="2" s="1"/>
  <c r="C3293" i="2"/>
  <c r="G3293" i="2" s="1"/>
  <c r="C3297" i="2"/>
  <c r="G3297" i="2" s="1"/>
  <c r="C3368" i="2"/>
  <c r="G3368" i="2" s="1"/>
  <c r="C3562" i="2"/>
  <c r="G3562" i="2" s="1"/>
  <c r="C3570" i="2"/>
  <c r="G3570" i="2" s="1"/>
  <c r="C3590" i="2"/>
  <c r="G3590" i="2" s="1"/>
  <c r="C3598" i="2"/>
  <c r="G3598" i="2" s="1"/>
  <c r="C4250" i="2"/>
  <c r="G4250" i="2" s="1"/>
  <c r="C4285" i="2"/>
  <c r="G4285" i="2" s="1"/>
  <c r="C4293" i="2"/>
  <c r="G4293" i="2" s="1"/>
  <c r="C6220" i="2"/>
  <c r="G6220" i="2" s="1"/>
  <c r="C6228" i="2"/>
  <c r="G6228" i="2" s="1"/>
  <c r="C1090" i="2"/>
  <c r="G1090" i="2" s="1"/>
  <c r="C1221" i="2"/>
  <c r="G1221" i="2" s="1"/>
  <c r="C1233" i="2"/>
  <c r="G1233" i="2" s="1"/>
  <c r="C1289" i="2"/>
  <c r="G1289" i="2" s="1"/>
  <c r="C1427" i="2"/>
  <c r="G1427" i="2" s="1"/>
  <c r="C1431" i="2"/>
  <c r="G1431" i="2" s="1"/>
  <c r="C1435" i="2"/>
  <c r="G1435" i="2" s="1"/>
  <c r="C1517" i="2"/>
  <c r="G1517" i="2" s="1"/>
  <c r="C1521" i="2"/>
  <c r="G1521" i="2" s="1"/>
  <c r="C1525" i="2"/>
  <c r="G1525" i="2" s="1"/>
  <c r="C1529" i="2"/>
  <c r="G1529" i="2" s="1"/>
  <c r="C1545" i="2"/>
  <c r="G1545" i="2" s="1"/>
  <c r="C1568" i="2"/>
  <c r="G1568" i="2" s="1"/>
  <c r="C1580" i="2"/>
  <c r="G1580" i="2" s="1"/>
  <c r="C1592" i="2"/>
  <c r="G1592" i="2" s="1"/>
  <c r="C1604" i="2"/>
  <c r="G1604" i="2" s="1"/>
  <c r="C1612" i="2"/>
  <c r="G1612" i="2" s="1"/>
  <c r="C1624" i="2"/>
  <c r="G1624" i="2" s="1"/>
  <c r="C1628" i="2"/>
  <c r="G1628" i="2" s="1"/>
  <c r="C1632" i="2"/>
  <c r="G1632" i="2" s="1"/>
  <c r="C1671" i="2"/>
  <c r="G1671" i="2" s="1"/>
  <c r="C1737" i="2"/>
  <c r="G1737" i="2" s="1"/>
  <c r="C1799" i="2"/>
  <c r="G1799" i="2" s="1"/>
  <c r="C1815" i="2"/>
  <c r="G1815" i="2" s="1"/>
  <c r="C1823" i="2"/>
  <c r="G1823" i="2" s="1"/>
  <c r="C1827" i="2"/>
  <c r="G1827" i="2" s="1"/>
  <c r="C1873" i="2"/>
  <c r="G1873" i="2" s="1"/>
  <c r="C1913" i="2"/>
  <c r="G1913" i="2" s="1"/>
  <c r="C1932" i="2"/>
  <c r="G1932" i="2" s="1"/>
  <c r="C2002" i="2"/>
  <c r="G2002" i="2" s="1"/>
  <c r="C2006" i="2"/>
  <c r="G2006" i="2" s="1"/>
  <c r="C2014" i="2"/>
  <c r="G2014" i="2" s="1"/>
  <c r="C2022" i="2"/>
  <c r="G2022" i="2" s="1"/>
  <c r="C2041" i="2"/>
  <c r="G2041" i="2" s="1"/>
  <c r="C2057" i="2"/>
  <c r="G2057" i="2" s="1"/>
  <c r="C2061" i="2"/>
  <c r="G2061" i="2" s="1"/>
  <c r="C2118" i="2"/>
  <c r="G2118" i="2" s="1"/>
  <c r="C2137" i="2"/>
  <c r="G2137" i="2" s="1"/>
  <c r="C2145" i="2"/>
  <c r="G2145" i="2" s="1"/>
  <c r="C2153" i="2"/>
  <c r="G2153" i="2" s="1"/>
  <c r="C2199" i="2"/>
  <c r="G2199" i="2" s="1"/>
  <c r="C2202" i="2"/>
  <c r="G2202" i="2" s="1"/>
  <c r="C2210" i="2"/>
  <c r="G2210" i="2" s="1"/>
  <c r="C2312" i="2"/>
  <c r="G2312" i="2" s="1"/>
  <c r="C2331" i="2"/>
  <c r="G2331" i="2" s="1"/>
  <c r="C2339" i="2"/>
  <c r="G2339" i="2" s="1"/>
  <c r="C2363" i="2"/>
  <c r="G2363" i="2" s="1"/>
  <c r="C2370" i="2"/>
  <c r="G2370" i="2" s="1"/>
  <c r="C2406" i="2"/>
  <c r="G2406" i="2" s="1"/>
  <c r="C2456" i="2"/>
  <c r="G2456" i="2" s="1"/>
  <c r="C2475" i="2"/>
  <c r="G2475" i="2" s="1"/>
  <c r="C2483" i="2"/>
  <c r="G2483" i="2" s="1"/>
  <c r="C2499" i="2"/>
  <c r="G2499" i="2" s="1"/>
  <c r="C2503" i="2"/>
  <c r="G2503" i="2" s="1"/>
  <c r="C2558" i="2"/>
  <c r="G2558" i="2" s="1"/>
  <c r="C2574" i="2"/>
  <c r="G2574" i="2" s="1"/>
  <c r="C2608" i="2"/>
  <c r="G2608" i="2" s="1"/>
  <c r="C2635" i="2"/>
  <c r="G2635" i="2" s="1"/>
  <c r="C2639" i="2"/>
  <c r="G2639" i="2" s="1"/>
  <c r="C2643" i="2"/>
  <c r="G2643" i="2" s="1"/>
  <c r="C2647" i="2"/>
  <c r="G2647" i="2" s="1"/>
  <c r="C2703" i="2"/>
  <c r="G2703" i="2" s="1"/>
  <c r="C2738" i="2"/>
  <c r="G2738" i="2" s="1"/>
  <c r="C2769" i="2"/>
  <c r="G2769" i="2" s="1"/>
  <c r="C2803" i="2"/>
  <c r="G2803" i="2" s="1"/>
  <c r="C2807" i="2"/>
  <c r="G2807" i="2" s="1"/>
  <c r="C2811" i="2"/>
  <c r="G2811" i="2" s="1"/>
  <c r="C2815" i="2"/>
  <c r="G2815" i="2" s="1"/>
  <c r="C2823" i="2"/>
  <c r="G2823" i="2" s="1"/>
  <c r="C2827" i="2"/>
  <c r="G2827" i="2" s="1"/>
  <c r="C2835" i="2"/>
  <c r="G2835" i="2" s="1"/>
  <c r="C2854" i="2"/>
  <c r="G2854" i="2" s="1"/>
  <c r="C2952" i="2"/>
  <c r="G2952" i="2" s="1"/>
  <c r="C2991" i="2"/>
  <c r="G2991" i="2" s="1"/>
  <c r="C2995" i="2"/>
  <c r="G2995" i="2" s="1"/>
  <c r="C3039" i="2"/>
  <c r="G3039" i="2" s="1"/>
  <c r="C3047" i="2"/>
  <c r="G3047" i="2" s="1"/>
  <c r="C3051" i="2"/>
  <c r="G3051" i="2" s="1"/>
  <c r="C3055" i="2"/>
  <c r="G3055" i="2" s="1"/>
  <c r="C3160" i="2"/>
  <c r="G3160" i="2" s="1"/>
  <c r="C3168" i="2"/>
  <c r="G3168" i="2" s="1"/>
  <c r="C3188" i="2"/>
  <c r="G3188" i="2" s="1"/>
  <c r="C3200" i="2"/>
  <c r="G3200" i="2" s="1"/>
  <c r="C3236" i="2"/>
  <c r="G3236" i="2" s="1"/>
  <c r="C3243" i="2"/>
  <c r="G3243" i="2" s="1"/>
  <c r="C3247" i="2"/>
  <c r="G3247" i="2" s="1"/>
  <c r="C3251" i="2"/>
  <c r="G3251" i="2" s="1"/>
  <c r="C3278" i="2"/>
  <c r="G3278" i="2" s="1"/>
  <c r="C3282" i="2"/>
  <c r="G3282" i="2" s="1"/>
  <c r="C3286" i="2"/>
  <c r="G3286" i="2" s="1"/>
  <c r="C3290" i="2"/>
  <c r="G3290" i="2" s="1"/>
  <c r="C3365" i="2"/>
  <c r="G3365" i="2" s="1"/>
  <c r="C3373" i="2"/>
  <c r="G3373" i="2" s="1"/>
  <c r="C3440" i="2"/>
  <c r="G3440" i="2" s="1"/>
  <c r="C3638" i="2"/>
  <c r="G3638" i="2" s="1"/>
  <c r="C4007" i="2"/>
  <c r="G4007" i="2" s="1"/>
  <c r="C4065" i="2"/>
  <c r="G4065" i="2" s="1"/>
  <c r="C4120" i="2"/>
  <c r="G4120" i="2" s="1"/>
  <c r="C4124" i="2"/>
  <c r="G4124" i="2" s="1"/>
  <c r="C4168" i="2"/>
  <c r="G4168" i="2" s="1"/>
  <c r="C4199" i="2"/>
  <c r="G4199" i="2" s="1"/>
  <c r="C4203" i="2"/>
  <c r="G4203" i="2" s="1"/>
  <c r="C4207" i="2"/>
  <c r="G4207" i="2" s="1"/>
  <c r="C4211" i="2"/>
  <c r="G4211" i="2" s="1"/>
  <c r="C4219" i="2"/>
  <c r="G4219" i="2" s="1"/>
  <c r="C4223" i="2"/>
  <c r="G4223" i="2" s="1"/>
  <c r="C4239" i="2"/>
  <c r="G4239" i="2" s="1"/>
  <c r="C4278" i="2"/>
  <c r="G4278" i="2" s="1"/>
  <c r="C4393" i="2"/>
  <c r="G4393" i="2" s="1"/>
  <c r="C4519" i="2"/>
  <c r="G4519" i="2" s="1"/>
  <c r="C4531" i="2"/>
  <c r="G4531" i="2" s="1"/>
  <c r="C4535" i="2"/>
  <c r="G4535" i="2" s="1"/>
  <c r="C4539" i="2"/>
  <c r="G4539" i="2" s="1"/>
  <c r="C4551" i="2"/>
  <c r="G4551" i="2" s="1"/>
  <c r="C4555" i="2"/>
  <c r="G4555" i="2" s="1"/>
  <c r="C4591" i="2"/>
  <c r="G4591" i="2" s="1"/>
  <c r="C4595" i="2"/>
  <c r="G4595" i="2" s="1"/>
  <c r="C4637" i="2"/>
  <c r="G4637" i="2" s="1"/>
  <c r="C4641" i="2"/>
  <c r="G4641" i="2" s="1"/>
  <c r="C4657" i="2"/>
  <c r="G4657" i="2" s="1"/>
  <c r="C4795" i="2"/>
  <c r="G4795" i="2" s="1"/>
  <c r="C4819" i="2"/>
  <c r="G4819" i="2" s="1"/>
  <c r="C4823" i="2"/>
  <c r="G4823" i="2" s="1"/>
  <c r="C4827" i="2"/>
  <c r="G4827" i="2" s="1"/>
  <c r="C4938" i="2"/>
  <c r="G4938" i="2" s="1"/>
  <c r="C4942" i="2"/>
  <c r="G4942" i="2" s="1"/>
  <c r="C4958" i="2"/>
  <c r="G4958" i="2" s="1"/>
  <c r="C5017" i="2"/>
  <c r="G5017" i="2" s="1"/>
  <c r="C5025" i="2"/>
  <c r="G5025" i="2" s="1"/>
  <c r="C5029" i="2"/>
  <c r="G5029" i="2" s="1"/>
  <c r="C5133" i="2"/>
  <c r="G5133" i="2" s="1"/>
  <c r="C5152" i="2"/>
  <c r="G5152" i="2" s="1"/>
  <c r="C5156" i="2"/>
  <c r="G5156" i="2" s="1"/>
  <c r="C5160" i="2"/>
  <c r="G5160" i="2" s="1"/>
  <c r="C5168" i="2"/>
  <c r="G5168" i="2" s="1"/>
  <c r="C5172" i="2"/>
  <c r="G5172" i="2" s="1"/>
  <c r="C5227" i="2"/>
  <c r="G5227" i="2" s="1"/>
  <c r="C5239" i="2"/>
  <c r="G5239" i="2" s="1"/>
  <c r="C5262" i="2"/>
  <c r="G5262" i="2" s="1"/>
  <c r="C5304" i="2"/>
  <c r="G5304" i="2" s="1"/>
  <c r="C752" i="2"/>
  <c r="G752" i="2" s="1"/>
  <c r="C760" i="2"/>
  <c r="G760" i="2" s="1"/>
  <c r="C820" i="2"/>
  <c r="G820" i="2" s="1"/>
  <c r="C967" i="2"/>
  <c r="G967" i="2" s="1"/>
  <c r="C971" i="2"/>
  <c r="G971" i="2" s="1"/>
  <c r="C979" i="2"/>
  <c r="G979" i="2" s="1"/>
  <c r="C983" i="2"/>
  <c r="G983" i="2" s="1"/>
  <c r="C995" i="2"/>
  <c r="G995" i="2" s="1"/>
  <c r="C999" i="2"/>
  <c r="G999" i="2" s="1"/>
  <c r="C1003" i="2"/>
  <c r="G1003" i="2" s="1"/>
  <c r="C1087" i="2"/>
  <c r="G1087" i="2" s="1"/>
  <c r="C1155" i="2"/>
  <c r="G1155" i="2" s="1"/>
  <c r="C1159" i="2"/>
  <c r="G1159" i="2" s="1"/>
  <c r="C1163" i="2"/>
  <c r="G1163" i="2" s="1"/>
  <c r="C1171" i="2"/>
  <c r="G1171" i="2" s="1"/>
  <c r="C1175" i="2"/>
  <c r="G1175" i="2" s="1"/>
  <c r="C1202" i="2"/>
  <c r="G1202" i="2" s="1"/>
  <c r="C1250" i="2"/>
  <c r="G1250" i="2" s="1"/>
  <c r="C1258" i="2"/>
  <c r="G1258" i="2" s="1"/>
  <c r="C1262" i="2"/>
  <c r="G1262" i="2" s="1"/>
  <c r="C1322" i="2"/>
  <c r="G1322" i="2" s="1"/>
  <c r="C1428" i="2"/>
  <c r="G1428" i="2" s="1"/>
  <c r="C1550" i="2"/>
  <c r="G1550" i="2" s="1"/>
  <c r="C1565" i="2"/>
  <c r="G1565" i="2" s="1"/>
  <c r="C1573" i="2"/>
  <c r="G1573" i="2" s="1"/>
  <c r="C1577" i="2"/>
  <c r="G1577" i="2" s="1"/>
  <c r="C1581" i="2"/>
  <c r="G1581" i="2" s="1"/>
  <c r="C1585" i="2"/>
  <c r="G1585" i="2" s="1"/>
  <c r="C1601" i="2"/>
  <c r="G1601" i="2" s="1"/>
  <c r="C1617" i="2"/>
  <c r="G1617" i="2" s="1"/>
  <c r="C1625" i="2"/>
  <c r="G1625" i="2" s="1"/>
  <c r="C1633" i="2"/>
  <c r="G1633" i="2" s="1"/>
  <c r="C1676" i="2"/>
  <c r="G1676" i="2" s="1"/>
  <c r="C1714" i="2"/>
  <c r="G1714" i="2" s="1"/>
  <c r="C1742" i="2"/>
  <c r="G1742" i="2" s="1"/>
  <c r="C1800" i="2"/>
  <c r="G1800" i="2" s="1"/>
  <c r="C1808" i="2"/>
  <c r="G1808" i="2" s="1"/>
  <c r="C1847" i="2"/>
  <c r="G1847" i="2" s="1"/>
  <c r="C1855" i="2"/>
  <c r="G1855" i="2" s="1"/>
  <c r="C1858" i="2"/>
  <c r="G1858" i="2" s="1"/>
  <c r="C1890" i="2"/>
  <c r="G1890" i="2" s="1"/>
  <c r="C1894" i="2"/>
  <c r="G1894" i="2" s="1"/>
  <c r="C1929" i="2"/>
  <c r="G1929" i="2" s="1"/>
  <c r="C1980" i="2"/>
  <c r="G1980" i="2" s="1"/>
  <c r="C2027" i="2"/>
  <c r="G2027" i="2" s="1"/>
  <c r="C2038" i="2"/>
  <c r="G2038" i="2" s="1"/>
  <c r="C2046" i="2"/>
  <c r="G2046" i="2" s="1"/>
  <c r="C2062" i="2"/>
  <c r="G2062" i="2" s="1"/>
  <c r="C2089" i="2"/>
  <c r="G2089" i="2" s="1"/>
  <c r="C2119" i="2"/>
  <c r="G2119" i="2" s="1"/>
  <c r="C2123" i="2"/>
  <c r="G2123" i="2" s="1"/>
  <c r="C2134" i="2"/>
  <c r="G2134" i="2" s="1"/>
  <c r="C2161" i="2"/>
  <c r="G2161" i="2" s="1"/>
  <c r="C2196" i="2"/>
  <c r="G2196" i="2" s="1"/>
  <c r="C2286" i="2"/>
  <c r="G2286" i="2" s="1"/>
  <c r="C2309" i="2"/>
  <c r="G2309" i="2" s="1"/>
  <c r="C2328" i="2"/>
  <c r="G2328" i="2" s="1"/>
  <c r="C2371" i="2"/>
  <c r="G2371" i="2" s="1"/>
  <c r="C2399" i="2"/>
  <c r="G2399" i="2" s="1"/>
  <c r="C2411" i="2"/>
  <c r="G2411" i="2" s="1"/>
  <c r="C2415" i="2"/>
  <c r="G2415" i="2" s="1"/>
  <c r="C2418" i="2"/>
  <c r="G2418" i="2" s="1"/>
  <c r="C2464" i="2"/>
  <c r="G2464" i="2" s="1"/>
  <c r="C2504" i="2"/>
  <c r="G2504" i="2" s="1"/>
  <c r="C2531" i="2"/>
  <c r="G2531" i="2" s="1"/>
  <c r="C2535" i="2"/>
  <c r="G2535" i="2" s="1"/>
  <c r="C2543" i="2"/>
  <c r="G2543" i="2" s="1"/>
  <c r="C2547" i="2"/>
  <c r="G2547" i="2" s="1"/>
  <c r="C2551" i="2"/>
  <c r="G2551" i="2" s="1"/>
  <c r="C2563" i="2"/>
  <c r="G2563" i="2" s="1"/>
  <c r="C2567" i="2"/>
  <c r="G2567" i="2" s="1"/>
  <c r="C2575" i="2"/>
  <c r="G2575" i="2" s="1"/>
  <c r="C2578" i="2"/>
  <c r="G2578" i="2" s="1"/>
  <c r="C2640" i="2"/>
  <c r="G2640" i="2" s="1"/>
  <c r="C2704" i="2"/>
  <c r="G2704" i="2" s="1"/>
  <c r="C2712" i="2"/>
  <c r="G2712" i="2" s="1"/>
  <c r="C2747" i="2"/>
  <c r="G2747" i="2" s="1"/>
  <c r="C2816" i="2"/>
  <c r="G2816" i="2" s="1"/>
  <c r="C2824" i="2"/>
  <c r="G2824" i="2" s="1"/>
  <c r="C2840" i="2"/>
  <c r="G2840" i="2" s="1"/>
  <c r="C2859" i="2"/>
  <c r="G2859" i="2" s="1"/>
  <c r="C2879" i="2"/>
  <c r="G2879" i="2" s="1"/>
  <c r="C2887" i="2"/>
  <c r="G2887" i="2" s="1"/>
  <c r="C2906" i="2"/>
  <c r="G2906" i="2" s="1"/>
  <c r="C2957" i="2"/>
  <c r="G2957" i="2" s="1"/>
  <c r="C2965" i="2"/>
  <c r="G2965" i="2" s="1"/>
  <c r="C2973" i="2"/>
  <c r="G2973" i="2" s="1"/>
  <c r="C2977" i="2"/>
  <c r="G2977" i="2" s="1"/>
  <c r="C3056" i="2"/>
  <c r="G3056" i="2" s="1"/>
  <c r="C3060" i="2"/>
  <c r="G3060" i="2" s="1"/>
  <c r="C3067" i="2"/>
  <c r="G3067" i="2" s="1"/>
  <c r="C3071" i="2"/>
  <c r="G3071" i="2" s="1"/>
  <c r="C3142" i="2"/>
  <c r="G3142" i="2" s="1"/>
  <c r="C3146" i="2"/>
  <c r="G3146" i="2" s="1"/>
  <c r="C3197" i="2"/>
  <c r="G3197" i="2" s="1"/>
  <c r="C3201" i="2"/>
  <c r="G3201" i="2" s="1"/>
  <c r="C3205" i="2"/>
  <c r="G3205" i="2" s="1"/>
  <c r="C3209" i="2"/>
  <c r="G3209" i="2" s="1"/>
  <c r="C3225" i="2"/>
  <c r="G3225" i="2" s="1"/>
  <c r="C3811" i="2"/>
  <c r="G3811" i="2" s="1"/>
  <c r="C3815" i="2"/>
  <c r="G3815" i="2" s="1"/>
  <c r="C3819" i="2"/>
  <c r="G3819" i="2" s="1"/>
  <c r="C3823" i="2"/>
  <c r="G3823" i="2" s="1"/>
  <c r="C3835" i="2"/>
  <c r="G3835" i="2" s="1"/>
  <c r="C3846" i="2"/>
  <c r="G3846" i="2" s="1"/>
  <c r="C3894" i="2"/>
  <c r="G3894" i="2" s="1"/>
  <c r="C3898" i="2"/>
  <c r="G3898" i="2" s="1"/>
  <c r="C3902" i="2"/>
  <c r="G3902" i="2" s="1"/>
  <c r="C3906" i="2"/>
  <c r="G3906" i="2" s="1"/>
  <c r="C3910" i="2"/>
  <c r="G3910" i="2" s="1"/>
  <c r="C3953" i="2"/>
  <c r="G3953" i="2" s="1"/>
  <c r="C3969" i="2"/>
  <c r="G3969" i="2" s="1"/>
  <c r="C4066" i="2"/>
  <c r="G4066" i="2" s="1"/>
  <c r="C4070" i="2"/>
  <c r="G4070" i="2" s="1"/>
  <c r="C4074" i="2"/>
  <c r="G4074" i="2" s="1"/>
  <c r="C4078" i="2"/>
  <c r="G4078" i="2" s="1"/>
  <c r="C4117" i="2"/>
  <c r="G4117" i="2" s="1"/>
  <c r="C4121" i="2"/>
  <c r="G4121" i="2" s="1"/>
  <c r="C4125" i="2"/>
  <c r="G4125" i="2" s="1"/>
  <c r="C4133" i="2"/>
  <c r="G4133" i="2" s="1"/>
  <c r="C4141" i="2"/>
  <c r="G4141" i="2" s="1"/>
  <c r="C4149" i="2"/>
  <c r="G4149" i="2" s="1"/>
  <c r="C4303" i="2"/>
  <c r="G4303" i="2" s="1"/>
  <c r="C4315" i="2"/>
  <c r="G4315" i="2" s="1"/>
  <c r="C4552" i="2"/>
  <c r="G4552" i="2" s="1"/>
  <c r="C4604" i="2"/>
  <c r="G4604" i="2" s="1"/>
  <c r="C4662" i="2"/>
  <c r="G4662" i="2" s="1"/>
  <c r="C4694" i="2"/>
  <c r="G4694" i="2" s="1"/>
  <c r="C4710" i="2"/>
  <c r="G4710" i="2" s="1"/>
  <c r="C4741" i="2"/>
  <c r="G4741" i="2" s="1"/>
  <c r="C4780" i="2"/>
  <c r="G4780" i="2" s="1"/>
  <c r="C4784" i="2"/>
  <c r="G4784" i="2" s="1"/>
  <c r="C4792" i="2"/>
  <c r="G4792" i="2" s="1"/>
  <c r="C4883" i="2"/>
  <c r="G4883" i="2" s="1"/>
  <c r="C4887" i="2"/>
  <c r="G4887" i="2" s="1"/>
  <c r="C4907" i="2"/>
  <c r="G4907" i="2" s="1"/>
  <c r="C4911" i="2"/>
  <c r="G4911" i="2" s="1"/>
  <c r="C5663" i="2"/>
  <c r="G5663" i="2" s="1"/>
  <c r="C5667" i="2"/>
  <c r="G5667" i="2" s="1"/>
  <c r="C6006" i="2"/>
  <c r="G6006" i="2" s="1"/>
  <c r="C6014" i="2"/>
  <c r="G6014" i="2" s="1"/>
  <c r="C6018" i="2"/>
  <c r="G6018" i="2" s="1"/>
  <c r="C6038" i="2"/>
  <c r="G6038" i="2" s="1"/>
  <c r="C6042" i="2"/>
  <c r="G6042" i="2" s="1"/>
  <c r="C6046" i="2"/>
  <c r="G6046" i="2" s="1"/>
  <c r="C6050" i="2"/>
  <c r="G6050" i="2" s="1"/>
  <c r="C6054" i="2"/>
  <c r="G6054" i="2" s="1"/>
  <c r="C6058" i="2"/>
  <c r="G6058" i="2" s="1"/>
  <c r="C6483" i="2"/>
  <c r="G6483" i="2" s="1"/>
  <c r="C6549" i="2"/>
  <c r="G6549" i="2" s="1"/>
  <c r="C4257" i="2"/>
  <c r="G4257" i="2" s="1"/>
  <c r="C4296" i="2"/>
  <c r="G4296" i="2" s="1"/>
  <c r="C4320" i="2"/>
  <c r="G4320" i="2" s="1"/>
  <c r="C4359" i="2"/>
  <c r="G4359" i="2" s="1"/>
  <c r="C4367" i="2"/>
  <c r="G4367" i="2" s="1"/>
  <c r="C4375" i="2"/>
  <c r="G4375" i="2" s="1"/>
  <c r="C4379" i="2"/>
  <c r="G4379" i="2" s="1"/>
  <c r="C4387" i="2"/>
  <c r="G4387" i="2" s="1"/>
  <c r="C4399" i="2"/>
  <c r="G4399" i="2" s="1"/>
  <c r="C4473" i="2"/>
  <c r="G4473" i="2" s="1"/>
  <c r="C4489" i="2"/>
  <c r="G4489" i="2" s="1"/>
  <c r="C5299" i="2"/>
  <c r="G5299" i="2" s="1"/>
  <c r="C5374" i="2"/>
  <c r="G5374" i="2" s="1"/>
  <c r="C6266" i="2"/>
  <c r="G6266" i="2" s="1"/>
  <c r="C6270" i="2"/>
  <c r="G6270" i="2" s="1"/>
  <c r="C6274" i="2"/>
  <c r="G6274" i="2" s="1"/>
  <c r="C6282" i="2"/>
  <c r="G6282" i="2" s="1"/>
  <c r="C6389" i="2"/>
  <c r="G6389" i="2" s="1"/>
  <c r="C6468" i="2"/>
  <c r="G6468" i="2" s="1"/>
  <c r="C6518" i="2"/>
  <c r="G6518" i="2" s="1"/>
  <c r="C6577" i="2"/>
  <c r="G6577" i="2" s="1"/>
  <c r="C5701" i="2"/>
  <c r="G5701" i="2" s="1"/>
  <c r="C5709" i="2"/>
  <c r="G5709" i="2" s="1"/>
  <c r="C5792" i="2"/>
  <c r="G5792" i="2" s="1"/>
  <c r="C5824" i="2"/>
  <c r="G5824" i="2" s="1"/>
  <c r="C5840" i="2"/>
  <c r="G5840" i="2" s="1"/>
  <c r="C6181" i="2"/>
  <c r="G6181" i="2" s="1"/>
  <c r="C6394" i="2"/>
  <c r="G6394" i="2" s="1"/>
  <c r="C6418" i="2"/>
  <c r="G6418" i="2" s="1"/>
  <c r="C3318" i="2"/>
  <c r="G3318" i="2" s="1"/>
  <c r="C3326" i="2"/>
  <c r="G3326" i="2" s="1"/>
  <c r="C3817" i="2"/>
  <c r="G3817" i="2" s="1"/>
  <c r="C3821" i="2"/>
  <c r="G3821" i="2" s="1"/>
  <c r="C3837" i="2"/>
  <c r="G3837" i="2" s="1"/>
  <c r="C4360" i="2"/>
  <c r="G4360" i="2" s="1"/>
  <c r="C4486" i="2"/>
  <c r="G4486" i="2" s="1"/>
  <c r="C4490" i="2"/>
  <c r="G4490" i="2" s="1"/>
  <c r="C4514" i="2"/>
  <c r="G4514" i="2" s="1"/>
  <c r="C4529" i="2"/>
  <c r="G4529" i="2" s="1"/>
  <c r="C4537" i="2"/>
  <c r="G4537" i="2" s="1"/>
  <c r="C4561" i="2"/>
  <c r="G4561" i="2" s="1"/>
  <c r="C4593" i="2"/>
  <c r="G4593" i="2" s="1"/>
  <c r="C4707" i="2"/>
  <c r="G4707" i="2" s="1"/>
  <c r="C4711" i="2"/>
  <c r="G4711" i="2" s="1"/>
  <c r="C4812" i="2"/>
  <c r="G4812" i="2" s="1"/>
  <c r="C4848" i="2"/>
  <c r="G4848" i="2" s="1"/>
  <c r="C4927" i="2"/>
  <c r="G4927" i="2" s="1"/>
  <c r="C4931" i="2"/>
  <c r="G4931" i="2" s="1"/>
  <c r="C5054" i="2"/>
  <c r="G5054" i="2" s="1"/>
  <c r="C5086" i="2"/>
  <c r="G5086" i="2" s="1"/>
  <c r="C5094" i="2"/>
  <c r="G5094" i="2" s="1"/>
  <c r="C5279" i="2"/>
  <c r="G5279" i="2" s="1"/>
  <c r="C5401" i="2"/>
  <c r="G5401" i="2" s="1"/>
  <c r="C5405" i="2"/>
  <c r="G5405" i="2" s="1"/>
  <c r="C5417" i="2"/>
  <c r="G5417" i="2" s="1"/>
  <c r="C5421" i="2"/>
  <c r="G5421" i="2" s="1"/>
  <c r="C5433" i="2"/>
  <c r="G5433" i="2" s="1"/>
  <c r="C5504" i="2"/>
  <c r="G5504" i="2" s="1"/>
  <c r="C5520" i="2"/>
  <c r="G5520" i="2" s="1"/>
  <c r="C5528" i="2"/>
  <c r="G5528" i="2" s="1"/>
  <c r="C5536" i="2"/>
  <c r="G5536" i="2" s="1"/>
  <c r="C5540" i="2"/>
  <c r="G5540" i="2" s="1"/>
  <c r="C5568" i="2"/>
  <c r="G5568" i="2" s="1"/>
  <c r="C5572" i="2"/>
  <c r="G5572" i="2" s="1"/>
  <c r="C5583" i="2"/>
  <c r="G5583" i="2" s="1"/>
  <c r="C5595" i="2"/>
  <c r="G5595" i="2" s="1"/>
  <c r="C5603" i="2"/>
  <c r="G5603" i="2" s="1"/>
  <c r="C5607" i="2"/>
  <c r="G5607" i="2" s="1"/>
  <c r="C5615" i="2"/>
  <c r="G5615" i="2" s="1"/>
  <c r="C5619" i="2"/>
  <c r="G5619" i="2" s="1"/>
  <c r="C5623" i="2"/>
  <c r="G5623" i="2" s="1"/>
  <c r="C5631" i="2"/>
  <c r="G5631" i="2" s="1"/>
  <c r="C5670" i="2"/>
  <c r="G5670" i="2" s="1"/>
  <c r="C5678" i="2"/>
  <c r="G5678" i="2" s="1"/>
  <c r="C5686" i="2"/>
  <c r="G5686" i="2" s="1"/>
  <c r="C5690" i="2"/>
  <c r="G5690" i="2" s="1"/>
  <c r="C5694" i="2"/>
  <c r="G5694" i="2" s="1"/>
  <c r="C5698" i="2"/>
  <c r="G5698" i="2" s="1"/>
  <c r="C5702" i="2"/>
  <c r="G5702" i="2" s="1"/>
  <c r="C5718" i="2"/>
  <c r="G5718" i="2" s="1"/>
  <c r="C5809" i="2"/>
  <c r="G5809" i="2" s="1"/>
  <c r="C5857" i="2"/>
  <c r="G5857" i="2" s="1"/>
  <c r="C6011" i="2"/>
  <c r="G6011" i="2" s="1"/>
  <c r="C6063" i="2"/>
  <c r="G6063" i="2" s="1"/>
  <c r="C6075" i="2"/>
  <c r="G6075" i="2" s="1"/>
  <c r="C6079" i="2"/>
  <c r="G6079" i="2" s="1"/>
  <c r="C6083" i="2"/>
  <c r="G6083" i="2" s="1"/>
  <c r="C6087" i="2"/>
  <c r="G6087" i="2" s="1"/>
  <c r="C6091" i="2"/>
  <c r="G6091" i="2" s="1"/>
  <c r="C6123" i="2"/>
  <c r="G6123" i="2" s="1"/>
  <c r="C6127" i="2"/>
  <c r="G6127" i="2" s="1"/>
  <c r="C6131" i="2"/>
  <c r="G6131" i="2" s="1"/>
  <c r="C6146" i="2"/>
  <c r="G6146" i="2" s="1"/>
  <c r="C6150" i="2"/>
  <c r="G6150" i="2" s="1"/>
  <c r="C6170" i="2"/>
  <c r="G6170" i="2" s="1"/>
  <c r="C6197" i="2"/>
  <c r="G6197" i="2" s="1"/>
  <c r="C6201" i="2"/>
  <c r="G6201" i="2" s="1"/>
  <c r="C6261" i="2"/>
  <c r="G6261" i="2" s="1"/>
  <c r="C6870" i="2"/>
  <c r="G6870" i="2" s="1"/>
  <c r="C6886" i="2"/>
  <c r="G6886" i="2" s="1"/>
  <c r="C6898" i="2"/>
  <c r="G6898" i="2" s="1"/>
  <c r="C6902" i="2"/>
  <c r="G6902" i="2" s="1"/>
  <c r="C6989" i="2"/>
  <c r="G6989" i="2" s="1"/>
  <c r="C6997" i="2"/>
  <c r="G6997" i="2" s="1"/>
  <c r="C7009" i="2"/>
  <c r="G7009" i="2" s="1"/>
  <c r="C7013" i="2"/>
  <c r="G7013" i="2" s="1"/>
  <c r="C7021" i="2"/>
  <c r="G7021" i="2" s="1"/>
  <c r="C3248" i="2"/>
  <c r="G3248" i="2" s="1"/>
  <c r="C3307" i="2"/>
  <c r="G3307" i="2" s="1"/>
  <c r="C3311" i="2"/>
  <c r="G3311" i="2" s="1"/>
  <c r="C3315" i="2"/>
  <c r="G3315" i="2" s="1"/>
  <c r="C3323" i="2"/>
  <c r="G3323" i="2" s="1"/>
  <c r="C3331" i="2"/>
  <c r="G3331" i="2" s="1"/>
  <c r="C3335" i="2"/>
  <c r="G3335" i="2" s="1"/>
  <c r="C3402" i="2"/>
  <c r="G3402" i="2" s="1"/>
  <c r="C3406" i="2"/>
  <c r="G3406" i="2" s="1"/>
  <c r="C3410" i="2"/>
  <c r="G3410" i="2" s="1"/>
  <c r="C3418" i="2"/>
  <c r="G3418" i="2" s="1"/>
  <c r="C3430" i="2"/>
  <c r="G3430" i="2" s="1"/>
  <c r="C3446" i="2"/>
  <c r="G3446" i="2" s="1"/>
  <c r="C3453" i="2"/>
  <c r="G3453" i="2" s="1"/>
  <c r="C3469" i="2"/>
  <c r="G3469" i="2" s="1"/>
  <c r="C3477" i="2"/>
  <c r="G3477" i="2" s="1"/>
  <c r="C3485" i="2"/>
  <c r="G3485" i="2" s="1"/>
  <c r="C3497" i="2"/>
  <c r="G3497" i="2" s="1"/>
  <c r="C3505" i="2"/>
  <c r="G3505" i="2" s="1"/>
  <c r="C3651" i="2"/>
  <c r="G3651" i="2" s="1"/>
  <c r="C3662" i="2"/>
  <c r="G3662" i="2" s="1"/>
  <c r="C3690" i="2"/>
  <c r="G3690" i="2" s="1"/>
  <c r="C3698" i="2"/>
  <c r="G3698" i="2" s="1"/>
  <c r="C3782" i="2"/>
  <c r="G3782" i="2" s="1"/>
  <c r="C3786" i="2"/>
  <c r="G3786" i="2" s="1"/>
  <c r="C3798" i="2"/>
  <c r="G3798" i="2" s="1"/>
  <c r="C3917" i="2"/>
  <c r="G3917" i="2" s="1"/>
  <c r="C3928" i="2"/>
  <c r="G3928" i="2" s="1"/>
  <c r="C3968" i="2"/>
  <c r="G3968" i="2" s="1"/>
  <c r="C3999" i="2"/>
  <c r="G3999" i="2" s="1"/>
  <c r="C4010" i="2"/>
  <c r="G4010" i="2" s="1"/>
  <c r="C4049" i="2"/>
  <c r="G4049" i="2" s="1"/>
  <c r="C4240" i="2"/>
  <c r="G4240" i="2" s="1"/>
  <c r="C4264" i="2"/>
  <c r="G4264" i="2" s="1"/>
  <c r="C4306" i="2"/>
  <c r="G4306" i="2" s="1"/>
  <c r="C4400" i="2"/>
  <c r="G4400" i="2" s="1"/>
  <c r="C4458" i="2"/>
  <c r="G4458" i="2" s="1"/>
  <c r="C4526" i="2"/>
  <c r="G4526" i="2" s="1"/>
  <c r="C4530" i="2"/>
  <c r="G4530" i="2" s="1"/>
  <c r="C4534" i="2"/>
  <c r="G4534" i="2" s="1"/>
  <c r="C4542" i="2"/>
  <c r="G4542" i="2" s="1"/>
  <c r="C4566" i="2"/>
  <c r="G4566" i="2" s="1"/>
  <c r="C4574" i="2"/>
  <c r="G4574" i="2" s="1"/>
  <c r="C4578" i="2"/>
  <c r="G4578" i="2" s="1"/>
  <c r="C4582" i="2"/>
  <c r="G4582" i="2" s="1"/>
  <c r="C4590" i="2"/>
  <c r="G4590" i="2" s="1"/>
  <c r="C4598" i="2"/>
  <c r="G4598" i="2" s="1"/>
  <c r="C4606" i="2"/>
  <c r="G4606" i="2" s="1"/>
  <c r="C4614" i="2"/>
  <c r="G4614" i="2" s="1"/>
  <c r="C4837" i="2"/>
  <c r="G4837" i="2" s="1"/>
  <c r="C4845" i="2"/>
  <c r="G4845" i="2" s="1"/>
  <c r="C4916" i="2"/>
  <c r="G4916" i="2" s="1"/>
  <c r="C4924" i="2"/>
  <c r="G4924" i="2" s="1"/>
  <c r="C4928" i="2"/>
  <c r="G4928" i="2" s="1"/>
  <c r="C4932" i="2"/>
  <c r="G4932" i="2" s="1"/>
  <c r="C4936" i="2"/>
  <c r="G4936" i="2" s="1"/>
  <c r="C5039" i="2"/>
  <c r="G5039" i="2" s="1"/>
  <c r="C5051" i="2"/>
  <c r="G5051" i="2" s="1"/>
  <c r="C5123" i="2"/>
  <c r="G5123" i="2" s="1"/>
  <c r="C5131" i="2"/>
  <c r="G5131" i="2" s="1"/>
  <c r="C5256" i="2"/>
  <c r="G5256" i="2" s="1"/>
  <c r="C5509" i="2"/>
  <c r="G5509" i="2" s="1"/>
  <c r="C5584" i="2"/>
  <c r="G5584" i="2" s="1"/>
  <c r="C5588" i="2"/>
  <c r="G5588" i="2" s="1"/>
  <c r="C5592" i="2"/>
  <c r="G5592" i="2" s="1"/>
  <c r="C5738" i="2"/>
  <c r="G5738" i="2" s="1"/>
  <c r="C5750" i="2"/>
  <c r="G5750" i="2" s="1"/>
  <c r="C5889" i="2"/>
  <c r="G5889" i="2" s="1"/>
  <c r="C5921" i="2"/>
  <c r="G5921" i="2" s="1"/>
  <c r="C5933" i="2"/>
  <c r="G5933" i="2" s="1"/>
  <c r="C6242" i="2"/>
  <c r="G6242" i="2" s="1"/>
  <c r="C6336" i="2"/>
  <c r="G6336" i="2" s="1"/>
  <c r="C6352" i="2"/>
  <c r="G6352" i="2" s="1"/>
  <c r="C6478" i="2"/>
  <c r="G6478" i="2" s="1"/>
  <c r="C5178" i="2"/>
  <c r="G5178" i="2" s="1"/>
  <c r="C5182" i="2"/>
  <c r="G5182" i="2" s="1"/>
  <c r="C5190" i="2"/>
  <c r="G5190" i="2" s="1"/>
  <c r="C5206" i="2"/>
  <c r="G5206" i="2" s="1"/>
  <c r="C5245" i="2"/>
  <c r="G5245" i="2" s="1"/>
  <c r="C5248" i="2"/>
  <c r="G5248" i="2" s="1"/>
  <c r="C5363" i="2"/>
  <c r="G5363" i="2" s="1"/>
  <c r="C5387" i="2"/>
  <c r="G5387" i="2" s="1"/>
  <c r="C5443" i="2"/>
  <c r="G5443" i="2" s="1"/>
  <c r="C5454" i="2"/>
  <c r="G5454" i="2" s="1"/>
  <c r="C5518" i="2"/>
  <c r="G5518" i="2" s="1"/>
  <c r="C5522" i="2"/>
  <c r="G5522" i="2" s="1"/>
  <c r="C5530" i="2"/>
  <c r="G5530" i="2" s="1"/>
  <c r="C5534" i="2"/>
  <c r="G5534" i="2" s="1"/>
  <c r="C5550" i="2"/>
  <c r="G5550" i="2" s="1"/>
  <c r="C5621" i="2"/>
  <c r="G5621" i="2" s="1"/>
  <c r="C5664" i="2"/>
  <c r="G5664" i="2" s="1"/>
  <c r="C5675" i="2"/>
  <c r="G5675" i="2" s="1"/>
  <c r="C5878" i="2"/>
  <c r="G5878" i="2" s="1"/>
  <c r="C5882" i="2"/>
  <c r="G5882" i="2" s="1"/>
  <c r="C5886" i="2"/>
  <c r="G5886" i="2" s="1"/>
  <c r="C5890" i="2"/>
  <c r="G5890" i="2" s="1"/>
  <c r="C5894" i="2"/>
  <c r="G5894" i="2" s="1"/>
  <c r="C5914" i="2"/>
  <c r="G5914" i="2" s="1"/>
  <c r="C5945" i="2"/>
  <c r="G5945" i="2" s="1"/>
  <c r="C6096" i="2"/>
  <c r="G6096" i="2" s="1"/>
  <c r="C6112" i="2"/>
  <c r="G6112" i="2" s="1"/>
  <c r="C6155" i="2"/>
  <c r="G6155" i="2" s="1"/>
  <c r="C6186" i="2"/>
  <c r="G6186" i="2" s="1"/>
  <c r="C6194" i="2"/>
  <c r="G6194" i="2" s="1"/>
  <c r="C6290" i="2"/>
  <c r="G6290" i="2" s="1"/>
  <c r="C6317" i="2"/>
  <c r="G6317" i="2" s="1"/>
  <c r="C6321" i="2"/>
  <c r="G6321" i="2" s="1"/>
  <c r="C6325" i="2"/>
  <c r="G6325" i="2" s="1"/>
  <c r="C6337" i="2"/>
  <c r="G6337" i="2" s="1"/>
  <c r="C6364" i="2"/>
  <c r="G6364" i="2" s="1"/>
  <c r="C6419" i="2"/>
  <c r="G6419" i="2" s="1"/>
  <c r="C6434" i="2"/>
  <c r="G6434" i="2" s="1"/>
  <c r="C6438" i="2"/>
  <c r="G6438" i="2" s="1"/>
  <c r="C6442" i="2"/>
  <c r="G6442" i="2" s="1"/>
  <c r="C6446" i="2"/>
  <c r="G6446" i="2" s="1"/>
  <c r="C6469" i="2"/>
  <c r="G6469" i="2" s="1"/>
  <c r="C6473" i="2"/>
  <c r="G6473" i="2" s="1"/>
  <c r="C6531" i="2"/>
  <c r="G6531" i="2" s="1"/>
  <c r="C6574" i="2"/>
  <c r="G6574" i="2" s="1"/>
  <c r="C6578" i="2"/>
  <c r="G6578" i="2" s="1"/>
  <c r="C6601" i="2"/>
  <c r="G6601" i="2" s="1"/>
  <c r="C6617" i="2"/>
  <c r="G6617" i="2" s="1"/>
  <c r="C6648" i="2"/>
  <c r="G6648" i="2" s="1"/>
  <c r="C6656" i="2"/>
  <c r="G6656" i="2" s="1"/>
  <c r="C6672" i="2"/>
  <c r="G6672" i="2" s="1"/>
  <c r="C6688" i="2"/>
  <c r="G6688" i="2" s="1"/>
  <c r="C6696" i="2"/>
  <c r="G6696" i="2" s="1"/>
  <c r="C6700" i="2"/>
  <c r="G6700" i="2" s="1"/>
  <c r="C6704" i="2"/>
  <c r="G6704" i="2" s="1"/>
  <c r="C6708" i="2"/>
  <c r="G6708" i="2" s="1"/>
  <c r="C6879" i="2"/>
  <c r="G6879" i="2" s="1"/>
  <c r="C6887" i="2"/>
  <c r="G6887" i="2" s="1"/>
  <c r="C6891" i="2"/>
  <c r="G6891" i="2" s="1"/>
  <c r="C6895" i="2"/>
  <c r="G6895" i="2" s="1"/>
  <c r="C6966" i="2"/>
  <c r="G6966" i="2" s="1"/>
  <c r="C6978" i="2"/>
  <c r="G6978" i="2" s="1"/>
  <c r="C6982" i="2"/>
  <c r="G6982" i="2" s="1"/>
  <c r="C6990" i="2"/>
  <c r="G6990" i="2" s="1"/>
  <c r="C6998" i="2"/>
  <c r="G6998" i="2" s="1"/>
  <c r="C7006" i="2"/>
  <c r="G7006" i="2" s="1"/>
  <c r="C7057" i="2"/>
  <c r="G7057" i="2" s="1"/>
  <c r="C7097" i="2"/>
  <c r="G7097" i="2" s="1"/>
  <c r="C7501" i="2"/>
  <c r="G7501" i="2" s="1"/>
  <c r="C7509" i="2"/>
  <c r="G7509" i="2" s="1"/>
  <c r="C8137" i="2"/>
  <c r="G8137" i="2" s="1"/>
  <c r="C8141" i="2"/>
  <c r="G8141" i="2" s="1"/>
  <c r="C8161" i="2"/>
  <c r="G8161" i="2" s="1"/>
  <c r="C8165" i="2"/>
  <c r="G8165" i="2" s="1"/>
  <c r="C4878" i="2"/>
  <c r="G4878" i="2" s="1"/>
  <c r="C4969" i="2"/>
  <c r="G4969" i="2" s="1"/>
  <c r="C4985" i="2"/>
  <c r="G4985" i="2" s="1"/>
  <c r="C5001" i="2"/>
  <c r="G5001" i="2" s="1"/>
  <c r="C5016" i="2"/>
  <c r="G5016" i="2" s="1"/>
  <c r="C5036" i="2"/>
  <c r="G5036" i="2" s="1"/>
  <c r="C5044" i="2"/>
  <c r="G5044" i="2" s="1"/>
  <c r="C5048" i="2"/>
  <c r="G5048" i="2" s="1"/>
  <c r="C5052" i="2"/>
  <c r="G5052" i="2" s="1"/>
  <c r="C5056" i="2"/>
  <c r="G5056" i="2" s="1"/>
  <c r="C5060" i="2"/>
  <c r="G5060" i="2" s="1"/>
  <c r="C5068" i="2"/>
  <c r="G5068" i="2" s="1"/>
  <c r="C5072" i="2"/>
  <c r="G5072" i="2" s="1"/>
  <c r="C5080" i="2"/>
  <c r="G5080" i="2" s="1"/>
  <c r="C5088" i="2"/>
  <c r="G5088" i="2" s="1"/>
  <c r="C5100" i="2"/>
  <c r="G5100" i="2" s="1"/>
  <c r="C5104" i="2"/>
  <c r="G5104" i="2" s="1"/>
  <c r="C5116" i="2"/>
  <c r="G5116" i="2" s="1"/>
  <c r="C5179" i="2"/>
  <c r="G5179" i="2" s="1"/>
  <c r="C5187" i="2"/>
  <c r="G5187" i="2" s="1"/>
  <c r="C5310" i="2"/>
  <c r="G5310" i="2" s="1"/>
  <c r="C5376" i="2"/>
  <c r="G5376" i="2" s="1"/>
  <c r="C5444" i="2"/>
  <c r="G5444" i="2" s="1"/>
  <c r="C5503" i="2"/>
  <c r="G5503" i="2" s="1"/>
  <c r="C5519" i="2"/>
  <c r="G5519" i="2" s="1"/>
  <c r="C5523" i="2"/>
  <c r="G5523" i="2" s="1"/>
  <c r="C5527" i="2"/>
  <c r="G5527" i="2" s="1"/>
  <c r="C5535" i="2"/>
  <c r="G5535" i="2" s="1"/>
  <c r="C5555" i="2"/>
  <c r="G5555" i="2" s="1"/>
  <c r="C5559" i="2"/>
  <c r="G5559" i="2" s="1"/>
  <c r="C5563" i="2"/>
  <c r="G5563" i="2" s="1"/>
  <c r="C5567" i="2"/>
  <c r="G5567" i="2" s="1"/>
  <c r="C5571" i="2"/>
  <c r="G5571" i="2" s="1"/>
  <c r="C5575" i="2"/>
  <c r="G5575" i="2" s="1"/>
  <c r="C5602" i="2"/>
  <c r="G5602" i="2" s="1"/>
  <c r="C5614" i="2"/>
  <c r="G5614" i="2" s="1"/>
  <c r="C5752" i="2"/>
  <c r="G5752" i="2" s="1"/>
  <c r="C5760" i="2"/>
  <c r="G5760" i="2" s="1"/>
  <c r="C5903" i="2"/>
  <c r="G5903" i="2" s="1"/>
  <c r="C5915" i="2"/>
  <c r="G5915" i="2" s="1"/>
  <c r="C5919" i="2"/>
  <c r="G5919" i="2" s="1"/>
  <c r="C5942" i="2"/>
  <c r="G5942" i="2" s="1"/>
  <c r="C6013" i="2"/>
  <c r="G6013" i="2" s="1"/>
  <c r="C6029" i="2"/>
  <c r="G6029" i="2" s="1"/>
  <c r="C6053" i="2"/>
  <c r="G6053" i="2" s="1"/>
  <c r="C6057" i="2"/>
  <c r="G6057" i="2" s="1"/>
  <c r="C6065" i="2"/>
  <c r="G6065" i="2" s="1"/>
  <c r="C6089" i="2"/>
  <c r="G6089" i="2" s="1"/>
  <c r="C6152" i="2"/>
  <c r="G6152" i="2" s="1"/>
  <c r="C6187" i="2"/>
  <c r="G6187" i="2" s="1"/>
  <c r="C6191" i="2"/>
  <c r="G6191" i="2" s="1"/>
  <c r="C6210" i="2"/>
  <c r="G6210" i="2" s="1"/>
  <c r="C6234" i="2"/>
  <c r="G6234" i="2" s="1"/>
  <c r="C6238" i="2"/>
  <c r="G6238" i="2" s="1"/>
  <c r="C6346" i="2"/>
  <c r="G6346" i="2" s="1"/>
  <c r="C6385" i="2"/>
  <c r="G6385" i="2" s="1"/>
  <c r="C6504" i="2"/>
  <c r="G6504" i="2" s="1"/>
  <c r="C6532" i="2"/>
  <c r="G6532" i="2" s="1"/>
  <c r="C6575" i="2"/>
  <c r="G6575" i="2" s="1"/>
  <c r="C6590" i="2"/>
  <c r="G6590" i="2" s="1"/>
  <c r="C6618" i="2"/>
  <c r="G6618" i="2" s="1"/>
  <c r="C6626" i="2"/>
  <c r="G6626" i="2" s="1"/>
  <c r="C6641" i="2"/>
  <c r="G6641" i="2" s="1"/>
  <c r="C6645" i="2"/>
  <c r="G6645" i="2" s="1"/>
  <c r="C6661" i="2"/>
  <c r="G6661" i="2" s="1"/>
  <c r="C6673" i="2"/>
  <c r="G6673" i="2" s="1"/>
  <c r="C6677" i="2"/>
  <c r="G6677" i="2" s="1"/>
  <c r="C6701" i="2"/>
  <c r="G6701" i="2" s="1"/>
  <c r="C6709" i="2"/>
  <c r="G6709" i="2" s="1"/>
  <c r="C6717" i="2"/>
  <c r="G6717" i="2" s="1"/>
  <c r="C6744" i="2"/>
  <c r="G6744" i="2" s="1"/>
  <c r="C7939" i="2"/>
  <c r="G7939" i="2" s="1"/>
  <c r="C7947" i="2"/>
  <c r="G7947" i="2" s="1"/>
  <c r="C7955" i="2"/>
  <c r="G7955" i="2" s="1"/>
  <c r="C8006" i="2"/>
  <c r="G8006" i="2" s="1"/>
  <c r="C6114" i="2"/>
  <c r="G6114" i="2" s="1"/>
  <c r="C6134" i="2"/>
  <c r="G6134" i="2" s="1"/>
  <c r="C6169" i="2"/>
  <c r="G6169" i="2" s="1"/>
  <c r="C6327" i="2"/>
  <c r="G6327" i="2" s="1"/>
  <c r="C6331" i="2"/>
  <c r="G6331" i="2" s="1"/>
  <c r="C6351" i="2"/>
  <c r="G6351" i="2" s="1"/>
  <c r="C6386" i="2"/>
  <c r="G6386" i="2" s="1"/>
  <c r="C6405" i="2"/>
  <c r="G6405" i="2" s="1"/>
  <c r="C6417" i="2"/>
  <c r="G6417" i="2" s="1"/>
  <c r="C6444" i="2"/>
  <c r="G6444" i="2" s="1"/>
  <c r="C6525" i="2"/>
  <c r="G6525" i="2" s="1"/>
  <c r="C6552" i="2"/>
  <c r="G6552" i="2" s="1"/>
  <c r="C6623" i="2"/>
  <c r="G6623" i="2" s="1"/>
  <c r="C6670" i="2"/>
  <c r="G6670" i="2" s="1"/>
  <c r="C6678" i="2"/>
  <c r="G6678" i="2" s="1"/>
  <c r="C6698" i="2"/>
  <c r="G6698" i="2" s="1"/>
  <c r="C7008" i="2"/>
  <c r="G7008" i="2" s="1"/>
  <c r="C7024" i="2"/>
  <c r="G7024" i="2" s="1"/>
  <c r="C7028" i="2"/>
  <c r="G7028" i="2" s="1"/>
  <c r="C7175" i="2"/>
  <c r="G7175" i="2" s="1"/>
  <c r="C7199" i="2"/>
  <c r="G7199" i="2" s="1"/>
  <c r="C7231" i="2"/>
  <c r="G7231" i="2" s="1"/>
  <c r="C7295" i="2"/>
  <c r="G7295" i="2" s="1"/>
  <c r="C7335" i="2"/>
  <c r="G7335" i="2" s="1"/>
  <c r="C8498" i="2"/>
  <c r="G8498" i="2" s="1"/>
  <c r="C7438" i="2"/>
  <c r="G7438" i="2" s="1"/>
  <c r="C7461" i="2"/>
  <c r="G7461" i="2" s="1"/>
  <c r="C7512" i="2"/>
  <c r="G7512" i="2" s="1"/>
  <c r="C7527" i="2"/>
  <c r="G7527" i="2" s="1"/>
  <c r="C7643" i="2"/>
  <c r="G7643" i="2" s="1"/>
  <c r="C7675" i="2"/>
  <c r="G7675" i="2" s="1"/>
  <c r="C7706" i="2"/>
  <c r="G7706" i="2" s="1"/>
  <c r="C7833" i="2"/>
  <c r="G7833" i="2" s="1"/>
  <c r="C7837" i="2"/>
  <c r="G7837" i="2" s="1"/>
  <c r="C7848" i="2"/>
  <c r="G7848" i="2" s="1"/>
  <c r="C7875" i="2"/>
  <c r="G7875" i="2" s="1"/>
  <c r="C7883" i="2"/>
  <c r="G7883" i="2" s="1"/>
  <c r="C7970" i="2"/>
  <c r="G7970" i="2" s="1"/>
  <c r="C7974" i="2"/>
  <c r="G7974" i="2" s="1"/>
  <c r="C8065" i="2"/>
  <c r="G8065" i="2" s="1"/>
  <c r="C8069" i="2"/>
  <c r="G8069" i="2" s="1"/>
  <c r="C8097" i="2"/>
  <c r="G8097" i="2" s="1"/>
  <c r="C8132" i="2"/>
  <c r="G8132" i="2" s="1"/>
  <c r="C8144" i="2"/>
  <c r="G8144" i="2" s="1"/>
  <c r="C8152" i="2"/>
  <c r="G8152" i="2" s="1"/>
  <c r="C8192" i="2"/>
  <c r="G8192" i="2" s="1"/>
  <c r="C8207" i="2"/>
  <c r="G8207" i="2" s="1"/>
  <c r="C9072" i="2"/>
  <c r="G9072" i="2" s="1"/>
  <c r="C9337" i="2"/>
  <c r="G9337" i="2" s="1"/>
  <c r="C9365" i="2"/>
  <c r="G9365" i="2" s="1"/>
  <c r="C9369" i="2"/>
  <c r="G9369" i="2" s="1"/>
  <c r="C9405" i="2"/>
  <c r="G9405" i="2" s="1"/>
  <c r="C8514" i="2"/>
  <c r="G8514" i="2" s="1"/>
  <c r="C8518" i="2"/>
  <c r="G8518" i="2" s="1"/>
  <c r="C8585" i="2"/>
  <c r="G8585" i="2" s="1"/>
  <c r="C9247" i="2"/>
  <c r="G9247" i="2" s="1"/>
  <c r="C9255" i="2"/>
  <c r="G9255" i="2" s="1"/>
  <c r="C9263" i="2"/>
  <c r="G9263" i="2" s="1"/>
  <c r="C6721" i="2"/>
  <c r="G6721" i="2" s="1"/>
  <c r="C6733" i="2"/>
  <c r="G6733" i="2" s="1"/>
  <c r="C6737" i="2"/>
  <c r="G6737" i="2" s="1"/>
  <c r="C6741" i="2"/>
  <c r="G6741" i="2" s="1"/>
  <c r="C6753" i="2"/>
  <c r="G6753" i="2" s="1"/>
  <c r="C6757" i="2"/>
  <c r="G6757" i="2" s="1"/>
  <c r="C6781" i="2"/>
  <c r="G6781" i="2" s="1"/>
  <c r="C6785" i="2"/>
  <c r="G6785" i="2" s="1"/>
  <c r="C6789" i="2"/>
  <c r="G6789" i="2" s="1"/>
  <c r="C6880" i="2"/>
  <c r="G6880" i="2" s="1"/>
  <c r="C6884" i="2"/>
  <c r="G6884" i="2" s="1"/>
  <c r="C6896" i="2"/>
  <c r="G6896" i="2" s="1"/>
  <c r="C6904" i="2"/>
  <c r="G6904" i="2" s="1"/>
  <c r="C6991" i="2"/>
  <c r="G6991" i="2" s="1"/>
  <c r="C6995" i="2"/>
  <c r="G6995" i="2" s="1"/>
  <c r="C7030" i="2"/>
  <c r="G7030" i="2" s="1"/>
  <c r="C7034" i="2"/>
  <c r="G7034" i="2" s="1"/>
  <c r="C7038" i="2"/>
  <c r="G7038" i="2" s="1"/>
  <c r="C7042" i="2"/>
  <c r="G7042" i="2" s="1"/>
  <c r="C7050" i="2"/>
  <c r="G7050" i="2" s="1"/>
  <c r="C7054" i="2"/>
  <c r="G7054" i="2" s="1"/>
  <c r="C7082" i="2"/>
  <c r="G7082" i="2" s="1"/>
  <c r="C7090" i="2"/>
  <c r="G7090" i="2" s="1"/>
  <c r="C7102" i="2"/>
  <c r="G7102" i="2" s="1"/>
  <c r="C7110" i="2"/>
  <c r="G7110" i="2" s="1"/>
  <c r="C7145" i="2"/>
  <c r="G7145" i="2" s="1"/>
  <c r="C7197" i="2"/>
  <c r="G7197" i="2" s="1"/>
  <c r="C7317" i="2"/>
  <c r="G7317" i="2" s="1"/>
  <c r="C7325" i="2"/>
  <c r="G7325" i="2" s="1"/>
  <c r="C7333" i="2"/>
  <c r="G7333" i="2" s="1"/>
  <c r="C7361" i="2"/>
  <c r="G7361" i="2" s="1"/>
  <c r="C7369" i="2"/>
  <c r="G7369" i="2" s="1"/>
  <c r="C7408" i="2"/>
  <c r="G7408" i="2" s="1"/>
  <c r="C7412" i="2"/>
  <c r="G7412" i="2" s="1"/>
  <c r="C7439" i="2"/>
  <c r="G7439" i="2" s="1"/>
  <c r="C7486" i="2"/>
  <c r="G7486" i="2" s="1"/>
  <c r="C7490" i="2"/>
  <c r="G7490" i="2" s="1"/>
  <c r="C7502" i="2"/>
  <c r="G7502" i="2" s="1"/>
  <c r="C7510" i="2"/>
  <c r="G7510" i="2" s="1"/>
  <c r="C7755" i="2"/>
  <c r="G7755" i="2" s="1"/>
  <c r="C7763" i="2"/>
  <c r="G7763" i="2" s="1"/>
  <c r="C7819" i="2"/>
  <c r="G7819" i="2" s="1"/>
  <c r="C7904" i="2"/>
  <c r="G7904" i="2" s="1"/>
  <c r="C7916" i="2"/>
  <c r="G7916" i="2" s="1"/>
  <c r="C7920" i="2"/>
  <c r="G7920" i="2" s="1"/>
  <c r="C7928" i="2"/>
  <c r="G7928" i="2" s="1"/>
  <c r="C7944" i="2"/>
  <c r="G7944" i="2" s="1"/>
  <c r="C7959" i="2"/>
  <c r="G7959" i="2" s="1"/>
  <c r="C7971" i="2"/>
  <c r="G7971" i="2" s="1"/>
  <c r="C7975" i="2"/>
  <c r="G7975" i="2" s="1"/>
  <c r="C8381" i="2"/>
  <c r="G8381" i="2" s="1"/>
  <c r="C8393" i="2"/>
  <c r="G8393" i="2" s="1"/>
  <c r="C8401" i="2"/>
  <c r="G8401" i="2" s="1"/>
  <c r="C8480" i="2"/>
  <c r="G8480" i="2" s="1"/>
  <c r="C8491" i="2"/>
  <c r="G8491" i="2" s="1"/>
  <c r="C8654" i="2"/>
  <c r="G8654" i="2" s="1"/>
  <c r="C8855" i="2"/>
  <c r="G8855" i="2" s="1"/>
  <c r="C8867" i="2"/>
  <c r="G8867" i="2" s="1"/>
  <c r="C8879" i="2"/>
  <c r="G8879" i="2" s="1"/>
  <c r="C8887" i="2"/>
  <c r="G8887" i="2" s="1"/>
  <c r="C8891" i="2"/>
  <c r="G8891" i="2" s="1"/>
  <c r="C8899" i="2"/>
  <c r="G8899" i="2" s="1"/>
  <c r="C8934" i="2"/>
  <c r="G8934" i="2" s="1"/>
  <c r="C8942" i="2"/>
  <c r="G8942" i="2" s="1"/>
  <c r="C9298" i="2"/>
  <c r="G9298" i="2" s="1"/>
  <c r="C9314" i="2"/>
  <c r="G9314" i="2" s="1"/>
  <c r="C9318" i="2"/>
  <c r="G9318" i="2" s="1"/>
  <c r="C6592" i="2"/>
  <c r="G6592" i="2" s="1"/>
  <c r="C6608" i="2"/>
  <c r="G6608" i="2" s="1"/>
  <c r="C6624" i="2"/>
  <c r="G6624" i="2" s="1"/>
  <c r="C6679" i="2"/>
  <c r="G6679" i="2" s="1"/>
  <c r="C6683" i="2"/>
  <c r="G6683" i="2" s="1"/>
  <c r="C6703" i="2"/>
  <c r="G6703" i="2" s="1"/>
  <c r="C6734" i="2"/>
  <c r="G6734" i="2" s="1"/>
  <c r="C6742" i="2"/>
  <c r="G6742" i="2" s="1"/>
  <c r="C6750" i="2"/>
  <c r="G6750" i="2" s="1"/>
  <c r="C6754" i="2"/>
  <c r="G6754" i="2" s="1"/>
  <c r="C6762" i="2"/>
  <c r="G6762" i="2" s="1"/>
  <c r="C6766" i="2"/>
  <c r="G6766" i="2" s="1"/>
  <c r="C6782" i="2"/>
  <c r="G6782" i="2" s="1"/>
  <c r="C6790" i="2"/>
  <c r="G6790" i="2" s="1"/>
  <c r="C6794" i="2"/>
  <c r="G6794" i="2" s="1"/>
  <c r="C6809" i="2"/>
  <c r="G6809" i="2" s="1"/>
  <c r="C6885" i="2"/>
  <c r="G6885" i="2" s="1"/>
  <c r="C6893" i="2"/>
  <c r="G6893" i="2" s="1"/>
  <c r="C6897" i="2"/>
  <c r="G6897" i="2" s="1"/>
  <c r="C6901" i="2"/>
  <c r="G6901" i="2" s="1"/>
  <c r="C6909" i="2"/>
  <c r="G6909" i="2" s="1"/>
  <c r="C6936" i="2"/>
  <c r="G6936" i="2" s="1"/>
  <c r="C6988" i="2"/>
  <c r="G6988" i="2" s="1"/>
  <c r="C7000" i="2"/>
  <c r="G7000" i="2" s="1"/>
  <c r="C7039" i="2"/>
  <c r="G7039" i="2" s="1"/>
  <c r="C7055" i="2"/>
  <c r="G7055" i="2" s="1"/>
  <c r="C7059" i="2"/>
  <c r="G7059" i="2" s="1"/>
  <c r="C7071" i="2"/>
  <c r="G7071" i="2" s="1"/>
  <c r="C7083" i="2"/>
  <c r="G7083" i="2" s="1"/>
  <c r="C7103" i="2"/>
  <c r="G7103" i="2" s="1"/>
  <c r="C7119" i="2"/>
  <c r="G7119" i="2" s="1"/>
  <c r="C7123" i="2"/>
  <c r="G7123" i="2" s="1"/>
  <c r="C7127" i="2"/>
  <c r="G7127" i="2" s="1"/>
  <c r="C7131" i="2"/>
  <c r="G7131" i="2" s="1"/>
  <c r="C7182" i="2"/>
  <c r="G7182" i="2" s="1"/>
  <c r="C7214" i="2"/>
  <c r="G7214" i="2" s="1"/>
  <c r="C7270" i="2"/>
  <c r="G7270" i="2" s="1"/>
  <c r="C7342" i="2"/>
  <c r="G7342" i="2" s="1"/>
  <c r="C7373" i="2"/>
  <c r="G7373" i="2" s="1"/>
  <c r="C7448" i="2"/>
  <c r="G7448" i="2" s="1"/>
  <c r="C7487" i="2"/>
  <c r="G7487" i="2" s="1"/>
  <c r="C7591" i="2"/>
  <c r="G7591" i="2" s="1"/>
  <c r="C7595" i="2"/>
  <c r="G7595" i="2" s="1"/>
  <c r="C7599" i="2"/>
  <c r="G7599" i="2" s="1"/>
  <c r="C7603" i="2"/>
  <c r="G7603" i="2" s="1"/>
  <c r="C7607" i="2"/>
  <c r="G7607" i="2" s="1"/>
  <c r="C7626" i="2"/>
  <c r="G7626" i="2" s="1"/>
  <c r="C7681" i="2"/>
  <c r="G7681" i="2" s="1"/>
  <c r="C7685" i="2"/>
  <c r="G7685" i="2" s="1"/>
  <c r="C7708" i="2"/>
  <c r="G7708" i="2" s="1"/>
  <c r="C7831" i="2"/>
  <c r="G7831" i="2" s="1"/>
  <c r="C7866" i="2"/>
  <c r="G7866" i="2" s="1"/>
  <c r="C7870" i="2"/>
  <c r="G7870" i="2" s="1"/>
  <c r="C7949" i="2"/>
  <c r="G7949" i="2" s="1"/>
  <c r="C7988" i="2"/>
  <c r="G7988" i="2" s="1"/>
  <c r="C7992" i="2"/>
  <c r="G7992" i="2" s="1"/>
  <c r="C7996" i="2"/>
  <c r="G7996" i="2" s="1"/>
  <c r="C8000" i="2"/>
  <c r="G8000" i="2" s="1"/>
  <c r="C8008" i="2"/>
  <c r="G8008" i="2" s="1"/>
  <c r="C8012" i="2"/>
  <c r="G8012" i="2" s="1"/>
  <c r="C8016" i="2"/>
  <c r="G8016" i="2" s="1"/>
  <c r="C8024" i="2"/>
  <c r="G8024" i="2" s="1"/>
  <c r="C8048" i="2"/>
  <c r="G8048" i="2" s="1"/>
  <c r="C8059" i="2"/>
  <c r="G8059" i="2" s="1"/>
  <c r="C8067" i="2"/>
  <c r="G8067" i="2" s="1"/>
  <c r="C8071" i="2"/>
  <c r="G8071" i="2" s="1"/>
  <c r="C8075" i="2"/>
  <c r="G8075" i="2" s="1"/>
  <c r="C8079" i="2"/>
  <c r="G8079" i="2" s="1"/>
  <c r="C8374" i="2"/>
  <c r="G8374" i="2" s="1"/>
  <c r="C8563" i="2"/>
  <c r="G8563" i="2" s="1"/>
  <c r="C8805" i="2"/>
  <c r="G8805" i="2" s="1"/>
  <c r="C8832" i="2"/>
  <c r="G8832" i="2" s="1"/>
  <c r="C9138" i="2"/>
  <c r="G9138" i="2" s="1"/>
  <c r="C9146" i="2"/>
  <c r="G9146" i="2" s="1"/>
  <c r="C9150" i="2"/>
  <c r="G9150" i="2" s="1"/>
  <c r="C9158" i="2"/>
  <c r="G9158" i="2" s="1"/>
  <c r="C9162" i="2"/>
  <c r="G9162" i="2" s="1"/>
  <c r="C9166" i="2"/>
  <c r="G9166" i="2" s="1"/>
  <c r="C7374" i="2"/>
  <c r="G7374" i="2" s="1"/>
  <c r="C7382" i="2"/>
  <c r="G7382" i="2" s="1"/>
  <c r="C7386" i="2"/>
  <c r="G7386" i="2" s="1"/>
  <c r="C7437" i="2"/>
  <c r="G7437" i="2" s="1"/>
  <c r="C7452" i="2"/>
  <c r="G7452" i="2" s="1"/>
  <c r="C7456" i="2"/>
  <c r="G7456" i="2" s="1"/>
  <c r="C7460" i="2"/>
  <c r="G7460" i="2" s="1"/>
  <c r="C7468" i="2"/>
  <c r="G7468" i="2" s="1"/>
  <c r="C7472" i="2"/>
  <c r="G7472" i="2" s="1"/>
  <c r="C7476" i="2"/>
  <c r="G7476" i="2" s="1"/>
  <c r="C7588" i="2"/>
  <c r="G7588" i="2" s="1"/>
  <c r="C7630" i="2"/>
  <c r="G7630" i="2" s="1"/>
  <c r="C8245" i="2"/>
  <c r="G8245" i="2" s="1"/>
  <c r="C8249" i="2"/>
  <c r="G8249" i="2" s="1"/>
  <c r="C8307" i="2"/>
  <c r="G8307" i="2" s="1"/>
  <c r="C8687" i="2"/>
  <c r="G8687" i="2" s="1"/>
  <c r="C8695" i="2"/>
  <c r="G8695" i="2" s="1"/>
  <c r="C8699" i="2"/>
  <c r="G8699" i="2" s="1"/>
  <c r="C8711" i="2"/>
  <c r="G8711" i="2" s="1"/>
  <c r="C8715" i="2"/>
  <c r="G8715" i="2" s="1"/>
  <c r="C8719" i="2"/>
  <c r="G8719" i="2" s="1"/>
  <c r="C8746" i="2"/>
  <c r="G8746" i="2" s="1"/>
  <c r="C8750" i="2"/>
  <c r="G8750" i="2" s="1"/>
  <c r="C8758" i="2"/>
  <c r="G8758" i="2" s="1"/>
  <c r="C9103" i="2"/>
  <c r="G9103" i="2" s="1"/>
  <c r="C8262" i="2"/>
  <c r="G8262" i="2" s="1"/>
  <c r="C8347" i="2"/>
  <c r="G8347" i="2" s="1"/>
  <c r="C8351" i="2"/>
  <c r="G8351" i="2" s="1"/>
  <c r="C8465" i="2"/>
  <c r="G8465" i="2" s="1"/>
  <c r="C8531" i="2"/>
  <c r="G8531" i="2" s="1"/>
  <c r="C8558" i="2"/>
  <c r="G8558" i="2" s="1"/>
  <c r="C8621" i="2"/>
  <c r="G8621" i="2" s="1"/>
  <c r="C8633" i="2"/>
  <c r="G8633" i="2" s="1"/>
  <c r="C8649" i="2"/>
  <c r="G8649" i="2" s="1"/>
  <c r="C8766" i="2"/>
  <c r="G8766" i="2" s="1"/>
  <c r="C8802" i="2"/>
  <c r="G8802" i="2" s="1"/>
  <c r="C8935" i="2"/>
  <c r="G8935" i="2" s="1"/>
  <c r="C8974" i="2"/>
  <c r="G8974" i="2" s="1"/>
  <c r="C9037" i="2"/>
  <c r="G9037" i="2" s="1"/>
  <c r="C9045" i="2"/>
  <c r="G9045" i="2" s="1"/>
  <c r="C9135" i="2"/>
  <c r="G9135" i="2" s="1"/>
  <c r="C9170" i="2"/>
  <c r="G9170" i="2" s="1"/>
  <c r="C9287" i="2"/>
  <c r="G9287" i="2" s="1"/>
  <c r="C9441" i="2"/>
  <c r="G9441" i="2" s="1"/>
  <c r="C9445" i="2"/>
  <c r="G9445" i="2" s="1"/>
  <c r="C7539" i="2"/>
  <c r="G7539" i="2" s="1"/>
  <c r="C7554" i="2"/>
  <c r="G7554" i="2" s="1"/>
  <c r="C7589" i="2"/>
  <c r="G7589" i="2" s="1"/>
  <c r="C7619" i="2"/>
  <c r="G7619" i="2" s="1"/>
  <c r="C7623" i="2"/>
  <c r="G7623" i="2" s="1"/>
  <c r="C7638" i="2"/>
  <c r="G7638" i="2" s="1"/>
  <c r="C7662" i="2"/>
  <c r="G7662" i="2" s="1"/>
  <c r="C7670" i="2"/>
  <c r="G7670" i="2" s="1"/>
  <c r="C7678" i="2"/>
  <c r="G7678" i="2" s="1"/>
  <c r="C7682" i="2"/>
  <c r="G7682" i="2" s="1"/>
  <c r="C7761" i="2"/>
  <c r="G7761" i="2" s="1"/>
  <c r="C7769" i="2"/>
  <c r="G7769" i="2" s="1"/>
  <c r="C7773" i="2"/>
  <c r="G7773" i="2" s="1"/>
  <c r="C7777" i="2"/>
  <c r="G7777" i="2" s="1"/>
  <c r="C7781" i="2"/>
  <c r="G7781" i="2" s="1"/>
  <c r="C7793" i="2"/>
  <c r="G7793" i="2" s="1"/>
  <c r="C7797" i="2"/>
  <c r="G7797" i="2" s="1"/>
  <c r="C7805" i="2"/>
  <c r="G7805" i="2" s="1"/>
  <c r="C7832" i="2"/>
  <c r="G7832" i="2" s="1"/>
  <c r="C7844" i="2"/>
  <c r="G7844" i="2" s="1"/>
  <c r="C7898" i="2"/>
  <c r="G7898" i="2" s="1"/>
  <c r="C7902" i="2"/>
  <c r="G7902" i="2" s="1"/>
  <c r="C7921" i="2"/>
  <c r="G7921" i="2" s="1"/>
  <c r="C7925" i="2"/>
  <c r="G7925" i="2" s="1"/>
  <c r="C7983" i="2"/>
  <c r="G7983" i="2" s="1"/>
  <c r="C7987" i="2"/>
  <c r="G7987" i="2" s="1"/>
  <c r="C7991" i="2"/>
  <c r="G7991" i="2" s="1"/>
  <c r="C8110" i="2"/>
  <c r="G8110" i="2" s="1"/>
  <c r="C8150" i="2"/>
  <c r="G8150" i="2" s="1"/>
  <c r="C8186" i="2"/>
  <c r="G8186" i="2" s="1"/>
  <c r="C8193" i="2"/>
  <c r="G8193" i="2" s="1"/>
  <c r="C8275" i="2"/>
  <c r="G8275" i="2" s="1"/>
  <c r="C8301" i="2"/>
  <c r="G8301" i="2" s="1"/>
  <c r="C8352" i="2"/>
  <c r="G8352" i="2" s="1"/>
  <c r="C8375" i="2"/>
  <c r="G8375" i="2" s="1"/>
  <c r="C8387" i="2"/>
  <c r="G8387" i="2" s="1"/>
  <c r="C8446" i="2"/>
  <c r="G8446" i="2" s="1"/>
  <c r="C8458" i="2"/>
  <c r="G8458" i="2" s="1"/>
  <c r="C8462" i="2"/>
  <c r="G8462" i="2" s="1"/>
  <c r="C8551" i="2"/>
  <c r="G8551" i="2" s="1"/>
  <c r="C8574" i="2"/>
  <c r="G8574" i="2" s="1"/>
  <c r="C8578" i="2"/>
  <c r="G8578" i="2" s="1"/>
  <c r="C8614" i="2"/>
  <c r="G8614" i="2" s="1"/>
  <c r="C8618" i="2"/>
  <c r="G8618" i="2" s="1"/>
  <c r="C8622" i="2"/>
  <c r="G8622" i="2" s="1"/>
  <c r="C8634" i="2"/>
  <c r="G8634" i="2" s="1"/>
  <c r="C8689" i="2"/>
  <c r="G8689" i="2" s="1"/>
  <c r="C8732" i="2"/>
  <c r="G8732" i="2" s="1"/>
  <c r="C8740" i="2"/>
  <c r="G8740" i="2" s="1"/>
  <c r="C8775" i="2"/>
  <c r="G8775" i="2" s="1"/>
  <c r="C8799" i="2"/>
  <c r="G8799" i="2" s="1"/>
  <c r="C8829" i="2"/>
  <c r="G8829" i="2" s="1"/>
  <c r="C8848" i="2"/>
  <c r="G8848" i="2" s="1"/>
  <c r="C8856" i="2"/>
  <c r="G8856" i="2" s="1"/>
  <c r="C8956" i="2"/>
  <c r="G8956" i="2" s="1"/>
  <c r="C8971" i="2"/>
  <c r="G8971" i="2" s="1"/>
  <c r="C8982" i="2"/>
  <c r="G8982" i="2" s="1"/>
  <c r="C9006" i="2"/>
  <c r="G9006" i="2" s="1"/>
  <c r="C9014" i="2"/>
  <c r="G9014" i="2" s="1"/>
  <c r="C9062" i="2"/>
  <c r="G9062" i="2" s="1"/>
  <c r="C9081" i="2"/>
  <c r="G9081" i="2" s="1"/>
  <c r="C9132" i="2"/>
  <c r="G9132" i="2" s="1"/>
  <c r="C9171" i="2"/>
  <c r="G9171" i="2" s="1"/>
  <c r="C9182" i="2"/>
  <c r="G9182" i="2" s="1"/>
  <c r="C9194" i="2"/>
  <c r="G9194" i="2" s="1"/>
  <c r="C9210" i="2"/>
  <c r="G9210" i="2" s="1"/>
  <c r="C9214" i="2"/>
  <c r="G9214" i="2" s="1"/>
  <c r="C9295" i="2"/>
  <c r="G9295" i="2" s="1"/>
  <c r="C9339" i="2"/>
  <c r="G9339" i="2" s="1"/>
  <c r="C9347" i="2"/>
  <c r="G9347" i="2" s="1"/>
  <c r="C9354" i="2"/>
  <c r="G9354" i="2" s="1"/>
  <c r="C9382" i="2"/>
  <c r="G9382" i="2" s="1"/>
  <c r="C9434" i="2"/>
  <c r="G9434" i="2" s="1"/>
  <c r="C9442" i="2"/>
  <c r="G9442" i="2" s="1"/>
  <c r="C9446" i="2"/>
  <c r="G9446" i="2" s="1"/>
  <c r="C9450" i="2"/>
  <c r="G9450" i="2" s="1"/>
  <c r="C9454" i="2"/>
  <c r="G9454" i="2" s="1"/>
  <c r="C8368" i="2"/>
  <c r="G8368" i="2" s="1"/>
  <c r="C8388" i="2"/>
  <c r="G8388" i="2" s="1"/>
  <c r="C8392" i="2"/>
  <c r="G8392" i="2" s="1"/>
  <c r="C8427" i="2"/>
  <c r="G8427" i="2" s="1"/>
  <c r="C8431" i="2"/>
  <c r="G8431" i="2" s="1"/>
  <c r="C8467" i="2"/>
  <c r="G8467" i="2" s="1"/>
  <c r="C8471" i="2"/>
  <c r="G8471" i="2" s="1"/>
  <c r="C8474" i="2"/>
  <c r="G8474" i="2" s="1"/>
  <c r="C8478" i="2"/>
  <c r="G8478" i="2" s="1"/>
  <c r="C8486" i="2"/>
  <c r="G8486" i="2" s="1"/>
  <c r="C8501" i="2"/>
  <c r="G8501" i="2" s="1"/>
  <c r="C8521" i="2"/>
  <c r="G8521" i="2" s="1"/>
  <c r="C8533" i="2"/>
  <c r="G8533" i="2" s="1"/>
  <c r="C8548" i="2"/>
  <c r="G8548" i="2" s="1"/>
  <c r="C8567" i="2"/>
  <c r="G8567" i="2" s="1"/>
  <c r="C8595" i="2"/>
  <c r="G8595" i="2" s="1"/>
  <c r="C8623" i="2"/>
  <c r="G8623" i="2" s="1"/>
  <c r="C8627" i="2"/>
  <c r="G8627" i="2" s="1"/>
  <c r="C8631" i="2"/>
  <c r="G8631" i="2" s="1"/>
  <c r="C8666" i="2"/>
  <c r="G8666" i="2" s="1"/>
  <c r="C8670" i="2"/>
  <c r="G8670" i="2" s="1"/>
  <c r="C8682" i="2"/>
  <c r="G8682" i="2" s="1"/>
  <c r="C8686" i="2"/>
  <c r="G8686" i="2" s="1"/>
  <c r="C8694" i="2"/>
  <c r="G8694" i="2" s="1"/>
  <c r="C8721" i="2"/>
  <c r="G8721" i="2" s="1"/>
  <c r="C8725" i="2"/>
  <c r="G8725" i="2" s="1"/>
  <c r="C8812" i="2"/>
  <c r="G8812" i="2" s="1"/>
  <c r="C8853" i="2"/>
  <c r="G8853" i="2" s="1"/>
  <c r="C8901" i="2"/>
  <c r="G8901" i="2" s="1"/>
  <c r="C9015" i="2"/>
  <c r="G9015" i="2" s="1"/>
  <c r="C9023" i="2"/>
  <c r="G9023" i="2" s="1"/>
  <c r="C9031" i="2"/>
  <c r="G9031" i="2" s="1"/>
  <c r="C9035" i="2"/>
  <c r="G9035" i="2" s="1"/>
  <c r="C9039" i="2"/>
  <c r="G9039" i="2" s="1"/>
  <c r="C9043" i="2"/>
  <c r="G9043" i="2" s="1"/>
  <c r="C9110" i="2"/>
  <c r="G9110" i="2" s="1"/>
  <c r="C9222" i="2"/>
  <c r="G9222" i="2" s="1"/>
  <c r="C9230" i="2"/>
  <c r="G9230" i="2" s="1"/>
  <c r="C9234" i="2"/>
  <c r="G9234" i="2" s="1"/>
  <c r="C9277" i="2"/>
  <c r="G9277" i="2" s="1"/>
  <c r="C7598" i="2"/>
  <c r="G7598" i="2" s="1"/>
  <c r="C7606" i="2"/>
  <c r="G7606" i="2" s="1"/>
  <c r="C7632" i="2"/>
  <c r="G7632" i="2" s="1"/>
  <c r="C7636" i="2"/>
  <c r="G7636" i="2" s="1"/>
  <c r="C7640" i="2"/>
  <c r="G7640" i="2" s="1"/>
  <c r="C7652" i="2"/>
  <c r="G7652" i="2" s="1"/>
  <c r="C7656" i="2"/>
  <c r="G7656" i="2" s="1"/>
  <c r="C7660" i="2"/>
  <c r="G7660" i="2" s="1"/>
  <c r="C7664" i="2"/>
  <c r="G7664" i="2" s="1"/>
  <c r="C7739" i="2"/>
  <c r="G7739" i="2" s="1"/>
  <c r="C7830" i="2"/>
  <c r="G7830" i="2" s="1"/>
  <c r="C7834" i="2"/>
  <c r="G7834" i="2" s="1"/>
  <c r="C7849" i="2"/>
  <c r="G7849" i="2" s="1"/>
  <c r="C7887" i="2"/>
  <c r="G7887" i="2" s="1"/>
  <c r="C7899" i="2"/>
  <c r="G7899" i="2" s="1"/>
  <c r="C7903" i="2"/>
  <c r="G7903" i="2" s="1"/>
  <c r="C7926" i="2"/>
  <c r="G7926" i="2" s="1"/>
  <c r="C7954" i="2"/>
  <c r="G7954" i="2" s="1"/>
  <c r="C8005" i="2"/>
  <c r="G8005" i="2" s="1"/>
  <c r="C8092" i="2"/>
  <c r="G8092" i="2" s="1"/>
  <c r="C8100" i="2"/>
  <c r="G8100" i="2" s="1"/>
  <c r="C8104" i="2"/>
  <c r="G8104" i="2" s="1"/>
  <c r="C8108" i="2"/>
  <c r="G8108" i="2" s="1"/>
  <c r="C8112" i="2"/>
  <c r="G8112" i="2" s="1"/>
  <c r="C8147" i="2"/>
  <c r="G8147" i="2" s="1"/>
  <c r="C8155" i="2"/>
  <c r="G8155" i="2" s="1"/>
  <c r="C8163" i="2"/>
  <c r="G8163" i="2" s="1"/>
  <c r="C8167" i="2"/>
  <c r="G8167" i="2" s="1"/>
  <c r="C8198" i="2"/>
  <c r="G8198" i="2" s="1"/>
  <c r="C8234" i="2"/>
  <c r="G8234" i="2" s="1"/>
  <c r="C8241" i="2"/>
  <c r="G8241" i="2" s="1"/>
  <c r="C8322" i="2"/>
  <c r="G8322" i="2" s="1"/>
  <c r="C8420" i="2"/>
  <c r="G8420" i="2" s="1"/>
  <c r="C8428" i="2"/>
  <c r="G8428" i="2" s="1"/>
  <c r="C8432" i="2"/>
  <c r="G8432" i="2" s="1"/>
  <c r="C8479" i="2"/>
  <c r="G8479" i="2" s="1"/>
  <c r="C8494" i="2"/>
  <c r="G8494" i="2" s="1"/>
  <c r="C8541" i="2"/>
  <c r="G8541" i="2" s="1"/>
  <c r="C8568" i="2"/>
  <c r="G8568" i="2" s="1"/>
  <c r="C8655" i="2"/>
  <c r="G8655" i="2" s="1"/>
  <c r="C8667" i="2"/>
  <c r="G8667" i="2" s="1"/>
  <c r="C8710" i="2"/>
  <c r="G8710" i="2" s="1"/>
  <c r="C8745" i="2"/>
  <c r="G8745" i="2" s="1"/>
  <c r="C8835" i="2"/>
  <c r="G8835" i="2" s="1"/>
  <c r="C8870" i="2"/>
  <c r="G8870" i="2" s="1"/>
  <c r="C8878" i="2"/>
  <c r="G8878" i="2" s="1"/>
  <c r="C8886" i="2"/>
  <c r="G8886" i="2" s="1"/>
  <c r="C8914" i="2"/>
  <c r="G8914" i="2" s="1"/>
  <c r="C8926" i="2"/>
  <c r="G8926" i="2" s="1"/>
  <c r="C8980" i="2"/>
  <c r="G8980" i="2" s="1"/>
  <c r="C8984" i="2"/>
  <c r="G8984" i="2" s="1"/>
  <c r="C9012" i="2"/>
  <c r="G9012" i="2" s="1"/>
  <c r="C9020" i="2"/>
  <c r="G9020" i="2" s="1"/>
  <c r="C9071" i="2"/>
  <c r="G9071" i="2" s="1"/>
  <c r="C9075" i="2"/>
  <c r="G9075" i="2" s="1"/>
  <c r="C9122" i="2"/>
  <c r="G9122" i="2" s="1"/>
  <c r="C9126" i="2"/>
  <c r="G9126" i="2" s="1"/>
  <c r="C9196" i="2"/>
  <c r="G9196" i="2" s="1"/>
  <c r="C9200" i="2"/>
  <c r="G9200" i="2" s="1"/>
  <c r="C9250" i="2"/>
  <c r="G9250" i="2" s="1"/>
  <c r="C9278" i="2"/>
  <c r="G9278" i="2" s="1"/>
  <c r="C9293" i="2"/>
  <c r="G9293" i="2" s="1"/>
  <c r="C9305" i="2"/>
  <c r="G9305" i="2" s="1"/>
  <c r="C9321" i="2"/>
  <c r="G9321" i="2" s="1"/>
  <c r="C9372" i="2"/>
  <c r="G9372" i="2" s="1"/>
  <c r="C9380" i="2"/>
  <c r="G9380" i="2" s="1"/>
  <c r="C9384" i="2"/>
  <c r="G9384" i="2" s="1"/>
  <c r="C9404" i="2"/>
  <c r="G9404" i="2" s="1"/>
  <c r="C10" i="2"/>
  <c r="G10" i="2" s="1"/>
  <c r="C14" i="2"/>
  <c r="G14" i="2" s="1"/>
  <c r="C21" i="2"/>
  <c r="G21" i="2" s="1"/>
  <c r="C25" i="2"/>
  <c r="G25" i="2" s="1"/>
  <c r="C44" i="2"/>
  <c r="G44" i="2" s="1"/>
  <c r="C90" i="2"/>
  <c r="G90" i="2" s="1"/>
  <c r="C142" i="2"/>
  <c r="G142" i="2" s="1"/>
  <c r="C165" i="2"/>
  <c r="G165" i="2" s="1"/>
  <c r="C173" i="2"/>
  <c r="G173" i="2" s="1"/>
  <c r="C200" i="2"/>
  <c r="G200" i="2" s="1"/>
  <c r="C238" i="2"/>
  <c r="G238" i="2" s="1"/>
  <c r="C257" i="2"/>
  <c r="G257" i="2" s="1"/>
  <c r="C261" i="2"/>
  <c r="G261" i="2" s="1"/>
  <c r="C280" i="2"/>
  <c r="G280" i="2" s="1"/>
  <c r="C287" i="2"/>
  <c r="G287" i="2" s="1"/>
  <c r="C310" i="2"/>
  <c r="G310" i="2" s="1"/>
  <c r="C337" i="2"/>
  <c r="G337" i="2" s="1"/>
  <c r="C341" i="2"/>
  <c r="G341" i="2" s="1"/>
  <c r="C345" i="2"/>
  <c r="G345" i="2" s="1"/>
  <c r="C352" i="2"/>
  <c r="G352" i="2" s="1"/>
  <c r="C360" i="2"/>
  <c r="G360" i="2" s="1"/>
  <c r="C364" i="2"/>
  <c r="G364" i="2" s="1"/>
  <c r="C7" i="2"/>
  <c r="G7" i="2" s="1"/>
  <c r="C11" i="2"/>
  <c r="G11" i="2" s="1"/>
  <c r="C15" i="2"/>
  <c r="G15" i="2" s="1"/>
  <c r="C19" i="2"/>
  <c r="G19" i="2" s="1"/>
  <c r="C30" i="2"/>
  <c r="G30" i="2" s="1"/>
  <c r="C37" i="2"/>
  <c r="G37" i="2" s="1"/>
  <c r="C75" i="2"/>
  <c r="G75" i="2" s="1"/>
  <c r="C102" i="2"/>
  <c r="G102" i="2" s="1"/>
  <c r="C132" i="2"/>
  <c r="G132" i="2" s="1"/>
  <c r="C139" i="2"/>
  <c r="G139" i="2" s="1"/>
  <c r="C158" i="2"/>
  <c r="G158" i="2" s="1"/>
  <c r="C174" i="2"/>
  <c r="G174" i="2" s="1"/>
  <c r="C186" i="2"/>
  <c r="G186" i="2" s="1"/>
  <c r="C190" i="2"/>
  <c r="G190" i="2" s="1"/>
  <c r="C197" i="2"/>
  <c r="G197" i="2" s="1"/>
  <c r="C216" i="2"/>
  <c r="G216" i="2" s="1"/>
  <c r="C227" i="2"/>
  <c r="G227" i="2" s="1"/>
  <c r="C258" i="2"/>
  <c r="G258" i="2" s="1"/>
  <c r="C266" i="2"/>
  <c r="G266" i="2" s="1"/>
  <c r="C273" i="2"/>
  <c r="G273" i="2" s="1"/>
  <c r="C277" i="2"/>
  <c r="G277" i="2" s="1"/>
  <c r="C281" i="2"/>
  <c r="G281" i="2" s="1"/>
  <c r="C284" i="2"/>
  <c r="G284" i="2" s="1"/>
  <c r="C288" i="2"/>
  <c r="G288" i="2" s="1"/>
  <c r="C4" i="2"/>
  <c r="G4" i="2" s="1"/>
  <c r="C12" i="2"/>
  <c r="G12" i="2" s="1"/>
  <c r="C27" i="2"/>
  <c r="G27" i="2" s="1"/>
  <c r="C31" i="2"/>
  <c r="G31" i="2" s="1"/>
  <c r="C35" i="2"/>
  <c r="G35" i="2" s="1"/>
  <c r="C46" i="2"/>
  <c r="G46" i="2" s="1"/>
  <c r="C53" i="2"/>
  <c r="G53" i="2" s="1"/>
  <c r="C64" i="2"/>
  <c r="G64" i="2" s="1"/>
  <c r="C68" i="2"/>
  <c r="G68" i="2" s="1"/>
  <c r="C72" i="2"/>
  <c r="G72" i="2" s="1"/>
  <c r="C99" i="2"/>
  <c r="G99" i="2" s="1"/>
  <c r="C121" i="2"/>
  <c r="G121" i="2" s="1"/>
  <c r="C125" i="2"/>
  <c r="G125" i="2" s="1"/>
  <c r="C133" i="2"/>
  <c r="G133" i="2" s="1"/>
  <c r="C183" i="2"/>
  <c r="G183" i="2" s="1"/>
  <c r="C187" i="2"/>
  <c r="G187" i="2" s="1"/>
  <c r="C213" i="2"/>
  <c r="G213" i="2" s="1"/>
  <c r="C224" i="2"/>
  <c r="G224" i="2" s="1"/>
  <c r="C232" i="2"/>
  <c r="G232" i="2" s="1"/>
  <c r="C244" i="2"/>
  <c r="G244" i="2" s="1"/>
  <c r="C255" i="2"/>
  <c r="G255" i="2" s="1"/>
  <c r="C259" i="2"/>
  <c r="G259" i="2" s="1"/>
  <c r="C308" i="2"/>
  <c r="G308" i="2" s="1"/>
  <c r="C316" i="2"/>
  <c r="G316" i="2" s="1"/>
  <c r="C126" i="2"/>
  <c r="G126" i="2" s="1"/>
  <c r="C130" i="2"/>
  <c r="G130" i="2" s="1"/>
  <c r="C141" i="2"/>
  <c r="G141" i="2" s="1"/>
  <c r="C168" i="2"/>
  <c r="G168" i="2" s="1"/>
  <c r="C180" i="2"/>
  <c r="G180" i="2" s="1"/>
  <c r="C188" i="2"/>
  <c r="G188" i="2" s="1"/>
  <c r="C214" i="2"/>
  <c r="G214" i="2" s="1"/>
  <c r="C229" i="2"/>
  <c r="G229" i="2" s="1"/>
  <c r="C264" i="2"/>
  <c r="G264" i="2" s="1"/>
  <c r="C271" i="2"/>
  <c r="G271" i="2" s="1"/>
  <c r="C275" i="2"/>
  <c r="G275" i="2" s="1"/>
  <c r="C332" i="2"/>
  <c r="G332" i="2" s="1"/>
  <c r="C336" i="2"/>
  <c r="G336" i="2" s="1"/>
  <c r="C344" i="2"/>
  <c r="G344" i="2" s="1"/>
  <c r="C24" i="2"/>
  <c r="G24" i="2" s="1"/>
  <c r="C32" i="2"/>
  <c r="G32" i="2" s="1"/>
  <c r="C96" i="2"/>
  <c r="G96" i="2" s="1"/>
  <c r="C104" i="2"/>
  <c r="G104" i="2" s="1"/>
  <c r="C351" i="2"/>
  <c r="G351" i="2" s="1"/>
  <c r="C355" i="2"/>
  <c r="G355" i="2" s="1"/>
  <c r="C359" i="2"/>
  <c r="G359" i="2" s="1"/>
  <c r="C363" i="2"/>
  <c r="G363" i="2" s="1"/>
  <c r="C428" i="2"/>
  <c r="G428" i="2" s="1"/>
  <c r="C447" i="2"/>
  <c r="G447" i="2" s="1"/>
  <c r="C451" i="2"/>
  <c r="G451" i="2" s="1"/>
  <c r="C455" i="2"/>
  <c r="G455" i="2" s="1"/>
  <c r="C549" i="2"/>
  <c r="G549" i="2" s="1"/>
  <c r="C588" i="2"/>
  <c r="G588" i="2" s="1"/>
  <c r="C592" i="2"/>
  <c r="G592" i="2" s="1"/>
  <c r="C596" i="2"/>
  <c r="G596" i="2" s="1"/>
  <c r="C607" i="2"/>
  <c r="G607" i="2" s="1"/>
  <c r="C611" i="2"/>
  <c r="G611" i="2" s="1"/>
  <c r="C615" i="2"/>
  <c r="G615" i="2" s="1"/>
  <c r="C627" i="2"/>
  <c r="G627" i="2" s="1"/>
  <c r="C631" i="2"/>
  <c r="G631" i="2" s="1"/>
  <c r="C639" i="2"/>
  <c r="G639" i="2" s="1"/>
  <c r="C686" i="2"/>
  <c r="G686" i="2" s="1"/>
  <c r="C709" i="2"/>
  <c r="G709" i="2" s="1"/>
  <c r="C713" i="2"/>
  <c r="G713" i="2" s="1"/>
  <c r="C717" i="2"/>
  <c r="G717" i="2" s="1"/>
  <c r="C725" i="2"/>
  <c r="G725" i="2" s="1"/>
  <c r="C729" i="2"/>
  <c r="G729" i="2" s="1"/>
  <c r="C733" i="2"/>
  <c r="G733" i="2" s="1"/>
  <c r="C745" i="2"/>
  <c r="G745" i="2" s="1"/>
  <c r="C780" i="2"/>
  <c r="G780" i="2" s="1"/>
  <c r="C784" i="2"/>
  <c r="G784" i="2" s="1"/>
  <c r="C788" i="2"/>
  <c r="G788" i="2" s="1"/>
  <c r="C804" i="2"/>
  <c r="G804" i="2" s="1"/>
  <c r="C831" i="2"/>
  <c r="G831" i="2" s="1"/>
  <c r="C835" i="2"/>
  <c r="G835" i="2" s="1"/>
  <c r="C843" i="2"/>
  <c r="G843" i="2" s="1"/>
  <c r="C851" i="2"/>
  <c r="G851" i="2" s="1"/>
  <c r="C855" i="2"/>
  <c r="G855" i="2" s="1"/>
  <c r="C859" i="2"/>
  <c r="G859" i="2" s="1"/>
  <c r="C863" i="2"/>
  <c r="G863" i="2" s="1"/>
  <c r="C871" i="2"/>
  <c r="G871" i="2" s="1"/>
  <c r="C886" i="2"/>
  <c r="G886" i="2" s="1"/>
  <c r="C905" i="2"/>
  <c r="G905" i="2" s="1"/>
  <c r="C913" i="2"/>
  <c r="G913" i="2" s="1"/>
  <c r="C917" i="2"/>
  <c r="G917" i="2" s="1"/>
  <c r="C921" i="2"/>
  <c r="G921" i="2" s="1"/>
  <c r="C925" i="2"/>
  <c r="G925" i="2" s="1"/>
  <c r="C972" i="2"/>
  <c r="G972" i="2" s="1"/>
  <c r="C980" i="2"/>
  <c r="G980" i="2" s="1"/>
  <c r="C988" i="2"/>
  <c r="G988" i="2" s="1"/>
  <c r="C996" i="2"/>
  <c r="G996" i="2" s="1"/>
  <c r="C1031" i="2"/>
  <c r="G1031" i="2" s="1"/>
  <c r="C1039" i="2"/>
  <c r="G1039" i="2" s="1"/>
  <c r="C1047" i="2"/>
  <c r="G1047" i="2" s="1"/>
  <c r="C1051" i="2"/>
  <c r="G1051" i="2" s="1"/>
  <c r="C1055" i="2"/>
  <c r="G1055" i="2" s="1"/>
  <c r="C1093" i="2"/>
  <c r="G1093" i="2" s="1"/>
  <c r="C1105" i="2"/>
  <c r="G1105" i="2" s="1"/>
  <c r="C1109" i="2"/>
  <c r="G1109" i="2" s="1"/>
  <c r="C1113" i="2"/>
  <c r="G1113" i="2" s="1"/>
  <c r="C1117" i="2"/>
  <c r="G1117" i="2" s="1"/>
  <c r="C1133" i="2"/>
  <c r="G1133" i="2" s="1"/>
  <c r="C1141" i="2"/>
  <c r="G1141" i="2" s="1"/>
  <c r="C1145" i="2"/>
  <c r="G1145" i="2" s="1"/>
  <c r="C1149" i="2"/>
  <c r="G1149" i="2" s="1"/>
  <c r="C1160" i="2"/>
  <c r="G1160" i="2" s="1"/>
  <c r="C1164" i="2"/>
  <c r="G1164" i="2" s="1"/>
  <c r="C1168" i="2"/>
  <c r="G1168" i="2" s="1"/>
  <c r="C1184" i="2"/>
  <c r="G1184" i="2" s="1"/>
  <c r="C1215" i="2"/>
  <c r="G1215" i="2" s="1"/>
  <c r="C1223" i="2"/>
  <c r="G1223" i="2" s="1"/>
  <c r="C1246" i="2"/>
  <c r="G1246" i="2" s="1"/>
  <c r="C1254" i="2"/>
  <c r="G1254" i="2" s="1"/>
  <c r="C1285" i="2"/>
  <c r="G1285" i="2" s="1"/>
  <c r="C1320" i="2"/>
  <c r="G1320" i="2" s="1"/>
  <c r="C1346" i="2"/>
  <c r="G1346" i="2" s="1"/>
  <c r="C1350" i="2"/>
  <c r="G1350" i="2" s="1"/>
  <c r="C1425" i="2"/>
  <c r="G1425" i="2" s="1"/>
  <c r="C1475" i="2"/>
  <c r="G1475" i="2" s="1"/>
  <c r="C1479" i="2"/>
  <c r="G1479" i="2" s="1"/>
  <c r="C1483" i="2"/>
  <c r="G1483" i="2" s="1"/>
  <c r="C387" i="2"/>
  <c r="G387" i="2" s="1"/>
  <c r="C406" i="2"/>
  <c r="G406" i="2" s="1"/>
  <c r="C448" i="2"/>
  <c r="G448" i="2" s="1"/>
  <c r="C456" i="2"/>
  <c r="G456" i="2" s="1"/>
  <c r="C460" i="2"/>
  <c r="G460" i="2" s="1"/>
  <c r="C467" i="2"/>
  <c r="G467" i="2" s="1"/>
  <c r="C475" i="2"/>
  <c r="G475" i="2" s="1"/>
  <c r="C506" i="2"/>
  <c r="G506" i="2" s="1"/>
  <c r="C510" i="2"/>
  <c r="G510" i="2" s="1"/>
  <c r="C530" i="2"/>
  <c r="G530" i="2" s="1"/>
  <c r="C534" i="2"/>
  <c r="G534" i="2" s="1"/>
  <c r="C546" i="2"/>
  <c r="G546" i="2" s="1"/>
  <c r="C573" i="2"/>
  <c r="G573" i="2" s="1"/>
  <c r="C581" i="2"/>
  <c r="G581" i="2" s="1"/>
  <c r="C585" i="2"/>
  <c r="G585" i="2" s="1"/>
  <c r="C589" i="2"/>
  <c r="G589" i="2" s="1"/>
  <c r="C597" i="2"/>
  <c r="G597" i="2" s="1"/>
  <c r="C604" i="2"/>
  <c r="G604" i="2" s="1"/>
  <c r="C624" i="2"/>
  <c r="G624" i="2" s="1"/>
  <c r="C628" i="2"/>
  <c r="G628" i="2" s="1"/>
  <c r="C663" i="2"/>
  <c r="G663" i="2" s="1"/>
  <c r="C667" i="2"/>
  <c r="G667" i="2" s="1"/>
  <c r="C687" i="2"/>
  <c r="G687" i="2" s="1"/>
  <c r="C691" i="2"/>
  <c r="G691" i="2" s="1"/>
  <c r="C710" i="2"/>
  <c r="G710" i="2" s="1"/>
  <c r="C714" i="2"/>
  <c r="G714" i="2" s="1"/>
  <c r="C718" i="2"/>
  <c r="G718" i="2" s="1"/>
  <c r="C734" i="2"/>
  <c r="G734" i="2" s="1"/>
  <c r="C742" i="2"/>
  <c r="G742" i="2" s="1"/>
  <c r="C746" i="2"/>
  <c r="G746" i="2" s="1"/>
  <c r="C761" i="2"/>
  <c r="G761" i="2" s="1"/>
  <c r="C769" i="2"/>
  <c r="G769" i="2" s="1"/>
  <c r="C773" i="2"/>
  <c r="G773" i="2" s="1"/>
  <c r="C781" i="2"/>
  <c r="G781" i="2" s="1"/>
  <c r="C789" i="2"/>
  <c r="G789" i="2" s="1"/>
  <c r="C793" i="2"/>
  <c r="G793" i="2" s="1"/>
  <c r="C797" i="2"/>
  <c r="G797" i="2" s="1"/>
  <c r="C801" i="2"/>
  <c r="G801" i="2" s="1"/>
  <c r="C852" i="2"/>
  <c r="G852" i="2" s="1"/>
  <c r="C868" i="2"/>
  <c r="G868" i="2" s="1"/>
  <c r="C914" i="2"/>
  <c r="G914" i="2" s="1"/>
  <c r="C918" i="2"/>
  <c r="G918" i="2" s="1"/>
  <c r="C922" i="2"/>
  <c r="G922" i="2" s="1"/>
  <c r="C926" i="2"/>
  <c r="G926" i="2" s="1"/>
  <c r="C953" i="2"/>
  <c r="G953" i="2" s="1"/>
  <c r="C969" i="2"/>
  <c r="G969" i="2" s="1"/>
  <c r="C973" i="2"/>
  <c r="G973" i="2" s="1"/>
  <c r="C977" i="2"/>
  <c r="G977" i="2" s="1"/>
  <c r="C985" i="2"/>
  <c r="G985" i="2" s="1"/>
  <c r="C993" i="2"/>
  <c r="G993" i="2" s="1"/>
  <c r="C997" i="2"/>
  <c r="G997" i="2" s="1"/>
  <c r="C1008" i="2"/>
  <c r="G1008" i="2" s="1"/>
  <c r="C1016" i="2"/>
  <c r="G1016" i="2" s="1"/>
  <c r="C1036" i="2"/>
  <c r="G1036" i="2" s="1"/>
  <c r="C1044" i="2"/>
  <c r="G1044" i="2" s="1"/>
  <c r="C1083" i="2"/>
  <c r="G1083" i="2" s="1"/>
  <c r="C1094" i="2"/>
  <c r="G1094" i="2" s="1"/>
  <c r="C1102" i="2"/>
  <c r="G1102" i="2" s="1"/>
  <c r="C1106" i="2"/>
  <c r="G1106" i="2" s="1"/>
  <c r="C1110" i="2"/>
  <c r="G1110" i="2" s="1"/>
  <c r="C1118" i="2"/>
  <c r="G1118" i="2" s="1"/>
  <c r="C1122" i="2"/>
  <c r="G1122" i="2" s="1"/>
  <c r="C1134" i="2"/>
  <c r="G1134" i="2" s="1"/>
  <c r="C1138" i="2"/>
  <c r="G1138" i="2" s="1"/>
  <c r="C1150" i="2"/>
  <c r="G1150" i="2" s="1"/>
  <c r="C1161" i="2"/>
  <c r="G1161" i="2" s="1"/>
  <c r="C1177" i="2"/>
  <c r="G1177" i="2" s="1"/>
  <c r="C1247" i="2"/>
  <c r="G1247" i="2" s="1"/>
  <c r="C1251" i="2"/>
  <c r="G1251" i="2" s="1"/>
  <c r="C1263" i="2"/>
  <c r="G1263" i="2" s="1"/>
  <c r="C1266" i="2"/>
  <c r="G1266" i="2" s="1"/>
  <c r="C1274" i="2"/>
  <c r="G1274" i="2" s="1"/>
  <c r="C1309" i="2"/>
  <c r="G1309" i="2" s="1"/>
  <c r="C1370" i="2"/>
  <c r="G1370" i="2" s="1"/>
  <c r="C1386" i="2"/>
  <c r="G1386" i="2" s="1"/>
  <c r="C1438" i="2"/>
  <c r="G1438" i="2" s="1"/>
  <c r="C256" i="2"/>
  <c r="G256" i="2" s="1"/>
  <c r="C282" i="2"/>
  <c r="G282" i="2" s="1"/>
  <c r="C289" i="2"/>
  <c r="G289" i="2" s="1"/>
  <c r="C292" i="2"/>
  <c r="G292" i="2" s="1"/>
  <c r="C300" i="2"/>
  <c r="G300" i="2" s="1"/>
  <c r="C304" i="2"/>
  <c r="G304" i="2" s="1"/>
  <c r="C338" i="2"/>
  <c r="G338" i="2" s="1"/>
  <c r="C346" i="2"/>
  <c r="G346" i="2" s="1"/>
  <c r="C353" i="2"/>
  <c r="G353" i="2" s="1"/>
  <c r="C357" i="2"/>
  <c r="G357" i="2" s="1"/>
  <c r="C361" i="2"/>
  <c r="G361" i="2" s="1"/>
  <c r="C372" i="2"/>
  <c r="G372" i="2" s="1"/>
  <c r="C395" i="2"/>
  <c r="G395" i="2" s="1"/>
  <c r="C422" i="2"/>
  <c r="G422" i="2" s="1"/>
  <c r="C430" i="2"/>
  <c r="G430" i="2" s="1"/>
  <c r="C445" i="2"/>
  <c r="G445" i="2" s="1"/>
  <c r="C449" i="2"/>
  <c r="G449" i="2" s="1"/>
  <c r="C453" i="2"/>
  <c r="G453" i="2" s="1"/>
  <c r="C457" i="2"/>
  <c r="G457" i="2" s="1"/>
  <c r="C461" i="2"/>
  <c r="G461" i="2" s="1"/>
  <c r="C483" i="2"/>
  <c r="G483" i="2" s="1"/>
  <c r="C491" i="2"/>
  <c r="G491" i="2" s="1"/>
  <c r="C503" i="2"/>
  <c r="G503" i="2" s="1"/>
  <c r="C507" i="2"/>
  <c r="G507" i="2" s="1"/>
  <c r="C527" i="2"/>
  <c r="G527" i="2" s="1"/>
  <c r="C531" i="2"/>
  <c r="G531" i="2" s="1"/>
  <c r="C543" i="2"/>
  <c r="G543" i="2" s="1"/>
  <c r="C547" i="2"/>
  <c r="G547" i="2" s="1"/>
  <c r="C582" i="2"/>
  <c r="G582" i="2" s="1"/>
  <c r="C586" i="2"/>
  <c r="G586" i="2" s="1"/>
  <c r="C605" i="2"/>
  <c r="G605" i="2" s="1"/>
  <c r="C613" i="2"/>
  <c r="G613" i="2" s="1"/>
  <c r="C617" i="2"/>
  <c r="G617" i="2" s="1"/>
  <c r="C621" i="2"/>
  <c r="G621" i="2" s="1"/>
  <c r="C625" i="2"/>
  <c r="G625" i="2" s="1"/>
  <c r="C629" i="2"/>
  <c r="G629" i="2" s="1"/>
  <c r="C644" i="2"/>
  <c r="G644" i="2" s="1"/>
  <c r="C660" i="2"/>
  <c r="G660" i="2" s="1"/>
  <c r="C672" i="2"/>
  <c r="G672" i="2" s="1"/>
  <c r="C676" i="2"/>
  <c r="G676" i="2" s="1"/>
  <c r="C688" i="2"/>
  <c r="G688" i="2" s="1"/>
  <c r="C692" i="2"/>
  <c r="G692" i="2" s="1"/>
  <c r="C699" i="2"/>
  <c r="G699" i="2" s="1"/>
  <c r="C711" i="2"/>
  <c r="G711" i="2" s="1"/>
  <c r="C719" i="2"/>
  <c r="G719" i="2" s="1"/>
  <c r="C723" i="2"/>
  <c r="G723" i="2" s="1"/>
  <c r="C735" i="2"/>
  <c r="G735" i="2" s="1"/>
  <c r="C743" i="2"/>
  <c r="G743" i="2" s="1"/>
  <c r="C798" i="2"/>
  <c r="G798" i="2" s="1"/>
  <c r="C833" i="2"/>
  <c r="G833" i="2" s="1"/>
  <c r="C837" i="2"/>
  <c r="G837" i="2" s="1"/>
  <c r="C841" i="2"/>
  <c r="G841" i="2" s="1"/>
  <c r="C845" i="2"/>
  <c r="G845" i="2" s="1"/>
  <c r="C849" i="2"/>
  <c r="G849" i="2" s="1"/>
  <c r="C857" i="2"/>
  <c r="G857" i="2" s="1"/>
  <c r="C861" i="2"/>
  <c r="G861" i="2" s="1"/>
  <c r="C865" i="2"/>
  <c r="G865" i="2" s="1"/>
  <c r="C869" i="2"/>
  <c r="G869" i="2" s="1"/>
  <c r="C903" i="2"/>
  <c r="G903" i="2" s="1"/>
  <c r="C907" i="2"/>
  <c r="G907" i="2" s="1"/>
  <c r="C911" i="2"/>
  <c r="G911" i="2" s="1"/>
  <c r="C915" i="2"/>
  <c r="G915" i="2" s="1"/>
  <c r="C919" i="2"/>
  <c r="G919" i="2" s="1"/>
  <c r="C923" i="2"/>
  <c r="G923" i="2" s="1"/>
  <c r="C927" i="2"/>
  <c r="G927" i="2" s="1"/>
  <c r="C970" i="2"/>
  <c r="G970" i="2" s="1"/>
  <c r="C978" i="2"/>
  <c r="G978" i="2" s="1"/>
  <c r="C982" i="2"/>
  <c r="G982" i="2" s="1"/>
  <c r="C986" i="2"/>
  <c r="G986" i="2" s="1"/>
  <c r="C990" i="2"/>
  <c r="G990" i="2" s="1"/>
  <c r="C994" i="2"/>
  <c r="G994" i="2" s="1"/>
  <c r="C998" i="2"/>
  <c r="G998" i="2" s="1"/>
  <c r="C1002" i="2"/>
  <c r="G1002" i="2" s="1"/>
  <c r="C1025" i="2"/>
  <c r="G1025" i="2" s="1"/>
  <c r="C1033" i="2"/>
  <c r="G1033" i="2" s="1"/>
  <c r="C1037" i="2"/>
  <c r="G1037" i="2" s="1"/>
  <c r="C1041" i="2"/>
  <c r="G1041" i="2" s="1"/>
  <c r="C1045" i="2"/>
  <c r="G1045" i="2" s="1"/>
  <c r="C1057" i="2"/>
  <c r="G1057" i="2" s="1"/>
  <c r="C1065" i="2"/>
  <c r="G1065" i="2" s="1"/>
  <c r="C1072" i="2"/>
  <c r="G1072" i="2" s="1"/>
  <c r="C1080" i="2"/>
  <c r="G1080" i="2" s="1"/>
  <c r="C1091" i="2"/>
  <c r="G1091" i="2" s="1"/>
  <c r="C1099" i="2"/>
  <c r="G1099" i="2" s="1"/>
  <c r="C1103" i="2"/>
  <c r="G1103" i="2" s="1"/>
  <c r="C1107" i="2"/>
  <c r="G1107" i="2" s="1"/>
  <c r="C1111" i="2"/>
  <c r="G1111" i="2" s="1"/>
  <c r="C1115" i="2"/>
  <c r="G1115" i="2" s="1"/>
  <c r="C1119" i="2"/>
  <c r="G1119" i="2" s="1"/>
  <c r="C1127" i="2"/>
  <c r="G1127" i="2" s="1"/>
  <c r="C1131" i="2"/>
  <c r="G1131" i="2" s="1"/>
  <c r="C1147" i="2"/>
  <c r="G1147" i="2" s="1"/>
  <c r="C1154" i="2"/>
  <c r="G1154" i="2" s="1"/>
  <c r="C1158" i="2"/>
  <c r="G1158" i="2" s="1"/>
  <c r="C1166" i="2"/>
  <c r="G1166" i="2" s="1"/>
  <c r="C1170" i="2"/>
  <c r="G1170" i="2" s="1"/>
  <c r="C1193" i="2"/>
  <c r="G1193" i="2" s="1"/>
  <c r="C1201" i="2"/>
  <c r="G1201" i="2" s="1"/>
  <c r="C1213" i="2"/>
  <c r="G1213" i="2" s="1"/>
  <c r="C1240" i="2"/>
  <c r="G1240" i="2" s="1"/>
  <c r="C1252" i="2"/>
  <c r="G1252" i="2" s="1"/>
  <c r="C1256" i="2"/>
  <c r="G1256" i="2" s="1"/>
  <c r="C1264" i="2"/>
  <c r="G1264" i="2" s="1"/>
  <c r="C1271" i="2"/>
  <c r="G1271" i="2" s="1"/>
  <c r="C1279" i="2"/>
  <c r="G1279" i="2" s="1"/>
  <c r="C1290" i="2"/>
  <c r="G1290" i="2" s="1"/>
  <c r="C1298" i="2"/>
  <c r="G1298" i="2" s="1"/>
  <c r="C1314" i="2"/>
  <c r="G1314" i="2" s="1"/>
  <c r="C1348" i="2"/>
  <c r="G1348" i="2" s="1"/>
  <c r="C1415" i="2"/>
  <c r="G1415" i="2" s="1"/>
  <c r="C1419" i="2"/>
  <c r="G1419" i="2" s="1"/>
  <c r="C373" i="2"/>
  <c r="G373" i="2" s="1"/>
  <c r="C377" i="2"/>
  <c r="G377" i="2" s="1"/>
  <c r="C396" i="2"/>
  <c r="G396" i="2" s="1"/>
  <c r="C419" i="2"/>
  <c r="G419" i="2" s="1"/>
  <c r="C438" i="2"/>
  <c r="G438" i="2" s="1"/>
  <c r="C442" i="2"/>
  <c r="G442" i="2" s="1"/>
  <c r="C484" i="2"/>
  <c r="G484" i="2" s="1"/>
  <c r="C492" i="2"/>
  <c r="G492" i="2" s="1"/>
  <c r="C551" i="2"/>
  <c r="G551" i="2" s="1"/>
  <c r="C563" i="2"/>
  <c r="G563" i="2" s="1"/>
  <c r="C567" i="2"/>
  <c r="G567" i="2" s="1"/>
  <c r="C575" i="2"/>
  <c r="G575" i="2" s="1"/>
  <c r="C645" i="2"/>
  <c r="G645" i="2" s="1"/>
  <c r="C649" i="2"/>
  <c r="G649" i="2" s="1"/>
  <c r="C653" i="2"/>
  <c r="G653" i="2" s="1"/>
  <c r="C661" i="2"/>
  <c r="G661" i="2" s="1"/>
  <c r="C665" i="2"/>
  <c r="G665" i="2" s="1"/>
  <c r="C669" i="2"/>
  <c r="G669" i="2" s="1"/>
  <c r="C681" i="2"/>
  <c r="G681" i="2" s="1"/>
  <c r="C759" i="2"/>
  <c r="G759" i="2" s="1"/>
  <c r="C814" i="2"/>
  <c r="G814" i="2" s="1"/>
  <c r="C818" i="2"/>
  <c r="G818" i="2" s="1"/>
  <c r="C900" i="2"/>
  <c r="G900" i="2" s="1"/>
  <c r="C935" i="2"/>
  <c r="G935" i="2" s="1"/>
  <c r="C947" i="2"/>
  <c r="G947" i="2" s="1"/>
  <c r="C951" i="2"/>
  <c r="G951" i="2" s="1"/>
  <c r="C955" i="2"/>
  <c r="G955" i="2" s="1"/>
  <c r="C959" i="2"/>
  <c r="G959" i="2" s="1"/>
  <c r="C963" i="2"/>
  <c r="G963" i="2" s="1"/>
  <c r="C1010" i="2"/>
  <c r="G1010" i="2" s="1"/>
  <c r="C1014" i="2"/>
  <c r="G1014" i="2" s="1"/>
  <c r="C1018" i="2"/>
  <c r="G1018" i="2" s="1"/>
  <c r="C1026" i="2"/>
  <c r="G1026" i="2" s="1"/>
  <c r="C1088" i="2"/>
  <c r="G1088" i="2" s="1"/>
  <c r="C1190" i="2"/>
  <c r="G1190" i="2" s="1"/>
  <c r="C1198" i="2"/>
  <c r="G1198" i="2" s="1"/>
  <c r="C1225" i="2"/>
  <c r="G1225" i="2" s="1"/>
  <c r="C1229" i="2"/>
  <c r="G1229" i="2" s="1"/>
  <c r="C1237" i="2"/>
  <c r="G1237" i="2" s="1"/>
  <c r="C1241" i="2"/>
  <c r="G1241" i="2" s="1"/>
  <c r="C1295" i="2"/>
  <c r="G1295" i="2" s="1"/>
  <c r="C1299" i="2"/>
  <c r="G1299" i="2" s="1"/>
  <c r="C1303" i="2"/>
  <c r="G1303" i="2" s="1"/>
  <c r="C1311" i="2"/>
  <c r="G1311" i="2" s="1"/>
  <c r="C1315" i="2"/>
  <c r="G1315" i="2" s="1"/>
  <c r="C1360" i="2"/>
  <c r="G1360" i="2" s="1"/>
  <c r="C1376" i="2"/>
  <c r="G1376" i="2" s="1"/>
  <c r="C1388" i="2"/>
  <c r="G1388" i="2" s="1"/>
  <c r="C265" i="2"/>
  <c r="G265" i="2" s="1"/>
  <c r="C268" i="2"/>
  <c r="G268" i="2" s="1"/>
  <c r="C272" i="2"/>
  <c r="G272" i="2" s="1"/>
  <c r="C298" i="2"/>
  <c r="G298" i="2" s="1"/>
  <c r="C309" i="2"/>
  <c r="G309" i="2" s="1"/>
  <c r="C313" i="2"/>
  <c r="G313" i="2" s="1"/>
  <c r="C331" i="2"/>
  <c r="G331" i="2" s="1"/>
  <c r="C350" i="2"/>
  <c r="G350" i="2" s="1"/>
  <c r="C358" i="2"/>
  <c r="G358" i="2" s="1"/>
  <c r="C370" i="2"/>
  <c r="G370" i="2" s="1"/>
  <c r="C378" i="2"/>
  <c r="G378" i="2" s="1"/>
  <c r="C427" i="2"/>
  <c r="G427" i="2" s="1"/>
  <c r="C439" i="2"/>
  <c r="G439" i="2" s="1"/>
  <c r="C446" i="2"/>
  <c r="G446" i="2" s="1"/>
  <c r="C470" i="2"/>
  <c r="G470" i="2" s="1"/>
  <c r="C493" i="2"/>
  <c r="G493" i="2" s="1"/>
  <c r="C508" i="2"/>
  <c r="G508" i="2" s="1"/>
  <c r="C532" i="2"/>
  <c r="G532" i="2" s="1"/>
  <c r="C560" i="2"/>
  <c r="G560" i="2" s="1"/>
  <c r="C564" i="2"/>
  <c r="G564" i="2" s="1"/>
  <c r="C606" i="2"/>
  <c r="G606" i="2" s="1"/>
  <c r="C646" i="2"/>
  <c r="G646" i="2" s="1"/>
  <c r="C654" i="2"/>
  <c r="G654" i="2" s="1"/>
  <c r="C670" i="2"/>
  <c r="G670" i="2" s="1"/>
  <c r="C678" i="2"/>
  <c r="G678" i="2" s="1"/>
  <c r="C682" i="2"/>
  <c r="G682" i="2" s="1"/>
  <c r="C697" i="2"/>
  <c r="G697" i="2" s="1"/>
  <c r="C701" i="2"/>
  <c r="G701" i="2" s="1"/>
  <c r="C704" i="2"/>
  <c r="G704" i="2" s="1"/>
  <c r="C708" i="2"/>
  <c r="G708" i="2" s="1"/>
  <c r="C724" i="2"/>
  <c r="G724" i="2" s="1"/>
  <c r="C736" i="2"/>
  <c r="G736" i="2" s="1"/>
  <c r="C740" i="2"/>
  <c r="G740" i="2" s="1"/>
  <c r="C756" i="2"/>
  <c r="G756" i="2" s="1"/>
  <c r="C779" i="2"/>
  <c r="G779" i="2" s="1"/>
  <c r="C807" i="2"/>
  <c r="G807" i="2" s="1"/>
  <c r="C811" i="2"/>
  <c r="G811" i="2" s="1"/>
  <c r="C815" i="2"/>
  <c r="G815" i="2" s="1"/>
  <c r="C823" i="2"/>
  <c r="G823" i="2" s="1"/>
  <c r="C882" i="2"/>
  <c r="G882" i="2" s="1"/>
  <c r="C889" i="2"/>
  <c r="G889" i="2" s="1"/>
  <c r="C893" i="2"/>
  <c r="G893" i="2" s="1"/>
  <c r="C897" i="2"/>
  <c r="G897" i="2" s="1"/>
  <c r="C908" i="2"/>
  <c r="G908" i="2" s="1"/>
  <c r="C912" i="2"/>
  <c r="G912" i="2" s="1"/>
  <c r="C920" i="2"/>
  <c r="G920" i="2" s="1"/>
  <c r="C932" i="2"/>
  <c r="G932" i="2" s="1"/>
  <c r="C948" i="2"/>
  <c r="G948" i="2" s="1"/>
  <c r="C1007" i="2"/>
  <c r="G1007" i="2" s="1"/>
  <c r="C1011" i="2"/>
  <c r="G1011" i="2" s="1"/>
  <c r="C1015" i="2"/>
  <c r="G1015" i="2" s="1"/>
  <c r="C1019" i="2"/>
  <c r="G1019" i="2" s="1"/>
  <c r="C1027" i="2"/>
  <c r="G1027" i="2" s="1"/>
  <c r="C1112" i="2"/>
  <c r="G1112" i="2" s="1"/>
  <c r="C1136" i="2"/>
  <c r="G1136" i="2" s="1"/>
  <c r="C1183" i="2"/>
  <c r="G1183" i="2" s="1"/>
  <c r="C1249" i="2"/>
  <c r="G1249" i="2" s="1"/>
  <c r="C1288" i="2"/>
  <c r="G1288" i="2" s="1"/>
  <c r="C1505" i="2"/>
  <c r="G1505" i="2" s="1"/>
  <c r="C1569" i="2"/>
  <c r="G1569" i="2" s="1"/>
  <c r="C1613" i="2"/>
  <c r="G1613" i="2" s="1"/>
  <c r="C1738" i="2"/>
  <c r="G1738" i="2" s="1"/>
  <c r="C1866" i="2"/>
  <c r="G1866" i="2" s="1"/>
  <c r="C1954" i="2"/>
  <c r="G1954" i="2" s="1"/>
  <c r="C2042" i="2"/>
  <c r="G2042" i="2" s="1"/>
  <c r="C2218" i="2"/>
  <c r="G2218" i="2" s="1"/>
  <c r="C2323" i="2"/>
  <c r="G2323" i="2" s="1"/>
  <c r="C2387" i="2"/>
  <c r="G2387" i="2" s="1"/>
  <c r="C2402" i="2"/>
  <c r="G2402" i="2" s="1"/>
  <c r="C2409" i="2"/>
  <c r="G2409" i="2" s="1"/>
  <c r="C2506" i="2"/>
  <c r="G2506" i="2" s="1"/>
  <c r="C1541" i="2"/>
  <c r="G1541" i="2" s="1"/>
  <c r="C1682" i="2"/>
  <c r="G1682" i="2" s="1"/>
  <c r="C1746" i="2"/>
  <c r="G1746" i="2" s="1"/>
  <c r="C1778" i="2"/>
  <c r="G1778" i="2" s="1"/>
  <c r="C1922" i="2"/>
  <c r="G1922" i="2" s="1"/>
  <c r="C2098" i="2"/>
  <c r="G2098" i="2" s="1"/>
  <c r="C2130" i="2"/>
  <c r="G2130" i="2" s="1"/>
  <c r="C2275" i="2"/>
  <c r="G2275" i="2" s="1"/>
  <c r="C2338" i="2"/>
  <c r="G2338" i="2" s="1"/>
  <c r="C2395" i="2"/>
  <c r="G2395" i="2" s="1"/>
  <c r="C2442" i="2"/>
  <c r="G2442" i="2" s="1"/>
  <c r="C2450" i="2"/>
  <c r="G2450" i="2" s="1"/>
  <c r="C1292" i="2"/>
  <c r="G1292" i="2" s="1"/>
  <c r="C1345" i="2"/>
  <c r="G1345" i="2" s="1"/>
  <c r="C1349" i="2"/>
  <c r="G1349" i="2" s="1"/>
  <c r="C1353" i="2"/>
  <c r="G1353" i="2" s="1"/>
  <c r="C1357" i="2"/>
  <c r="G1357" i="2" s="1"/>
  <c r="C1361" i="2"/>
  <c r="G1361" i="2" s="1"/>
  <c r="C1381" i="2"/>
  <c r="G1381" i="2" s="1"/>
  <c r="C1389" i="2"/>
  <c r="G1389" i="2" s="1"/>
  <c r="C1397" i="2"/>
  <c r="G1397" i="2" s="1"/>
  <c r="C1447" i="2"/>
  <c r="G1447" i="2" s="1"/>
  <c r="C1488" i="2"/>
  <c r="G1488" i="2" s="1"/>
  <c r="C1495" i="2"/>
  <c r="G1495" i="2" s="1"/>
  <c r="C1518" i="2"/>
  <c r="G1518" i="2" s="1"/>
  <c r="C1530" i="2"/>
  <c r="G1530" i="2" s="1"/>
  <c r="C1549" i="2"/>
  <c r="G1549" i="2" s="1"/>
  <c r="C1566" i="2"/>
  <c r="G1566" i="2" s="1"/>
  <c r="C1597" i="2"/>
  <c r="G1597" i="2" s="1"/>
  <c r="C1600" i="2"/>
  <c r="G1600" i="2" s="1"/>
  <c r="C1607" i="2"/>
  <c r="G1607" i="2" s="1"/>
  <c r="C1683" i="2"/>
  <c r="G1683" i="2" s="1"/>
  <c r="C1747" i="2"/>
  <c r="G1747" i="2" s="1"/>
  <c r="C1790" i="2"/>
  <c r="G1790" i="2" s="1"/>
  <c r="C1798" i="2"/>
  <c r="G1798" i="2" s="1"/>
  <c r="C1839" i="2"/>
  <c r="G1839" i="2" s="1"/>
  <c r="C1850" i="2"/>
  <c r="G1850" i="2" s="1"/>
  <c r="C1871" i="2"/>
  <c r="G1871" i="2" s="1"/>
  <c r="C1874" i="2"/>
  <c r="G1874" i="2" s="1"/>
  <c r="C1882" i="2"/>
  <c r="G1882" i="2" s="1"/>
  <c r="C1905" i="2"/>
  <c r="G1905" i="2" s="1"/>
  <c r="C1923" i="2"/>
  <c r="G1923" i="2" s="1"/>
  <c r="C1959" i="2"/>
  <c r="G1959" i="2" s="1"/>
  <c r="C1962" i="2"/>
  <c r="G1962" i="2" s="1"/>
  <c r="C1970" i="2"/>
  <c r="G1970" i="2" s="1"/>
  <c r="C2000" i="2"/>
  <c r="G2000" i="2" s="1"/>
  <c r="C2015" i="2"/>
  <c r="G2015" i="2" s="1"/>
  <c r="C2026" i="2"/>
  <c r="G2026" i="2" s="1"/>
  <c r="C2047" i="2"/>
  <c r="G2047" i="2" s="1"/>
  <c r="C2050" i="2"/>
  <c r="G2050" i="2" s="1"/>
  <c r="C2058" i="2"/>
  <c r="G2058" i="2" s="1"/>
  <c r="C2081" i="2"/>
  <c r="G2081" i="2" s="1"/>
  <c r="C2099" i="2"/>
  <c r="G2099" i="2" s="1"/>
  <c r="C2142" i="2"/>
  <c r="G2142" i="2" s="1"/>
  <c r="C2150" i="2"/>
  <c r="G2150" i="2" s="1"/>
  <c r="C2186" i="2"/>
  <c r="G2186" i="2" s="1"/>
  <c r="C2204" i="2"/>
  <c r="G2204" i="2" s="1"/>
  <c r="C2223" i="2"/>
  <c r="G2223" i="2" s="1"/>
  <c r="C2234" i="2"/>
  <c r="G2234" i="2" s="1"/>
  <c r="C2250" i="2"/>
  <c r="G2250" i="2" s="1"/>
  <c r="C2261" i="2"/>
  <c r="G2261" i="2" s="1"/>
  <c r="C2272" i="2"/>
  <c r="G2272" i="2" s="1"/>
  <c r="C2310" i="2"/>
  <c r="G2310" i="2" s="1"/>
  <c r="C2317" i="2"/>
  <c r="G2317" i="2" s="1"/>
  <c r="C2321" i="2"/>
  <c r="G2321" i="2" s="1"/>
  <c r="C2346" i="2"/>
  <c r="G2346" i="2" s="1"/>
  <c r="C2403" i="2"/>
  <c r="G2403" i="2" s="1"/>
  <c r="C2410" i="2"/>
  <c r="G2410" i="2" s="1"/>
  <c r="C2429" i="2"/>
  <c r="G2429" i="2" s="1"/>
  <c r="C2526" i="2"/>
  <c r="G2526" i="2" s="1"/>
  <c r="C2775" i="2"/>
  <c r="G2775" i="2" s="1"/>
  <c r="C1401" i="2"/>
  <c r="G1401" i="2" s="1"/>
  <c r="C1409" i="2"/>
  <c r="G1409" i="2" s="1"/>
  <c r="C1440" i="2"/>
  <c r="G1440" i="2" s="1"/>
  <c r="C1459" i="2"/>
  <c r="G1459" i="2" s="1"/>
  <c r="C1463" i="2"/>
  <c r="G1463" i="2" s="1"/>
  <c r="C1477" i="2"/>
  <c r="G1477" i="2" s="1"/>
  <c r="C1481" i="2"/>
  <c r="G1481" i="2" s="1"/>
  <c r="C1485" i="2"/>
  <c r="G1485" i="2" s="1"/>
  <c r="C1489" i="2"/>
  <c r="G1489" i="2" s="1"/>
  <c r="C1503" i="2"/>
  <c r="G1503" i="2" s="1"/>
  <c r="C1511" i="2"/>
  <c r="G1511" i="2" s="1"/>
  <c r="C1519" i="2"/>
  <c r="G1519" i="2" s="1"/>
  <c r="C1523" i="2"/>
  <c r="G1523" i="2" s="1"/>
  <c r="C1527" i="2"/>
  <c r="G1527" i="2" s="1"/>
  <c r="C1531" i="2"/>
  <c r="G1531" i="2" s="1"/>
  <c r="C1535" i="2"/>
  <c r="G1535" i="2" s="1"/>
  <c r="C1594" i="2"/>
  <c r="G1594" i="2" s="1"/>
  <c r="C1619" i="2"/>
  <c r="G1619" i="2" s="1"/>
  <c r="C1634" i="2"/>
  <c r="G1634" i="2" s="1"/>
  <c r="C1638" i="2"/>
  <c r="G1638" i="2" s="1"/>
  <c r="C1703" i="2"/>
  <c r="G1703" i="2" s="1"/>
  <c r="C1706" i="2"/>
  <c r="G1706" i="2" s="1"/>
  <c r="C1763" i="2"/>
  <c r="G1763" i="2" s="1"/>
  <c r="C1780" i="2"/>
  <c r="G1780" i="2" s="1"/>
  <c r="C1791" i="2"/>
  <c r="G1791" i="2" s="1"/>
  <c r="C1802" i="2"/>
  <c r="G1802" i="2" s="1"/>
  <c r="C1825" i="2"/>
  <c r="G1825" i="2" s="1"/>
  <c r="C1902" i="2"/>
  <c r="G1902" i="2" s="1"/>
  <c r="C1910" i="2"/>
  <c r="G1910" i="2" s="1"/>
  <c r="C1930" i="2"/>
  <c r="G1930" i="2" s="1"/>
  <c r="C1978" i="2"/>
  <c r="G1978" i="2" s="1"/>
  <c r="C2001" i="2"/>
  <c r="G2001" i="2" s="1"/>
  <c r="C2078" i="2"/>
  <c r="G2078" i="2" s="1"/>
  <c r="C2086" i="2"/>
  <c r="G2086" i="2" s="1"/>
  <c r="C2106" i="2"/>
  <c r="G2106" i="2" s="1"/>
  <c r="C2132" i="2"/>
  <c r="G2132" i="2" s="1"/>
  <c r="C2143" i="2"/>
  <c r="G2143" i="2" s="1"/>
  <c r="C2154" i="2"/>
  <c r="G2154" i="2" s="1"/>
  <c r="C2177" i="2"/>
  <c r="G2177" i="2" s="1"/>
  <c r="C2209" i="2"/>
  <c r="G2209" i="2" s="1"/>
  <c r="C2224" i="2"/>
  <c r="G2224" i="2" s="1"/>
  <c r="C2266" i="2"/>
  <c r="G2266" i="2" s="1"/>
  <c r="C2281" i="2"/>
  <c r="G2281" i="2" s="1"/>
  <c r="C2291" i="2"/>
  <c r="G2291" i="2" s="1"/>
  <c r="C2299" i="2"/>
  <c r="G2299" i="2" s="1"/>
  <c r="C2314" i="2"/>
  <c r="G2314" i="2" s="1"/>
  <c r="C2336" i="2"/>
  <c r="G2336" i="2" s="1"/>
  <c r="C2355" i="2"/>
  <c r="G2355" i="2" s="1"/>
  <c r="C2393" i="2"/>
  <c r="G2393" i="2" s="1"/>
  <c r="C2397" i="2"/>
  <c r="G2397" i="2" s="1"/>
  <c r="C2426" i="2"/>
  <c r="G2426" i="2" s="1"/>
  <c r="C2448" i="2"/>
  <c r="G2448" i="2" s="1"/>
  <c r="C2452" i="2"/>
  <c r="G2452" i="2" s="1"/>
  <c r="C2478" i="2"/>
  <c r="G2478" i="2" s="1"/>
  <c r="C2623" i="2"/>
  <c r="G2623" i="2" s="1"/>
  <c r="C1333" i="2"/>
  <c r="G1333" i="2" s="1"/>
  <c r="C1336" i="2"/>
  <c r="G1336" i="2" s="1"/>
  <c r="C1340" i="2"/>
  <c r="G1340" i="2" s="1"/>
  <c r="C1367" i="2"/>
  <c r="G1367" i="2" s="1"/>
  <c r="C1371" i="2"/>
  <c r="G1371" i="2" s="1"/>
  <c r="C1375" i="2"/>
  <c r="G1375" i="2" s="1"/>
  <c r="C1383" i="2"/>
  <c r="G1383" i="2" s="1"/>
  <c r="C1391" i="2"/>
  <c r="G1391" i="2" s="1"/>
  <c r="C1395" i="2"/>
  <c r="G1395" i="2" s="1"/>
  <c r="C1429" i="2"/>
  <c r="G1429" i="2" s="1"/>
  <c r="C1445" i="2"/>
  <c r="G1445" i="2" s="1"/>
  <c r="C1471" i="2"/>
  <c r="G1471" i="2" s="1"/>
  <c r="C1516" i="2"/>
  <c r="G1516" i="2" s="1"/>
  <c r="C1540" i="2"/>
  <c r="G1540" i="2" s="1"/>
  <c r="C1595" i="2"/>
  <c r="G1595" i="2" s="1"/>
  <c r="C1651" i="2"/>
  <c r="G1651" i="2" s="1"/>
  <c r="C1666" i="2"/>
  <c r="G1666" i="2" s="1"/>
  <c r="C1715" i="2"/>
  <c r="G1715" i="2" s="1"/>
  <c r="C1730" i="2"/>
  <c r="G1730" i="2" s="1"/>
  <c r="C1770" i="2"/>
  <c r="G1770" i="2" s="1"/>
  <c r="C1788" i="2"/>
  <c r="G1788" i="2" s="1"/>
  <c r="C1807" i="2"/>
  <c r="G1807" i="2" s="1"/>
  <c r="C1841" i="2"/>
  <c r="G1841" i="2" s="1"/>
  <c r="C1859" i="2"/>
  <c r="G1859" i="2" s="1"/>
  <c r="C1888" i="2"/>
  <c r="G1888" i="2" s="1"/>
  <c r="C1903" i="2"/>
  <c r="G1903" i="2" s="1"/>
  <c r="C1914" i="2"/>
  <c r="G1914" i="2" s="1"/>
  <c r="C1946" i="2"/>
  <c r="G1946" i="2" s="1"/>
  <c r="C1986" i="2"/>
  <c r="G1986" i="2" s="1"/>
  <c r="C1994" i="2"/>
  <c r="G1994" i="2" s="1"/>
  <c r="C2017" i="2"/>
  <c r="G2017" i="2" s="1"/>
  <c r="C2035" i="2"/>
  <c r="G2035" i="2" s="1"/>
  <c r="C2064" i="2"/>
  <c r="G2064" i="2" s="1"/>
  <c r="C2079" i="2"/>
  <c r="G2079" i="2" s="1"/>
  <c r="C2090" i="2"/>
  <c r="G2090" i="2" s="1"/>
  <c r="C2111" i="2"/>
  <c r="G2111" i="2" s="1"/>
  <c r="C2114" i="2"/>
  <c r="G2114" i="2" s="1"/>
  <c r="C2122" i="2"/>
  <c r="G2122" i="2" s="1"/>
  <c r="C2140" i="2"/>
  <c r="G2140" i="2" s="1"/>
  <c r="C2159" i="2"/>
  <c r="G2159" i="2" s="1"/>
  <c r="C2206" i="2"/>
  <c r="G2206" i="2" s="1"/>
  <c r="C2214" i="2"/>
  <c r="G2214" i="2" s="1"/>
  <c r="C2278" i="2"/>
  <c r="G2278" i="2" s="1"/>
  <c r="C2378" i="2"/>
  <c r="G2378" i="2" s="1"/>
  <c r="C2382" i="2"/>
  <c r="G2382" i="2" s="1"/>
  <c r="C2386" i="2"/>
  <c r="G2386" i="2" s="1"/>
  <c r="C2441" i="2"/>
  <c r="G2441" i="2" s="1"/>
  <c r="C2445" i="2"/>
  <c r="G2445" i="2" s="1"/>
  <c r="C2528" i="2"/>
  <c r="G2528" i="2" s="1"/>
  <c r="C2582" i="2"/>
  <c r="G2582" i="2" s="1"/>
  <c r="C2624" i="2"/>
  <c r="G2624" i="2" s="1"/>
  <c r="C2731" i="2"/>
  <c r="G2731" i="2" s="1"/>
  <c r="C2602" i="2"/>
  <c r="G2602" i="2" s="1"/>
  <c r="C2606" i="2"/>
  <c r="G2606" i="2" s="1"/>
  <c r="C2650" i="2"/>
  <c r="G2650" i="2" s="1"/>
  <c r="C2690" i="2"/>
  <c r="G2690" i="2" s="1"/>
  <c r="C2694" i="2"/>
  <c r="G2694" i="2" s="1"/>
  <c r="C2750" i="2"/>
  <c r="G2750" i="2" s="1"/>
  <c r="C2794" i="2"/>
  <c r="G2794" i="2" s="1"/>
  <c r="C2867" i="2"/>
  <c r="G2867" i="2" s="1"/>
  <c r="C2886" i="2"/>
  <c r="G2886" i="2" s="1"/>
  <c r="C2904" i="2"/>
  <c r="G2904" i="2" s="1"/>
  <c r="C2931" i="2"/>
  <c r="G2931" i="2" s="1"/>
  <c r="C2950" i="2"/>
  <c r="G2950" i="2" s="1"/>
  <c r="C2999" i="2"/>
  <c r="G2999" i="2" s="1"/>
  <c r="C3054" i="2"/>
  <c r="G3054" i="2" s="1"/>
  <c r="C3072" i="2"/>
  <c r="G3072" i="2" s="1"/>
  <c r="C3080" i="2"/>
  <c r="G3080" i="2" s="1"/>
  <c r="C3099" i="2"/>
  <c r="G3099" i="2" s="1"/>
  <c r="C3107" i="2"/>
  <c r="G3107" i="2" s="1"/>
  <c r="C3150" i="2"/>
  <c r="G3150" i="2" s="1"/>
  <c r="C3199" i="2"/>
  <c r="G3199" i="2" s="1"/>
  <c r="C3238" i="2"/>
  <c r="G3238" i="2" s="1"/>
  <c r="C3272" i="2"/>
  <c r="G3272" i="2" s="1"/>
  <c r="C3400" i="2"/>
  <c r="G3400" i="2" s="1"/>
  <c r="C3424" i="2"/>
  <c r="G3424" i="2" s="1"/>
  <c r="C3530" i="2"/>
  <c r="G3530" i="2" s="1"/>
  <c r="C3702" i="2"/>
  <c r="G3702" i="2" s="1"/>
  <c r="C3710" i="2"/>
  <c r="G3710" i="2" s="1"/>
  <c r="C3718" i="2"/>
  <c r="G3718" i="2" s="1"/>
  <c r="C2610" i="2"/>
  <c r="G2610" i="2" s="1"/>
  <c r="C2842" i="2"/>
  <c r="G2842" i="2" s="1"/>
  <c r="C2894" i="2"/>
  <c r="G2894" i="2" s="1"/>
  <c r="C2992" i="2"/>
  <c r="G2992" i="2" s="1"/>
  <c r="C3011" i="2"/>
  <c r="G3011" i="2" s="1"/>
  <c r="C3019" i="2"/>
  <c r="G3019" i="2" s="1"/>
  <c r="C3062" i="2"/>
  <c r="G3062" i="2" s="1"/>
  <c r="C3123" i="2"/>
  <c r="G3123" i="2" s="1"/>
  <c r="C3131" i="2"/>
  <c r="G3131" i="2" s="1"/>
  <c r="C3184" i="2"/>
  <c r="G3184" i="2" s="1"/>
  <c r="C3192" i="2"/>
  <c r="G3192" i="2" s="1"/>
  <c r="C3211" i="2"/>
  <c r="G3211" i="2" s="1"/>
  <c r="C3219" i="2"/>
  <c r="G3219" i="2" s="1"/>
  <c r="C3296" i="2"/>
  <c r="G3296" i="2" s="1"/>
  <c r="C3358" i="2"/>
  <c r="G3358" i="2" s="1"/>
  <c r="C2470" i="2"/>
  <c r="G2470" i="2" s="1"/>
  <c r="C2485" i="2"/>
  <c r="G2485" i="2" s="1"/>
  <c r="C2507" i="2"/>
  <c r="G2507" i="2" s="1"/>
  <c r="C2514" i="2"/>
  <c r="G2514" i="2" s="1"/>
  <c r="C2529" i="2"/>
  <c r="G2529" i="2" s="1"/>
  <c r="C2562" i="2"/>
  <c r="G2562" i="2" s="1"/>
  <c r="C2585" i="2"/>
  <c r="G2585" i="2" s="1"/>
  <c r="C2589" i="2"/>
  <c r="G2589" i="2" s="1"/>
  <c r="C2614" i="2"/>
  <c r="G2614" i="2" s="1"/>
  <c r="C2618" i="2"/>
  <c r="G2618" i="2" s="1"/>
  <c r="C2622" i="2"/>
  <c r="G2622" i="2" s="1"/>
  <c r="C2658" i="2"/>
  <c r="G2658" i="2" s="1"/>
  <c r="C2670" i="2"/>
  <c r="G2670" i="2" s="1"/>
  <c r="C2702" i="2"/>
  <c r="G2702" i="2" s="1"/>
  <c r="C2740" i="2"/>
  <c r="G2740" i="2" s="1"/>
  <c r="C2758" i="2"/>
  <c r="G2758" i="2" s="1"/>
  <c r="C2762" i="2"/>
  <c r="G2762" i="2" s="1"/>
  <c r="C2773" i="2"/>
  <c r="G2773" i="2" s="1"/>
  <c r="C2802" i="2"/>
  <c r="G2802" i="2" s="1"/>
  <c r="C2821" i="2"/>
  <c r="G2821" i="2" s="1"/>
  <c r="C2828" i="2"/>
  <c r="G2828" i="2" s="1"/>
  <c r="C2839" i="2"/>
  <c r="G2839" i="2" s="1"/>
  <c r="C2857" i="2"/>
  <c r="G2857" i="2" s="1"/>
  <c r="C2895" i="2"/>
  <c r="G2895" i="2" s="1"/>
  <c r="C2898" i="2"/>
  <c r="G2898" i="2" s="1"/>
  <c r="C2909" i="2"/>
  <c r="G2909" i="2" s="1"/>
  <c r="C2913" i="2"/>
  <c r="G2913" i="2" s="1"/>
  <c r="C2917" i="2"/>
  <c r="G2917" i="2" s="1"/>
  <c r="C2921" i="2"/>
  <c r="G2921" i="2" s="1"/>
  <c r="C2958" i="2"/>
  <c r="G2958" i="2" s="1"/>
  <c r="C2981" i="2"/>
  <c r="G2981" i="2" s="1"/>
  <c r="C2989" i="2"/>
  <c r="G2989" i="2" s="1"/>
  <c r="C3008" i="2"/>
  <c r="G3008" i="2" s="1"/>
  <c r="C3016" i="2"/>
  <c r="G3016" i="2" s="1"/>
  <c r="C3024" i="2"/>
  <c r="G3024" i="2" s="1"/>
  <c r="C3028" i="2"/>
  <c r="G3028" i="2" s="1"/>
  <c r="C3043" i="2"/>
  <c r="G3043" i="2" s="1"/>
  <c r="C3059" i="2"/>
  <c r="G3059" i="2" s="1"/>
  <c r="C3085" i="2"/>
  <c r="G3085" i="2" s="1"/>
  <c r="C3089" i="2"/>
  <c r="G3089" i="2" s="1"/>
  <c r="C3120" i="2"/>
  <c r="G3120" i="2" s="1"/>
  <c r="C3128" i="2"/>
  <c r="G3128" i="2" s="1"/>
  <c r="C3136" i="2"/>
  <c r="G3136" i="2" s="1"/>
  <c r="C3140" i="2"/>
  <c r="G3140" i="2" s="1"/>
  <c r="C3158" i="2"/>
  <c r="G3158" i="2" s="1"/>
  <c r="C3189" i="2"/>
  <c r="G3189" i="2" s="1"/>
  <c r="C3208" i="2"/>
  <c r="G3208" i="2" s="1"/>
  <c r="C3216" i="2"/>
  <c r="G3216" i="2" s="1"/>
  <c r="C3224" i="2"/>
  <c r="G3224" i="2" s="1"/>
  <c r="C3228" i="2"/>
  <c r="G3228" i="2" s="1"/>
  <c r="C3258" i="2"/>
  <c r="G3258" i="2" s="1"/>
  <c r="C3265" i="2"/>
  <c r="G3265" i="2" s="1"/>
  <c r="C3277" i="2"/>
  <c r="G3277" i="2" s="1"/>
  <c r="C3289" i="2"/>
  <c r="G3289" i="2" s="1"/>
  <c r="C3304" i="2"/>
  <c r="G3304" i="2" s="1"/>
  <c r="C3332" i="2"/>
  <c r="G3332" i="2" s="1"/>
  <c r="C3355" i="2"/>
  <c r="G3355" i="2" s="1"/>
  <c r="C3359" i="2"/>
  <c r="G3359" i="2" s="1"/>
  <c r="C3378" i="2"/>
  <c r="G3378" i="2" s="1"/>
  <c r="C3386" i="2"/>
  <c r="G3386" i="2" s="1"/>
  <c r="C3390" i="2"/>
  <c r="G3390" i="2" s="1"/>
  <c r="C3421" i="2"/>
  <c r="G3421" i="2" s="1"/>
  <c r="C3425" i="2"/>
  <c r="G3425" i="2" s="1"/>
  <c r="C3457" i="2"/>
  <c r="G3457" i="2" s="1"/>
  <c r="C3481" i="2"/>
  <c r="G3481" i="2" s="1"/>
  <c r="C3516" i="2"/>
  <c r="G3516" i="2" s="1"/>
  <c r="C3610" i="2"/>
  <c r="G3610" i="2" s="1"/>
  <c r="C4054" i="2"/>
  <c r="G4054" i="2" s="1"/>
  <c r="C4743" i="2"/>
  <c r="G4743" i="2" s="1"/>
  <c r="C2615" i="2"/>
  <c r="G2615" i="2" s="1"/>
  <c r="C2619" i="2"/>
  <c r="G2619" i="2" s="1"/>
  <c r="C2637" i="2"/>
  <c r="G2637" i="2" s="1"/>
  <c r="C2659" i="2"/>
  <c r="G2659" i="2" s="1"/>
  <c r="C2663" i="2"/>
  <c r="G2663" i="2" s="1"/>
  <c r="C2667" i="2"/>
  <c r="G2667" i="2" s="1"/>
  <c r="C2671" i="2"/>
  <c r="G2671" i="2" s="1"/>
  <c r="C2733" i="2"/>
  <c r="G2733" i="2" s="1"/>
  <c r="C2737" i="2"/>
  <c r="G2737" i="2" s="1"/>
  <c r="C2759" i="2"/>
  <c r="G2759" i="2" s="1"/>
  <c r="C2777" i="2"/>
  <c r="G2777" i="2" s="1"/>
  <c r="C2781" i="2"/>
  <c r="G2781" i="2" s="1"/>
  <c r="C2865" i="2"/>
  <c r="G2865" i="2" s="1"/>
  <c r="C2880" i="2"/>
  <c r="G2880" i="2" s="1"/>
  <c r="C2888" i="2"/>
  <c r="G2888" i="2" s="1"/>
  <c r="C2929" i="2"/>
  <c r="G2929" i="2" s="1"/>
  <c r="C2944" i="2"/>
  <c r="G2944" i="2" s="1"/>
  <c r="C2948" i="2"/>
  <c r="G2948" i="2" s="1"/>
  <c r="C2955" i="2"/>
  <c r="G2955" i="2" s="1"/>
  <c r="C2997" i="2"/>
  <c r="G2997" i="2" s="1"/>
  <c r="C3001" i="2"/>
  <c r="G3001" i="2" s="1"/>
  <c r="C3040" i="2"/>
  <c r="G3040" i="2" s="1"/>
  <c r="C3048" i="2"/>
  <c r="G3048" i="2" s="1"/>
  <c r="C3052" i="2"/>
  <c r="G3052" i="2" s="1"/>
  <c r="C3093" i="2"/>
  <c r="G3093" i="2" s="1"/>
  <c r="C3097" i="2"/>
  <c r="G3097" i="2" s="1"/>
  <c r="C3105" i="2"/>
  <c r="G3105" i="2" s="1"/>
  <c r="C3113" i="2"/>
  <c r="G3113" i="2" s="1"/>
  <c r="C3148" i="2"/>
  <c r="G3148" i="2" s="1"/>
  <c r="C3155" i="2"/>
  <c r="G3155" i="2" s="1"/>
  <c r="C5167" i="2"/>
  <c r="G5167" i="2" s="1"/>
  <c r="C3182" i="2"/>
  <c r="G3182" i="2" s="1"/>
  <c r="C3270" i="2"/>
  <c r="G3270" i="2" s="1"/>
  <c r="C3317" i="2"/>
  <c r="G3317" i="2" s="1"/>
  <c r="C3398" i="2"/>
  <c r="G3398" i="2" s="1"/>
  <c r="C3426" i="2"/>
  <c r="G3426" i="2" s="1"/>
  <c r="C3501" i="2"/>
  <c r="G3501" i="2" s="1"/>
  <c r="C3930" i="2"/>
  <c r="G3930" i="2" s="1"/>
  <c r="C2490" i="2"/>
  <c r="G2490" i="2" s="1"/>
  <c r="C2516" i="2"/>
  <c r="G2516" i="2" s="1"/>
  <c r="C2527" i="2"/>
  <c r="G2527" i="2" s="1"/>
  <c r="C2560" i="2"/>
  <c r="G2560" i="2" s="1"/>
  <c r="C2568" i="2"/>
  <c r="G2568" i="2" s="1"/>
  <c r="C2586" i="2"/>
  <c r="G2586" i="2" s="1"/>
  <c r="C2605" i="2"/>
  <c r="G2605" i="2" s="1"/>
  <c r="C2620" i="2"/>
  <c r="G2620" i="2" s="1"/>
  <c r="C2627" i="2"/>
  <c r="G2627" i="2" s="1"/>
  <c r="C2634" i="2"/>
  <c r="G2634" i="2" s="1"/>
  <c r="C2649" i="2"/>
  <c r="G2649" i="2" s="1"/>
  <c r="C2656" i="2"/>
  <c r="G2656" i="2" s="1"/>
  <c r="C2664" i="2"/>
  <c r="G2664" i="2" s="1"/>
  <c r="C2693" i="2"/>
  <c r="G2693" i="2" s="1"/>
  <c r="C2700" i="2"/>
  <c r="G2700" i="2" s="1"/>
  <c r="C2711" i="2"/>
  <c r="G2711" i="2" s="1"/>
  <c r="C2715" i="2"/>
  <c r="G2715" i="2" s="1"/>
  <c r="C2719" i="2"/>
  <c r="G2719" i="2" s="1"/>
  <c r="C2730" i="2"/>
  <c r="G2730" i="2" s="1"/>
  <c r="C2745" i="2"/>
  <c r="G2745" i="2" s="1"/>
  <c r="C2749" i="2"/>
  <c r="G2749" i="2" s="1"/>
  <c r="C2756" i="2"/>
  <c r="G2756" i="2" s="1"/>
  <c r="C2760" i="2"/>
  <c r="G2760" i="2" s="1"/>
  <c r="C2858" i="2"/>
  <c r="G2858" i="2" s="1"/>
  <c r="C2881" i="2"/>
  <c r="G2881" i="2" s="1"/>
  <c r="C2885" i="2"/>
  <c r="G2885" i="2" s="1"/>
  <c r="C2910" i="2"/>
  <c r="G2910" i="2" s="1"/>
  <c r="C2914" i="2"/>
  <c r="G2914" i="2" s="1"/>
  <c r="C2922" i="2"/>
  <c r="G2922" i="2" s="1"/>
  <c r="C2956" i="2"/>
  <c r="G2956" i="2" s="1"/>
  <c r="C2967" i="2"/>
  <c r="G2967" i="2" s="1"/>
  <c r="C2986" i="2"/>
  <c r="G2986" i="2" s="1"/>
  <c r="C2990" i="2"/>
  <c r="G2990" i="2" s="1"/>
  <c r="C2994" i="2"/>
  <c r="G2994" i="2" s="1"/>
  <c r="C3041" i="2"/>
  <c r="G3041" i="2" s="1"/>
  <c r="C3049" i="2"/>
  <c r="G3049" i="2" s="1"/>
  <c r="C3075" i="2"/>
  <c r="G3075" i="2" s="1"/>
  <c r="C3106" i="2"/>
  <c r="G3106" i="2" s="1"/>
  <c r="C3156" i="2"/>
  <c r="G3156" i="2" s="1"/>
  <c r="C3167" i="2"/>
  <c r="G3167" i="2" s="1"/>
  <c r="C3190" i="2"/>
  <c r="G3190" i="2" s="1"/>
  <c r="C3244" i="2"/>
  <c r="G3244" i="2" s="1"/>
  <c r="C3263" i="2"/>
  <c r="G3263" i="2" s="1"/>
  <c r="C3302" i="2"/>
  <c r="G3302" i="2" s="1"/>
  <c r="C3310" i="2"/>
  <c r="G3310" i="2" s="1"/>
  <c r="C3314" i="2"/>
  <c r="G3314" i="2" s="1"/>
  <c r="C3322" i="2"/>
  <c r="G3322" i="2" s="1"/>
  <c r="C3341" i="2"/>
  <c r="G3341" i="2" s="1"/>
  <c r="C3364" i="2"/>
  <c r="G3364" i="2" s="1"/>
  <c r="C3395" i="2"/>
  <c r="G3395" i="2" s="1"/>
  <c r="C3403" i="2"/>
  <c r="G3403" i="2" s="1"/>
  <c r="C3419" i="2"/>
  <c r="G3419" i="2" s="1"/>
  <c r="C3423" i="2"/>
  <c r="G3423" i="2" s="1"/>
  <c r="C3431" i="2"/>
  <c r="G3431" i="2" s="1"/>
  <c r="C3443" i="2"/>
  <c r="G3443" i="2" s="1"/>
  <c r="C3454" i="2"/>
  <c r="G3454" i="2" s="1"/>
  <c r="C3478" i="2"/>
  <c r="G3478" i="2" s="1"/>
  <c r="C3486" i="2"/>
  <c r="G3486" i="2" s="1"/>
  <c r="C3490" i="2"/>
  <c r="G3490" i="2" s="1"/>
  <c r="C3553" i="2"/>
  <c r="G3553" i="2" s="1"/>
  <c r="C3631" i="2"/>
  <c r="G3631" i="2" s="1"/>
  <c r="C3635" i="2"/>
  <c r="G3635" i="2" s="1"/>
  <c r="C3643" i="2"/>
  <c r="G3643" i="2" s="1"/>
  <c r="C3658" i="2"/>
  <c r="G3658" i="2" s="1"/>
  <c r="C3666" i="2"/>
  <c r="G3666" i="2" s="1"/>
  <c r="C3670" i="2"/>
  <c r="G3670" i="2" s="1"/>
  <c r="C3697" i="2"/>
  <c r="G3697" i="2" s="1"/>
  <c r="C4098" i="2"/>
  <c r="G4098" i="2" s="1"/>
  <c r="C4481" i="2"/>
  <c r="G4481" i="2" s="1"/>
  <c r="C4702" i="2"/>
  <c r="G4702" i="2" s="1"/>
  <c r="C2764" i="2"/>
  <c r="G2764" i="2" s="1"/>
  <c r="C2797" i="2"/>
  <c r="G2797" i="2" s="1"/>
  <c r="C2804" i="2"/>
  <c r="G2804" i="2" s="1"/>
  <c r="C2808" i="2"/>
  <c r="G2808" i="2" s="1"/>
  <c r="C2812" i="2"/>
  <c r="G2812" i="2" s="1"/>
  <c r="C2819" i="2"/>
  <c r="G2819" i="2" s="1"/>
  <c r="C2841" i="2"/>
  <c r="G2841" i="2" s="1"/>
  <c r="C2848" i="2"/>
  <c r="G2848" i="2" s="1"/>
  <c r="C2900" i="2"/>
  <c r="G2900" i="2" s="1"/>
  <c r="C2919" i="2"/>
  <c r="G2919" i="2" s="1"/>
  <c r="C2964" i="2"/>
  <c r="G2964" i="2" s="1"/>
  <c r="C2987" i="2"/>
  <c r="G2987" i="2" s="1"/>
  <c r="C3068" i="2"/>
  <c r="G3068" i="2" s="1"/>
  <c r="C3130" i="2"/>
  <c r="G3130" i="2" s="1"/>
  <c r="C3138" i="2"/>
  <c r="G3138" i="2" s="1"/>
  <c r="C3164" i="2"/>
  <c r="G3164" i="2" s="1"/>
  <c r="C3187" i="2"/>
  <c r="G3187" i="2" s="1"/>
  <c r="C3218" i="2"/>
  <c r="G3218" i="2" s="1"/>
  <c r="C3226" i="2"/>
  <c r="G3226" i="2" s="1"/>
  <c r="C3252" i="2"/>
  <c r="G3252" i="2" s="1"/>
  <c r="C3256" i="2"/>
  <c r="G3256" i="2" s="1"/>
  <c r="C3275" i="2"/>
  <c r="G3275" i="2" s="1"/>
  <c r="C3291" i="2"/>
  <c r="G3291" i="2" s="1"/>
  <c r="C3295" i="2"/>
  <c r="G3295" i="2" s="1"/>
  <c r="C3334" i="2"/>
  <c r="G3334" i="2" s="1"/>
  <c r="C3353" i="2"/>
  <c r="G3353" i="2" s="1"/>
  <c r="C3380" i="2"/>
  <c r="G3380" i="2" s="1"/>
  <c r="C3384" i="2"/>
  <c r="G3384" i="2" s="1"/>
  <c r="C3585" i="2"/>
  <c r="G3585" i="2" s="1"/>
  <c r="C3998" i="2"/>
  <c r="G3998" i="2" s="1"/>
  <c r="C4411" i="2"/>
  <c r="G4411" i="2" s="1"/>
  <c r="C4695" i="2"/>
  <c r="G4695" i="2" s="1"/>
  <c r="C4872" i="2"/>
  <c r="G4872" i="2" s="1"/>
  <c r="C5232" i="2"/>
  <c r="G5232" i="2" s="1"/>
  <c r="C3508" i="2"/>
  <c r="G3508" i="2" s="1"/>
  <c r="C3523" i="2"/>
  <c r="G3523" i="2" s="1"/>
  <c r="C3527" i="2"/>
  <c r="G3527" i="2" s="1"/>
  <c r="C3535" i="2"/>
  <c r="G3535" i="2" s="1"/>
  <c r="C3539" i="2"/>
  <c r="G3539" i="2" s="1"/>
  <c r="C3543" i="2"/>
  <c r="G3543" i="2" s="1"/>
  <c r="C3547" i="2"/>
  <c r="G3547" i="2" s="1"/>
  <c r="C3566" i="2"/>
  <c r="G3566" i="2" s="1"/>
  <c r="C3574" i="2"/>
  <c r="G3574" i="2" s="1"/>
  <c r="C3578" i="2"/>
  <c r="G3578" i="2" s="1"/>
  <c r="C3582" i="2"/>
  <c r="G3582" i="2" s="1"/>
  <c r="C3586" i="2"/>
  <c r="G3586" i="2" s="1"/>
  <c r="C3594" i="2"/>
  <c r="G3594" i="2" s="1"/>
  <c r="C3605" i="2"/>
  <c r="G3605" i="2" s="1"/>
  <c r="C3609" i="2"/>
  <c r="G3609" i="2" s="1"/>
  <c r="C3617" i="2"/>
  <c r="G3617" i="2" s="1"/>
  <c r="C3628" i="2"/>
  <c r="G3628" i="2" s="1"/>
  <c r="C3659" i="2"/>
  <c r="G3659" i="2" s="1"/>
  <c r="C3667" i="2"/>
  <c r="G3667" i="2" s="1"/>
  <c r="C3674" i="2"/>
  <c r="G3674" i="2" s="1"/>
  <c r="C3682" i="2"/>
  <c r="G3682" i="2" s="1"/>
  <c r="C3694" i="2"/>
  <c r="G3694" i="2" s="1"/>
  <c r="C3709" i="2"/>
  <c r="G3709" i="2" s="1"/>
  <c r="C3777" i="2"/>
  <c r="G3777" i="2" s="1"/>
  <c r="C3788" i="2"/>
  <c r="G3788" i="2" s="1"/>
  <c r="C3796" i="2"/>
  <c r="G3796" i="2" s="1"/>
  <c r="C3843" i="2"/>
  <c r="G3843" i="2" s="1"/>
  <c r="C3855" i="2"/>
  <c r="G3855" i="2" s="1"/>
  <c r="C3862" i="2"/>
  <c r="G3862" i="2" s="1"/>
  <c r="C3874" i="2"/>
  <c r="G3874" i="2" s="1"/>
  <c r="C3882" i="2"/>
  <c r="G3882" i="2" s="1"/>
  <c r="C3897" i="2"/>
  <c r="G3897" i="2" s="1"/>
  <c r="C3901" i="2"/>
  <c r="G3901" i="2" s="1"/>
  <c r="C3909" i="2"/>
  <c r="G3909" i="2" s="1"/>
  <c r="C3927" i="2"/>
  <c r="G3927" i="2" s="1"/>
  <c r="C3938" i="2"/>
  <c r="G3938" i="2" s="1"/>
  <c r="C3965" i="2"/>
  <c r="G3965" i="2" s="1"/>
  <c r="C3995" i="2"/>
  <c r="G3995" i="2" s="1"/>
  <c r="C4002" i="2"/>
  <c r="G4002" i="2" s="1"/>
  <c r="C4006" i="2"/>
  <c r="G4006" i="2" s="1"/>
  <c r="C4017" i="2"/>
  <c r="G4017" i="2" s="1"/>
  <c r="C4058" i="2"/>
  <c r="G4058" i="2" s="1"/>
  <c r="C4073" i="2"/>
  <c r="G4073" i="2" s="1"/>
  <c r="C4077" i="2"/>
  <c r="G4077" i="2" s="1"/>
  <c r="C4113" i="2"/>
  <c r="G4113" i="2" s="1"/>
  <c r="C4147" i="2"/>
  <c r="G4147" i="2" s="1"/>
  <c r="C4150" i="2"/>
  <c r="G4150" i="2" s="1"/>
  <c r="C4161" i="2"/>
  <c r="G4161" i="2" s="1"/>
  <c r="C4165" i="2"/>
  <c r="G4165" i="2" s="1"/>
  <c r="C4218" i="2"/>
  <c r="G4218" i="2" s="1"/>
  <c r="C4222" i="2"/>
  <c r="G4222" i="2" s="1"/>
  <c r="C4233" i="2"/>
  <c r="G4233" i="2" s="1"/>
  <c r="C4248" i="2"/>
  <c r="G4248" i="2" s="1"/>
  <c r="C4266" i="2"/>
  <c r="G4266" i="2" s="1"/>
  <c r="C4289" i="2"/>
  <c r="G4289" i="2" s="1"/>
  <c r="C4310" i="2"/>
  <c r="G4310" i="2" s="1"/>
  <c r="C4328" i="2"/>
  <c r="G4328" i="2" s="1"/>
  <c r="C4336" i="2"/>
  <c r="G4336" i="2" s="1"/>
  <c r="C4347" i="2"/>
  <c r="G4347" i="2" s="1"/>
  <c r="C4351" i="2"/>
  <c r="G4351" i="2" s="1"/>
  <c r="C4354" i="2"/>
  <c r="G4354" i="2" s="1"/>
  <c r="C4362" i="2"/>
  <c r="G4362" i="2" s="1"/>
  <c r="C4382" i="2"/>
  <c r="G4382" i="2" s="1"/>
  <c r="C4386" i="2"/>
  <c r="G4386" i="2" s="1"/>
  <c r="C4408" i="2"/>
  <c r="G4408" i="2" s="1"/>
  <c r="C4456" i="2"/>
  <c r="G4456" i="2" s="1"/>
  <c r="C4467" i="2"/>
  <c r="G4467" i="2" s="1"/>
  <c r="C4478" i="2"/>
  <c r="G4478" i="2" s="1"/>
  <c r="C4485" i="2"/>
  <c r="G4485" i="2" s="1"/>
  <c r="C4523" i="2"/>
  <c r="G4523" i="2" s="1"/>
  <c r="C4550" i="2"/>
  <c r="G4550" i="2" s="1"/>
  <c r="C4554" i="2"/>
  <c r="G4554" i="2" s="1"/>
  <c r="C4569" i="2"/>
  <c r="G4569" i="2" s="1"/>
  <c r="C4589" i="2"/>
  <c r="G4589" i="2" s="1"/>
  <c r="C4623" i="2"/>
  <c r="G4623" i="2" s="1"/>
  <c r="C4627" i="2"/>
  <c r="G4627" i="2" s="1"/>
  <c r="C4630" i="2"/>
  <c r="G4630" i="2" s="1"/>
  <c r="C4642" i="2"/>
  <c r="G4642" i="2" s="1"/>
  <c r="C4654" i="2"/>
  <c r="G4654" i="2" s="1"/>
  <c r="C4677" i="2"/>
  <c r="G4677" i="2" s="1"/>
  <c r="C4685" i="2"/>
  <c r="G4685" i="2" s="1"/>
  <c r="C4733" i="2"/>
  <c r="G4733" i="2" s="1"/>
  <c r="C4758" i="2"/>
  <c r="G4758" i="2" s="1"/>
  <c r="C4766" i="2"/>
  <c r="G4766" i="2" s="1"/>
  <c r="C4815" i="2"/>
  <c r="G4815" i="2" s="1"/>
  <c r="C4826" i="2"/>
  <c r="G4826" i="2" s="1"/>
  <c r="C4830" i="2"/>
  <c r="G4830" i="2" s="1"/>
  <c r="C4861" i="2"/>
  <c r="G4861" i="2" s="1"/>
  <c r="C4865" i="2"/>
  <c r="G4865" i="2" s="1"/>
  <c r="C4869" i="2"/>
  <c r="G4869" i="2" s="1"/>
  <c r="C4884" i="2"/>
  <c r="G4884" i="2" s="1"/>
  <c r="C4892" i="2"/>
  <c r="G4892" i="2" s="1"/>
  <c r="C4896" i="2"/>
  <c r="G4896" i="2" s="1"/>
  <c r="C4900" i="2"/>
  <c r="G4900" i="2" s="1"/>
  <c r="C4904" i="2"/>
  <c r="G4904" i="2" s="1"/>
  <c r="C4915" i="2"/>
  <c r="G4915" i="2" s="1"/>
  <c r="C4919" i="2"/>
  <c r="G4919" i="2" s="1"/>
  <c r="C4946" i="2"/>
  <c r="G4946" i="2" s="1"/>
  <c r="C4954" i="2"/>
  <c r="G4954" i="2" s="1"/>
  <c r="C5032" i="2"/>
  <c r="G5032" i="2" s="1"/>
  <c r="C5047" i="2"/>
  <c r="G5047" i="2" s="1"/>
  <c r="C5055" i="2"/>
  <c r="G5055" i="2" s="1"/>
  <c r="C5059" i="2"/>
  <c r="G5059" i="2" s="1"/>
  <c r="C5126" i="2"/>
  <c r="G5126" i="2" s="1"/>
  <c r="C5171" i="2"/>
  <c r="G5171" i="2" s="1"/>
  <c r="C5221" i="2"/>
  <c r="G5221" i="2" s="1"/>
  <c r="C5225" i="2"/>
  <c r="G5225" i="2" s="1"/>
  <c r="C5229" i="2"/>
  <c r="G5229" i="2" s="1"/>
  <c r="C5307" i="2"/>
  <c r="G5307" i="2" s="1"/>
  <c r="C5311" i="2"/>
  <c r="G5311" i="2" s="1"/>
  <c r="C5322" i="2"/>
  <c r="G5322" i="2" s="1"/>
  <c r="C5326" i="2"/>
  <c r="G5326" i="2" s="1"/>
  <c r="C6178" i="2"/>
  <c r="G6178" i="2" s="1"/>
  <c r="C3890" i="2"/>
  <c r="G3890" i="2" s="1"/>
  <c r="C3973" i="2"/>
  <c r="G3973" i="2" s="1"/>
  <c r="C4018" i="2"/>
  <c r="G4018" i="2" s="1"/>
  <c r="C4114" i="2"/>
  <c r="G4114" i="2" s="1"/>
  <c r="C4129" i="2"/>
  <c r="G4129" i="2" s="1"/>
  <c r="C4173" i="2"/>
  <c r="G4173" i="2" s="1"/>
  <c r="C4177" i="2"/>
  <c r="G4177" i="2" s="1"/>
  <c r="C4226" i="2"/>
  <c r="G4226" i="2" s="1"/>
  <c r="C4311" i="2"/>
  <c r="G4311" i="2" s="1"/>
  <c r="C4471" i="2"/>
  <c r="G4471" i="2" s="1"/>
  <c r="C4527" i="2"/>
  <c r="G4527" i="2" s="1"/>
  <c r="C4570" i="2"/>
  <c r="G4570" i="2" s="1"/>
  <c r="C4601" i="2"/>
  <c r="G4601" i="2" s="1"/>
  <c r="C4703" i="2"/>
  <c r="G4703" i="2" s="1"/>
  <c r="C4751" i="2"/>
  <c r="G4751" i="2" s="1"/>
  <c r="C4759" i="2"/>
  <c r="G4759" i="2" s="1"/>
  <c r="C4775" i="2"/>
  <c r="G4775" i="2" s="1"/>
  <c r="C4779" i="2"/>
  <c r="G4779" i="2" s="1"/>
  <c r="C4783" i="2"/>
  <c r="G4783" i="2" s="1"/>
  <c r="C4816" i="2"/>
  <c r="G4816" i="2" s="1"/>
  <c r="C4831" i="2"/>
  <c r="G4831" i="2" s="1"/>
  <c r="C4854" i="2"/>
  <c r="G4854" i="2" s="1"/>
  <c r="C4858" i="2"/>
  <c r="G4858" i="2" s="1"/>
  <c r="C4920" i="2"/>
  <c r="G4920" i="2" s="1"/>
  <c r="C4947" i="2"/>
  <c r="G4947" i="2" s="1"/>
  <c r="C5119" i="2"/>
  <c r="G5119" i="2" s="1"/>
  <c r="C5198" i="2"/>
  <c r="G5198" i="2" s="1"/>
  <c r="C5214" i="2"/>
  <c r="G5214" i="2" s="1"/>
  <c r="C3622" i="2"/>
  <c r="G3622" i="2" s="1"/>
  <c r="C3633" i="2"/>
  <c r="G3633" i="2" s="1"/>
  <c r="C3637" i="2"/>
  <c r="G3637" i="2" s="1"/>
  <c r="C3645" i="2"/>
  <c r="G3645" i="2" s="1"/>
  <c r="C3680" i="2"/>
  <c r="G3680" i="2" s="1"/>
  <c r="C3707" i="2"/>
  <c r="G3707" i="2" s="1"/>
  <c r="C3715" i="2"/>
  <c r="G3715" i="2" s="1"/>
  <c r="C3726" i="2"/>
  <c r="G3726" i="2" s="1"/>
  <c r="C3734" i="2"/>
  <c r="G3734" i="2" s="1"/>
  <c r="C3746" i="2"/>
  <c r="G3746" i="2" s="1"/>
  <c r="C3754" i="2"/>
  <c r="G3754" i="2" s="1"/>
  <c r="C3762" i="2"/>
  <c r="G3762" i="2" s="1"/>
  <c r="C3774" i="2"/>
  <c r="G3774" i="2" s="1"/>
  <c r="C3793" i="2"/>
  <c r="G3793" i="2" s="1"/>
  <c r="C3805" i="2"/>
  <c r="G3805" i="2" s="1"/>
  <c r="C3864" i="2"/>
  <c r="G3864" i="2" s="1"/>
  <c r="C3887" i="2"/>
  <c r="G3887" i="2" s="1"/>
  <c r="C3895" i="2"/>
  <c r="G3895" i="2" s="1"/>
  <c r="C3932" i="2"/>
  <c r="G3932" i="2" s="1"/>
  <c r="C3962" i="2"/>
  <c r="G3962" i="2" s="1"/>
  <c r="C4041" i="2"/>
  <c r="G4041" i="2" s="1"/>
  <c r="C4045" i="2"/>
  <c r="G4045" i="2" s="1"/>
  <c r="C4056" i="2"/>
  <c r="G4056" i="2" s="1"/>
  <c r="C4067" i="2"/>
  <c r="G4067" i="2" s="1"/>
  <c r="C4071" i="2"/>
  <c r="G4071" i="2" s="1"/>
  <c r="C4104" i="2"/>
  <c r="G4104" i="2" s="1"/>
  <c r="C4122" i="2"/>
  <c r="G4122" i="2" s="1"/>
  <c r="C4126" i="2"/>
  <c r="G4126" i="2" s="1"/>
  <c r="C4137" i="2"/>
  <c r="G4137" i="2" s="1"/>
  <c r="C4159" i="2"/>
  <c r="G4159" i="2" s="1"/>
  <c r="C4170" i="2"/>
  <c r="G4170" i="2" s="1"/>
  <c r="C4174" i="2"/>
  <c r="G4174" i="2" s="1"/>
  <c r="C4178" i="2"/>
  <c r="G4178" i="2" s="1"/>
  <c r="C4182" i="2"/>
  <c r="G4182" i="2" s="1"/>
  <c r="C4200" i="2"/>
  <c r="G4200" i="2" s="1"/>
  <c r="C4208" i="2"/>
  <c r="G4208" i="2" s="1"/>
  <c r="C4253" i="2"/>
  <c r="G4253" i="2" s="1"/>
  <c r="C4261" i="2"/>
  <c r="G4261" i="2" s="1"/>
  <c r="C4301" i="2"/>
  <c r="G4301" i="2" s="1"/>
  <c r="C4304" i="2"/>
  <c r="G4304" i="2" s="1"/>
  <c r="C4322" i="2"/>
  <c r="G4322" i="2" s="1"/>
  <c r="C4371" i="2"/>
  <c r="G4371" i="2" s="1"/>
  <c r="C4394" i="2"/>
  <c r="G4394" i="2" s="1"/>
  <c r="C4424" i="2"/>
  <c r="G4424" i="2" s="1"/>
  <c r="C4442" i="2"/>
  <c r="G4442" i="2" s="1"/>
  <c r="C4446" i="2"/>
  <c r="G4446" i="2" s="1"/>
  <c r="C4450" i="2"/>
  <c r="G4450" i="2" s="1"/>
  <c r="C4494" i="2"/>
  <c r="G4494" i="2" s="1"/>
  <c r="C4502" i="2"/>
  <c r="G4502" i="2" s="1"/>
  <c r="C4506" i="2"/>
  <c r="G4506" i="2" s="1"/>
  <c r="C4559" i="2"/>
  <c r="G4559" i="2" s="1"/>
  <c r="C4567" i="2"/>
  <c r="G4567" i="2" s="1"/>
  <c r="C4575" i="2"/>
  <c r="G4575" i="2" s="1"/>
  <c r="C4579" i="2"/>
  <c r="G4579" i="2" s="1"/>
  <c r="C4586" i="2"/>
  <c r="G4586" i="2" s="1"/>
  <c r="C4594" i="2"/>
  <c r="G4594" i="2" s="1"/>
  <c r="C4617" i="2"/>
  <c r="G4617" i="2" s="1"/>
  <c r="C4621" i="2"/>
  <c r="G4621" i="2" s="1"/>
  <c r="C4648" i="2"/>
  <c r="G4648" i="2" s="1"/>
  <c r="C4655" i="2"/>
  <c r="G4655" i="2" s="1"/>
  <c r="C4674" i="2"/>
  <c r="G4674" i="2" s="1"/>
  <c r="C4682" i="2"/>
  <c r="G4682" i="2" s="1"/>
  <c r="C4730" i="2"/>
  <c r="G4730" i="2" s="1"/>
  <c r="C4772" i="2"/>
  <c r="G4772" i="2" s="1"/>
  <c r="C4791" i="2"/>
  <c r="G4791" i="2" s="1"/>
  <c r="C4813" i="2"/>
  <c r="G4813" i="2" s="1"/>
  <c r="C4824" i="2"/>
  <c r="G4824" i="2" s="1"/>
  <c r="C4828" i="2"/>
  <c r="G4828" i="2" s="1"/>
  <c r="C4851" i="2"/>
  <c r="G4851" i="2" s="1"/>
  <c r="C4859" i="2"/>
  <c r="G4859" i="2" s="1"/>
  <c r="C4940" i="2"/>
  <c r="G4940" i="2" s="1"/>
  <c r="C4944" i="2"/>
  <c r="G4944" i="2" s="1"/>
  <c r="C4956" i="2"/>
  <c r="G4956" i="2" s="1"/>
  <c r="C4959" i="2"/>
  <c r="G4959" i="2" s="1"/>
  <c r="C4963" i="2"/>
  <c r="G4963" i="2" s="1"/>
  <c r="C4967" i="2"/>
  <c r="G4967" i="2" s="1"/>
  <c r="C4971" i="2"/>
  <c r="G4971" i="2" s="1"/>
  <c r="C4975" i="2"/>
  <c r="G4975" i="2" s="1"/>
  <c r="C4999" i="2"/>
  <c r="G4999" i="2" s="1"/>
  <c r="C5003" i="2"/>
  <c r="G5003" i="2" s="1"/>
  <c r="C5010" i="2"/>
  <c r="G5010" i="2" s="1"/>
  <c r="C5026" i="2"/>
  <c r="G5026" i="2" s="1"/>
  <c r="C5030" i="2"/>
  <c r="G5030" i="2" s="1"/>
  <c r="C5049" i="2"/>
  <c r="G5049" i="2" s="1"/>
  <c r="C5092" i="2"/>
  <c r="G5092" i="2" s="1"/>
  <c r="C5112" i="2"/>
  <c r="G5112" i="2" s="1"/>
  <c r="C5127" i="2"/>
  <c r="G5127" i="2" s="1"/>
  <c r="C5135" i="2"/>
  <c r="G5135" i="2" s="1"/>
  <c r="C5146" i="2"/>
  <c r="G5146" i="2" s="1"/>
  <c r="C5150" i="2"/>
  <c r="G5150" i="2" s="1"/>
  <c r="C5180" i="2"/>
  <c r="G5180" i="2" s="1"/>
  <c r="C5183" i="2"/>
  <c r="G5183" i="2" s="1"/>
  <c r="C5199" i="2"/>
  <c r="G5199" i="2" s="1"/>
  <c r="C5207" i="2"/>
  <c r="G5207" i="2" s="1"/>
  <c r="C5301" i="2"/>
  <c r="G5301" i="2" s="1"/>
  <c r="C5440" i="2"/>
  <c r="G5440" i="2" s="1"/>
  <c r="C5543" i="2"/>
  <c r="G5543" i="2" s="1"/>
  <c r="C5931" i="2"/>
  <c r="G5931" i="2" s="1"/>
  <c r="C6338" i="2"/>
  <c r="G6338" i="2" s="1"/>
  <c r="C3432" i="2"/>
  <c r="G3432" i="2" s="1"/>
  <c r="C3444" i="2"/>
  <c r="G3444" i="2" s="1"/>
  <c r="C3502" i="2"/>
  <c r="G3502" i="2" s="1"/>
  <c r="C3517" i="2"/>
  <c r="G3517" i="2" s="1"/>
  <c r="C3521" i="2"/>
  <c r="G3521" i="2" s="1"/>
  <c r="C3525" i="2"/>
  <c r="G3525" i="2" s="1"/>
  <c r="C3545" i="2"/>
  <c r="G3545" i="2" s="1"/>
  <c r="C3584" i="2"/>
  <c r="G3584" i="2" s="1"/>
  <c r="C3596" i="2"/>
  <c r="G3596" i="2" s="1"/>
  <c r="C3630" i="2"/>
  <c r="G3630" i="2" s="1"/>
  <c r="C3634" i="2"/>
  <c r="G3634" i="2" s="1"/>
  <c r="C3642" i="2"/>
  <c r="G3642" i="2" s="1"/>
  <c r="C3653" i="2"/>
  <c r="G3653" i="2" s="1"/>
  <c r="C3657" i="2"/>
  <c r="G3657" i="2" s="1"/>
  <c r="C3727" i="2"/>
  <c r="G3727" i="2" s="1"/>
  <c r="C3731" i="2"/>
  <c r="G3731" i="2" s="1"/>
  <c r="C3739" i="2"/>
  <c r="G3739" i="2" s="1"/>
  <c r="C3743" i="2"/>
  <c r="G3743" i="2" s="1"/>
  <c r="C3751" i="2"/>
  <c r="G3751" i="2" s="1"/>
  <c r="C3755" i="2"/>
  <c r="G3755" i="2" s="1"/>
  <c r="C3759" i="2"/>
  <c r="G3759" i="2" s="1"/>
  <c r="C3767" i="2"/>
  <c r="G3767" i="2" s="1"/>
  <c r="C3771" i="2"/>
  <c r="G3771" i="2" s="1"/>
  <c r="C3790" i="2"/>
  <c r="G3790" i="2" s="1"/>
  <c r="C3794" i="2"/>
  <c r="G3794" i="2" s="1"/>
  <c r="C3802" i="2"/>
  <c r="G3802" i="2" s="1"/>
  <c r="C3841" i="2"/>
  <c r="G3841" i="2" s="1"/>
  <c r="C3849" i="2"/>
  <c r="G3849" i="2" s="1"/>
  <c r="C3872" i="2"/>
  <c r="G3872" i="2" s="1"/>
  <c r="C3880" i="2"/>
  <c r="G3880" i="2" s="1"/>
  <c r="C3903" i="2"/>
  <c r="G3903" i="2" s="1"/>
  <c r="C3944" i="2"/>
  <c r="G3944" i="2" s="1"/>
  <c r="C3955" i="2"/>
  <c r="G3955" i="2" s="1"/>
  <c r="C3959" i="2"/>
  <c r="G3959" i="2" s="1"/>
  <c r="C3997" i="2"/>
  <c r="G3997" i="2" s="1"/>
  <c r="C4008" i="2"/>
  <c r="G4008" i="2" s="1"/>
  <c r="C4034" i="2"/>
  <c r="G4034" i="2" s="1"/>
  <c r="C4038" i="2"/>
  <c r="G4038" i="2" s="1"/>
  <c r="C4053" i="2"/>
  <c r="G4053" i="2" s="1"/>
  <c r="C4079" i="2"/>
  <c r="G4079" i="2" s="1"/>
  <c r="C4090" i="2"/>
  <c r="G4090" i="2" s="1"/>
  <c r="C4134" i="2"/>
  <c r="G4134" i="2" s="1"/>
  <c r="C4138" i="2"/>
  <c r="G4138" i="2" s="1"/>
  <c r="C4216" i="2"/>
  <c r="G4216" i="2" s="1"/>
  <c r="C4220" i="2"/>
  <c r="G4220" i="2" s="1"/>
  <c r="C4231" i="2"/>
  <c r="G4231" i="2" s="1"/>
  <c r="C4254" i="2"/>
  <c r="G4254" i="2" s="1"/>
  <c r="C4287" i="2"/>
  <c r="G4287" i="2" s="1"/>
  <c r="C4291" i="2"/>
  <c r="G4291" i="2" s="1"/>
  <c r="C4334" i="2"/>
  <c r="G4334" i="2" s="1"/>
  <c r="C4349" i="2"/>
  <c r="G4349" i="2" s="1"/>
  <c r="C4368" i="2"/>
  <c r="G4368" i="2" s="1"/>
  <c r="C4376" i="2"/>
  <c r="G4376" i="2" s="1"/>
  <c r="C4406" i="2"/>
  <c r="G4406" i="2" s="1"/>
  <c r="C4727" i="2"/>
  <c r="G4727" i="2" s="1"/>
  <c r="C4788" i="2"/>
  <c r="G4788" i="2" s="1"/>
  <c r="C4803" i="2"/>
  <c r="G4803" i="2" s="1"/>
  <c r="C4836" i="2"/>
  <c r="G4836" i="2" s="1"/>
  <c r="C4886" i="2"/>
  <c r="G4886" i="2" s="1"/>
  <c r="C4929" i="2"/>
  <c r="G4929" i="2" s="1"/>
  <c r="C4933" i="2"/>
  <c r="G4933" i="2" s="1"/>
  <c r="C4960" i="2"/>
  <c r="G4960" i="2" s="1"/>
  <c r="C5038" i="2"/>
  <c r="G5038" i="2" s="1"/>
  <c r="C5061" i="2"/>
  <c r="G5061" i="2" s="1"/>
  <c r="C5069" i="2"/>
  <c r="G5069" i="2" s="1"/>
  <c r="C5073" i="2"/>
  <c r="G5073" i="2" s="1"/>
  <c r="C5101" i="2"/>
  <c r="G5101" i="2" s="1"/>
  <c r="C5105" i="2"/>
  <c r="G5105" i="2" s="1"/>
  <c r="C5109" i="2"/>
  <c r="G5109" i="2" s="1"/>
  <c r="C5128" i="2"/>
  <c r="G5128" i="2" s="1"/>
  <c r="C5139" i="2"/>
  <c r="G5139" i="2" s="1"/>
  <c r="C5162" i="2"/>
  <c r="G5162" i="2" s="1"/>
  <c r="C5166" i="2"/>
  <c r="G5166" i="2" s="1"/>
  <c r="C5173" i="2"/>
  <c r="G5173" i="2" s="1"/>
  <c r="C5223" i="2"/>
  <c r="G5223" i="2" s="1"/>
  <c r="C5231" i="2"/>
  <c r="G5231" i="2" s="1"/>
  <c r="C5264" i="2"/>
  <c r="G5264" i="2" s="1"/>
  <c r="C5287" i="2"/>
  <c r="G5287" i="2" s="1"/>
  <c r="C5298" i="2"/>
  <c r="G5298" i="2" s="1"/>
  <c r="C5309" i="2"/>
  <c r="G5309" i="2" s="1"/>
  <c r="C5320" i="2"/>
  <c r="G5320" i="2" s="1"/>
  <c r="C5328" i="2"/>
  <c r="G5328" i="2" s="1"/>
  <c r="C3600" i="2"/>
  <c r="G3600" i="2" s="1"/>
  <c r="C3608" i="2"/>
  <c r="G3608" i="2" s="1"/>
  <c r="C3650" i="2"/>
  <c r="G3650" i="2" s="1"/>
  <c r="C3700" i="2"/>
  <c r="G3700" i="2" s="1"/>
  <c r="C3708" i="2"/>
  <c r="G3708" i="2" s="1"/>
  <c r="C3712" i="2"/>
  <c r="G3712" i="2" s="1"/>
  <c r="C3783" i="2"/>
  <c r="G3783" i="2" s="1"/>
  <c r="C3814" i="2"/>
  <c r="G3814" i="2" s="1"/>
  <c r="C3818" i="2"/>
  <c r="G3818" i="2" s="1"/>
  <c r="C3822" i="2"/>
  <c r="G3822" i="2" s="1"/>
  <c r="C3830" i="2"/>
  <c r="G3830" i="2" s="1"/>
  <c r="C3834" i="2"/>
  <c r="G3834" i="2" s="1"/>
  <c r="C3888" i="2"/>
  <c r="G3888" i="2" s="1"/>
  <c r="C3896" i="2"/>
  <c r="G3896" i="2" s="1"/>
  <c r="C3911" i="2"/>
  <c r="G3911" i="2" s="1"/>
  <c r="C3933" i="2"/>
  <c r="G3933" i="2" s="1"/>
  <c r="C3941" i="2"/>
  <c r="G3941" i="2" s="1"/>
  <c r="C3952" i="2"/>
  <c r="G3952" i="2" s="1"/>
  <c r="C3967" i="2"/>
  <c r="G3967" i="2" s="1"/>
  <c r="C3982" i="2"/>
  <c r="G3982" i="2" s="1"/>
  <c r="C3986" i="2"/>
  <c r="G3986" i="2" s="1"/>
  <c r="C3990" i="2"/>
  <c r="G3990" i="2" s="1"/>
  <c r="C4016" i="2"/>
  <c r="G4016" i="2" s="1"/>
  <c r="C4046" i="2"/>
  <c r="G4046" i="2" s="1"/>
  <c r="C4101" i="2"/>
  <c r="G4101" i="2" s="1"/>
  <c r="C4112" i="2"/>
  <c r="G4112" i="2" s="1"/>
  <c r="C4123" i="2"/>
  <c r="G4123" i="2" s="1"/>
  <c r="C4127" i="2"/>
  <c r="G4127" i="2" s="1"/>
  <c r="C4156" i="2"/>
  <c r="G4156" i="2" s="1"/>
  <c r="C4160" i="2"/>
  <c r="G4160" i="2" s="1"/>
  <c r="C4171" i="2"/>
  <c r="G4171" i="2" s="1"/>
  <c r="C4179" i="2"/>
  <c r="G4179" i="2" s="1"/>
  <c r="C4183" i="2"/>
  <c r="G4183" i="2" s="1"/>
  <c r="C4201" i="2"/>
  <c r="G4201" i="2" s="1"/>
  <c r="C4209" i="2"/>
  <c r="G4209" i="2" s="1"/>
  <c r="C4309" i="2"/>
  <c r="G4309" i="2" s="1"/>
  <c r="C4414" i="2"/>
  <c r="G4414" i="2" s="1"/>
  <c r="C4425" i="2"/>
  <c r="G4425" i="2" s="1"/>
  <c r="C4443" i="2"/>
  <c r="G4443" i="2" s="1"/>
  <c r="C4447" i="2"/>
  <c r="G4447" i="2" s="1"/>
  <c r="C4451" i="2"/>
  <c r="G4451" i="2" s="1"/>
  <c r="C4480" i="2"/>
  <c r="G4480" i="2" s="1"/>
  <c r="C4495" i="2"/>
  <c r="G4495" i="2" s="1"/>
  <c r="C4503" i="2"/>
  <c r="G4503" i="2" s="1"/>
  <c r="C4507" i="2"/>
  <c r="G4507" i="2" s="1"/>
  <c r="C4533" i="2"/>
  <c r="G4533" i="2" s="1"/>
  <c r="C4572" i="2"/>
  <c r="G4572" i="2" s="1"/>
  <c r="C4576" i="2"/>
  <c r="G4576" i="2" s="1"/>
  <c r="C4580" i="2"/>
  <c r="G4580" i="2" s="1"/>
  <c r="C4625" i="2"/>
  <c r="G4625" i="2" s="1"/>
  <c r="C4633" i="2"/>
  <c r="G4633" i="2" s="1"/>
  <c r="C4645" i="2"/>
  <c r="G4645" i="2" s="1"/>
  <c r="C4777" i="2"/>
  <c r="G4777" i="2" s="1"/>
  <c r="C4781" i="2"/>
  <c r="G4781" i="2" s="1"/>
  <c r="C4814" i="2"/>
  <c r="G4814" i="2" s="1"/>
  <c r="C4840" i="2"/>
  <c r="G4840" i="2" s="1"/>
  <c r="C4844" i="2"/>
  <c r="G4844" i="2" s="1"/>
  <c r="C4852" i="2"/>
  <c r="G4852" i="2" s="1"/>
  <c r="C4856" i="2"/>
  <c r="G4856" i="2" s="1"/>
  <c r="C4860" i="2"/>
  <c r="G4860" i="2" s="1"/>
  <c r="C4875" i="2"/>
  <c r="G4875" i="2" s="1"/>
  <c r="C4941" i="2"/>
  <c r="G4941" i="2" s="1"/>
  <c r="C4968" i="2"/>
  <c r="G4968" i="2" s="1"/>
  <c r="C4972" i="2"/>
  <c r="G4972" i="2" s="1"/>
  <c r="C4976" i="2"/>
  <c r="G4976" i="2" s="1"/>
  <c r="C4984" i="2"/>
  <c r="G4984" i="2" s="1"/>
  <c r="C5000" i="2"/>
  <c r="G5000" i="2" s="1"/>
  <c r="C5035" i="2"/>
  <c r="G5035" i="2" s="1"/>
  <c r="C5042" i="2"/>
  <c r="G5042" i="2" s="1"/>
  <c r="C5050" i="2"/>
  <c r="G5050" i="2" s="1"/>
  <c r="C5151" i="2"/>
  <c r="G5151" i="2" s="1"/>
  <c r="C5159" i="2"/>
  <c r="G5159" i="2" s="1"/>
  <c r="C5177" i="2"/>
  <c r="G5177" i="2" s="1"/>
  <c r="C5196" i="2"/>
  <c r="G5196" i="2" s="1"/>
  <c r="C5200" i="2"/>
  <c r="G5200" i="2" s="1"/>
  <c r="C5212" i="2"/>
  <c r="G5212" i="2" s="1"/>
  <c r="C5359" i="2"/>
  <c r="G5359" i="2" s="1"/>
  <c r="C5896" i="2"/>
  <c r="G5896" i="2" s="1"/>
  <c r="C6098" i="2"/>
  <c r="G6098" i="2" s="1"/>
  <c r="C3732" i="2"/>
  <c r="G3732" i="2" s="1"/>
  <c r="C3736" i="2"/>
  <c r="G3736" i="2" s="1"/>
  <c r="C3744" i="2"/>
  <c r="G3744" i="2" s="1"/>
  <c r="C3752" i="2"/>
  <c r="G3752" i="2" s="1"/>
  <c r="C3760" i="2"/>
  <c r="G3760" i="2" s="1"/>
  <c r="C3764" i="2"/>
  <c r="G3764" i="2" s="1"/>
  <c r="C3772" i="2"/>
  <c r="G3772" i="2" s="1"/>
  <c r="C3791" i="2"/>
  <c r="G3791" i="2" s="1"/>
  <c r="C3795" i="2"/>
  <c r="G3795" i="2" s="1"/>
  <c r="C3842" i="2"/>
  <c r="G3842" i="2" s="1"/>
  <c r="C3850" i="2"/>
  <c r="G3850" i="2" s="1"/>
  <c r="C3881" i="2"/>
  <c r="G3881" i="2" s="1"/>
  <c r="C3900" i="2"/>
  <c r="G3900" i="2" s="1"/>
  <c r="C3904" i="2"/>
  <c r="G3904" i="2" s="1"/>
  <c r="C3949" i="2"/>
  <c r="G3949" i="2" s="1"/>
  <c r="C3960" i="2"/>
  <c r="G3960" i="2" s="1"/>
  <c r="C3964" i="2"/>
  <c r="G3964" i="2" s="1"/>
  <c r="C3975" i="2"/>
  <c r="G3975" i="2" s="1"/>
  <c r="C3979" i="2"/>
  <c r="G3979" i="2" s="1"/>
  <c r="C4024" i="2"/>
  <c r="G4024" i="2" s="1"/>
  <c r="C4039" i="2"/>
  <c r="G4039" i="2" s="1"/>
  <c r="C4091" i="2"/>
  <c r="G4091" i="2" s="1"/>
  <c r="C4109" i="2"/>
  <c r="G4109" i="2" s="1"/>
  <c r="C4135" i="2"/>
  <c r="G4135" i="2" s="1"/>
  <c r="C4146" i="2"/>
  <c r="G4146" i="2" s="1"/>
  <c r="C4194" i="2"/>
  <c r="G4194" i="2" s="1"/>
  <c r="C4217" i="2"/>
  <c r="G4217" i="2" s="1"/>
  <c r="C4221" i="2"/>
  <c r="G4221" i="2" s="1"/>
  <c r="C4232" i="2"/>
  <c r="G4232" i="2" s="1"/>
  <c r="C4247" i="2"/>
  <c r="G4247" i="2" s="1"/>
  <c r="C4251" i="2"/>
  <c r="G4251" i="2" s="1"/>
  <c r="C4273" i="2"/>
  <c r="G4273" i="2" s="1"/>
  <c r="C4288" i="2"/>
  <c r="G4288" i="2" s="1"/>
  <c r="C4327" i="2"/>
  <c r="G4327" i="2" s="1"/>
  <c r="C4331" i="2"/>
  <c r="G4331" i="2" s="1"/>
  <c r="C4335" i="2"/>
  <c r="G4335" i="2" s="1"/>
  <c r="C4339" i="2"/>
  <c r="G4339" i="2" s="1"/>
  <c r="C4350" i="2"/>
  <c r="G4350" i="2" s="1"/>
  <c r="C4369" i="2"/>
  <c r="G4369" i="2" s="1"/>
  <c r="C4389" i="2"/>
  <c r="G4389" i="2" s="1"/>
  <c r="C4403" i="2"/>
  <c r="G4403" i="2" s="1"/>
  <c r="C4407" i="2"/>
  <c r="G4407" i="2" s="1"/>
  <c r="C4477" i="2"/>
  <c r="G4477" i="2" s="1"/>
  <c r="C4484" i="2"/>
  <c r="G4484" i="2" s="1"/>
  <c r="C4488" i="2"/>
  <c r="G4488" i="2" s="1"/>
  <c r="C4511" i="2"/>
  <c r="G4511" i="2" s="1"/>
  <c r="C4515" i="2"/>
  <c r="G4515" i="2" s="1"/>
  <c r="C4522" i="2"/>
  <c r="G4522" i="2" s="1"/>
  <c r="C4545" i="2"/>
  <c r="G4545" i="2" s="1"/>
  <c r="C4549" i="2"/>
  <c r="G4549" i="2" s="1"/>
  <c r="C4553" i="2"/>
  <c r="G4553" i="2" s="1"/>
  <c r="C4584" i="2"/>
  <c r="G4584" i="2" s="1"/>
  <c r="C4592" i="2"/>
  <c r="G4592" i="2" s="1"/>
  <c r="C4607" i="2"/>
  <c r="G4607" i="2" s="1"/>
  <c r="C4611" i="2"/>
  <c r="G4611" i="2" s="1"/>
  <c r="C4626" i="2"/>
  <c r="G4626" i="2" s="1"/>
  <c r="C4661" i="2"/>
  <c r="G4661" i="2" s="1"/>
  <c r="C4676" i="2"/>
  <c r="G4676" i="2" s="1"/>
  <c r="C4684" i="2"/>
  <c r="G4684" i="2" s="1"/>
  <c r="C4717" i="2"/>
  <c r="G4717" i="2" s="1"/>
  <c r="C4728" i="2"/>
  <c r="G4728" i="2" s="1"/>
  <c r="C4732" i="2"/>
  <c r="G4732" i="2" s="1"/>
  <c r="C4789" i="2"/>
  <c r="G4789" i="2" s="1"/>
  <c r="C4800" i="2"/>
  <c r="G4800" i="2" s="1"/>
  <c r="C4804" i="2"/>
  <c r="G4804" i="2" s="1"/>
  <c r="C4864" i="2"/>
  <c r="G4864" i="2" s="1"/>
  <c r="C4868" i="2"/>
  <c r="G4868" i="2" s="1"/>
  <c r="C4961" i="2"/>
  <c r="G4961" i="2" s="1"/>
  <c r="C5058" i="2"/>
  <c r="G5058" i="2" s="1"/>
  <c r="C5062" i="2"/>
  <c r="G5062" i="2" s="1"/>
  <c r="C5070" i="2"/>
  <c r="G5070" i="2" s="1"/>
  <c r="C5078" i="2"/>
  <c r="G5078" i="2" s="1"/>
  <c r="C5110" i="2"/>
  <c r="G5110" i="2" s="1"/>
  <c r="C5125" i="2"/>
  <c r="G5125" i="2" s="1"/>
  <c r="C5129" i="2"/>
  <c r="G5129" i="2" s="1"/>
  <c r="C5140" i="2"/>
  <c r="G5140" i="2" s="1"/>
  <c r="C5170" i="2"/>
  <c r="G5170" i="2" s="1"/>
  <c r="C5224" i="2"/>
  <c r="G5224" i="2" s="1"/>
  <c r="C5228" i="2"/>
  <c r="G5228" i="2" s="1"/>
  <c r="C5250" i="2"/>
  <c r="G5250" i="2" s="1"/>
  <c r="C5261" i="2"/>
  <c r="G5261" i="2" s="1"/>
  <c r="C5280" i="2"/>
  <c r="G5280" i="2" s="1"/>
  <c r="C5284" i="2"/>
  <c r="G5284" i="2" s="1"/>
  <c r="C5288" i="2"/>
  <c r="G5288" i="2" s="1"/>
  <c r="C5655" i="2"/>
  <c r="G5655" i="2" s="1"/>
  <c r="C5375" i="2"/>
  <c r="G5375" i="2" s="1"/>
  <c r="C5779" i="2"/>
  <c r="G5779" i="2" s="1"/>
  <c r="C5845" i="2"/>
  <c r="G5845" i="2" s="1"/>
  <c r="C5853" i="2"/>
  <c r="G5853" i="2" s="1"/>
  <c r="C5861" i="2"/>
  <c r="G5861" i="2" s="1"/>
  <c r="C5869" i="2"/>
  <c r="G5869" i="2" s="1"/>
  <c r="C5981" i="2"/>
  <c r="G5981" i="2" s="1"/>
  <c r="C5989" i="2"/>
  <c r="G5989" i="2" s="1"/>
  <c r="C6044" i="2"/>
  <c r="G6044" i="2" s="1"/>
  <c r="C6052" i="2"/>
  <c r="G6052" i="2" s="1"/>
  <c r="C6300" i="2"/>
  <c r="G6300" i="2" s="1"/>
  <c r="C6365" i="2"/>
  <c r="G6365" i="2" s="1"/>
  <c r="C6396" i="2"/>
  <c r="G6396" i="2" s="1"/>
  <c r="C6404" i="2"/>
  <c r="G6404" i="2" s="1"/>
  <c r="C5241" i="2"/>
  <c r="G5241" i="2" s="1"/>
  <c r="C5270" i="2"/>
  <c r="G5270" i="2" s="1"/>
  <c r="C5314" i="2"/>
  <c r="G5314" i="2" s="1"/>
  <c r="C5318" i="2"/>
  <c r="G5318" i="2" s="1"/>
  <c r="C5347" i="2"/>
  <c r="G5347" i="2" s="1"/>
  <c r="C5351" i="2"/>
  <c r="G5351" i="2" s="1"/>
  <c r="C5365" i="2"/>
  <c r="G5365" i="2" s="1"/>
  <c r="C5368" i="2"/>
  <c r="G5368" i="2" s="1"/>
  <c r="C5380" i="2"/>
  <c r="G5380" i="2" s="1"/>
  <c r="C5390" i="2"/>
  <c r="G5390" i="2" s="1"/>
  <c r="C5398" i="2"/>
  <c r="G5398" i="2" s="1"/>
  <c r="C5414" i="2"/>
  <c r="G5414" i="2" s="1"/>
  <c r="C5418" i="2"/>
  <c r="G5418" i="2" s="1"/>
  <c r="C5422" i="2"/>
  <c r="G5422" i="2" s="1"/>
  <c r="C5426" i="2"/>
  <c r="G5426" i="2" s="1"/>
  <c r="C5438" i="2"/>
  <c r="G5438" i="2" s="1"/>
  <c r="C5445" i="2"/>
  <c r="G5445" i="2" s="1"/>
  <c r="C5456" i="2"/>
  <c r="G5456" i="2" s="1"/>
  <c r="C5467" i="2"/>
  <c r="G5467" i="2" s="1"/>
  <c r="C5483" i="2"/>
  <c r="G5483" i="2" s="1"/>
  <c r="C5517" i="2"/>
  <c r="G5517" i="2" s="1"/>
  <c r="C5566" i="2"/>
  <c r="G5566" i="2" s="1"/>
  <c r="C5604" i="2"/>
  <c r="G5604" i="2" s="1"/>
  <c r="C5630" i="2"/>
  <c r="G5630" i="2" s="1"/>
  <c r="C5656" i="2"/>
  <c r="G5656" i="2" s="1"/>
  <c r="C5660" i="2"/>
  <c r="G5660" i="2" s="1"/>
  <c r="C5671" i="2"/>
  <c r="G5671" i="2" s="1"/>
  <c r="C5683" i="2"/>
  <c r="G5683" i="2" s="1"/>
  <c r="C5687" i="2"/>
  <c r="G5687" i="2" s="1"/>
  <c r="C5691" i="2"/>
  <c r="G5691" i="2" s="1"/>
  <c r="C5710" i="2"/>
  <c r="G5710" i="2" s="1"/>
  <c r="C5726" i="2"/>
  <c r="G5726" i="2" s="1"/>
  <c r="C5741" i="2"/>
  <c r="G5741" i="2" s="1"/>
  <c r="C5749" i="2"/>
  <c r="G5749" i="2" s="1"/>
  <c r="C5776" i="2"/>
  <c r="G5776" i="2" s="1"/>
  <c r="C5780" i="2"/>
  <c r="G5780" i="2" s="1"/>
  <c r="C5784" i="2"/>
  <c r="G5784" i="2" s="1"/>
  <c r="C5803" i="2"/>
  <c r="G5803" i="2" s="1"/>
  <c r="C5838" i="2"/>
  <c r="G5838" i="2" s="1"/>
  <c r="C5842" i="2"/>
  <c r="G5842" i="2" s="1"/>
  <c r="C5850" i="2"/>
  <c r="G5850" i="2" s="1"/>
  <c r="C5858" i="2"/>
  <c r="G5858" i="2" s="1"/>
  <c r="C5885" i="2"/>
  <c r="G5885" i="2" s="1"/>
  <c r="C5970" i="2"/>
  <c r="G5970" i="2" s="1"/>
  <c r="C5986" i="2"/>
  <c r="G5986" i="2" s="1"/>
  <c r="C5994" i="2"/>
  <c r="G5994" i="2" s="1"/>
  <c r="C6002" i="2"/>
  <c r="G6002" i="2" s="1"/>
  <c r="C6025" i="2"/>
  <c r="G6025" i="2" s="1"/>
  <c r="C6041" i="2"/>
  <c r="G6041" i="2" s="1"/>
  <c r="C6049" i="2"/>
  <c r="G6049" i="2" s="1"/>
  <c r="C6072" i="2"/>
  <c r="G6072" i="2" s="1"/>
  <c r="C6111" i="2"/>
  <c r="G6111" i="2" s="1"/>
  <c r="C6130" i="2"/>
  <c r="G6130" i="2" s="1"/>
  <c r="C6168" i="2"/>
  <c r="G6168" i="2" s="1"/>
  <c r="C6213" i="2"/>
  <c r="G6213" i="2" s="1"/>
  <c r="C6241" i="2"/>
  <c r="G6241" i="2" s="1"/>
  <c r="C6305" i="2"/>
  <c r="G6305" i="2" s="1"/>
  <c r="C6313" i="2"/>
  <c r="G6313" i="2" s="1"/>
  <c r="C6316" i="2"/>
  <c r="G6316" i="2" s="1"/>
  <c r="C6343" i="2"/>
  <c r="G6343" i="2" s="1"/>
  <c r="C6358" i="2"/>
  <c r="G6358" i="2" s="1"/>
  <c r="C6362" i="2"/>
  <c r="G6362" i="2" s="1"/>
  <c r="C6366" i="2"/>
  <c r="G6366" i="2" s="1"/>
  <c r="C6370" i="2"/>
  <c r="G6370" i="2" s="1"/>
  <c r="C6597" i="2"/>
  <c r="G6597" i="2" s="1"/>
  <c r="C6516" i="2"/>
  <c r="G6516" i="2" s="1"/>
  <c r="C6528" i="2"/>
  <c r="G6528" i="2" s="1"/>
  <c r="C5699" i="2"/>
  <c r="G5699" i="2" s="1"/>
  <c r="C5715" i="2"/>
  <c r="G5715" i="2" s="1"/>
  <c r="C5757" i="2"/>
  <c r="G5757" i="2" s="1"/>
  <c r="C5835" i="2"/>
  <c r="G5835" i="2" s="1"/>
  <c r="C6010" i="2"/>
  <c r="G6010" i="2" s="1"/>
  <c r="C6226" i="2"/>
  <c r="G6226" i="2" s="1"/>
  <c r="C6268" i="2"/>
  <c r="G6268" i="2" s="1"/>
  <c r="C6332" i="2"/>
  <c r="G6332" i="2" s="1"/>
  <c r="C6347" i="2"/>
  <c r="G6347" i="2" s="1"/>
  <c r="C5267" i="2"/>
  <c r="G5267" i="2" s="1"/>
  <c r="C5294" i="2"/>
  <c r="G5294" i="2" s="1"/>
  <c r="C5308" i="2"/>
  <c r="G5308" i="2" s="1"/>
  <c r="C5315" i="2"/>
  <c r="G5315" i="2" s="1"/>
  <c r="C5388" i="2"/>
  <c r="G5388" i="2" s="1"/>
  <c r="C5403" i="2"/>
  <c r="G5403" i="2" s="1"/>
  <c r="C5419" i="2"/>
  <c r="G5419" i="2" s="1"/>
  <c r="C5461" i="2"/>
  <c r="G5461" i="2" s="1"/>
  <c r="C5465" i="2"/>
  <c r="G5465" i="2" s="1"/>
  <c r="C5469" i="2"/>
  <c r="G5469" i="2" s="1"/>
  <c r="C5481" i="2"/>
  <c r="G5481" i="2" s="1"/>
  <c r="C5485" i="2"/>
  <c r="G5485" i="2" s="1"/>
  <c r="C5538" i="2"/>
  <c r="G5538" i="2" s="1"/>
  <c r="C5552" i="2"/>
  <c r="G5552" i="2" s="1"/>
  <c r="C5560" i="2"/>
  <c r="G5560" i="2" s="1"/>
  <c r="C5594" i="2"/>
  <c r="G5594" i="2" s="1"/>
  <c r="C5598" i="2"/>
  <c r="G5598" i="2" s="1"/>
  <c r="C5627" i="2"/>
  <c r="G5627" i="2" s="1"/>
  <c r="C5643" i="2"/>
  <c r="G5643" i="2" s="1"/>
  <c r="C5696" i="2"/>
  <c r="G5696" i="2" s="1"/>
  <c r="C5704" i="2"/>
  <c r="G5704" i="2" s="1"/>
  <c r="C5708" i="2"/>
  <c r="G5708" i="2" s="1"/>
  <c r="C5712" i="2"/>
  <c r="G5712" i="2" s="1"/>
  <c r="C5720" i="2"/>
  <c r="G5720" i="2" s="1"/>
  <c r="C5731" i="2"/>
  <c r="G5731" i="2" s="1"/>
  <c r="C5754" i="2"/>
  <c r="G5754" i="2" s="1"/>
  <c r="C5758" i="2"/>
  <c r="G5758" i="2" s="1"/>
  <c r="C5762" i="2"/>
  <c r="G5762" i="2" s="1"/>
  <c r="C5766" i="2"/>
  <c r="G5766" i="2" s="1"/>
  <c r="C5773" i="2"/>
  <c r="G5773" i="2" s="1"/>
  <c r="C5801" i="2"/>
  <c r="G5801" i="2" s="1"/>
  <c r="C5816" i="2"/>
  <c r="G5816" i="2" s="1"/>
  <c r="C5820" i="2"/>
  <c r="G5820" i="2" s="1"/>
  <c r="C5828" i="2"/>
  <c r="G5828" i="2" s="1"/>
  <c r="C5832" i="2"/>
  <c r="G5832" i="2" s="1"/>
  <c r="C5879" i="2"/>
  <c r="G5879" i="2" s="1"/>
  <c r="C5902" i="2"/>
  <c r="G5902" i="2" s="1"/>
  <c r="C5971" i="2"/>
  <c r="G5971" i="2" s="1"/>
  <c r="C6007" i="2"/>
  <c r="G6007" i="2" s="1"/>
  <c r="C6069" i="2"/>
  <c r="G6069" i="2" s="1"/>
  <c r="C6077" i="2"/>
  <c r="G6077" i="2" s="1"/>
  <c r="C6097" i="2"/>
  <c r="G6097" i="2" s="1"/>
  <c r="C6100" i="2"/>
  <c r="G6100" i="2" s="1"/>
  <c r="C6120" i="2"/>
  <c r="G6120" i="2" s="1"/>
  <c r="C6157" i="2"/>
  <c r="G6157" i="2" s="1"/>
  <c r="C6177" i="2"/>
  <c r="G6177" i="2" s="1"/>
  <c r="C6219" i="2"/>
  <c r="G6219" i="2" s="1"/>
  <c r="C6223" i="2"/>
  <c r="G6223" i="2" s="1"/>
  <c r="C6227" i="2"/>
  <c r="G6227" i="2" s="1"/>
  <c r="C6253" i="2"/>
  <c r="G6253" i="2" s="1"/>
  <c r="C6291" i="2"/>
  <c r="G6291" i="2" s="1"/>
  <c r="C6298" i="2"/>
  <c r="G6298" i="2" s="1"/>
  <c r="C6322" i="2"/>
  <c r="G6322" i="2" s="1"/>
  <c r="C6340" i="2"/>
  <c r="G6340" i="2" s="1"/>
  <c r="C6433" i="2"/>
  <c r="G6433" i="2" s="1"/>
  <c r="C6490" i="2"/>
  <c r="G6490" i="2" s="1"/>
  <c r="C6019" i="2"/>
  <c r="G6019" i="2" s="1"/>
  <c r="C6023" i="2"/>
  <c r="G6023" i="2" s="1"/>
  <c r="C6027" i="2"/>
  <c r="G6027" i="2" s="1"/>
  <c r="C6043" i="2"/>
  <c r="G6043" i="2" s="1"/>
  <c r="C6047" i="2"/>
  <c r="G6047" i="2" s="1"/>
  <c r="C6062" i="2"/>
  <c r="G6062" i="2" s="1"/>
  <c r="C6066" i="2"/>
  <c r="G6066" i="2" s="1"/>
  <c r="C6086" i="2"/>
  <c r="G6086" i="2" s="1"/>
  <c r="C6090" i="2"/>
  <c r="G6090" i="2" s="1"/>
  <c r="C6105" i="2"/>
  <c r="G6105" i="2" s="1"/>
  <c r="C6113" i="2"/>
  <c r="G6113" i="2" s="1"/>
  <c r="C6144" i="2"/>
  <c r="G6144" i="2" s="1"/>
  <c r="C6151" i="2"/>
  <c r="G6151" i="2" s="1"/>
  <c r="C6158" i="2"/>
  <c r="G6158" i="2" s="1"/>
  <c r="C6162" i="2"/>
  <c r="G6162" i="2" s="1"/>
  <c r="C6166" i="2"/>
  <c r="G6166" i="2" s="1"/>
  <c r="C6208" i="2"/>
  <c r="G6208" i="2" s="1"/>
  <c r="C6258" i="2"/>
  <c r="G6258" i="2" s="1"/>
  <c r="C6295" i="2"/>
  <c r="G6295" i="2" s="1"/>
  <c r="C6299" i="2"/>
  <c r="G6299" i="2" s="1"/>
  <c r="C6303" i="2"/>
  <c r="G6303" i="2" s="1"/>
  <c r="C6307" i="2"/>
  <c r="G6307" i="2" s="1"/>
  <c r="C6619" i="2"/>
  <c r="G6619" i="2" s="1"/>
  <c r="C5462" i="2"/>
  <c r="G5462" i="2" s="1"/>
  <c r="C5470" i="2"/>
  <c r="G5470" i="2" s="1"/>
  <c r="C5478" i="2"/>
  <c r="G5478" i="2" s="1"/>
  <c r="C5482" i="2"/>
  <c r="G5482" i="2" s="1"/>
  <c r="C5486" i="2"/>
  <c r="G5486" i="2" s="1"/>
  <c r="C5512" i="2"/>
  <c r="G5512" i="2" s="1"/>
  <c r="C5531" i="2"/>
  <c r="G5531" i="2" s="1"/>
  <c r="C5539" i="2"/>
  <c r="G5539" i="2" s="1"/>
  <c r="C5557" i="2"/>
  <c r="G5557" i="2" s="1"/>
  <c r="C5587" i="2"/>
  <c r="G5587" i="2" s="1"/>
  <c r="C5599" i="2"/>
  <c r="G5599" i="2" s="1"/>
  <c r="C5640" i="2"/>
  <c r="G5640" i="2" s="1"/>
  <c r="C5651" i="2"/>
  <c r="G5651" i="2" s="1"/>
  <c r="C5732" i="2"/>
  <c r="G5732" i="2" s="1"/>
  <c r="C5736" i="2"/>
  <c r="G5736" i="2" s="1"/>
  <c r="C5744" i="2"/>
  <c r="G5744" i="2" s="1"/>
  <c r="C5748" i="2"/>
  <c r="G5748" i="2" s="1"/>
  <c r="C5774" i="2"/>
  <c r="G5774" i="2" s="1"/>
  <c r="C5794" i="2"/>
  <c r="G5794" i="2" s="1"/>
  <c r="C5817" i="2"/>
  <c r="G5817" i="2" s="1"/>
  <c r="C5833" i="2"/>
  <c r="G5833" i="2" s="1"/>
  <c r="C5888" i="2"/>
  <c r="G5888" i="2" s="1"/>
  <c r="C5907" i="2"/>
  <c r="G5907" i="2" s="1"/>
  <c r="C5938" i="2"/>
  <c r="G5938" i="2" s="1"/>
  <c r="C5949" i="2"/>
  <c r="G5949" i="2" s="1"/>
  <c r="C5980" i="2"/>
  <c r="G5980" i="2" s="1"/>
  <c r="C6004" i="2"/>
  <c r="G6004" i="2" s="1"/>
  <c r="C6008" i="2"/>
  <c r="G6008" i="2" s="1"/>
  <c r="C6094" i="2"/>
  <c r="G6094" i="2" s="1"/>
  <c r="C6133" i="2"/>
  <c r="G6133" i="2" s="1"/>
  <c r="C6193" i="2"/>
  <c r="G6193" i="2" s="1"/>
  <c r="C6243" i="2"/>
  <c r="G6243" i="2" s="1"/>
  <c r="C6247" i="2"/>
  <c r="G6247" i="2" s="1"/>
  <c r="C6281" i="2"/>
  <c r="G6281" i="2" s="1"/>
  <c r="C6288" i="2"/>
  <c r="G6288" i="2" s="1"/>
  <c r="C6372" i="2"/>
  <c r="G6372" i="2" s="1"/>
  <c r="C6426" i="2"/>
  <c r="G6426" i="2" s="1"/>
  <c r="C6430" i="2"/>
  <c r="G6430" i="2" s="1"/>
  <c r="C6449" i="2"/>
  <c r="G6449" i="2" s="1"/>
  <c r="C6464" i="2"/>
  <c r="G6464" i="2" s="1"/>
  <c r="C6545" i="2"/>
  <c r="G6545" i="2" s="1"/>
  <c r="C6848" i="2"/>
  <c r="G6848" i="2" s="1"/>
  <c r="C6881" i="2"/>
  <c r="G6881" i="2" s="1"/>
  <c r="C6944" i="2"/>
  <c r="G6944" i="2" s="1"/>
  <c r="C6974" i="2"/>
  <c r="G6974" i="2" s="1"/>
  <c r="C7029" i="2"/>
  <c r="G7029" i="2" s="1"/>
  <c r="C7286" i="2"/>
  <c r="G7286" i="2" s="1"/>
  <c r="C6355" i="2"/>
  <c r="G6355" i="2" s="1"/>
  <c r="C6359" i="2"/>
  <c r="G6359" i="2" s="1"/>
  <c r="C6401" i="2"/>
  <c r="G6401" i="2" s="1"/>
  <c r="C6412" i="2"/>
  <c r="G6412" i="2" s="1"/>
  <c r="C6435" i="2"/>
  <c r="G6435" i="2" s="1"/>
  <c r="C6453" i="2"/>
  <c r="G6453" i="2" s="1"/>
  <c r="C6457" i="2"/>
  <c r="G6457" i="2" s="1"/>
  <c r="C6461" i="2"/>
  <c r="G6461" i="2" s="1"/>
  <c r="C6472" i="2"/>
  <c r="G6472" i="2" s="1"/>
  <c r="C6476" i="2"/>
  <c r="G6476" i="2" s="1"/>
  <c r="C6505" i="2"/>
  <c r="G6505" i="2" s="1"/>
  <c r="C6520" i="2"/>
  <c r="G6520" i="2" s="1"/>
  <c r="C6524" i="2"/>
  <c r="G6524" i="2" s="1"/>
  <c r="C6553" i="2"/>
  <c r="G6553" i="2" s="1"/>
  <c r="C6565" i="2"/>
  <c r="G6565" i="2" s="1"/>
  <c r="C6580" i="2"/>
  <c r="G6580" i="2" s="1"/>
  <c r="C6605" i="2"/>
  <c r="G6605" i="2" s="1"/>
  <c r="C6609" i="2"/>
  <c r="G6609" i="2" s="1"/>
  <c r="C6613" i="2"/>
  <c r="G6613" i="2" s="1"/>
  <c r="C6620" i="2"/>
  <c r="G6620" i="2" s="1"/>
  <c r="C6627" i="2"/>
  <c r="G6627" i="2" s="1"/>
  <c r="C6660" i="2"/>
  <c r="G6660" i="2" s="1"/>
  <c r="C6685" i="2"/>
  <c r="G6685" i="2" s="1"/>
  <c r="C6689" i="2"/>
  <c r="G6689" i="2" s="1"/>
  <c r="C6693" i="2"/>
  <c r="G6693" i="2" s="1"/>
  <c r="C6711" i="2"/>
  <c r="G6711" i="2" s="1"/>
  <c r="C6728" i="2"/>
  <c r="G6728" i="2" s="1"/>
  <c r="C6772" i="2"/>
  <c r="G6772" i="2" s="1"/>
  <c r="C6779" i="2"/>
  <c r="G6779" i="2" s="1"/>
  <c r="C6801" i="2"/>
  <c r="G6801" i="2" s="1"/>
  <c r="C6875" i="2"/>
  <c r="G6875" i="2" s="1"/>
  <c r="C6878" i="2"/>
  <c r="G6878" i="2" s="1"/>
  <c r="C6882" i="2"/>
  <c r="G6882" i="2" s="1"/>
  <c r="C6933" i="2"/>
  <c r="G6933" i="2" s="1"/>
  <c r="C6937" i="2"/>
  <c r="G6937" i="2" s="1"/>
  <c r="C6941" i="2"/>
  <c r="G6941" i="2" s="1"/>
  <c r="C6975" i="2"/>
  <c r="G6975" i="2" s="1"/>
  <c r="C6993" i="2"/>
  <c r="G6993" i="2" s="1"/>
  <c r="C7011" i="2"/>
  <c r="G7011" i="2" s="1"/>
  <c r="C7026" i="2"/>
  <c r="G7026" i="2" s="1"/>
  <c r="C7033" i="2"/>
  <c r="G7033" i="2" s="1"/>
  <c r="C7048" i="2"/>
  <c r="G7048" i="2" s="1"/>
  <c r="C7056" i="2"/>
  <c r="G7056" i="2" s="1"/>
  <c r="C7075" i="2"/>
  <c r="G7075" i="2" s="1"/>
  <c r="C7079" i="2"/>
  <c r="G7079" i="2" s="1"/>
  <c r="C7094" i="2"/>
  <c r="G7094" i="2" s="1"/>
  <c r="C7135" i="2"/>
  <c r="G7135" i="2" s="1"/>
  <c r="C7139" i="2"/>
  <c r="G7139" i="2" s="1"/>
  <c r="C7154" i="2"/>
  <c r="G7154" i="2" s="1"/>
  <c r="C7198" i="2"/>
  <c r="G7198" i="2" s="1"/>
  <c r="C7213" i="2"/>
  <c r="G7213" i="2" s="1"/>
  <c r="C7330" i="2"/>
  <c r="G7330" i="2" s="1"/>
  <c r="C7334" i="2"/>
  <c r="G7334" i="2" s="1"/>
  <c r="C7349" i="2"/>
  <c r="G7349" i="2" s="1"/>
  <c r="C7418" i="2"/>
  <c r="G7418" i="2" s="1"/>
  <c r="C7422" i="2"/>
  <c r="G7422" i="2" s="1"/>
  <c r="C7426" i="2"/>
  <c r="G7426" i="2" s="1"/>
  <c r="C6319" i="2"/>
  <c r="G6319" i="2" s="1"/>
  <c r="C6333" i="2"/>
  <c r="G6333" i="2" s="1"/>
  <c r="C6341" i="2"/>
  <c r="G6341" i="2" s="1"/>
  <c r="C6345" i="2"/>
  <c r="G6345" i="2" s="1"/>
  <c r="C6379" i="2"/>
  <c r="G6379" i="2" s="1"/>
  <c r="C6383" i="2"/>
  <c r="G6383" i="2" s="1"/>
  <c r="C6398" i="2"/>
  <c r="G6398" i="2" s="1"/>
  <c r="C6402" i="2"/>
  <c r="G6402" i="2" s="1"/>
  <c r="C6410" i="2"/>
  <c r="G6410" i="2" s="1"/>
  <c r="C6439" i="2"/>
  <c r="G6439" i="2" s="1"/>
  <c r="C6450" i="2"/>
  <c r="G6450" i="2" s="1"/>
  <c r="C6462" i="2"/>
  <c r="G6462" i="2" s="1"/>
  <c r="C6466" i="2"/>
  <c r="G6466" i="2" s="1"/>
  <c r="C6488" i="2"/>
  <c r="G6488" i="2" s="1"/>
  <c r="C6584" i="2"/>
  <c r="G6584" i="2" s="1"/>
  <c r="C6606" i="2"/>
  <c r="G6606" i="2" s="1"/>
  <c r="C6650" i="2"/>
  <c r="G6650" i="2" s="1"/>
  <c r="C6653" i="2"/>
  <c r="G6653" i="2" s="1"/>
  <c r="C6675" i="2"/>
  <c r="G6675" i="2" s="1"/>
  <c r="C6686" i="2"/>
  <c r="G6686" i="2" s="1"/>
  <c r="C6697" i="2"/>
  <c r="G6697" i="2" s="1"/>
  <c r="C6712" i="2"/>
  <c r="G6712" i="2" s="1"/>
  <c r="C6716" i="2"/>
  <c r="G6716" i="2" s="1"/>
  <c r="C6719" i="2"/>
  <c r="G6719" i="2" s="1"/>
  <c r="C6722" i="2"/>
  <c r="G6722" i="2" s="1"/>
  <c r="C6761" i="2"/>
  <c r="G6761" i="2" s="1"/>
  <c r="C6769" i="2"/>
  <c r="G6769" i="2" s="1"/>
  <c r="C6784" i="2"/>
  <c r="G6784" i="2" s="1"/>
  <c r="C6799" i="2"/>
  <c r="G6799" i="2" s="1"/>
  <c r="C6872" i="2"/>
  <c r="G6872" i="2" s="1"/>
  <c r="C6876" i="2"/>
  <c r="G6876" i="2" s="1"/>
  <c r="C6894" i="2"/>
  <c r="G6894" i="2" s="1"/>
  <c r="C6912" i="2"/>
  <c r="G6912" i="2" s="1"/>
  <c r="C6927" i="2"/>
  <c r="G6927" i="2" s="1"/>
  <c r="C6934" i="2"/>
  <c r="G6934" i="2" s="1"/>
  <c r="C6987" i="2"/>
  <c r="G6987" i="2" s="1"/>
  <c r="C6994" i="2"/>
  <c r="G6994" i="2" s="1"/>
  <c r="C7005" i="2"/>
  <c r="G7005" i="2" s="1"/>
  <c r="C7016" i="2"/>
  <c r="G7016" i="2" s="1"/>
  <c r="C7020" i="2"/>
  <c r="G7020" i="2" s="1"/>
  <c r="C7027" i="2"/>
  <c r="G7027" i="2" s="1"/>
  <c r="C7031" i="2"/>
  <c r="G7031" i="2" s="1"/>
  <c r="C7045" i="2"/>
  <c r="G7045" i="2" s="1"/>
  <c r="C7049" i="2"/>
  <c r="G7049" i="2" s="1"/>
  <c r="C7064" i="2"/>
  <c r="G7064" i="2" s="1"/>
  <c r="C7091" i="2"/>
  <c r="G7091" i="2" s="1"/>
  <c r="C7095" i="2"/>
  <c r="G7095" i="2" s="1"/>
  <c r="C7106" i="2"/>
  <c r="G7106" i="2" s="1"/>
  <c r="C7121" i="2"/>
  <c r="G7121" i="2" s="1"/>
  <c r="C7125" i="2"/>
  <c r="G7125" i="2" s="1"/>
  <c r="C7155" i="2"/>
  <c r="G7155" i="2" s="1"/>
  <c r="C7162" i="2"/>
  <c r="G7162" i="2" s="1"/>
  <c r="C7284" i="2"/>
  <c r="G7284" i="2" s="1"/>
  <c r="C7315" i="2"/>
  <c r="G7315" i="2" s="1"/>
  <c r="C7319" i="2"/>
  <c r="G7319" i="2" s="1"/>
  <c r="C7323" i="2"/>
  <c r="G7323" i="2" s="1"/>
  <c r="C7327" i="2"/>
  <c r="G7327" i="2" s="1"/>
  <c r="C7331" i="2"/>
  <c r="G7331" i="2" s="1"/>
  <c r="C7350" i="2"/>
  <c r="G7350" i="2" s="1"/>
  <c r="C7407" i="2"/>
  <c r="G7407" i="2" s="1"/>
  <c r="C7411" i="2"/>
  <c r="G7411" i="2" s="1"/>
  <c r="C6492" i="2"/>
  <c r="G6492" i="2" s="1"/>
  <c r="C6529" i="2"/>
  <c r="G6529" i="2" s="1"/>
  <c r="C6585" i="2"/>
  <c r="G6585" i="2" s="1"/>
  <c r="C6636" i="2"/>
  <c r="G6636" i="2" s="1"/>
  <c r="C6705" i="2"/>
  <c r="G6705" i="2" s="1"/>
  <c r="C6857" i="2"/>
  <c r="G6857" i="2" s="1"/>
  <c r="C6953" i="2"/>
  <c r="G6953" i="2" s="1"/>
  <c r="C6969" i="2"/>
  <c r="G6969" i="2" s="1"/>
  <c r="C7046" i="2"/>
  <c r="G7046" i="2" s="1"/>
  <c r="C7061" i="2"/>
  <c r="G7061" i="2" s="1"/>
  <c r="C7065" i="2"/>
  <c r="G7065" i="2" s="1"/>
  <c r="C7092" i="2"/>
  <c r="G7092" i="2" s="1"/>
  <c r="C7174" i="2"/>
  <c r="G7174" i="2" s="1"/>
  <c r="C6445" i="2"/>
  <c r="G6445" i="2" s="1"/>
  <c r="C6448" i="2"/>
  <c r="G6448" i="2" s="1"/>
  <c r="C6452" i="2"/>
  <c r="G6452" i="2" s="1"/>
  <c r="C6456" i="2"/>
  <c r="G6456" i="2" s="1"/>
  <c r="C6486" i="2"/>
  <c r="G6486" i="2" s="1"/>
  <c r="C6497" i="2"/>
  <c r="G6497" i="2" s="1"/>
  <c r="C6537" i="2"/>
  <c r="G6537" i="2" s="1"/>
  <c r="C6541" i="2"/>
  <c r="G6541" i="2" s="1"/>
  <c r="C6556" i="2"/>
  <c r="G6556" i="2" s="1"/>
  <c r="C6596" i="2"/>
  <c r="G6596" i="2" s="1"/>
  <c r="C6600" i="2"/>
  <c r="G6600" i="2" s="1"/>
  <c r="C6633" i="2"/>
  <c r="G6633" i="2" s="1"/>
  <c r="C6637" i="2"/>
  <c r="G6637" i="2" s="1"/>
  <c r="C6662" i="2"/>
  <c r="G6662" i="2" s="1"/>
  <c r="C6699" i="2"/>
  <c r="G6699" i="2" s="1"/>
  <c r="C6702" i="2"/>
  <c r="G6702" i="2" s="1"/>
  <c r="C6706" i="2"/>
  <c r="G6706" i="2" s="1"/>
  <c r="C6713" i="2"/>
  <c r="G6713" i="2" s="1"/>
  <c r="C6731" i="2"/>
  <c r="G6731" i="2" s="1"/>
  <c r="C6738" i="2"/>
  <c r="G6738" i="2" s="1"/>
  <c r="C6749" i="2"/>
  <c r="G6749" i="2" s="1"/>
  <c r="C6756" i="2"/>
  <c r="G6756" i="2" s="1"/>
  <c r="C6774" i="2"/>
  <c r="G6774" i="2" s="1"/>
  <c r="C6777" i="2"/>
  <c r="G6777" i="2" s="1"/>
  <c r="C6804" i="2"/>
  <c r="G6804" i="2" s="1"/>
  <c r="C6821" i="2"/>
  <c r="G6821" i="2" s="1"/>
  <c r="C6829" i="2"/>
  <c r="G6829" i="2" s="1"/>
  <c r="C6840" i="2"/>
  <c r="G6840" i="2" s="1"/>
  <c r="C6844" i="2"/>
  <c r="G6844" i="2" s="1"/>
  <c r="C6862" i="2"/>
  <c r="G6862" i="2" s="1"/>
  <c r="C6873" i="2"/>
  <c r="G6873" i="2" s="1"/>
  <c r="C6892" i="2"/>
  <c r="G6892" i="2" s="1"/>
  <c r="C6899" i="2"/>
  <c r="G6899" i="2" s="1"/>
  <c r="C6917" i="2"/>
  <c r="G6917" i="2" s="1"/>
  <c r="C6925" i="2"/>
  <c r="G6925" i="2" s="1"/>
  <c r="C6932" i="2"/>
  <c r="G6932" i="2" s="1"/>
  <c r="C6958" i="2"/>
  <c r="G6958" i="2" s="1"/>
  <c r="C6970" i="2"/>
  <c r="G6970" i="2" s="1"/>
  <c r="C6984" i="2"/>
  <c r="G6984" i="2" s="1"/>
  <c r="C7036" i="2"/>
  <c r="G7036" i="2" s="1"/>
  <c r="C7047" i="2"/>
  <c r="G7047" i="2" s="1"/>
  <c r="C7058" i="2"/>
  <c r="G7058" i="2" s="1"/>
  <c r="C7066" i="2"/>
  <c r="G7066" i="2" s="1"/>
  <c r="C7070" i="2"/>
  <c r="G7070" i="2" s="1"/>
  <c r="C7077" i="2"/>
  <c r="G7077" i="2" s="1"/>
  <c r="C7111" i="2"/>
  <c r="G7111" i="2" s="1"/>
  <c r="C7115" i="2"/>
  <c r="G7115" i="2" s="1"/>
  <c r="C7215" i="2"/>
  <c r="G7215" i="2" s="1"/>
  <c r="C7219" i="2"/>
  <c r="G7219" i="2" s="1"/>
  <c r="C7223" i="2"/>
  <c r="G7223" i="2" s="1"/>
  <c r="C7238" i="2"/>
  <c r="G7238" i="2" s="1"/>
  <c r="C7262" i="2"/>
  <c r="G7262" i="2" s="1"/>
  <c r="C7266" i="2"/>
  <c r="G7266" i="2" s="1"/>
  <c r="C7463" i="2"/>
  <c r="G7463" i="2" s="1"/>
  <c r="C7519" i="2"/>
  <c r="G7519" i="2" s="1"/>
  <c r="C7647" i="2"/>
  <c r="G7647" i="2" s="1"/>
  <c r="C7659" i="2"/>
  <c r="G7659" i="2" s="1"/>
  <c r="C8015" i="2"/>
  <c r="G8015" i="2" s="1"/>
  <c r="C8030" i="2"/>
  <c r="G8030" i="2" s="1"/>
  <c r="C8211" i="2"/>
  <c r="G8211" i="2" s="1"/>
  <c r="C8215" i="2"/>
  <c r="G8215" i="2" s="1"/>
  <c r="C8219" i="2"/>
  <c r="G8219" i="2" s="1"/>
  <c r="C8344" i="2"/>
  <c r="G8344" i="2" s="1"/>
  <c r="C8562" i="2"/>
  <c r="G8562" i="2" s="1"/>
  <c r="C9077" i="2"/>
  <c r="G9077" i="2" s="1"/>
  <c r="C9381" i="2"/>
  <c r="G9381" i="2" s="1"/>
  <c r="C9385" i="2"/>
  <c r="G9385" i="2" s="1"/>
  <c r="C9389" i="2"/>
  <c r="G9389" i="2" s="1"/>
  <c r="C9393" i="2"/>
  <c r="G9393" i="2" s="1"/>
  <c r="C9401" i="2"/>
  <c r="G9401" i="2" s="1"/>
  <c r="C7467" i="2"/>
  <c r="G7467" i="2" s="1"/>
  <c r="C7478" i="2"/>
  <c r="G7478" i="2" s="1"/>
  <c r="C7531" i="2"/>
  <c r="G7531" i="2" s="1"/>
  <c r="C7542" i="2"/>
  <c r="G7542" i="2" s="1"/>
  <c r="C7667" i="2"/>
  <c r="G7667" i="2" s="1"/>
  <c r="C7671" i="2"/>
  <c r="G7671" i="2" s="1"/>
  <c r="C7750" i="2"/>
  <c r="G7750" i="2" s="1"/>
  <c r="C7859" i="2"/>
  <c r="G7859" i="2" s="1"/>
  <c r="C7863" i="2"/>
  <c r="G7863" i="2" s="1"/>
  <c r="C8019" i="2"/>
  <c r="G8019" i="2" s="1"/>
  <c r="C8107" i="2"/>
  <c r="G8107" i="2" s="1"/>
  <c r="C8204" i="2"/>
  <c r="G8204" i="2" s="1"/>
  <c r="C8231" i="2"/>
  <c r="G8231" i="2" s="1"/>
  <c r="C8256" i="2"/>
  <c r="G8256" i="2" s="1"/>
  <c r="C8399" i="2"/>
  <c r="G8399" i="2" s="1"/>
  <c r="C8403" i="2"/>
  <c r="G8403" i="2" s="1"/>
  <c r="C9058" i="2"/>
  <c r="G9058" i="2" s="1"/>
  <c r="C9202" i="2"/>
  <c r="G9202" i="2" s="1"/>
  <c r="C9292" i="2"/>
  <c r="G9292" i="2" s="1"/>
  <c r="C9370" i="2"/>
  <c r="G9370" i="2" s="1"/>
  <c r="C9374" i="2"/>
  <c r="G9374" i="2" s="1"/>
  <c r="C7648" i="2"/>
  <c r="G7648" i="2" s="1"/>
  <c r="C7743" i="2"/>
  <c r="G7743" i="2" s="1"/>
  <c r="C7814" i="2"/>
  <c r="G7814" i="2" s="1"/>
  <c r="C7867" i="2"/>
  <c r="G7867" i="2" s="1"/>
  <c r="C7871" i="2"/>
  <c r="G7871" i="2" s="1"/>
  <c r="C7878" i="2"/>
  <c r="G7878" i="2" s="1"/>
  <c r="C7943" i="2"/>
  <c r="G7943" i="2" s="1"/>
  <c r="C8031" i="2"/>
  <c r="G8031" i="2" s="1"/>
  <c r="C8035" i="2"/>
  <c r="G8035" i="2" s="1"/>
  <c r="C8039" i="2"/>
  <c r="G8039" i="2" s="1"/>
  <c r="C8123" i="2"/>
  <c r="G8123" i="2" s="1"/>
  <c r="C8187" i="2"/>
  <c r="G8187" i="2" s="1"/>
  <c r="C8212" i="2"/>
  <c r="G8212" i="2" s="1"/>
  <c r="C8263" i="2"/>
  <c r="G8263" i="2" s="1"/>
  <c r="C8267" i="2"/>
  <c r="G8267" i="2" s="1"/>
  <c r="C8806" i="2"/>
  <c r="G8806" i="2" s="1"/>
  <c r="C7442" i="2"/>
  <c r="G7442" i="2" s="1"/>
  <c r="C7453" i="2"/>
  <c r="G7453" i="2" s="1"/>
  <c r="C7464" i="2"/>
  <c r="G7464" i="2" s="1"/>
  <c r="C7479" i="2"/>
  <c r="G7479" i="2" s="1"/>
  <c r="C7528" i="2"/>
  <c r="G7528" i="2" s="1"/>
  <c r="C7543" i="2"/>
  <c r="G7543" i="2" s="1"/>
  <c r="C7574" i="2"/>
  <c r="G7574" i="2" s="1"/>
  <c r="C7702" i="2"/>
  <c r="G7702" i="2" s="1"/>
  <c r="C7936" i="2"/>
  <c r="G7936" i="2" s="1"/>
  <c r="C7966" i="2"/>
  <c r="G7966" i="2" s="1"/>
  <c r="C8032" i="2"/>
  <c r="G8032" i="2" s="1"/>
  <c r="C8036" i="2"/>
  <c r="G8036" i="2" s="1"/>
  <c r="C8040" i="2"/>
  <c r="G8040" i="2" s="1"/>
  <c r="C8055" i="2"/>
  <c r="G8055" i="2" s="1"/>
  <c r="C8090" i="2"/>
  <c r="G8090" i="2" s="1"/>
  <c r="C8101" i="2"/>
  <c r="G8101" i="2" s="1"/>
  <c r="C8124" i="2"/>
  <c r="G8124" i="2" s="1"/>
  <c r="C8142" i="2"/>
  <c r="G8142" i="2" s="1"/>
  <c r="C8154" i="2"/>
  <c r="G8154" i="2" s="1"/>
  <c r="C8173" i="2"/>
  <c r="G8173" i="2" s="1"/>
  <c r="C8213" i="2"/>
  <c r="G8213" i="2" s="1"/>
  <c r="C8221" i="2"/>
  <c r="G8221" i="2" s="1"/>
  <c r="C8239" i="2"/>
  <c r="G8239" i="2" s="1"/>
  <c r="C8264" i="2"/>
  <c r="G8264" i="2" s="1"/>
  <c r="C8268" i="2"/>
  <c r="G8268" i="2" s="1"/>
  <c r="C8272" i="2"/>
  <c r="G8272" i="2" s="1"/>
  <c r="C8279" i="2"/>
  <c r="G8279" i="2" s="1"/>
  <c r="C8283" i="2"/>
  <c r="G8283" i="2" s="1"/>
  <c r="C8294" i="2"/>
  <c r="G8294" i="2" s="1"/>
  <c r="C8377" i="2"/>
  <c r="G8377" i="2" s="1"/>
  <c r="C8791" i="2"/>
  <c r="G8791" i="2" s="1"/>
  <c r="C8795" i="2"/>
  <c r="G8795" i="2" s="1"/>
  <c r="C9285" i="2"/>
  <c r="G9285" i="2" s="1"/>
  <c r="C7063" i="2"/>
  <c r="G7063" i="2" s="1"/>
  <c r="C7074" i="2"/>
  <c r="G7074" i="2" s="1"/>
  <c r="C7085" i="2"/>
  <c r="G7085" i="2" s="1"/>
  <c r="C7089" i="2"/>
  <c r="G7089" i="2" s="1"/>
  <c r="C7093" i="2"/>
  <c r="G7093" i="2" s="1"/>
  <c r="C7130" i="2"/>
  <c r="G7130" i="2" s="1"/>
  <c r="C7163" i="2"/>
  <c r="G7163" i="2" s="1"/>
  <c r="C7170" i="2"/>
  <c r="G7170" i="2" s="1"/>
  <c r="C7173" i="2"/>
  <c r="G7173" i="2" s="1"/>
  <c r="C7177" i="2"/>
  <c r="G7177" i="2" s="1"/>
  <c r="C7188" i="2"/>
  <c r="G7188" i="2" s="1"/>
  <c r="C7237" i="2"/>
  <c r="G7237" i="2" s="1"/>
  <c r="C7245" i="2"/>
  <c r="G7245" i="2" s="1"/>
  <c r="C7253" i="2"/>
  <c r="G7253" i="2" s="1"/>
  <c r="C7341" i="2"/>
  <c r="G7341" i="2" s="1"/>
  <c r="C7356" i="2"/>
  <c r="G7356" i="2" s="1"/>
  <c r="C7364" i="2"/>
  <c r="G7364" i="2" s="1"/>
  <c r="C7398" i="2"/>
  <c r="G7398" i="2" s="1"/>
  <c r="C7424" i="2"/>
  <c r="G7424" i="2" s="1"/>
  <c r="C7458" i="2"/>
  <c r="G7458" i="2" s="1"/>
  <c r="C7469" i="2"/>
  <c r="G7469" i="2" s="1"/>
  <c r="C7517" i="2"/>
  <c r="G7517" i="2" s="1"/>
  <c r="C7537" i="2"/>
  <c r="G7537" i="2" s="1"/>
  <c r="C7563" i="2"/>
  <c r="G7563" i="2" s="1"/>
  <c r="C7579" i="2"/>
  <c r="G7579" i="2" s="1"/>
  <c r="C7600" i="2"/>
  <c r="G7600" i="2" s="1"/>
  <c r="C7604" i="2"/>
  <c r="G7604" i="2" s="1"/>
  <c r="C7679" i="2"/>
  <c r="G7679" i="2" s="1"/>
  <c r="C7683" i="2"/>
  <c r="G7683" i="2" s="1"/>
  <c r="C7687" i="2"/>
  <c r="G7687" i="2" s="1"/>
  <c r="C7707" i="2"/>
  <c r="G7707" i="2" s="1"/>
  <c r="C7718" i="2"/>
  <c r="G7718" i="2" s="1"/>
  <c r="C7730" i="2"/>
  <c r="G7730" i="2" s="1"/>
  <c r="C7752" i="2"/>
  <c r="G7752" i="2" s="1"/>
  <c r="C7759" i="2"/>
  <c r="G7759" i="2" s="1"/>
  <c r="C7767" i="2"/>
  <c r="G7767" i="2" s="1"/>
  <c r="C7771" i="2"/>
  <c r="G7771" i="2" s="1"/>
  <c r="C7791" i="2"/>
  <c r="G7791" i="2" s="1"/>
  <c r="C7803" i="2"/>
  <c r="G7803" i="2" s="1"/>
  <c r="C7807" i="2"/>
  <c r="G7807" i="2" s="1"/>
  <c r="C7842" i="2"/>
  <c r="G7842" i="2" s="1"/>
  <c r="C7879" i="2"/>
  <c r="G7879" i="2" s="1"/>
  <c r="C7891" i="2"/>
  <c r="G7891" i="2" s="1"/>
  <c r="C7986" i="2"/>
  <c r="G7986" i="2" s="1"/>
  <c r="C8017" i="2"/>
  <c r="G8017" i="2" s="1"/>
  <c r="C8021" i="2"/>
  <c r="G8021" i="2" s="1"/>
  <c r="C8105" i="2"/>
  <c r="G8105" i="2" s="1"/>
  <c r="C8143" i="2"/>
  <c r="G8143" i="2" s="1"/>
  <c r="C8202" i="2"/>
  <c r="G8202" i="2" s="1"/>
  <c r="C8206" i="2"/>
  <c r="G8206" i="2" s="1"/>
  <c r="C8258" i="2"/>
  <c r="G8258" i="2" s="1"/>
  <c r="C8261" i="2"/>
  <c r="G8261" i="2" s="1"/>
  <c r="C8280" i="2"/>
  <c r="G8280" i="2" s="1"/>
  <c r="C8339" i="2"/>
  <c r="G8339" i="2" s="1"/>
  <c r="C8522" i="2"/>
  <c r="G8522" i="2" s="1"/>
  <c r="C8584" i="2"/>
  <c r="G8584" i="2" s="1"/>
  <c r="C8678" i="2"/>
  <c r="G8678" i="2" s="1"/>
  <c r="C9134" i="2"/>
  <c r="G9134" i="2" s="1"/>
  <c r="C9274" i="2"/>
  <c r="G9274" i="2" s="1"/>
  <c r="C9340" i="2"/>
  <c r="G9340" i="2" s="1"/>
  <c r="C9348" i="2"/>
  <c r="G9348" i="2" s="1"/>
  <c r="C7353" i="2"/>
  <c r="G7353" i="2" s="1"/>
  <c r="C7387" i="2"/>
  <c r="G7387" i="2" s="1"/>
  <c r="C7413" i="2"/>
  <c r="G7413" i="2" s="1"/>
  <c r="C7417" i="2"/>
  <c r="G7417" i="2" s="1"/>
  <c r="C7421" i="2"/>
  <c r="G7421" i="2" s="1"/>
  <c r="C7428" i="2"/>
  <c r="G7428" i="2" s="1"/>
  <c r="C7432" i="2"/>
  <c r="G7432" i="2" s="1"/>
  <c r="C7462" i="2"/>
  <c r="G7462" i="2" s="1"/>
  <c r="C7473" i="2"/>
  <c r="G7473" i="2" s="1"/>
  <c r="C7488" i="2"/>
  <c r="G7488" i="2" s="1"/>
  <c r="C7646" i="2"/>
  <c r="G7646" i="2" s="1"/>
  <c r="C7650" i="2"/>
  <c r="G7650" i="2" s="1"/>
  <c r="C7680" i="2"/>
  <c r="G7680" i="2" s="1"/>
  <c r="C7772" i="2"/>
  <c r="G7772" i="2" s="1"/>
  <c r="C7776" i="2"/>
  <c r="G7776" i="2" s="1"/>
  <c r="C7780" i="2"/>
  <c r="G7780" i="2" s="1"/>
  <c r="C7788" i="2"/>
  <c r="G7788" i="2" s="1"/>
  <c r="C7796" i="2"/>
  <c r="G7796" i="2" s="1"/>
  <c r="C7800" i="2"/>
  <c r="G7800" i="2" s="1"/>
  <c r="C7812" i="2"/>
  <c r="G7812" i="2" s="1"/>
  <c r="C7816" i="2"/>
  <c r="G7816" i="2" s="1"/>
  <c r="C7824" i="2"/>
  <c r="G7824" i="2" s="1"/>
  <c r="C7869" i="2"/>
  <c r="G7869" i="2" s="1"/>
  <c r="C7876" i="2"/>
  <c r="G7876" i="2" s="1"/>
  <c r="C7880" i="2"/>
  <c r="G7880" i="2" s="1"/>
  <c r="C7941" i="2"/>
  <c r="G7941" i="2" s="1"/>
  <c r="C7948" i="2"/>
  <c r="G7948" i="2" s="1"/>
  <c r="C7952" i="2"/>
  <c r="G7952" i="2" s="1"/>
  <c r="C8014" i="2"/>
  <c r="G8014" i="2" s="1"/>
  <c r="C8025" i="2"/>
  <c r="G8025" i="2" s="1"/>
  <c r="C8029" i="2"/>
  <c r="G8029" i="2" s="1"/>
  <c r="C8041" i="2"/>
  <c r="G8041" i="2" s="1"/>
  <c r="C8045" i="2"/>
  <c r="G8045" i="2" s="1"/>
  <c r="C8068" i="2"/>
  <c r="G8068" i="2" s="1"/>
  <c r="C8072" i="2"/>
  <c r="G8072" i="2" s="1"/>
  <c r="C8076" i="2"/>
  <c r="G8076" i="2" s="1"/>
  <c r="C8080" i="2"/>
  <c r="G8080" i="2" s="1"/>
  <c r="C8084" i="2"/>
  <c r="G8084" i="2" s="1"/>
  <c r="C8091" i="2"/>
  <c r="G8091" i="2" s="1"/>
  <c r="C8210" i="2"/>
  <c r="G8210" i="2" s="1"/>
  <c r="C8265" i="2"/>
  <c r="G8265" i="2" s="1"/>
  <c r="C8320" i="2"/>
  <c r="G8320" i="2" s="1"/>
  <c r="C8324" i="2"/>
  <c r="G8324" i="2" s="1"/>
  <c r="C8328" i="2"/>
  <c r="G8328" i="2" s="1"/>
  <c r="C8370" i="2"/>
  <c r="G8370" i="2" s="1"/>
  <c r="C8433" i="2"/>
  <c r="G8433" i="2" s="1"/>
  <c r="C8445" i="2"/>
  <c r="G8445" i="2" s="1"/>
  <c r="C8449" i="2"/>
  <c r="G8449" i="2" s="1"/>
  <c r="C8963" i="2"/>
  <c r="G8963" i="2" s="1"/>
  <c r="C8986" i="2"/>
  <c r="G8986" i="2" s="1"/>
  <c r="C9119" i="2"/>
  <c r="G9119" i="2" s="1"/>
  <c r="C9123" i="2"/>
  <c r="G9123" i="2" s="1"/>
  <c r="C9127" i="2"/>
  <c r="G9127" i="2" s="1"/>
  <c r="C9251" i="2"/>
  <c r="G9251" i="2" s="1"/>
  <c r="C9259" i="2"/>
  <c r="G9259" i="2" s="1"/>
  <c r="C7384" i="2"/>
  <c r="G7384" i="2" s="1"/>
  <c r="C7410" i="2"/>
  <c r="G7410" i="2" s="1"/>
  <c r="C7451" i="2"/>
  <c r="G7451" i="2" s="1"/>
  <c r="C7459" i="2"/>
  <c r="G7459" i="2" s="1"/>
  <c r="C7466" i="2"/>
  <c r="G7466" i="2" s="1"/>
  <c r="C7492" i="2"/>
  <c r="G7492" i="2" s="1"/>
  <c r="C7500" i="2"/>
  <c r="G7500" i="2" s="1"/>
  <c r="C7526" i="2"/>
  <c r="G7526" i="2" s="1"/>
  <c r="C7530" i="2"/>
  <c r="G7530" i="2" s="1"/>
  <c r="C7538" i="2"/>
  <c r="G7538" i="2" s="1"/>
  <c r="C7556" i="2"/>
  <c r="G7556" i="2" s="1"/>
  <c r="C7560" i="2"/>
  <c r="G7560" i="2" s="1"/>
  <c r="C7564" i="2"/>
  <c r="G7564" i="2" s="1"/>
  <c r="C7568" i="2"/>
  <c r="G7568" i="2" s="1"/>
  <c r="C7576" i="2"/>
  <c r="G7576" i="2" s="1"/>
  <c r="C7624" i="2"/>
  <c r="G7624" i="2" s="1"/>
  <c r="C7700" i="2"/>
  <c r="G7700" i="2" s="1"/>
  <c r="C7704" i="2"/>
  <c r="G7704" i="2" s="1"/>
  <c r="C7858" i="2"/>
  <c r="G7858" i="2" s="1"/>
  <c r="C7884" i="2"/>
  <c r="G7884" i="2" s="1"/>
  <c r="C7888" i="2"/>
  <c r="G7888" i="2" s="1"/>
  <c r="C7896" i="2"/>
  <c r="G7896" i="2" s="1"/>
  <c r="C7900" i="2"/>
  <c r="G7900" i="2" s="1"/>
  <c r="C7938" i="2"/>
  <c r="G7938" i="2" s="1"/>
  <c r="C7956" i="2"/>
  <c r="G7956" i="2" s="1"/>
  <c r="C7960" i="2"/>
  <c r="G7960" i="2" s="1"/>
  <c r="C7972" i="2"/>
  <c r="G7972" i="2" s="1"/>
  <c r="C8018" i="2"/>
  <c r="G8018" i="2" s="1"/>
  <c r="C8133" i="2"/>
  <c r="G8133" i="2" s="1"/>
  <c r="C8140" i="2"/>
  <c r="G8140" i="2" s="1"/>
  <c r="C8148" i="2"/>
  <c r="G8148" i="2" s="1"/>
  <c r="C8189" i="2"/>
  <c r="G8189" i="2" s="1"/>
  <c r="C8196" i="2"/>
  <c r="G8196" i="2" s="1"/>
  <c r="C8237" i="2"/>
  <c r="G8237" i="2" s="1"/>
  <c r="C8244" i="2"/>
  <c r="G8244" i="2" s="1"/>
  <c r="C8499" i="2"/>
  <c r="G8499" i="2" s="1"/>
  <c r="C8503" i="2"/>
  <c r="G8503" i="2" s="1"/>
  <c r="C8507" i="2"/>
  <c r="G8507" i="2" s="1"/>
  <c r="C8573" i="2"/>
  <c r="G8573" i="2" s="1"/>
  <c r="C8577" i="2"/>
  <c r="G8577" i="2" s="1"/>
  <c r="C8632" i="2"/>
  <c r="G8632" i="2" s="1"/>
  <c r="C8726" i="2"/>
  <c r="G8726" i="2" s="1"/>
  <c r="C8948" i="2"/>
  <c r="G8948" i="2" s="1"/>
  <c r="C8952" i="2"/>
  <c r="G8952" i="2" s="1"/>
  <c r="C9104" i="2"/>
  <c r="G9104" i="2" s="1"/>
  <c r="C9108" i="2"/>
  <c r="G9108" i="2" s="1"/>
  <c r="C9112" i="2"/>
  <c r="G9112" i="2" s="1"/>
  <c r="C9116" i="2"/>
  <c r="G9116" i="2" s="1"/>
  <c r="C9440" i="2"/>
  <c r="G9440" i="2" s="1"/>
  <c r="C8360" i="2"/>
  <c r="G8360" i="2" s="1"/>
  <c r="C8400" i="2"/>
  <c r="G8400" i="2" s="1"/>
  <c r="C8411" i="2"/>
  <c r="G8411" i="2" s="1"/>
  <c r="C8438" i="2"/>
  <c r="G8438" i="2" s="1"/>
  <c r="C8442" i="2"/>
  <c r="G8442" i="2" s="1"/>
  <c r="C8453" i="2"/>
  <c r="G8453" i="2" s="1"/>
  <c r="C8511" i="2"/>
  <c r="G8511" i="2" s="1"/>
  <c r="C8559" i="2"/>
  <c r="G8559" i="2" s="1"/>
  <c r="C8615" i="2"/>
  <c r="G8615" i="2" s="1"/>
  <c r="C8663" i="2"/>
  <c r="G8663" i="2" s="1"/>
  <c r="C8679" i="2"/>
  <c r="G8679" i="2" s="1"/>
  <c r="C8723" i="2"/>
  <c r="G8723" i="2" s="1"/>
  <c r="C8734" i="2"/>
  <c r="G8734" i="2" s="1"/>
  <c r="C8753" i="2"/>
  <c r="G8753" i="2" s="1"/>
  <c r="C8772" i="2"/>
  <c r="G8772" i="2" s="1"/>
  <c r="C8776" i="2"/>
  <c r="G8776" i="2" s="1"/>
  <c r="C8780" i="2"/>
  <c r="G8780" i="2" s="1"/>
  <c r="C8784" i="2"/>
  <c r="G8784" i="2" s="1"/>
  <c r="C8788" i="2"/>
  <c r="G8788" i="2" s="1"/>
  <c r="C8796" i="2"/>
  <c r="G8796" i="2" s="1"/>
  <c r="C8803" i="2"/>
  <c r="G8803" i="2" s="1"/>
  <c r="C8811" i="2"/>
  <c r="G8811" i="2" s="1"/>
  <c r="C8839" i="2"/>
  <c r="G8839" i="2" s="1"/>
  <c r="C8861" i="2"/>
  <c r="G8861" i="2" s="1"/>
  <c r="C8869" i="2"/>
  <c r="G8869" i="2" s="1"/>
  <c r="C8872" i="2"/>
  <c r="G8872" i="2" s="1"/>
  <c r="C8876" i="2"/>
  <c r="G8876" i="2" s="1"/>
  <c r="C8880" i="2"/>
  <c r="G8880" i="2" s="1"/>
  <c r="C8895" i="2"/>
  <c r="G8895" i="2" s="1"/>
  <c r="C8911" i="2"/>
  <c r="G8911" i="2" s="1"/>
  <c r="C8922" i="2"/>
  <c r="G8922" i="2" s="1"/>
  <c r="C8933" i="2"/>
  <c r="G8933" i="2" s="1"/>
  <c r="C8941" i="2"/>
  <c r="G8941" i="2" s="1"/>
  <c r="C8964" i="2"/>
  <c r="G8964" i="2" s="1"/>
  <c r="C8967" i="2"/>
  <c r="G8967" i="2" s="1"/>
  <c r="C8975" i="2"/>
  <c r="G8975" i="2" s="1"/>
  <c r="C8979" i="2"/>
  <c r="G8979" i="2" s="1"/>
  <c r="C8983" i="2"/>
  <c r="G8983" i="2" s="1"/>
  <c r="C9005" i="2"/>
  <c r="G9005" i="2" s="1"/>
  <c r="C9047" i="2"/>
  <c r="G9047" i="2" s="1"/>
  <c r="C9051" i="2"/>
  <c r="G9051" i="2" s="1"/>
  <c r="C9055" i="2"/>
  <c r="G9055" i="2" s="1"/>
  <c r="C9085" i="2"/>
  <c r="G9085" i="2" s="1"/>
  <c r="C9131" i="2"/>
  <c r="G9131" i="2" s="1"/>
  <c r="C9142" i="2"/>
  <c r="G9142" i="2" s="1"/>
  <c r="C9157" i="2"/>
  <c r="G9157" i="2" s="1"/>
  <c r="C9161" i="2"/>
  <c r="G9161" i="2" s="1"/>
  <c r="C9172" i="2"/>
  <c r="G9172" i="2" s="1"/>
  <c r="C9199" i="2"/>
  <c r="G9199" i="2" s="1"/>
  <c r="C9221" i="2"/>
  <c r="G9221" i="2" s="1"/>
  <c r="C9252" i="2"/>
  <c r="G9252" i="2" s="1"/>
  <c r="C9260" i="2"/>
  <c r="G9260" i="2" s="1"/>
  <c r="C9289" i="2"/>
  <c r="G9289" i="2" s="1"/>
  <c r="C9300" i="2"/>
  <c r="G9300" i="2" s="1"/>
  <c r="C9319" i="2"/>
  <c r="G9319" i="2" s="1"/>
  <c r="C9323" i="2"/>
  <c r="G9323" i="2" s="1"/>
  <c r="C9330" i="2"/>
  <c r="G9330" i="2" s="1"/>
  <c r="C9386" i="2"/>
  <c r="G9386" i="2" s="1"/>
  <c r="C9390" i="2"/>
  <c r="G9390" i="2" s="1"/>
  <c r="C9398" i="2"/>
  <c r="G9398" i="2" s="1"/>
  <c r="C9402" i="2"/>
  <c r="G9402" i="2" s="1"/>
  <c r="C9409" i="2"/>
  <c r="G9409" i="2" s="1"/>
  <c r="C9413" i="2"/>
  <c r="G9413" i="2" s="1"/>
  <c r="C9417" i="2"/>
  <c r="G9417" i="2" s="1"/>
  <c r="C9421" i="2"/>
  <c r="G9421" i="2" s="1"/>
  <c r="C9429" i="2"/>
  <c r="G9429" i="2" s="1"/>
  <c r="C9437" i="2"/>
  <c r="G9437" i="2" s="1"/>
  <c r="C8389" i="2"/>
  <c r="G8389" i="2" s="1"/>
  <c r="C8412" i="2"/>
  <c r="G8412" i="2" s="1"/>
  <c r="C8454" i="2"/>
  <c r="G8454" i="2" s="1"/>
  <c r="C8508" i="2"/>
  <c r="G8508" i="2" s="1"/>
  <c r="C8520" i="2"/>
  <c r="G8520" i="2" s="1"/>
  <c r="C8523" i="2"/>
  <c r="G8523" i="2" s="1"/>
  <c r="C8556" i="2"/>
  <c r="G8556" i="2" s="1"/>
  <c r="C8589" i="2"/>
  <c r="G8589" i="2" s="1"/>
  <c r="C8612" i="2"/>
  <c r="G8612" i="2" s="1"/>
  <c r="C8637" i="2"/>
  <c r="G8637" i="2" s="1"/>
  <c r="C8690" i="2"/>
  <c r="G8690" i="2" s="1"/>
  <c r="C8720" i="2"/>
  <c r="G8720" i="2" s="1"/>
  <c r="C8765" i="2"/>
  <c r="G8765" i="2" s="1"/>
  <c r="C8836" i="2"/>
  <c r="G8836" i="2" s="1"/>
  <c r="C8900" i="2"/>
  <c r="G8900" i="2" s="1"/>
  <c r="C8904" i="2"/>
  <c r="G8904" i="2" s="1"/>
  <c r="C8919" i="2"/>
  <c r="G8919" i="2" s="1"/>
  <c r="C8938" i="2"/>
  <c r="G8938" i="2" s="1"/>
  <c r="C8957" i="2"/>
  <c r="G8957" i="2" s="1"/>
  <c r="C8972" i="2"/>
  <c r="G8972" i="2" s="1"/>
  <c r="C8991" i="2"/>
  <c r="G8991" i="2" s="1"/>
  <c r="C8995" i="2"/>
  <c r="G8995" i="2" s="1"/>
  <c r="C9002" i="2"/>
  <c r="G9002" i="2" s="1"/>
  <c r="C9032" i="2"/>
  <c r="G9032" i="2" s="1"/>
  <c r="C9044" i="2"/>
  <c r="G9044" i="2" s="1"/>
  <c r="C9082" i="2"/>
  <c r="G9082" i="2" s="1"/>
  <c r="C9086" i="2"/>
  <c r="G9086" i="2" s="1"/>
  <c r="C9094" i="2"/>
  <c r="G9094" i="2" s="1"/>
  <c r="C9102" i="2"/>
  <c r="G9102" i="2" s="1"/>
  <c r="C9139" i="2"/>
  <c r="G9139" i="2" s="1"/>
  <c r="C9143" i="2"/>
  <c r="G9143" i="2" s="1"/>
  <c r="C9180" i="2"/>
  <c r="G9180" i="2" s="1"/>
  <c r="C9188" i="2"/>
  <c r="G9188" i="2" s="1"/>
  <c r="C9192" i="2"/>
  <c r="G9192" i="2" s="1"/>
  <c r="C9226" i="2"/>
  <c r="G9226" i="2" s="1"/>
  <c r="C9241" i="2"/>
  <c r="G9241" i="2" s="1"/>
  <c r="C9268" i="2"/>
  <c r="G9268" i="2" s="1"/>
  <c r="C9275" i="2"/>
  <c r="G9275" i="2" s="1"/>
  <c r="C9312" i="2"/>
  <c r="G9312" i="2" s="1"/>
  <c r="C9353" i="2"/>
  <c r="G9353" i="2" s="1"/>
  <c r="C9360" i="2"/>
  <c r="G9360" i="2" s="1"/>
  <c r="C9375" i="2"/>
  <c r="G9375" i="2" s="1"/>
  <c r="C9414" i="2"/>
  <c r="G9414" i="2" s="1"/>
  <c r="C9418" i="2"/>
  <c r="G9418" i="2" s="1"/>
  <c r="C9422" i="2"/>
  <c r="G9422" i="2" s="1"/>
  <c r="C9426" i="2"/>
  <c r="G9426" i="2" s="1"/>
  <c r="C9430" i="2"/>
  <c r="G9430" i="2" s="1"/>
  <c r="C8439" i="2"/>
  <c r="G8439" i="2" s="1"/>
  <c r="C8535" i="2"/>
  <c r="G8535" i="2" s="1"/>
  <c r="C8684" i="2"/>
  <c r="G8684" i="2" s="1"/>
  <c r="C8691" i="2"/>
  <c r="G8691" i="2" s="1"/>
  <c r="C8702" i="2"/>
  <c r="G8702" i="2" s="1"/>
  <c r="C8743" i="2"/>
  <c r="G8743" i="2" s="1"/>
  <c r="C8754" i="2"/>
  <c r="G8754" i="2" s="1"/>
  <c r="C8801" i="2"/>
  <c r="G8801" i="2" s="1"/>
  <c r="C8841" i="2"/>
  <c r="G8841" i="2" s="1"/>
  <c r="C8859" i="2"/>
  <c r="G8859" i="2" s="1"/>
  <c r="C8916" i="2"/>
  <c r="G8916" i="2" s="1"/>
  <c r="C8920" i="2"/>
  <c r="G8920" i="2" s="1"/>
  <c r="C8927" i="2"/>
  <c r="G8927" i="2" s="1"/>
  <c r="C8931" i="2"/>
  <c r="G8931" i="2" s="1"/>
  <c r="C8939" i="2"/>
  <c r="G8939" i="2" s="1"/>
  <c r="C8958" i="2"/>
  <c r="G8958" i="2" s="1"/>
  <c r="C8965" i="2"/>
  <c r="G8965" i="2" s="1"/>
  <c r="C8988" i="2"/>
  <c r="G8988" i="2" s="1"/>
  <c r="C9003" i="2"/>
  <c r="G9003" i="2" s="1"/>
  <c r="C9018" i="2"/>
  <c r="G9018" i="2" s="1"/>
  <c r="C9022" i="2"/>
  <c r="G9022" i="2" s="1"/>
  <c r="C9079" i="2"/>
  <c r="G9079" i="2" s="1"/>
  <c r="C9083" i="2"/>
  <c r="G9083" i="2" s="1"/>
  <c r="C9087" i="2"/>
  <c r="G9087" i="2" s="1"/>
  <c r="C9095" i="2"/>
  <c r="G9095" i="2" s="1"/>
  <c r="C9114" i="2"/>
  <c r="G9114" i="2" s="1"/>
  <c r="C9125" i="2"/>
  <c r="G9125" i="2" s="1"/>
  <c r="C9129" i="2"/>
  <c r="G9129" i="2" s="1"/>
  <c r="C9144" i="2"/>
  <c r="G9144" i="2" s="1"/>
  <c r="C9148" i="2"/>
  <c r="G9148" i="2" s="1"/>
  <c r="C9155" i="2"/>
  <c r="G9155" i="2" s="1"/>
  <c r="C9208" i="2"/>
  <c r="G9208" i="2" s="1"/>
  <c r="C9219" i="2"/>
  <c r="G9219" i="2" s="1"/>
  <c r="C9231" i="2"/>
  <c r="G9231" i="2" s="1"/>
  <c r="C9242" i="2"/>
  <c r="G9242" i="2" s="1"/>
  <c r="C9246" i="2"/>
  <c r="G9246" i="2" s="1"/>
  <c r="C9253" i="2"/>
  <c r="G9253" i="2" s="1"/>
  <c r="C9276" i="2"/>
  <c r="G9276" i="2" s="1"/>
  <c r="C9301" i="2"/>
  <c r="G9301" i="2" s="1"/>
  <c r="C9342" i="2"/>
  <c r="G9342" i="2" s="1"/>
  <c r="C9361" i="2"/>
  <c r="G9361" i="2" s="1"/>
  <c r="C9407" i="2"/>
  <c r="G9407" i="2" s="1"/>
  <c r="C9415" i="2"/>
  <c r="G9415" i="2" s="1"/>
  <c r="C9419" i="2"/>
  <c r="G9419" i="2" s="1"/>
  <c r="C9438" i="2"/>
  <c r="G9438" i="2" s="1"/>
  <c r="C8342" i="2"/>
  <c r="G8342" i="2" s="1"/>
  <c r="C8346" i="2"/>
  <c r="G8346" i="2" s="1"/>
  <c r="C8350" i="2"/>
  <c r="G8350" i="2" s="1"/>
  <c r="C8369" i="2"/>
  <c r="G8369" i="2" s="1"/>
  <c r="C8402" i="2"/>
  <c r="G8402" i="2" s="1"/>
  <c r="C8417" i="2"/>
  <c r="G8417" i="2" s="1"/>
  <c r="C8424" i="2"/>
  <c r="G8424" i="2" s="1"/>
  <c r="C8440" i="2"/>
  <c r="G8440" i="2" s="1"/>
  <c r="C8459" i="2"/>
  <c r="G8459" i="2" s="1"/>
  <c r="C8470" i="2"/>
  <c r="G8470" i="2" s="1"/>
  <c r="C8561" i="2"/>
  <c r="G8561" i="2" s="1"/>
  <c r="C8590" i="2"/>
  <c r="G8590" i="2" s="1"/>
  <c r="C8602" i="2"/>
  <c r="G8602" i="2" s="1"/>
  <c r="C8638" i="2"/>
  <c r="G8638" i="2" s="1"/>
  <c r="C8642" i="2"/>
  <c r="G8642" i="2" s="1"/>
  <c r="C8646" i="2"/>
  <c r="G8646" i="2" s="1"/>
  <c r="C8410" i="2"/>
  <c r="G8410" i="2" s="1"/>
  <c r="C8421" i="2"/>
  <c r="G8421" i="2" s="1"/>
  <c r="C8452" i="2"/>
  <c r="G8452" i="2" s="1"/>
  <c r="C8456" i="2"/>
  <c r="G8456" i="2" s="1"/>
  <c r="C8525" i="2"/>
  <c r="G8525" i="2" s="1"/>
  <c r="C8554" i="2"/>
  <c r="G8554" i="2" s="1"/>
  <c r="C8580" i="2"/>
  <c r="G8580" i="2" s="1"/>
  <c r="C8587" i="2"/>
  <c r="G8587" i="2" s="1"/>
  <c r="C8599" i="2"/>
  <c r="G8599" i="2" s="1"/>
  <c r="C8603" i="2"/>
  <c r="G8603" i="2" s="1"/>
  <c r="C8635" i="2"/>
  <c r="G8635" i="2" s="1"/>
  <c r="C8639" i="2"/>
  <c r="G8639" i="2" s="1"/>
  <c r="C8643" i="2"/>
  <c r="G8643" i="2" s="1"/>
  <c r="C8662" i="2"/>
  <c r="G8662" i="2" s="1"/>
  <c r="C8677" i="2"/>
  <c r="G8677" i="2" s="1"/>
  <c r="C8714" i="2"/>
  <c r="G8714" i="2" s="1"/>
  <c r="C8718" i="2"/>
  <c r="G8718" i="2" s="1"/>
  <c r="C8770" i="2"/>
  <c r="G8770" i="2" s="1"/>
  <c r="C8798" i="2"/>
  <c r="G8798" i="2" s="1"/>
  <c r="C8823" i="2"/>
  <c r="G8823" i="2" s="1"/>
  <c r="C8827" i="2"/>
  <c r="G8827" i="2" s="1"/>
  <c r="C8860" i="2"/>
  <c r="G8860" i="2" s="1"/>
  <c r="C8863" i="2"/>
  <c r="G8863" i="2" s="1"/>
  <c r="C8882" i="2"/>
  <c r="G8882" i="2" s="1"/>
  <c r="C8898" i="2"/>
  <c r="G8898" i="2" s="1"/>
  <c r="C8925" i="2"/>
  <c r="G8925" i="2" s="1"/>
  <c r="C8932" i="2"/>
  <c r="G8932" i="2" s="1"/>
  <c r="C8940" i="2"/>
  <c r="G8940" i="2" s="1"/>
  <c r="C8970" i="2"/>
  <c r="G8970" i="2" s="1"/>
  <c r="C8989" i="2"/>
  <c r="G8989" i="2" s="1"/>
  <c r="C9004" i="2"/>
  <c r="G9004" i="2" s="1"/>
  <c r="C9007" i="2"/>
  <c r="G9007" i="2" s="1"/>
  <c r="C9011" i="2"/>
  <c r="G9011" i="2" s="1"/>
  <c r="C9019" i="2"/>
  <c r="G9019" i="2" s="1"/>
  <c r="C9034" i="2"/>
  <c r="G9034" i="2" s="1"/>
  <c r="C9038" i="2"/>
  <c r="G9038" i="2" s="1"/>
  <c r="C9042" i="2"/>
  <c r="G9042" i="2" s="1"/>
  <c r="C9046" i="2"/>
  <c r="G9046" i="2" s="1"/>
  <c r="C9092" i="2"/>
  <c r="G9092" i="2" s="1"/>
  <c r="C9096" i="2"/>
  <c r="G9096" i="2" s="1"/>
  <c r="C9133" i="2"/>
  <c r="G9133" i="2" s="1"/>
  <c r="C9149" i="2"/>
  <c r="G9149" i="2" s="1"/>
  <c r="C9186" i="2"/>
  <c r="G9186" i="2" s="1"/>
  <c r="C9190" i="2"/>
  <c r="G9190" i="2" s="1"/>
  <c r="C9209" i="2"/>
  <c r="G9209" i="2" s="1"/>
  <c r="C9216" i="2"/>
  <c r="G9216" i="2" s="1"/>
  <c r="C9228" i="2"/>
  <c r="G9228" i="2" s="1"/>
  <c r="C9232" i="2"/>
  <c r="G9232" i="2" s="1"/>
  <c r="C9239" i="2"/>
  <c r="G9239" i="2" s="1"/>
  <c r="C9243" i="2"/>
  <c r="G9243" i="2" s="1"/>
  <c r="C9254" i="2"/>
  <c r="G9254" i="2" s="1"/>
  <c r="C9262" i="2"/>
  <c r="G9262" i="2" s="1"/>
  <c r="C9325" i="2"/>
  <c r="G9325" i="2" s="1"/>
  <c r="C9355" i="2"/>
  <c r="G9355" i="2" s="1"/>
  <c r="C9362" i="2"/>
  <c r="G9362" i="2" s="1"/>
  <c r="C9377" i="2"/>
  <c r="G9377" i="2" s="1"/>
  <c r="C9412" i="2"/>
  <c r="G9412" i="2" s="1"/>
  <c r="C9428" i="2"/>
  <c r="G9428" i="2" s="1"/>
  <c r="C18" i="2"/>
  <c r="G18" i="2" s="1"/>
  <c r="C34" i="2"/>
  <c r="G34" i="2" s="1"/>
  <c r="C50" i="2"/>
  <c r="G50" i="2" s="1"/>
  <c r="C56" i="2"/>
  <c r="G56" i="2" s="1"/>
  <c r="C73" i="2"/>
  <c r="G73" i="2" s="1"/>
  <c r="C106" i="2"/>
  <c r="G106" i="2" s="1"/>
  <c r="C109" i="2"/>
  <c r="G109" i="2" s="1"/>
  <c r="C112" i="2"/>
  <c r="G112" i="2" s="1"/>
  <c r="C153" i="2"/>
  <c r="G153" i="2" s="1"/>
  <c r="C177" i="2"/>
  <c r="G177" i="2" s="1"/>
  <c r="C241" i="2"/>
  <c r="G241" i="2" s="1"/>
  <c r="C270" i="2"/>
  <c r="G270" i="2" s="1"/>
  <c r="C80" i="2"/>
  <c r="G80" i="2" s="1"/>
  <c r="C160" i="2"/>
  <c r="G160" i="2" s="1"/>
  <c r="C9" i="2"/>
  <c r="G9" i="2" s="1"/>
  <c r="C58" i="2"/>
  <c r="G58" i="2" s="1"/>
  <c r="C136" i="2"/>
  <c r="G136" i="2" s="1"/>
  <c r="C208" i="2"/>
  <c r="G208" i="2" s="1"/>
  <c r="C8" i="2"/>
  <c r="G8" i="2" s="1"/>
  <c r="C3" i="2"/>
  <c r="G3" i="2" s="1"/>
  <c r="C26" i="2"/>
  <c r="G26" i="2" s="1"/>
  <c r="C42" i="2"/>
  <c r="G42" i="2" s="1"/>
  <c r="C71" i="2"/>
  <c r="G71" i="2" s="1"/>
  <c r="C98" i="2"/>
  <c r="G98" i="2" s="1"/>
  <c r="C120" i="2"/>
  <c r="G120" i="2" s="1"/>
  <c r="C127" i="2"/>
  <c r="G127" i="2" s="1"/>
  <c r="C137" i="2"/>
  <c r="G137" i="2" s="1"/>
  <c r="C144" i="2"/>
  <c r="G144" i="2" s="1"/>
  <c r="C148" i="2"/>
  <c r="G148" i="2" s="1"/>
  <c r="C209" i="2"/>
  <c r="G209" i="2" s="1"/>
  <c r="C254" i="2"/>
  <c r="G254" i="2" s="1"/>
  <c r="C17" i="2"/>
  <c r="G17" i="2" s="1"/>
  <c r="C23" i="2"/>
  <c r="G23" i="2" s="1"/>
  <c r="C33" i="2"/>
  <c r="G33" i="2" s="1"/>
  <c r="C39" i="2"/>
  <c r="G39" i="2" s="1"/>
  <c r="C49" i="2"/>
  <c r="G49" i="2" s="1"/>
  <c r="C88" i="2"/>
  <c r="G88" i="2" s="1"/>
  <c r="C95" i="2"/>
  <c r="G95" i="2" s="1"/>
  <c r="C105" i="2"/>
  <c r="G105" i="2" s="1"/>
  <c r="C138" i="2"/>
  <c r="G138" i="2" s="1"/>
  <c r="C193" i="2"/>
  <c r="G193" i="2" s="1"/>
  <c r="C251" i="2"/>
  <c r="G251" i="2" s="1"/>
  <c r="C302" i="2"/>
  <c r="G302" i="2" s="1"/>
  <c r="C250" i="2"/>
  <c r="G250" i="2" s="1"/>
  <c r="C321" i="2"/>
  <c r="G321" i="2" s="1"/>
  <c r="C327" i="2"/>
  <c r="G327" i="2" s="1"/>
  <c r="C386" i="2"/>
  <c r="G386" i="2" s="1"/>
  <c r="C392" i="2"/>
  <c r="G392" i="2" s="1"/>
  <c r="C402" i="2"/>
  <c r="G402" i="2" s="1"/>
  <c r="C408" i="2"/>
  <c r="G408" i="2" s="1"/>
  <c r="C424" i="2"/>
  <c r="G424" i="2" s="1"/>
  <c r="C434" i="2"/>
  <c r="G434" i="2" s="1"/>
  <c r="C463" i="2"/>
  <c r="G463" i="2" s="1"/>
  <c r="C473" i="2"/>
  <c r="G473" i="2" s="1"/>
  <c r="C479" i="2"/>
  <c r="G479" i="2" s="1"/>
  <c r="C495" i="2"/>
  <c r="G495" i="2" s="1"/>
  <c r="C505" i="2"/>
  <c r="G505" i="2" s="1"/>
  <c r="C512" i="2"/>
  <c r="G512" i="2" s="1"/>
  <c r="C519" i="2"/>
  <c r="G519" i="2" s="1"/>
  <c r="C529" i="2"/>
  <c r="G529" i="2" s="1"/>
  <c r="C536" i="2"/>
  <c r="G536" i="2" s="1"/>
  <c r="C566" i="2"/>
  <c r="G566" i="2" s="1"/>
  <c r="C587" i="2"/>
  <c r="G587" i="2" s="1"/>
  <c r="C594" i="2"/>
  <c r="G594" i="2" s="1"/>
  <c r="C630" i="2"/>
  <c r="G630" i="2" s="1"/>
  <c r="C651" i="2"/>
  <c r="G651" i="2" s="1"/>
  <c r="C715" i="2"/>
  <c r="G715" i="2" s="1"/>
  <c r="C765" i="2"/>
  <c r="G765" i="2" s="1"/>
  <c r="C768" i="2"/>
  <c r="G768" i="2" s="1"/>
  <c r="C772" i="2"/>
  <c r="G772" i="2" s="1"/>
  <c r="C783" i="2"/>
  <c r="G783" i="2" s="1"/>
  <c r="C792" i="2"/>
  <c r="G792" i="2" s="1"/>
  <c r="C803" i="2"/>
  <c r="G803" i="2" s="1"/>
  <c r="C806" i="2"/>
  <c r="G806" i="2" s="1"/>
  <c r="C816" i="2"/>
  <c r="G816" i="2" s="1"/>
  <c r="C826" i="2"/>
  <c r="G826" i="2" s="1"/>
  <c r="C847" i="2"/>
  <c r="G847" i="2" s="1"/>
  <c r="C860" i="2"/>
  <c r="G860" i="2" s="1"/>
  <c r="C864" i="2"/>
  <c r="G864" i="2" s="1"/>
  <c r="C874" i="2"/>
  <c r="G874" i="2" s="1"/>
  <c r="C899" i="2"/>
  <c r="G899" i="2" s="1"/>
  <c r="C902" i="2"/>
  <c r="G902" i="2" s="1"/>
  <c r="C909" i="2"/>
  <c r="G909" i="2" s="1"/>
  <c r="C930" i="2"/>
  <c r="G930" i="2" s="1"/>
  <c r="C936" i="2"/>
  <c r="G936" i="2" s="1"/>
  <c r="C975" i="2"/>
  <c r="G975" i="2" s="1"/>
  <c r="C1005" i="2"/>
  <c r="G1005" i="2" s="1"/>
  <c r="C1022" i="2"/>
  <c r="G1022" i="2" s="1"/>
  <c r="C1029" i="2"/>
  <c r="G1029" i="2" s="1"/>
  <c r="C1032" i="2"/>
  <c r="G1032" i="2" s="1"/>
  <c r="C1043" i="2"/>
  <c r="G1043" i="2" s="1"/>
  <c r="C1060" i="2"/>
  <c r="G1060" i="2" s="1"/>
  <c r="C1067" i="2"/>
  <c r="G1067" i="2" s="1"/>
  <c r="C1071" i="2"/>
  <c r="G1071" i="2" s="1"/>
  <c r="C1078" i="2"/>
  <c r="G1078" i="2" s="1"/>
  <c r="C1085" i="2"/>
  <c r="G1085" i="2" s="1"/>
  <c r="C1114" i="2"/>
  <c r="G1114" i="2" s="1"/>
  <c r="C1125" i="2"/>
  <c r="G1125" i="2" s="1"/>
  <c r="C1129" i="2"/>
  <c r="G1129" i="2" s="1"/>
  <c r="C1143" i="2"/>
  <c r="G1143" i="2" s="1"/>
  <c r="C1156" i="2"/>
  <c r="G1156" i="2" s="1"/>
  <c r="C1173" i="2"/>
  <c r="G1173" i="2" s="1"/>
  <c r="C1176" i="2"/>
  <c r="G1176" i="2" s="1"/>
  <c r="C1180" i="2"/>
  <c r="G1180" i="2" s="1"/>
  <c r="C1187" i="2"/>
  <c r="G1187" i="2" s="1"/>
  <c r="C1205" i="2"/>
  <c r="G1205" i="2" s="1"/>
  <c r="C1208" i="2"/>
  <c r="G1208" i="2" s="1"/>
  <c r="C1212" i="2"/>
  <c r="G1212" i="2" s="1"/>
  <c r="C1232" i="2"/>
  <c r="G1232" i="2" s="1"/>
  <c r="C1242" i="2"/>
  <c r="G1242" i="2" s="1"/>
  <c r="C1270" i="2"/>
  <c r="G1270" i="2" s="1"/>
  <c r="C1283" i="2"/>
  <c r="G1283" i="2" s="1"/>
  <c r="C1287" i="2"/>
  <c r="G1287" i="2" s="1"/>
  <c r="C1301" i="2"/>
  <c r="G1301" i="2" s="1"/>
  <c r="C1304" i="2"/>
  <c r="G1304" i="2" s="1"/>
  <c r="C1308" i="2"/>
  <c r="G1308" i="2" s="1"/>
  <c r="C1318" i="2"/>
  <c r="G1318" i="2" s="1"/>
  <c r="C1325" i="2"/>
  <c r="G1325" i="2" s="1"/>
  <c r="C1364" i="2"/>
  <c r="G1364" i="2" s="1"/>
  <c r="C1399" i="2"/>
  <c r="G1399" i="2" s="1"/>
  <c r="C1424" i="2"/>
  <c r="G1424" i="2" s="1"/>
  <c r="C1441" i="2"/>
  <c r="G1441" i="2" s="1"/>
  <c r="C1452" i="2"/>
  <c r="G1452" i="2" s="1"/>
  <c r="C1455" i="2"/>
  <c r="G1455" i="2" s="1"/>
  <c r="C1458" i="2"/>
  <c r="G1458" i="2" s="1"/>
  <c r="C1466" i="2"/>
  <c r="G1466" i="2" s="1"/>
  <c r="C1490" i="2"/>
  <c r="G1490" i="2" s="1"/>
  <c r="C1534" i="2"/>
  <c r="G1534" i="2" s="1"/>
  <c r="C1538" i="2"/>
  <c r="G1538" i="2" s="1"/>
  <c r="C1605" i="2"/>
  <c r="G1605" i="2" s="1"/>
  <c r="C1631" i="2"/>
  <c r="G1631" i="2" s="1"/>
  <c r="C1635" i="2"/>
  <c r="G1635" i="2" s="1"/>
  <c r="C1646" i="2"/>
  <c r="G1646" i="2" s="1"/>
  <c r="C1665" i="2"/>
  <c r="G1665" i="2" s="1"/>
  <c r="C1699" i="2"/>
  <c r="G1699" i="2" s="1"/>
  <c r="C1710" i="2"/>
  <c r="G1710" i="2" s="1"/>
  <c r="C1729" i="2"/>
  <c r="G1729" i="2" s="1"/>
  <c r="C1783" i="2"/>
  <c r="G1783" i="2" s="1"/>
  <c r="C1945" i="2"/>
  <c r="G1945" i="2" s="1"/>
  <c r="C1993" i="2"/>
  <c r="G1993" i="2" s="1"/>
  <c r="C2135" i="2"/>
  <c r="G2135" i="2" s="1"/>
  <c r="C2247" i="2"/>
  <c r="G2247" i="2" s="1"/>
  <c r="C2295" i="2"/>
  <c r="G2295" i="2" s="1"/>
  <c r="C2343" i="2"/>
  <c r="G2343" i="2" s="1"/>
  <c r="C2400" i="2"/>
  <c r="G2400" i="2" s="1"/>
  <c r="C2455" i="2"/>
  <c r="G2455" i="2" s="1"/>
  <c r="C247" i="2"/>
  <c r="G247" i="2" s="1"/>
  <c r="C322" i="2"/>
  <c r="G322" i="2" s="1"/>
  <c r="C328" i="2"/>
  <c r="G328" i="2" s="1"/>
  <c r="C383" i="2"/>
  <c r="G383" i="2" s="1"/>
  <c r="C393" i="2"/>
  <c r="G393" i="2" s="1"/>
  <c r="C399" i="2"/>
  <c r="G399" i="2" s="1"/>
  <c r="C409" i="2"/>
  <c r="G409" i="2" s="1"/>
  <c r="C415" i="2"/>
  <c r="G415" i="2" s="1"/>
  <c r="C425" i="2"/>
  <c r="G425" i="2" s="1"/>
  <c r="C431" i="2"/>
  <c r="G431" i="2" s="1"/>
  <c r="C464" i="2"/>
  <c r="G464" i="2" s="1"/>
  <c r="C474" i="2"/>
  <c r="G474" i="2" s="1"/>
  <c r="C480" i="2"/>
  <c r="G480" i="2" s="1"/>
  <c r="C490" i="2"/>
  <c r="G490" i="2" s="1"/>
  <c r="C496" i="2"/>
  <c r="G496" i="2" s="1"/>
  <c r="C509" i="2"/>
  <c r="G509" i="2" s="1"/>
  <c r="C520" i="2"/>
  <c r="G520" i="2" s="1"/>
  <c r="C533" i="2"/>
  <c r="G533" i="2" s="1"/>
  <c r="C571" i="2"/>
  <c r="G571" i="2" s="1"/>
  <c r="C577" i="2"/>
  <c r="G577" i="2" s="1"/>
  <c r="C584" i="2"/>
  <c r="G584" i="2" s="1"/>
  <c r="C591" i="2"/>
  <c r="G591" i="2" s="1"/>
  <c r="C598" i="2"/>
  <c r="G598" i="2" s="1"/>
  <c r="C635" i="2"/>
  <c r="G635" i="2" s="1"/>
  <c r="C641" i="2"/>
  <c r="G641" i="2" s="1"/>
  <c r="C648" i="2"/>
  <c r="G648" i="2" s="1"/>
  <c r="C664" i="2"/>
  <c r="G664" i="2" s="1"/>
  <c r="C675" i="2"/>
  <c r="G675" i="2" s="1"/>
  <c r="C705" i="2"/>
  <c r="G705" i="2" s="1"/>
  <c r="C712" i="2"/>
  <c r="G712" i="2" s="1"/>
  <c r="C728" i="2"/>
  <c r="G728" i="2" s="1"/>
  <c r="C739" i="2"/>
  <c r="G739" i="2" s="1"/>
  <c r="C750" i="2"/>
  <c r="G750" i="2" s="1"/>
  <c r="C766" i="2"/>
  <c r="G766" i="2" s="1"/>
  <c r="C777" i="2"/>
  <c r="G777" i="2" s="1"/>
  <c r="C790" i="2"/>
  <c r="G790" i="2" s="1"/>
  <c r="C800" i="2"/>
  <c r="G800" i="2" s="1"/>
  <c r="C810" i="2"/>
  <c r="G810" i="2" s="1"/>
  <c r="C827" i="2"/>
  <c r="G827" i="2" s="1"/>
  <c r="C834" i="2"/>
  <c r="G834" i="2" s="1"/>
  <c r="C844" i="2"/>
  <c r="G844" i="2" s="1"/>
  <c r="C875" i="2"/>
  <c r="G875" i="2" s="1"/>
  <c r="C879" i="2"/>
  <c r="G879" i="2" s="1"/>
  <c r="C892" i="2"/>
  <c r="G892" i="2" s="1"/>
  <c r="C896" i="2"/>
  <c r="G896" i="2" s="1"/>
  <c r="C906" i="2"/>
  <c r="G906" i="2" s="1"/>
  <c r="C910" i="2"/>
  <c r="G910" i="2" s="1"/>
  <c r="C931" i="2"/>
  <c r="G931" i="2" s="1"/>
  <c r="C934" i="2"/>
  <c r="G934" i="2" s="1"/>
  <c r="C941" i="2"/>
  <c r="G941" i="2" s="1"/>
  <c r="C962" i="2"/>
  <c r="G962" i="2" s="1"/>
  <c r="C989" i="2"/>
  <c r="G989" i="2" s="1"/>
  <c r="C1006" i="2"/>
  <c r="G1006" i="2" s="1"/>
  <c r="C1030" i="2"/>
  <c r="G1030" i="2" s="1"/>
  <c r="C1040" i="2"/>
  <c r="G1040" i="2" s="1"/>
  <c r="C1050" i="2"/>
  <c r="G1050" i="2" s="1"/>
  <c r="C1079" i="2"/>
  <c r="G1079" i="2" s="1"/>
  <c r="C1082" i="2"/>
  <c r="G1082" i="2" s="1"/>
  <c r="C1095" i="2"/>
  <c r="G1095" i="2" s="1"/>
  <c r="C1098" i="2"/>
  <c r="G1098" i="2" s="1"/>
  <c r="C1126" i="2"/>
  <c r="G1126" i="2" s="1"/>
  <c r="C1157" i="2"/>
  <c r="G1157" i="2" s="1"/>
  <c r="C1167" i="2"/>
  <c r="G1167" i="2" s="1"/>
  <c r="C1174" i="2"/>
  <c r="G1174" i="2" s="1"/>
  <c r="C1188" i="2"/>
  <c r="G1188" i="2" s="1"/>
  <c r="C1194" i="2"/>
  <c r="G1194" i="2" s="1"/>
  <c r="C1206" i="2"/>
  <c r="G1206" i="2" s="1"/>
  <c r="C1219" i="2"/>
  <c r="G1219" i="2" s="1"/>
  <c r="C1260" i="2"/>
  <c r="G1260" i="2" s="1"/>
  <c r="C1267" i="2"/>
  <c r="G1267" i="2" s="1"/>
  <c r="C1284" i="2"/>
  <c r="G1284" i="2" s="1"/>
  <c r="C1302" i="2"/>
  <c r="G1302" i="2" s="1"/>
  <c r="C1312" i="2"/>
  <c r="G1312" i="2" s="1"/>
  <c r="C1319" i="2"/>
  <c r="G1319" i="2" s="1"/>
  <c r="C1329" i="2"/>
  <c r="G1329" i="2" s="1"/>
  <c r="C1347" i="2"/>
  <c r="G1347" i="2" s="1"/>
  <c r="C1368" i="2"/>
  <c r="G1368" i="2" s="1"/>
  <c r="C1378" i="2"/>
  <c r="G1378" i="2" s="1"/>
  <c r="C1385" i="2"/>
  <c r="G1385" i="2" s="1"/>
  <c r="C1400" i="2"/>
  <c r="G1400" i="2" s="1"/>
  <c r="C1403" i="2"/>
  <c r="G1403" i="2" s="1"/>
  <c r="C1410" i="2"/>
  <c r="G1410" i="2" s="1"/>
  <c r="C1417" i="2"/>
  <c r="G1417" i="2" s="1"/>
  <c r="C1421" i="2"/>
  <c r="G1421" i="2" s="1"/>
  <c r="C1316" i="2"/>
  <c r="G1316" i="2" s="1"/>
  <c r="C1334" i="2"/>
  <c r="G1334" i="2" s="1"/>
  <c r="C1344" i="2"/>
  <c r="G1344" i="2" s="1"/>
  <c r="C1379" i="2"/>
  <c r="G1379" i="2" s="1"/>
  <c r="C1393" i="2"/>
  <c r="G1393" i="2" s="1"/>
  <c r="C1443" i="2"/>
  <c r="G1443" i="2" s="1"/>
  <c r="C1460" i="2"/>
  <c r="G1460" i="2" s="1"/>
  <c r="C1464" i="2"/>
  <c r="G1464" i="2" s="1"/>
  <c r="C1492" i="2"/>
  <c r="G1492" i="2" s="1"/>
  <c r="C1509" i="2"/>
  <c r="G1509" i="2" s="1"/>
  <c r="C1524" i="2"/>
  <c r="G1524" i="2" s="1"/>
  <c r="C1528" i="2"/>
  <c r="G1528" i="2" s="1"/>
  <c r="C1546" i="2"/>
  <c r="G1546" i="2" s="1"/>
  <c r="C1560" i="2"/>
  <c r="G1560" i="2" s="1"/>
  <c r="C1563" i="2"/>
  <c r="G1563" i="2" s="1"/>
  <c r="C1935" i="2"/>
  <c r="G1935" i="2" s="1"/>
  <c r="C1983" i="2"/>
  <c r="G1983" i="2" s="1"/>
  <c r="C2800" i="2"/>
  <c r="G2800" i="2" s="1"/>
  <c r="C81" i="2"/>
  <c r="G81" i="2" s="1"/>
  <c r="C87" i="2"/>
  <c r="G87" i="2" s="1"/>
  <c r="C97" i="2"/>
  <c r="G97" i="2" s="1"/>
  <c r="C103" i="2"/>
  <c r="G103" i="2" s="1"/>
  <c r="C113" i="2"/>
  <c r="G113" i="2" s="1"/>
  <c r="C119" i="2"/>
  <c r="G119" i="2" s="1"/>
  <c r="C129" i="2"/>
  <c r="G129" i="2" s="1"/>
  <c r="C135" i="2"/>
  <c r="G135" i="2" s="1"/>
  <c r="C194" i="2"/>
  <c r="G194" i="2" s="1"/>
  <c r="C210" i="2"/>
  <c r="G210" i="2" s="1"/>
  <c r="C226" i="2"/>
  <c r="G226" i="2" s="1"/>
  <c r="C242" i="2"/>
  <c r="G242" i="2" s="1"/>
  <c r="C248" i="2"/>
  <c r="G248" i="2" s="1"/>
  <c r="C319" i="2"/>
  <c r="G319" i="2" s="1"/>
  <c r="C329" i="2"/>
  <c r="G329" i="2" s="1"/>
  <c r="C384" i="2"/>
  <c r="G384" i="2" s="1"/>
  <c r="C394" i="2"/>
  <c r="G394" i="2" s="1"/>
  <c r="C400" i="2"/>
  <c r="G400" i="2" s="1"/>
  <c r="C410" i="2"/>
  <c r="G410" i="2" s="1"/>
  <c r="C416" i="2"/>
  <c r="G416" i="2" s="1"/>
  <c r="C426" i="2"/>
  <c r="G426" i="2" s="1"/>
  <c r="C432" i="2"/>
  <c r="G432" i="2" s="1"/>
  <c r="C465" i="2"/>
  <c r="G465" i="2" s="1"/>
  <c r="C471" i="2"/>
  <c r="G471" i="2" s="1"/>
  <c r="C481" i="2"/>
  <c r="G481" i="2" s="1"/>
  <c r="C487" i="2"/>
  <c r="G487" i="2" s="1"/>
  <c r="C514" i="2"/>
  <c r="G514" i="2" s="1"/>
  <c r="C538" i="2"/>
  <c r="G538" i="2" s="1"/>
  <c r="C548" i="2"/>
  <c r="G548" i="2" s="1"/>
  <c r="C572" i="2"/>
  <c r="G572" i="2" s="1"/>
  <c r="C608" i="2"/>
  <c r="G608" i="2" s="1"/>
  <c r="C612" i="2"/>
  <c r="G612" i="2" s="1"/>
  <c r="C636" i="2"/>
  <c r="G636" i="2" s="1"/>
  <c r="C683" i="2"/>
  <c r="G683" i="2" s="1"/>
  <c r="C747" i="2"/>
  <c r="G747" i="2" s="1"/>
  <c r="C751" i="2"/>
  <c r="G751" i="2" s="1"/>
  <c r="C763" i="2"/>
  <c r="G763" i="2" s="1"/>
  <c r="C774" i="2"/>
  <c r="G774" i="2" s="1"/>
  <c r="C778" i="2"/>
  <c r="G778" i="2" s="1"/>
  <c r="C794" i="2"/>
  <c r="G794" i="2" s="1"/>
  <c r="C824" i="2"/>
  <c r="G824" i="2" s="1"/>
  <c r="C872" i="2"/>
  <c r="G872" i="2" s="1"/>
  <c r="C924" i="2"/>
  <c r="G924" i="2" s="1"/>
  <c r="C928" i="2"/>
  <c r="G928" i="2" s="1"/>
  <c r="C1123" i="2"/>
  <c r="G1123" i="2" s="1"/>
  <c r="C1185" i="2"/>
  <c r="G1185" i="2" s="1"/>
  <c r="C1226" i="2"/>
  <c r="G1226" i="2" s="1"/>
  <c r="C1281" i="2"/>
  <c r="G1281" i="2" s="1"/>
  <c r="C828" i="2"/>
  <c r="G828" i="2" s="1"/>
  <c r="C876" i="2"/>
  <c r="G876" i="2" s="1"/>
  <c r="C880" i="2"/>
  <c r="G880" i="2" s="1"/>
  <c r="C952" i="2"/>
  <c r="G952" i="2" s="1"/>
  <c r="C1000" i="2"/>
  <c r="G1000" i="2" s="1"/>
  <c r="C1024" i="2"/>
  <c r="G1024" i="2" s="1"/>
  <c r="C1048" i="2"/>
  <c r="G1048" i="2" s="1"/>
  <c r="C1062" i="2"/>
  <c r="G1062" i="2" s="1"/>
  <c r="C1073" i="2"/>
  <c r="G1073" i="2" s="1"/>
  <c r="C1178" i="2"/>
  <c r="G1178" i="2" s="1"/>
  <c r="C1210" i="2"/>
  <c r="G1210" i="2" s="1"/>
  <c r="C1513" i="2"/>
  <c r="G1513" i="2" s="1"/>
  <c r="C1610" i="2"/>
  <c r="G1610" i="2" s="1"/>
  <c r="C1674" i="2"/>
  <c r="G1674" i="2" s="1"/>
  <c r="C152" i="2"/>
  <c r="G152" i="2" s="1"/>
  <c r="C169" i="2"/>
  <c r="G169" i="2" s="1"/>
  <c r="C175" i="2"/>
  <c r="G175" i="2" s="1"/>
  <c r="C185" i="2"/>
  <c r="G185" i="2" s="1"/>
  <c r="C191" i="2"/>
  <c r="G191" i="2" s="1"/>
  <c r="C201" i="2"/>
  <c r="G201" i="2" s="1"/>
  <c r="C207" i="2"/>
  <c r="G207" i="2" s="1"/>
  <c r="C217" i="2"/>
  <c r="G217" i="2" s="1"/>
  <c r="C223" i="2"/>
  <c r="G223" i="2" s="1"/>
  <c r="C233" i="2"/>
  <c r="G233" i="2" s="1"/>
  <c r="C239" i="2"/>
  <c r="G239" i="2" s="1"/>
  <c r="C249" i="2"/>
  <c r="G249" i="2" s="1"/>
  <c r="C320" i="2"/>
  <c r="G320" i="2" s="1"/>
  <c r="C330" i="2"/>
  <c r="G330" i="2" s="1"/>
  <c r="C385" i="2"/>
  <c r="G385" i="2" s="1"/>
  <c r="C391" i="2"/>
  <c r="G391" i="2" s="1"/>
  <c r="C401" i="2"/>
  <c r="G401" i="2" s="1"/>
  <c r="C407" i="2"/>
  <c r="G407" i="2" s="1"/>
  <c r="C417" i="2"/>
  <c r="G417" i="2" s="1"/>
  <c r="C423" i="2"/>
  <c r="G423" i="2" s="1"/>
  <c r="C433" i="2"/>
  <c r="G433" i="2" s="1"/>
  <c r="C466" i="2"/>
  <c r="G466" i="2" s="1"/>
  <c r="C472" i="2"/>
  <c r="G472" i="2" s="1"/>
  <c r="C482" i="2"/>
  <c r="G482" i="2" s="1"/>
  <c r="C488" i="2"/>
  <c r="G488" i="2" s="1"/>
  <c r="C498" i="2"/>
  <c r="G498" i="2" s="1"/>
  <c r="C511" i="2"/>
  <c r="G511" i="2" s="1"/>
  <c r="C522" i="2"/>
  <c r="G522" i="2" s="1"/>
  <c r="C535" i="2"/>
  <c r="G535" i="2" s="1"/>
  <c r="C545" i="2"/>
  <c r="G545" i="2" s="1"/>
  <c r="C552" i="2"/>
  <c r="G552" i="2" s="1"/>
  <c r="C559" i="2"/>
  <c r="G559" i="2" s="1"/>
  <c r="C569" i="2"/>
  <c r="G569" i="2" s="1"/>
  <c r="C593" i="2"/>
  <c r="G593" i="2" s="1"/>
  <c r="C609" i="2"/>
  <c r="G609" i="2" s="1"/>
  <c r="C616" i="2"/>
  <c r="G616" i="2" s="1"/>
  <c r="C623" i="2"/>
  <c r="G623" i="2" s="1"/>
  <c r="C633" i="2"/>
  <c r="G633" i="2" s="1"/>
  <c r="C673" i="2"/>
  <c r="G673" i="2" s="1"/>
  <c r="C680" i="2"/>
  <c r="G680" i="2" s="1"/>
  <c r="C696" i="2"/>
  <c r="G696" i="2" s="1"/>
  <c r="C707" i="2"/>
  <c r="G707" i="2" s="1"/>
  <c r="C737" i="2"/>
  <c r="G737" i="2" s="1"/>
  <c r="C744" i="2"/>
  <c r="G744" i="2" s="1"/>
  <c r="C775" i="2"/>
  <c r="G775" i="2" s="1"/>
  <c r="C782" i="2"/>
  <c r="G782" i="2" s="1"/>
  <c r="C795" i="2"/>
  <c r="G795" i="2" s="1"/>
  <c r="C802" i="2"/>
  <c r="G802" i="2" s="1"/>
  <c r="C808" i="2"/>
  <c r="G808" i="2" s="1"/>
  <c r="C819" i="2"/>
  <c r="G819" i="2" s="1"/>
  <c r="C822" i="2"/>
  <c r="G822" i="2" s="1"/>
  <c r="C832" i="2"/>
  <c r="G832" i="2" s="1"/>
  <c r="C846" i="2"/>
  <c r="G846" i="2" s="1"/>
  <c r="C867" i="2"/>
  <c r="G867" i="2" s="1"/>
  <c r="C870" i="2"/>
  <c r="G870" i="2" s="1"/>
  <c r="C877" i="2"/>
  <c r="G877" i="2" s="1"/>
  <c r="C898" i="2"/>
  <c r="G898" i="2" s="1"/>
  <c r="C904" i="2"/>
  <c r="G904" i="2" s="1"/>
  <c r="C939" i="2"/>
  <c r="G939" i="2" s="1"/>
  <c r="C943" i="2"/>
  <c r="G943" i="2" s="1"/>
  <c r="C956" i="2"/>
  <c r="G956" i="2" s="1"/>
  <c r="C960" i="2"/>
  <c r="G960" i="2" s="1"/>
  <c r="C974" i="2"/>
  <c r="G974" i="2" s="1"/>
  <c r="C991" i="2"/>
  <c r="G991" i="2" s="1"/>
  <c r="C1021" i="2"/>
  <c r="G1021" i="2" s="1"/>
  <c r="C1035" i="2"/>
  <c r="G1035" i="2" s="1"/>
  <c r="C1042" i="2"/>
  <c r="G1042" i="2" s="1"/>
  <c r="C1070" i="2"/>
  <c r="G1070" i="2" s="1"/>
  <c r="C1100" i="2"/>
  <c r="G1100" i="2" s="1"/>
  <c r="C1121" i="2"/>
  <c r="G1121" i="2" s="1"/>
  <c r="C1135" i="2"/>
  <c r="G1135" i="2" s="1"/>
  <c r="C1142" i="2"/>
  <c r="G1142" i="2" s="1"/>
  <c r="C1165" i="2"/>
  <c r="G1165" i="2" s="1"/>
  <c r="C1179" i="2"/>
  <c r="G1179" i="2" s="1"/>
  <c r="C1200" i="2"/>
  <c r="G1200" i="2" s="1"/>
  <c r="C1211" i="2"/>
  <c r="G1211" i="2" s="1"/>
  <c r="C1217" i="2"/>
  <c r="G1217" i="2" s="1"/>
  <c r="C1231" i="2"/>
  <c r="G1231" i="2" s="1"/>
  <c r="C1234" i="2"/>
  <c r="G1234" i="2" s="1"/>
  <c r="C1286" i="2"/>
  <c r="G1286" i="2" s="1"/>
  <c r="C1293" i="2"/>
  <c r="G1293" i="2" s="1"/>
  <c r="C1307" i="2"/>
  <c r="G1307" i="2" s="1"/>
  <c r="C1324" i="2"/>
  <c r="G1324" i="2" s="1"/>
  <c r="C1356" i="2"/>
  <c r="G1356" i="2" s="1"/>
  <c r="C1363" i="2"/>
  <c r="G1363" i="2" s="1"/>
  <c r="C1394" i="2"/>
  <c r="G1394" i="2" s="1"/>
  <c r="C1408" i="2"/>
  <c r="G1408" i="2" s="1"/>
  <c r="C1412" i="2"/>
  <c r="G1412" i="2" s="1"/>
  <c r="C1423" i="2"/>
  <c r="G1423" i="2" s="1"/>
  <c r="C1426" i="2"/>
  <c r="G1426" i="2" s="1"/>
  <c r="C1433" i="2"/>
  <c r="G1433" i="2" s="1"/>
  <c r="C1451" i="2"/>
  <c r="G1451" i="2" s="1"/>
  <c r="C1472" i="2"/>
  <c r="G1472" i="2" s="1"/>
  <c r="C1482" i="2"/>
  <c r="G1482" i="2" s="1"/>
  <c r="C1506" i="2"/>
  <c r="G1506" i="2" s="1"/>
  <c r="C1537" i="2"/>
  <c r="G1537" i="2" s="1"/>
  <c r="C1555" i="2"/>
  <c r="G1555" i="2" s="1"/>
  <c r="C1586" i="2"/>
  <c r="G1586" i="2" s="1"/>
  <c r="C1660" i="2"/>
  <c r="G1660" i="2" s="1"/>
  <c r="C1878" i="2"/>
  <c r="G1878" i="2" s="1"/>
  <c r="C1966" i="2"/>
  <c r="G1966" i="2" s="1"/>
  <c r="C2054" i="2"/>
  <c r="G2054" i="2" s="1"/>
  <c r="C2298" i="2"/>
  <c r="G2298" i="2" s="1"/>
  <c r="C2354" i="2"/>
  <c r="G2354" i="2" s="1"/>
  <c r="C2414" i="2"/>
  <c r="G2414" i="2" s="1"/>
  <c r="C2632" i="2"/>
  <c r="G2632" i="2" s="1"/>
  <c r="C2728" i="2"/>
  <c r="G2728" i="2" s="1"/>
  <c r="C2831" i="2"/>
  <c r="G2831" i="2" s="1"/>
  <c r="C1551" i="2"/>
  <c r="G1551" i="2" s="1"/>
  <c r="C1554" i="2"/>
  <c r="G1554" i="2" s="1"/>
  <c r="C1570" i="2"/>
  <c r="G1570" i="2" s="1"/>
  <c r="C1591" i="2"/>
  <c r="G1591" i="2" s="1"/>
  <c r="C1611" i="2"/>
  <c r="G1611" i="2" s="1"/>
  <c r="C1629" i="2"/>
  <c r="G1629" i="2" s="1"/>
  <c r="C1636" i="2"/>
  <c r="G1636" i="2" s="1"/>
  <c r="C1643" i="2"/>
  <c r="G1643" i="2" s="1"/>
  <c r="C1661" i="2"/>
  <c r="G1661" i="2" s="1"/>
  <c r="C1668" i="2"/>
  <c r="G1668" i="2" s="1"/>
  <c r="C1675" i="2"/>
  <c r="G1675" i="2" s="1"/>
  <c r="C1693" i="2"/>
  <c r="G1693" i="2" s="1"/>
  <c r="C1700" i="2"/>
  <c r="G1700" i="2" s="1"/>
  <c r="C1707" i="2"/>
  <c r="G1707" i="2" s="1"/>
  <c r="C1725" i="2"/>
  <c r="G1725" i="2" s="1"/>
  <c r="C1732" i="2"/>
  <c r="G1732" i="2" s="1"/>
  <c r="C1739" i="2"/>
  <c r="G1739" i="2" s="1"/>
  <c r="C1757" i="2"/>
  <c r="G1757" i="2" s="1"/>
  <c r="C1760" i="2"/>
  <c r="G1760" i="2" s="1"/>
  <c r="C1787" i="2"/>
  <c r="G1787" i="2" s="1"/>
  <c r="C1804" i="2"/>
  <c r="G1804" i="2" s="1"/>
  <c r="C1810" i="2"/>
  <c r="G1810" i="2" s="1"/>
  <c r="C1821" i="2"/>
  <c r="G1821" i="2" s="1"/>
  <c r="C1824" i="2"/>
  <c r="G1824" i="2" s="1"/>
  <c r="C1834" i="2"/>
  <c r="G1834" i="2" s="1"/>
  <c r="C1848" i="2"/>
  <c r="G1848" i="2" s="1"/>
  <c r="C1875" i="2"/>
  <c r="G1875" i="2" s="1"/>
  <c r="C1892" i="2"/>
  <c r="G1892" i="2" s="1"/>
  <c r="C1898" i="2"/>
  <c r="G1898" i="2" s="1"/>
  <c r="C1912" i="2"/>
  <c r="G1912" i="2" s="1"/>
  <c r="C1939" i="2"/>
  <c r="G1939" i="2" s="1"/>
  <c r="C1963" i="2"/>
  <c r="G1963" i="2" s="1"/>
  <c r="C1987" i="2"/>
  <c r="G1987" i="2" s="1"/>
  <c r="C2004" i="2"/>
  <c r="G2004" i="2" s="1"/>
  <c r="C2010" i="2"/>
  <c r="G2010" i="2" s="1"/>
  <c r="C2024" i="2"/>
  <c r="G2024" i="2" s="1"/>
  <c r="C2051" i="2"/>
  <c r="G2051" i="2" s="1"/>
  <c r="C2068" i="2"/>
  <c r="G2068" i="2" s="1"/>
  <c r="C2074" i="2"/>
  <c r="G2074" i="2" s="1"/>
  <c r="C2088" i="2"/>
  <c r="G2088" i="2" s="1"/>
  <c r="C2115" i="2"/>
  <c r="G2115" i="2" s="1"/>
  <c r="C2139" i="2"/>
  <c r="G2139" i="2" s="1"/>
  <c r="C2156" i="2"/>
  <c r="G2156" i="2" s="1"/>
  <c r="C2162" i="2"/>
  <c r="G2162" i="2" s="1"/>
  <c r="C2176" i="2"/>
  <c r="G2176" i="2" s="1"/>
  <c r="C2203" i="2"/>
  <c r="G2203" i="2" s="1"/>
  <c r="C2220" i="2"/>
  <c r="G2220" i="2" s="1"/>
  <c r="C2226" i="2"/>
  <c r="G2226" i="2" s="1"/>
  <c r="C2237" i="2"/>
  <c r="G2237" i="2" s="1"/>
  <c r="C2251" i="2"/>
  <c r="G2251" i="2" s="1"/>
  <c r="C2268" i="2"/>
  <c r="G2268" i="2" s="1"/>
  <c r="C2271" i="2"/>
  <c r="G2271" i="2" s="1"/>
  <c r="C2274" i="2"/>
  <c r="G2274" i="2" s="1"/>
  <c r="C2285" i="2"/>
  <c r="G2285" i="2" s="1"/>
  <c r="C2305" i="2"/>
  <c r="G2305" i="2" s="1"/>
  <c r="C2316" i="2"/>
  <c r="G2316" i="2" s="1"/>
  <c r="C2320" i="2"/>
  <c r="G2320" i="2" s="1"/>
  <c r="C2351" i="2"/>
  <c r="G2351" i="2" s="1"/>
  <c r="C2365" i="2"/>
  <c r="G2365" i="2" s="1"/>
  <c r="C2372" i="2"/>
  <c r="G2372" i="2" s="1"/>
  <c r="C2379" i="2"/>
  <c r="G2379" i="2" s="1"/>
  <c r="C2428" i="2"/>
  <c r="G2428" i="2" s="1"/>
  <c r="C2539" i="2"/>
  <c r="G2539" i="2" s="1"/>
  <c r="C2546" i="2"/>
  <c r="G2546" i="2" s="1"/>
  <c r="C2550" i="2"/>
  <c r="G2550" i="2" s="1"/>
  <c r="C2553" i="2"/>
  <c r="G2553" i="2" s="1"/>
  <c r="C2557" i="2"/>
  <c r="G2557" i="2" s="1"/>
  <c r="C2570" i="2"/>
  <c r="G2570" i="2" s="1"/>
  <c r="C2581" i="2"/>
  <c r="G2581" i="2" s="1"/>
  <c r="C2588" i="2"/>
  <c r="G2588" i="2" s="1"/>
  <c r="C2612" i="2"/>
  <c r="G2612" i="2" s="1"/>
  <c r="C2636" i="2"/>
  <c r="G2636" i="2" s="1"/>
  <c r="C2646" i="2"/>
  <c r="G2646" i="2" s="1"/>
  <c r="C2653" i="2"/>
  <c r="G2653" i="2" s="1"/>
  <c r="C2666" i="2"/>
  <c r="G2666" i="2" s="1"/>
  <c r="C2673" i="2"/>
  <c r="G2673" i="2" s="1"/>
  <c r="C2697" i="2"/>
  <c r="G2697" i="2" s="1"/>
  <c r="C2714" i="2"/>
  <c r="G2714" i="2" s="1"/>
  <c r="C2725" i="2"/>
  <c r="G2725" i="2" s="1"/>
  <c r="C2732" i="2"/>
  <c r="G2732" i="2" s="1"/>
  <c r="C2742" i="2"/>
  <c r="G2742" i="2" s="1"/>
  <c r="C2766" i="2"/>
  <c r="G2766" i="2" s="1"/>
  <c r="C2790" i="2"/>
  <c r="G2790" i="2" s="1"/>
  <c r="C2838" i="2"/>
  <c r="G2838" i="2" s="1"/>
  <c r="C2863" i="2"/>
  <c r="G2863" i="2" s="1"/>
  <c r="C2866" i="2"/>
  <c r="G2866" i="2" s="1"/>
  <c r="C2884" i="2"/>
  <c r="G2884" i="2" s="1"/>
  <c r="C2912" i="2"/>
  <c r="G2912" i="2" s="1"/>
  <c r="C2927" i="2"/>
  <c r="G2927" i="2" s="1"/>
  <c r="C2930" i="2"/>
  <c r="G2930" i="2" s="1"/>
  <c r="C1571" i="2"/>
  <c r="G1571" i="2" s="1"/>
  <c r="C1588" i="2"/>
  <c r="G1588" i="2" s="1"/>
  <c r="C1615" i="2"/>
  <c r="G1615" i="2" s="1"/>
  <c r="C1640" i="2"/>
  <c r="G1640" i="2" s="1"/>
  <c r="C1647" i="2"/>
  <c r="G1647" i="2" s="1"/>
  <c r="C1672" i="2"/>
  <c r="G1672" i="2" s="1"/>
  <c r="C1679" i="2"/>
  <c r="G1679" i="2" s="1"/>
  <c r="C1704" i="2"/>
  <c r="G1704" i="2" s="1"/>
  <c r="C1711" i="2"/>
  <c r="G1711" i="2" s="1"/>
  <c r="C1736" i="2"/>
  <c r="G1736" i="2" s="1"/>
  <c r="C1743" i="2"/>
  <c r="G1743" i="2" s="1"/>
  <c r="C1764" i="2"/>
  <c r="G1764" i="2" s="1"/>
  <c r="C1784" i="2"/>
  <c r="G1784" i="2" s="1"/>
  <c r="C1811" i="2"/>
  <c r="G1811" i="2" s="1"/>
  <c r="C1828" i="2"/>
  <c r="G1828" i="2" s="1"/>
  <c r="C1835" i="2"/>
  <c r="G1835" i="2" s="1"/>
  <c r="C1852" i="2"/>
  <c r="G1852" i="2" s="1"/>
  <c r="C1869" i="2"/>
  <c r="G1869" i="2" s="1"/>
  <c r="C1872" i="2"/>
  <c r="G1872" i="2" s="1"/>
  <c r="C1899" i="2"/>
  <c r="G1899" i="2" s="1"/>
  <c r="C1916" i="2"/>
  <c r="G1916" i="2" s="1"/>
  <c r="C1933" i="2"/>
  <c r="G1933" i="2" s="1"/>
  <c r="C1936" i="2"/>
  <c r="G1936" i="2" s="1"/>
  <c r="C1960" i="2"/>
  <c r="G1960" i="2" s="1"/>
  <c r="C1981" i="2"/>
  <c r="G1981" i="2" s="1"/>
  <c r="C1984" i="2"/>
  <c r="G1984" i="2" s="1"/>
  <c r="C2011" i="2"/>
  <c r="G2011" i="2" s="1"/>
  <c r="C2028" i="2"/>
  <c r="G2028" i="2" s="1"/>
  <c r="C2045" i="2"/>
  <c r="G2045" i="2" s="1"/>
  <c r="C2048" i="2"/>
  <c r="G2048" i="2" s="1"/>
  <c r="C2075" i="2"/>
  <c r="G2075" i="2" s="1"/>
  <c r="C2092" i="2"/>
  <c r="G2092" i="2" s="1"/>
  <c r="C2109" i="2"/>
  <c r="G2109" i="2" s="1"/>
  <c r="C2112" i="2"/>
  <c r="G2112" i="2" s="1"/>
  <c r="C2136" i="2"/>
  <c r="G2136" i="2" s="1"/>
  <c r="C2163" i="2"/>
  <c r="G2163" i="2" s="1"/>
  <c r="C2180" i="2"/>
  <c r="G2180" i="2" s="1"/>
  <c r="C2227" i="2"/>
  <c r="G2227" i="2" s="1"/>
  <c r="C2238" i="2"/>
  <c r="G2238" i="2" s="1"/>
  <c r="C2313" i="2"/>
  <c r="G2313" i="2" s="1"/>
  <c r="C2341" i="2"/>
  <c r="G2341" i="2" s="1"/>
  <c r="C2344" i="2"/>
  <c r="G2344" i="2" s="1"/>
  <c r="C2380" i="2"/>
  <c r="G2380" i="2" s="1"/>
  <c r="C2398" i="2"/>
  <c r="G2398" i="2" s="1"/>
  <c r="C2401" i="2"/>
  <c r="G2401" i="2" s="1"/>
  <c r="C2405" i="2"/>
  <c r="G2405" i="2" s="1"/>
  <c r="C2422" i="2"/>
  <c r="G2422" i="2" s="1"/>
  <c r="C2425" i="2"/>
  <c r="G2425" i="2" s="1"/>
  <c r="C2439" i="2"/>
  <c r="G2439" i="2" s="1"/>
  <c r="C2449" i="2"/>
  <c r="G2449" i="2" s="1"/>
  <c r="C2453" i="2"/>
  <c r="G2453" i="2" s="1"/>
  <c r="C2459" i="2"/>
  <c r="G2459" i="2" s="1"/>
  <c r="C2466" i="2"/>
  <c r="G2466" i="2" s="1"/>
  <c r="C2481" i="2"/>
  <c r="G2481" i="2" s="1"/>
  <c r="C2498" i="2"/>
  <c r="G2498" i="2" s="1"/>
  <c r="C2502" i="2"/>
  <c r="G2502" i="2" s="1"/>
  <c r="C2505" i="2"/>
  <c r="G2505" i="2" s="1"/>
  <c r="C2509" i="2"/>
  <c r="G2509" i="2" s="1"/>
  <c r="C2522" i="2"/>
  <c r="G2522" i="2" s="1"/>
  <c r="C2533" i="2"/>
  <c r="G2533" i="2" s="1"/>
  <c r="C2540" i="2"/>
  <c r="G2540" i="2" s="1"/>
  <c r="C2564" i="2"/>
  <c r="G2564" i="2" s="1"/>
  <c r="C2609" i="2"/>
  <c r="G2609" i="2" s="1"/>
  <c r="C2633" i="2"/>
  <c r="G2633" i="2" s="1"/>
  <c r="C2660" i="2"/>
  <c r="G2660" i="2" s="1"/>
  <c r="C2677" i="2"/>
  <c r="G2677" i="2" s="1"/>
  <c r="C2701" i="2"/>
  <c r="G2701" i="2" s="1"/>
  <c r="C2708" i="2"/>
  <c r="G2708" i="2" s="1"/>
  <c r="C2729" i="2"/>
  <c r="G2729" i="2" s="1"/>
  <c r="C2753" i="2"/>
  <c r="G2753" i="2" s="1"/>
  <c r="C2780" i="2"/>
  <c r="G2780" i="2" s="1"/>
  <c r="C2791" i="2"/>
  <c r="G2791" i="2" s="1"/>
  <c r="C2849" i="2"/>
  <c r="G2849" i="2" s="1"/>
  <c r="C2905" i="2"/>
  <c r="G2905" i="2" s="1"/>
  <c r="C2920" i="2"/>
  <c r="G2920" i="2" s="1"/>
  <c r="C3870" i="2"/>
  <c r="G3870" i="2" s="1"/>
  <c r="C3905" i="2"/>
  <c r="G3905" i="2" s="1"/>
  <c r="C1255" i="2"/>
  <c r="G1255" i="2" s="1"/>
  <c r="C1269" i="2"/>
  <c r="G1269" i="2" s="1"/>
  <c r="C1272" i="2"/>
  <c r="G1272" i="2" s="1"/>
  <c r="C1296" i="2"/>
  <c r="G1296" i="2" s="1"/>
  <c r="C1306" i="2"/>
  <c r="G1306" i="2" s="1"/>
  <c r="C1313" i="2"/>
  <c r="G1313" i="2" s="1"/>
  <c r="C1327" i="2"/>
  <c r="G1327" i="2" s="1"/>
  <c r="C1331" i="2"/>
  <c r="G1331" i="2" s="1"/>
  <c r="C1359" i="2"/>
  <c r="G1359" i="2" s="1"/>
  <c r="C1362" i="2"/>
  <c r="G1362" i="2" s="1"/>
  <c r="C1369" i="2"/>
  <c r="G1369" i="2" s="1"/>
  <c r="C1373" i="2"/>
  <c r="G1373" i="2" s="1"/>
  <c r="C1387" i="2"/>
  <c r="G1387" i="2" s="1"/>
  <c r="C1442" i="2"/>
  <c r="G1442" i="2" s="1"/>
  <c r="C1449" i="2"/>
  <c r="G1449" i="2" s="1"/>
  <c r="C1473" i="2"/>
  <c r="G1473" i="2" s="1"/>
  <c r="C1484" i="2"/>
  <c r="G1484" i="2" s="1"/>
  <c r="C1491" i="2"/>
  <c r="G1491" i="2" s="1"/>
  <c r="C1497" i="2"/>
  <c r="G1497" i="2" s="1"/>
  <c r="C1501" i="2"/>
  <c r="G1501" i="2" s="1"/>
  <c r="C1504" i="2"/>
  <c r="G1504" i="2" s="1"/>
  <c r="C1515" i="2"/>
  <c r="G1515" i="2" s="1"/>
  <c r="C1556" i="2"/>
  <c r="G1556" i="2" s="1"/>
  <c r="C1578" i="2"/>
  <c r="G1578" i="2" s="1"/>
  <c r="C1589" i="2"/>
  <c r="G1589" i="2" s="1"/>
  <c r="C1616" i="2"/>
  <c r="G1616" i="2" s="1"/>
  <c r="C1623" i="2"/>
  <c r="G1623" i="2" s="1"/>
  <c r="C1626" i="2"/>
  <c r="G1626" i="2" s="1"/>
  <c r="C1648" i="2"/>
  <c r="G1648" i="2" s="1"/>
  <c r="C1655" i="2"/>
  <c r="G1655" i="2" s="1"/>
  <c r="C1658" i="2"/>
  <c r="G1658" i="2" s="1"/>
  <c r="C1680" i="2"/>
  <c r="G1680" i="2" s="1"/>
  <c r="C1687" i="2"/>
  <c r="G1687" i="2" s="1"/>
  <c r="C1690" i="2"/>
  <c r="G1690" i="2" s="1"/>
  <c r="C1712" i="2"/>
  <c r="G1712" i="2" s="1"/>
  <c r="C1719" i="2"/>
  <c r="G1719" i="2" s="1"/>
  <c r="C1722" i="2"/>
  <c r="G1722" i="2" s="1"/>
  <c r="C1744" i="2"/>
  <c r="G1744" i="2" s="1"/>
  <c r="C1751" i="2"/>
  <c r="G1751" i="2" s="1"/>
  <c r="C1754" i="2"/>
  <c r="G1754" i="2" s="1"/>
  <c r="C1768" i="2"/>
  <c r="G1768" i="2" s="1"/>
  <c r="C1795" i="2"/>
  <c r="G1795" i="2" s="1"/>
  <c r="C1812" i="2"/>
  <c r="G1812" i="2" s="1"/>
  <c r="C1818" i="2"/>
  <c r="G1818" i="2" s="1"/>
  <c r="C1832" i="2"/>
  <c r="G1832" i="2" s="1"/>
  <c r="C1836" i="2"/>
  <c r="G1836" i="2" s="1"/>
  <c r="C1842" i="2"/>
  <c r="G1842" i="2" s="1"/>
  <c r="C1853" i="2"/>
  <c r="G1853" i="2" s="1"/>
  <c r="C1856" i="2"/>
  <c r="G1856" i="2" s="1"/>
  <c r="C1883" i="2"/>
  <c r="G1883" i="2" s="1"/>
  <c r="C1900" i="2"/>
  <c r="G1900" i="2" s="1"/>
  <c r="C1906" i="2"/>
  <c r="G1906" i="2" s="1"/>
  <c r="C1917" i="2"/>
  <c r="G1917" i="2" s="1"/>
  <c r="C1920" i="2"/>
  <c r="G1920" i="2" s="1"/>
  <c r="C1947" i="2"/>
  <c r="G1947" i="2" s="1"/>
  <c r="C1971" i="2"/>
  <c r="G1971" i="2" s="1"/>
  <c r="C1995" i="2"/>
  <c r="G1995" i="2" s="1"/>
  <c r="C2012" i="2"/>
  <c r="G2012" i="2" s="1"/>
  <c r="C2018" i="2"/>
  <c r="G2018" i="2" s="1"/>
  <c r="C2032" i="2"/>
  <c r="G2032" i="2" s="1"/>
  <c r="C2059" i="2"/>
  <c r="G2059" i="2" s="1"/>
  <c r="C2076" i="2"/>
  <c r="G2076" i="2" s="1"/>
  <c r="C2082" i="2"/>
  <c r="G2082" i="2" s="1"/>
  <c r="C2093" i="2"/>
  <c r="G2093" i="2" s="1"/>
  <c r="C2096" i="2"/>
  <c r="G2096" i="2" s="1"/>
  <c r="C2147" i="2"/>
  <c r="G2147" i="2" s="1"/>
  <c r="C2164" i="2"/>
  <c r="G2164" i="2" s="1"/>
  <c r="C2170" i="2"/>
  <c r="G2170" i="2" s="1"/>
  <c r="C2184" i="2"/>
  <c r="G2184" i="2" s="1"/>
  <c r="C2211" i="2"/>
  <c r="G2211" i="2" s="1"/>
  <c r="C2228" i="2"/>
  <c r="G2228" i="2" s="1"/>
  <c r="C2235" i="2"/>
  <c r="G2235" i="2" s="1"/>
  <c r="C2239" i="2"/>
  <c r="G2239" i="2" s="1"/>
  <c r="C2262" i="2"/>
  <c r="G2262" i="2" s="1"/>
  <c r="C2300" i="2"/>
  <c r="G2300" i="2" s="1"/>
  <c r="C2345" i="2"/>
  <c r="G2345" i="2" s="1"/>
  <c r="C2381" i="2"/>
  <c r="G2381" i="2" s="1"/>
  <c r="C2436" i="2"/>
  <c r="G2436" i="2" s="1"/>
  <c r="C2474" i="2"/>
  <c r="G2474" i="2" s="1"/>
  <c r="C2510" i="2"/>
  <c r="G2510" i="2" s="1"/>
  <c r="C2513" i="2"/>
  <c r="G2513" i="2" s="1"/>
  <c r="C2523" i="2"/>
  <c r="G2523" i="2" s="1"/>
  <c r="C2530" i="2"/>
  <c r="G2530" i="2" s="1"/>
  <c r="C2534" i="2"/>
  <c r="G2534" i="2" s="1"/>
  <c r="C2541" i="2"/>
  <c r="G2541" i="2" s="1"/>
  <c r="C2554" i="2"/>
  <c r="G2554" i="2" s="1"/>
  <c r="C2565" i="2"/>
  <c r="G2565" i="2" s="1"/>
  <c r="C2572" i="2"/>
  <c r="G2572" i="2" s="1"/>
  <c r="C2593" i="2"/>
  <c r="G2593" i="2" s="1"/>
  <c r="C2617" i="2"/>
  <c r="G2617" i="2" s="1"/>
  <c r="C2644" i="2"/>
  <c r="G2644" i="2" s="1"/>
  <c r="C2654" i="2"/>
  <c r="G2654" i="2" s="1"/>
  <c r="C2661" i="2"/>
  <c r="G2661" i="2" s="1"/>
  <c r="C2674" i="2"/>
  <c r="G2674" i="2" s="1"/>
  <c r="C2681" i="2"/>
  <c r="G2681" i="2" s="1"/>
  <c r="C2698" i="2"/>
  <c r="G2698" i="2" s="1"/>
  <c r="C2705" i="2"/>
  <c r="G2705" i="2" s="1"/>
  <c r="C2709" i="2"/>
  <c r="G2709" i="2" s="1"/>
  <c r="C2726" i="2"/>
  <c r="G2726" i="2" s="1"/>
  <c r="C2774" i="2"/>
  <c r="G2774" i="2" s="1"/>
  <c r="C2836" i="2"/>
  <c r="G2836" i="2" s="1"/>
  <c r="C2846" i="2"/>
  <c r="G2846" i="2" s="1"/>
  <c r="C2874" i="2"/>
  <c r="G2874" i="2" s="1"/>
  <c r="C2902" i="2"/>
  <c r="G2902" i="2" s="1"/>
  <c r="C2932" i="2"/>
  <c r="G2932" i="2" s="1"/>
  <c r="C2939" i="2"/>
  <c r="G2939" i="2" s="1"/>
  <c r="C1533" i="2"/>
  <c r="G1533" i="2" s="1"/>
  <c r="C1536" i="2"/>
  <c r="G1536" i="2" s="1"/>
  <c r="C1539" i="2"/>
  <c r="G1539" i="2" s="1"/>
  <c r="C1579" i="2"/>
  <c r="G1579" i="2" s="1"/>
  <c r="C1620" i="2"/>
  <c r="G1620" i="2" s="1"/>
  <c r="C1627" i="2"/>
  <c r="G1627" i="2" s="1"/>
  <c r="C1645" i="2"/>
  <c r="G1645" i="2" s="1"/>
  <c r="C1659" i="2"/>
  <c r="G1659" i="2" s="1"/>
  <c r="C1677" i="2"/>
  <c r="G1677" i="2" s="1"/>
  <c r="C1684" i="2"/>
  <c r="G1684" i="2" s="1"/>
  <c r="C1691" i="2"/>
  <c r="G1691" i="2" s="1"/>
  <c r="C1709" i="2"/>
  <c r="G1709" i="2" s="1"/>
  <c r="C1716" i="2"/>
  <c r="G1716" i="2" s="1"/>
  <c r="C1723" i="2"/>
  <c r="G1723" i="2" s="1"/>
  <c r="C1741" i="2"/>
  <c r="G1741" i="2" s="1"/>
  <c r="C1748" i="2"/>
  <c r="G1748" i="2" s="1"/>
  <c r="C1755" i="2"/>
  <c r="G1755" i="2" s="1"/>
  <c r="C1772" i="2"/>
  <c r="G1772" i="2" s="1"/>
  <c r="C1789" i="2"/>
  <c r="G1789" i="2" s="1"/>
  <c r="C1792" i="2"/>
  <c r="G1792" i="2" s="1"/>
  <c r="C1819" i="2"/>
  <c r="G1819" i="2" s="1"/>
  <c r="C1843" i="2"/>
  <c r="G1843" i="2" s="1"/>
  <c r="C1860" i="2"/>
  <c r="G1860" i="2" s="1"/>
  <c r="C1880" i="2"/>
  <c r="G1880" i="2" s="1"/>
  <c r="C1907" i="2"/>
  <c r="G1907" i="2" s="1"/>
  <c r="C1924" i="2"/>
  <c r="G1924" i="2" s="1"/>
  <c r="C1944" i="2"/>
  <c r="G1944" i="2" s="1"/>
  <c r="C1965" i="2"/>
  <c r="G1965" i="2" s="1"/>
  <c r="C1968" i="2"/>
  <c r="G1968" i="2" s="1"/>
  <c r="C1992" i="2"/>
  <c r="G1992" i="2" s="1"/>
  <c r="C2019" i="2"/>
  <c r="G2019" i="2" s="1"/>
  <c r="C2036" i="2"/>
  <c r="G2036" i="2" s="1"/>
  <c r="C2056" i="2"/>
  <c r="G2056" i="2" s="1"/>
  <c r="C2083" i="2"/>
  <c r="G2083" i="2" s="1"/>
  <c r="C2100" i="2"/>
  <c r="G2100" i="2" s="1"/>
  <c r="C2120" i="2"/>
  <c r="G2120" i="2" s="1"/>
  <c r="C2124" i="2"/>
  <c r="G2124" i="2" s="1"/>
  <c r="C2141" i="2"/>
  <c r="G2141" i="2" s="1"/>
  <c r="C2144" i="2"/>
  <c r="G2144" i="2" s="1"/>
  <c r="C2171" i="2"/>
  <c r="G2171" i="2" s="1"/>
  <c r="C2188" i="2"/>
  <c r="G2188" i="2" s="1"/>
  <c r="C2208" i="2"/>
  <c r="G2208" i="2" s="1"/>
  <c r="C2232" i="2"/>
  <c r="G2232" i="2" s="1"/>
  <c r="C2246" i="2"/>
  <c r="G2246" i="2" s="1"/>
  <c r="C2249" i="2"/>
  <c r="G2249" i="2" s="1"/>
  <c r="C2253" i="2"/>
  <c r="G2253" i="2" s="1"/>
  <c r="C2263" i="2"/>
  <c r="G2263" i="2" s="1"/>
  <c r="C2287" i="2"/>
  <c r="G2287" i="2" s="1"/>
  <c r="C2294" i="2"/>
  <c r="G2294" i="2" s="1"/>
  <c r="C2297" i="2"/>
  <c r="G2297" i="2" s="1"/>
  <c r="C2318" i="2"/>
  <c r="G2318" i="2" s="1"/>
  <c r="C2325" i="2"/>
  <c r="G2325" i="2" s="1"/>
  <c r="C2335" i="2"/>
  <c r="G2335" i="2" s="1"/>
  <c r="C2349" i="2"/>
  <c r="G2349" i="2" s="1"/>
  <c r="C2367" i="2"/>
  <c r="G2367" i="2" s="1"/>
  <c r="C2374" i="2"/>
  <c r="G2374" i="2" s="1"/>
  <c r="C2385" i="2"/>
  <c r="G2385" i="2" s="1"/>
  <c r="C2389" i="2"/>
  <c r="G2389" i="2" s="1"/>
  <c r="C2413" i="2"/>
  <c r="G2413" i="2" s="1"/>
  <c r="C2430" i="2"/>
  <c r="G2430" i="2" s="1"/>
  <c r="C2447" i="2"/>
  <c r="G2447" i="2" s="1"/>
  <c r="C2457" i="2"/>
  <c r="G2457" i="2" s="1"/>
  <c r="C2461" i="2"/>
  <c r="G2461" i="2" s="1"/>
  <c r="C2468" i="2"/>
  <c r="G2468" i="2" s="1"/>
  <c r="C2486" i="2"/>
  <c r="G2486" i="2" s="1"/>
  <c r="C2489" i="2"/>
  <c r="G2489" i="2" s="1"/>
  <c r="C2493" i="2"/>
  <c r="G2493" i="2" s="1"/>
  <c r="C2517" i="2"/>
  <c r="G2517" i="2" s="1"/>
  <c r="C2524" i="2"/>
  <c r="G2524" i="2" s="1"/>
  <c r="C2548" i="2"/>
  <c r="G2548" i="2" s="1"/>
  <c r="C2590" i="2"/>
  <c r="G2590" i="2" s="1"/>
  <c r="C2597" i="2"/>
  <c r="G2597" i="2" s="1"/>
  <c r="C2621" i="2"/>
  <c r="G2621" i="2" s="1"/>
  <c r="C2641" i="2"/>
  <c r="G2641" i="2" s="1"/>
  <c r="C2668" i="2"/>
  <c r="G2668" i="2" s="1"/>
  <c r="C2685" i="2"/>
  <c r="G2685" i="2" s="1"/>
  <c r="C2716" i="2"/>
  <c r="G2716" i="2" s="1"/>
  <c r="C2727" i="2"/>
  <c r="G2727" i="2" s="1"/>
  <c r="C2785" i="2"/>
  <c r="G2785" i="2" s="1"/>
  <c r="C2813" i="2"/>
  <c r="G2813" i="2" s="1"/>
  <c r="C2833" i="2"/>
  <c r="G2833" i="2" s="1"/>
  <c r="C2850" i="2"/>
  <c r="G2850" i="2" s="1"/>
  <c r="C2861" i="2"/>
  <c r="G2861" i="2" s="1"/>
  <c r="C2868" i="2"/>
  <c r="G2868" i="2" s="1"/>
  <c r="C2875" i="2"/>
  <c r="G2875" i="2" s="1"/>
  <c r="C2983" i="2"/>
  <c r="G2983" i="2" s="1"/>
  <c r="C1656" i="2"/>
  <c r="G1656" i="2" s="1"/>
  <c r="C1663" i="2"/>
  <c r="G1663" i="2" s="1"/>
  <c r="C1688" i="2"/>
  <c r="G1688" i="2" s="1"/>
  <c r="C1695" i="2"/>
  <c r="G1695" i="2" s="1"/>
  <c r="C1720" i="2"/>
  <c r="G1720" i="2" s="1"/>
  <c r="C1727" i="2"/>
  <c r="G1727" i="2" s="1"/>
  <c r="C1752" i="2"/>
  <c r="G1752" i="2" s="1"/>
  <c r="C1779" i="2"/>
  <c r="G1779" i="2" s="1"/>
  <c r="C1796" i="2"/>
  <c r="G1796" i="2" s="1"/>
  <c r="C1816" i="2"/>
  <c r="G1816" i="2" s="1"/>
  <c r="C1837" i="2"/>
  <c r="G1837" i="2" s="1"/>
  <c r="C1840" i="2"/>
  <c r="G1840" i="2" s="1"/>
  <c r="C1867" i="2"/>
  <c r="G1867" i="2" s="1"/>
  <c r="C1884" i="2"/>
  <c r="G1884" i="2" s="1"/>
  <c r="C1901" i="2"/>
  <c r="G1901" i="2" s="1"/>
  <c r="C1931" i="2"/>
  <c r="G1931" i="2" s="1"/>
  <c r="C1948" i="2"/>
  <c r="G1948" i="2" s="1"/>
  <c r="C1955" i="2"/>
  <c r="G1955" i="2" s="1"/>
  <c r="C1972" i="2"/>
  <c r="G1972" i="2" s="1"/>
  <c r="C1979" i="2"/>
  <c r="G1979" i="2" s="1"/>
  <c r="C1996" i="2"/>
  <c r="G1996" i="2" s="1"/>
  <c r="C2016" i="2"/>
  <c r="G2016" i="2" s="1"/>
  <c r="C2043" i="2"/>
  <c r="G2043" i="2" s="1"/>
  <c r="C2060" i="2"/>
  <c r="G2060" i="2" s="1"/>
  <c r="C2080" i="2"/>
  <c r="G2080" i="2" s="1"/>
  <c r="C2107" i="2"/>
  <c r="G2107" i="2" s="1"/>
  <c r="C2148" i="2"/>
  <c r="G2148" i="2" s="1"/>
  <c r="C2195" i="2"/>
  <c r="G2195" i="2" s="1"/>
  <c r="C2212" i="2"/>
  <c r="G2212" i="2" s="1"/>
  <c r="C2240" i="2"/>
  <c r="G2240" i="2" s="1"/>
  <c r="C2243" i="2"/>
  <c r="G2243" i="2" s="1"/>
  <c r="C2260" i="2"/>
  <c r="G2260" i="2" s="1"/>
  <c r="C2277" i="2"/>
  <c r="G2277" i="2" s="1"/>
  <c r="C2280" i="2"/>
  <c r="G2280" i="2" s="1"/>
  <c r="C2332" i="2"/>
  <c r="G2332" i="2" s="1"/>
  <c r="C2357" i="2"/>
  <c r="G2357" i="2" s="1"/>
  <c r="C2437" i="2"/>
  <c r="G2437" i="2" s="1"/>
  <c r="C2444" i="2"/>
  <c r="G2444" i="2" s="1"/>
  <c r="C2500" i="2"/>
  <c r="G2500" i="2" s="1"/>
  <c r="C2542" i="2"/>
  <c r="G2542" i="2" s="1"/>
  <c r="C2545" i="2"/>
  <c r="G2545" i="2" s="1"/>
  <c r="C2566" i="2"/>
  <c r="G2566" i="2" s="1"/>
  <c r="C2569" i="2"/>
  <c r="G2569" i="2" s="1"/>
  <c r="C2573" i="2"/>
  <c r="G2573" i="2" s="1"/>
  <c r="C2604" i="2"/>
  <c r="G2604" i="2" s="1"/>
  <c r="C2628" i="2"/>
  <c r="G2628" i="2" s="1"/>
  <c r="C2645" i="2"/>
  <c r="G2645" i="2" s="1"/>
  <c r="C2665" i="2"/>
  <c r="G2665" i="2" s="1"/>
  <c r="C2692" i="2"/>
  <c r="G2692" i="2" s="1"/>
  <c r="C2713" i="2"/>
  <c r="G2713" i="2" s="1"/>
  <c r="C2720" i="2"/>
  <c r="G2720" i="2" s="1"/>
  <c r="C2748" i="2"/>
  <c r="G2748" i="2" s="1"/>
  <c r="C2765" i="2"/>
  <c r="G2765" i="2" s="1"/>
  <c r="C2789" i="2"/>
  <c r="G2789" i="2" s="1"/>
  <c r="C2796" i="2"/>
  <c r="G2796" i="2" s="1"/>
  <c r="C2820" i="2"/>
  <c r="G2820" i="2" s="1"/>
  <c r="C2837" i="2"/>
  <c r="G2837" i="2" s="1"/>
  <c r="C2893" i="2"/>
  <c r="G2893" i="2" s="1"/>
  <c r="C2940" i="2"/>
  <c r="G2940" i="2" s="1"/>
  <c r="C2947" i="2"/>
  <c r="G2947" i="2" s="1"/>
  <c r="C2976" i="2"/>
  <c r="G2976" i="2" s="1"/>
  <c r="C1731" i="2"/>
  <c r="G1731" i="2" s="1"/>
  <c r="C1756" i="2"/>
  <c r="G1756" i="2" s="1"/>
  <c r="C1773" i="2"/>
  <c r="G1773" i="2" s="1"/>
  <c r="C1776" i="2"/>
  <c r="G1776" i="2" s="1"/>
  <c r="C1803" i="2"/>
  <c r="G1803" i="2" s="1"/>
  <c r="C1820" i="2"/>
  <c r="G1820" i="2" s="1"/>
  <c r="C1844" i="2"/>
  <c r="G1844" i="2" s="1"/>
  <c r="C1864" i="2"/>
  <c r="G1864" i="2" s="1"/>
  <c r="C1891" i="2"/>
  <c r="G1891" i="2" s="1"/>
  <c r="C1908" i="2"/>
  <c r="G1908" i="2" s="1"/>
  <c r="C1928" i="2"/>
  <c r="G1928" i="2" s="1"/>
  <c r="C1952" i="2"/>
  <c r="G1952" i="2" s="1"/>
  <c r="C1976" i="2"/>
  <c r="G1976" i="2" s="1"/>
  <c r="C2003" i="2"/>
  <c r="G2003" i="2" s="1"/>
  <c r="C2020" i="2"/>
  <c r="G2020" i="2" s="1"/>
  <c r="C2040" i="2"/>
  <c r="G2040" i="2" s="1"/>
  <c r="C2067" i="2"/>
  <c r="G2067" i="2" s="1"/>
  <c r="C2084" i="2"/>
  <c r="G2084" i="2" s="1"/>
  <c r="C2104" i="2"/>
  <c r="G2104" i="2" s="1"/>
  <c r="C2125" i="2"/>
  <c r="G2125" i="2" s="1"/>
  <c r="C2128" i="2"/>
  <c r="G2128" i="2" s="1"/>
  <c r="C2155" i="2"/>
  <c r="G2155" i="2" s="1"/>
  <c r="C2172" i="2"/>
  <c r="G2172" i="2" s="1"/>
  <c r="C2192" i="2"/>
  <c r="G2192" i="2" s="1"/>
  <c r="C2219" i="2"/>
  <c r="G2219" i="2" s="1"/>
  <c r="C2257" i="2"/>
  <c r="G2257" i="2" s="1"/>
  <c r="C2264" i="2"/>
  <c r="G2264" i="2" s="1"/>
  <c r="C2284" i="2"/>
  <c r="G2284" i="2" s="1"/>
  <c r="C2288" i="2"/>
  <c r="G2288" i="2" s="1"/>
  <c r="C2319" i="2"/>
  <c r="G2319" i="2" s="1"/>
  <c r="C2329" i="2"/>
  <c r="G2329" i="2" s="1"/>
  <c r="C2350" i="2"/>
  <c r="G2350" i="2" s="1"/>
  <c r="C2364" i="2"/>
  <c r="G2364" i="2" s="1"/>
  <c r="C2375" i="2"/>
  <c r="G2375" i="2" s="1"/>
  <c r="C2407" i="2"/>
  <c r="G2407" i="2" s="1"/>
  <c r="C2431" i="2"/>
  <c r="G2431" i="2" s="1"/>
  <c r="C2462" i="2"/>
  <c r="G2462" i="2" s="1"/>
  <c r="C2465" i="2"/>
  <c r="G2465" i="2" s="1"/>
  <c r="C2469" i="2"/>
  <c r="G2469" i="2" s="1"/>
  <c r="C2476" i="2"/>
  <c r="G2476" i="2" s="1"/>
  <c r="C2494" i="2"/>
  <c r="G2494" i="2" s="1"/>
  <c r="C2497" i="2"/>
  <c r="G2497" i="2" s="1"/>
  <c r="C2518" i="2"/>
  <c r="G2518" i="2" s="1"/>
  <c r="C2521" i="2"/>
  <c r="G2521" i="2" s="1"/>
  <c r="C2525" i="2"/>
  <c r="G2525" i="2" s="1"/>
  <c r="C2549" i="2"/>
  <c r="G2549" i="2" s="1"/>
  <c r="C2556" i="2"/>
  <c r="G2556" i="2" s="1"/>
  <c r="C2580" i="2"/>
  <c r="G2580" i="2" s="1"/>
  <c r="C2601" i="2"/>
  <c r="G2601" i="2" s="1"/>
  <c r="C2625" i="2"/>
  <c r="G2625" i="2" s="1"/>
  <c r="C2652" i="2"/>
  <c r="G2652" i="2" s="1"/>
  <c r="C2669" i="2"/>
  <c r="G2669" i="2" s="1"/>
  <c r="C2689" i="2"/>
  <c r="G2689" i="2" s="1"/>
  <c r="C2772" i="2"/>
  <c r="G2772" i="2" s="1"/>
  <c r="C2793" i="2"/>
  <c r="G2793" i="2" s="1"/>
  <c r="C2817" i="2"/>
  <c r="G2817" i="2" s="1"/>
  <c r="C2844" i="2"/>
  <c r="G2844" i="2" s="1"/>
  <c r="C2855" i="2"/>
  <c r="G2855" i="2" s="1"/>
  <c r="C2876" i="2"/>
  <c r="G2876" i="2" s="1"/>
  <c r="C2883" i="2"/>
  <c r="G2883" i="2" s="1"/>
  <c r="C3007" i="2"/>
  <c r="G3007" i="2" s="1"/>
  <c r="C3027" i="2"/>
  <c r="G3027" i="2" s="1"/>
  <c r="C3922" i="2"/>
  <c r="G3922" i="2" s="1"/>
  <c r="C2908" i="2"/>
  <c r="G2908" i="2" s="1"/>
  <c r="C2918" i="2"/>
  <c r="G2918" i="2" s="1"/>
  <c r="C2925" i="2"/>
  <c r="G2925" i="2" s="1"/>
  <c r="C2938" i="2"/>
  <c r="G2938" i="2" s="1"/>
  <c r="C2945" i="2"/>
  <c r="G2945" i="2" s="1"/>
  <c r="C2972" i="2"/>
  <c r="G2972" i="2" s="1"/>
  <c r="C2982" i="2"/>
  <c r="G2982" i="2" s="1"/>
  <c r="C2996" i="2"/>
  <c r="G2996" i="2" s="1"/>
  <c r="C3006" i="2"/>
  <c r="G3006" i="2" s="1"/>
  <c r="C3013" i="2"/>
  <c r="G3013" i="2" s="1"/>
  <c r="C3026" i="2"/>
  <c r="G3026" i="2" s="1"/>
  <c r="C3033" i="2"/>
  <c r="G3033" i="2" s="1"/>
  <c r="C3037" i="2"/>
  <c r="G3037" i="2" s="1"/>
  <c r="C3050" i="2"/>
  <c r="G3050" i="2" s="1"/>
  <c r="C3084" i="2"/>
  <c r="G3084" i="2" s="1"/>
  <c r="C3094" i="2"/>
  <c r="G3094" i="2" s="1"/>
  <c r="C3101" i="2"/>
  <c r="G3101" i="2" s="1"/>
  <c r="C3118" i="2"/>
  <c r="G3118" i="2" s="1"/>
  <c r="C3125" i="2"/>
  <c r="G3125" i="2" s="1"/>
  <c r="C3145" i="2"/>
  <c r="G3145" i="2" s="1"/>
  <c r="C3162" i="2"/>
  <c r="G3162" i="2" s="1"/>
  <c r="C3172" i="2"/>
  <c r="G3172" i="2" s="1"/>
  <c r="C3186" i="2"/>
  <c r="G3186" i="2" s="1"/>
  <c r="C3196" i="2"/>
  <c r="G3196" i="2" s="1"/>
  <c r="C3206" i="2"/>
  <c r="G3206" i="2" s="1"/>
  <c r="C3213" i="2"/>
  <c r="G3213" i="2" s="1"/>
  <c r="C3233" i="2"/>
  <c r="G3233" i="2" s="1"/>
  <c r="C3250" i="2"/>
  <c r="G3250" i="2" s="1"/>
  <c r="C3253" i="2"/>
  <c r="G3253" i="2" s="1"/>
  <c r="C3267" i="2"/>
  <c r="G3267" i="2" s="1"/>
  <c r="C3274" i="2"/>
  <c r="G3274" i="2" s="1"/>
  <c r="C3281" i="2"/>
  <c r="G3281" i="2" s="1"/>
  <c r="C3288" i="2"/>
  <c r="G3288" i="2" s="1"/>
  <c r="C3299" i="2"/>
  <c r="G3299" i="2" s="1"/>
  <c r="C3306" i="2"/>
  <c r="G3306" i="2" s="1"/>
  <c r="C3313" i="2"/>
  <c r="G3313" i="2" s="1"/>
  <c r="C3320" i="2"/>
  <c r="G3320" i="2" s="1"/>
  <c r="C3330" i="2"/>
  <c r="G3330" i="2" s="1"/>
  <c r="C3333" i="2"/>
  <c r="G3333" i="2" s="1"/>
  <c r="C3372" i="2"/>
  <c r="G3372" i="2" s="1"/>
  <c r="C3389" i="2"/>
  <c r="G3389" i="2" s="1"/>
  <c r="C3396" i="2"/>
  <c r="G3396" i="2" s="1"/>
  <c r="C3413" i="2"/>
  <c r="G3413" i="2" s="1"/>
  <c r="C3428" i="2"/>
  <c r="G3428" i="2" s="1"/>
  <c r="C3442" i="2"/>
  <c r="G3442" i="2" s="1"/>
  <c r="C3445" i="2"/>
  <c r="G3445" i="2" s="1"/>
  <c r="C3452" i="2"/>
  <c r="G3452" i="2" s="1"/>
  <c r="C3462" i="2"/>
  <c r="G3462" i="2" s="1"/>
  <c r="C3473" i="2"/>
  <c r="G3473" i="2" s="1"/>
  <c r="C3487" i="2"/>
  <c r="G3487" i="2" s="1"/>
  <c r="C3504" i="2"/>
  <c r="G3504" i="2" s="1"/>
  <c r="C3507" i="2"/>
  <c r="G3507" i="2" s="1"/>
  <c r="C3551" i="2"/>
  <c r="G3551" i="2" s="1"/>
  <c r="C3564" i="2"/>
  <c r="G3564" i="2" s="1"/>
  <c r="C3601" i="2"/>
  <c r="G3601" i="2" s="1"/>
  <c r="C3619" i="2"/>
  <c r="G3619" i="2" s="1"/>
  <c r="C3629" i="2"/>
  <c r="G3629" i="2" s="1"/>
  <c r="C3640" i="2"/>
  <c r="G3640" i="2" s="1"/>
  <c r="C3647" i="2"/>
  <c r="G3647" i="2" s="1"/>
  <c r="C3664" i="2"/>
  <c r="G3664" i="2" s="1"/>
  <c r="C3671" i="2"/>
  <c r="G3671" i="2" s="1"/>
  <c r="C3685" i="2"/>
  <c r="G3685" i="2" s="1"/>
  <c r="C3692" i="2"/>
  <c r="G3692" i="2" s="1"/>
  <c r="C3699" i="2"/>
  <c r="G3699" i="2" s="1"/>
  <c r="C3720" i="2"/>
  <c r="G3720" i="2" s="1"/>
  <c r="C3723" i="2"/>
  <c r="G3723" i="2" s="1"/>
  <c r="C3737" i="2"/>
  <c r="G3737" i="2" s="1"/>
  <c r="C3765" i="2"/>
  <c r="G3765" i="2" s="1"/>
  <c r="C3776" i="2"/>
  <c r="G3776" i="2" s="1"/>
  <c r="C3779" i="2"/>
  <c r="G3779" i="2" s="1"/>
  <c r="C3789" i="2"/>
  <c r="G3789" i="2" s="1"/>
  <c r="C3800" i="2"/>
  <c r="G3800" i="2" s="1"/>
  <c r="C3807" i="2"/>
  <c r="G3807" i="2" s="1"/>
  <c r="C3832" i="2"/>
  <c r="G3832" i="2" s="1"/>
  <c r="C3839" i="2"/>
  <c r="G3839" i="2" s="1"/>
  <c r="C3860" i="2"/>
  <c r="G3860" i="2" s="1"/>
  <c r="C3867" i="2"/>
  <c r="G3867" i="2" s="1"/>
  <c r="C3892" i="2"/>
  <c r="G3892" i="2" s="1"/>
  <c r="C3899" i="2"/>
  <c r="G3899" i="2" s="1"/>
  <c r="C3919" i="2"/>
  <c r="G3919" i="2" s="1"/>
  <c r="C3926" i="2"/>
  <c r="G3926" i="2" s="1"/>
  <c r="C3947" i="2"/>
  <c r="G3947" i="2" s="1"/>
  <c r="C3957" i="2"/>
  <c r="G3957" i="2" s="1"/>
  <c r="C3971" i="2"/>
  <c r="G3971" i="2" s="1"/>
  <c r="C3989" i="2"/>
  <c r="G3989" i="2" s="1"/>
  <c r="C4069" i="2"/>
  <c r="G4069" i="2" s="1"/>
  <c r="C2969" i="2"/>
  <c r="G2969" i="2" s="1"/>
  <c r="C2993" i="2"/>
  <c r="G2993" i="2" s="1"/>
  <c r="C3020" i="2"/>
  <c r="G3020" i="2" s="1"/>
  <c r="C3044" i="2"/>
  <c r="G3044" i="2" s="1"/>
  <c r="C3061" i="2"/>
  <c r="G3061" i="2" s="1"/>
  <c r="C3081" i="2"/>
  <c r="G3081" i="2" s="1"/>
  <c r="C3098" i="2"/>
  <c r="G3098" i="2" s="1"/>
  <c r="C3108" i="2"/>
  <c r="G3108" i="2" s="1"/>
  <c r="C3122" i="2"/>
  <c r="G3122" i="2" s="1"/>
  <c r="C3132" i="2"/>
  <c r="G3132" i="2" s="1"/>
  <c r="C3149" i="2"/>
  <c r="G3149" i="2" s="1"/>
  <c r="C3169" i="2"/>
  <c r="G3169" i="2" s="1"/>
  <c r="C3193" i="2"/>
  <c r="G3193" i="2" s="1"/>
  <c r="C3210" i="2"/>
  <c r="G3210" i="2" s="1"/>
  <c r="C3220" i="2"/>
  <c r="G3220" i="2" s="1"/>
  <c r="C3237" i="2"/>
  <c r="G3237" i="2" s="1"/>
  <c r="C3264" i="2"/>
  <c r="G3264" i="2" s="1"/>
  <c r="C3292" i="2"/>
  <c r="G3292" i="2" s="1"/>
  <c r="C3303" i="2"/>
  <c r="G3303" i="2" s="1"/>
  <c r="C3327" i="2"/>
  <c r="G3327" i="2" s="1"/>
  <c r="C3344" i="2"/>
  <c r="G3344" i="2" s="1"/>
  <c r="C3369" i="2"/>
  <c r="G3369" i="2" s="1"/>
  <c r="C3414" i="2"/>
  <c r="G3414" i="2" s="1"/>
  <c r="C3439" i="2"/>
  <c r="G3439" i="2" s="1"/>
  <c r="C3491" i="2"/>
  <c r="G3491" i="2" s="1"/>
  <c r="C3511" i="2"/>
  <c r="G3511" i="2" s="1"/>
  <c r="C3531" i="2"/>
  <c r="G3531" i="2" s="1"/>
  <c r="C3548" i="2"/>
  <c r="G3548" i="2" s="1"/>
  <c r="C3568" i="2"/>
  <c r="G3568" i="2" s="1"/>
  <c r="C3571" i="2"/>
  <c r="G3571" i="2" s="1"/>
  <c r="C3588" i="2"/>
  <c r="G3588" i="2" s="1"/>
  <c r="C3591" i="2"/>
  <c r="G3591" i="2" s="1"/>
  <c r="C3616" i="2"/>
  <c r="G3616" i="2" s="1"/>
  <c r="C3623" i="2"/>
  <c r="G3623" i="2" s="1"/>
  <c r="C3644" i="2"/>
  <c r="G3644" i="2" s="1"/>
  <c r="C3668" i="2"/>
  <c r="G3668" i="2" s="1"/>
  <c r="C3675" i="2"/>
  <c r="G3675" i="2" s="1"/>
  <c r="C3696" i="2"/>
  <c r="G3696" i="2" s="1"/>
  <c r="C3703" i="2"/>
  <c r="G3703" i="2" s="1"/>
  <c r="C3717" i="2"/>
  <c r="G3717" i="2" s="1"/>
  <c r="C3745" i="2"/>
  <c r="G3745" i="2" s="1"/>
  <c r="C3773" i="2"/>
  <c r="G3773" i="2" s="1"/>
  <c r="C3797" i="2"/>
  <c r="G3797" i="2" s="1"/>
  <c r="C3825" i="2"/>
  <c r="G3825" i="2" s="1"/>
  <c r="C3853" i="2"/>
  <c r="G3853" i="2" s="1"/>
  <c r="C3857" i="2"/>
  <c r="G3857" i="2" s="1"/>
  <c r="C3889" i="2"/>
  <c r="G3889" i="2" s="1"/>
  <c r="C2724" i="2"/>
  <c r="G2724" i="2" s="1"/>
  <c r="C2734" i="2"/>
  <c r="G2734" i="2" s="1"/>
  <c r="C2741" i="2"/>
  <c r="G2741" i="2" s="1"/>
  <c r="C2754" i="2"/>
  <c r="G2754" i="2" s="1"/>
  <c r="C2761" i="2"/>
  <c r="G2761" i="2" s="1"/>
  <c r="C2788" i="2"/>
  <c r="G2788" i="2" s="1"/>
  <c r="C2798" i="2"/>
  <c r="G2798" i="2" s="1"/>
  <c r="C2805" i="2"/>
  <c r="G2805" i="2" s="1"/>
  <c r="C2818" i="2"/>
  <c r="G2818" i="2" s="1"/>
  <c r="C2825" i="2"/>
  <c r="G2825" i="2" s="1"/>
  <c r="C2852" i="2"/>
  <c r="G2852" i="2" s="1"/>
  <c r="C2862" i="2"/>
  <c r="G2862" i="2" s="1"/>
  <c r="C2869" i="2"/>
  <c r="G2869" i="2" s="1"/>
  <c r="C2882" i="2"/>
  <c r="G2882" i="2" s="1"/>
  <c r="C2889" i="2"/>
  <c r="G2889" i="2" s="1"/>
  <c r="C2916" i="2"/>
  <c r="G2916" i="2" s="1"/>
  <c r="C2926" i="2"/>
  <c r="G2926" i="2" s="1"/>
  <c r="C2933" i="2"/>
  <c r="G2933" i="2" s="1"/>
  <c r="C2946" i="2"/>
  <c r="G2946" i="2" s="1"/>
  <c r="C2953" i="2"/>
  <c r="G2953" i="2" s="1"/>
  <c r="C2980" i="2"/>
  <c r="G2980" i="2" s="1"/>
  <c r="C3004" i="2"/>
  <c r="G3004" i="2" s="1"/>
  <c r="C3014" i="2"/>
  <c r="G3014" i="2" s="1"/>
  <c r="C3021" i="2"/>
  <c r="G3021" i="2" s="1"/>
  <c r="C3034" i="2"/>
  <c r="G3034" i="2" s="1"/>
  <c r="C3038" i="2"/>
  <c r="G3038" i="2" s="1"/>
  <c r="C3045" i="2"/>
  <c r="G3045" i="2" s="1"/>
  <c r="C3058" i="2"/>
  <c r="G3058" i="2" s="1"/>
  <c r="C3065" i="2"/>
  <c r="G3065" i="2" s="1"/>
  <c r="C3092" i="2"/>
  <c r="G3092" i="2" s="1"/>
  <c r="C3102" i="2"/>
  <c r="G3102" i="2" s="1"/>
  <c r="C3109" i="2"/>
  <c r="G3109" i="2" s="1"/>
  <c r="C3116" i="2"/>
  <c r="G3116" i="2" s="1"/>
  <c r="C3126" i="2"/>
  <c r="G3126" i="2" s="1"/>
  <c r="C3133" i="2"/>
  <c r="G3133" i="2" s="1"/>
  <c r="C3153" i="2"/>
  <c r="G3153" i="2" s="1"/>
  <c r="C3170" i="2"/>
  <c r="G3170" i="2" s="1"/>
  <c r="C3194" i="2"/>
  <c r="G3194" i="2" s="1"/>
  <c r="C3204" i="2"/>
  <c r="G3204" i="2" s="1"/>
  <c r="C3214" i="2"/>
  <c r="G3214" i="2" s="1"/>
  <c r="C3221" i="2"/>
  <c r="G3221" i="2" s="1"/>
  <c r="C3241" i="2"/>
  <c r="G3241" i="2" s="1"/>
  <c r="C3261" i="2"/>
  <c r="G3261" i="2" s="1"/>
  <c r="C3268" i="2"/>
  <c r="G3268" i="2" s="1"/>
  <c r="C3285" i="2"/>
  <c r="G3285" i="2" s="1"/>
  <c r="C3321" i="2"/>
  <c r="G3321" i="2" s="1"/>
  <c r="C3328" i="2"/>
  <c r="G3328" i="2" s="1"/>
  <c r="C3338" i="2"/>
  <c r="G3338" i="2" s="1"/>
  <c r="C3345" i="2"/>
  <c r="G3345" i="2" s="1"/>
  <c r="C3370" i="2"/>
  <c r="G3370" i="2" s="1"/>
  <c r="C3394" i="2"/>
  <c r="G3394" i="2" s="1"/>
  <c r="C3408" i="2"/>
  <c r="G3408" i="2" s="1"/>
  <c r="C3411" i="2"/>
  <c r="G3411" i="2" s="1"/>
  <c r="C3436" i="2"/>
  <c r="G3436" i="2" s="1"/>
  <c r="C3450" i="2"/>
  <c r="G3450" i="2" s="1"/>
  <c r="C3492" i="2"/>
  <c r="G3492" i="2" s="1"/>
  <c r="C3495" i="2"/>
  <c r="G3495" i="2" s="1"/>
  <c r="C3519" i="2"/>
  <c r="G3519" i="2" s="1"/>
  <c r="C3532" i="2"/>
  <c r="G3532" i="2" s="1"/>
  <c r="C3565" i="2"/>
  <c r="G3565" i="2" s="1"/>
  <c r="C3572" i="2"/>
  <c r="G3572" i="2" s="1"/>
  <c r="C3592" i="2"/>
  <c r="G3592" i="2" s="1"/>
  <c r="C3599" i="2"/>
  <c r="G3599" i="2" s="1"/>
  <c r="C3613" i="2"/>
  <c r="G3613" i="2" s="1"/>
  <c r="C3624" i="2"/>
  <c r="G3624" i="2" s="1"/>
  <c r="C3627" i="2"/>
  <c r="G3627" i="2" s="1"/>
  <c r="C3641" i="2"/>
  <c r="G3641" i="2" s="1"/>
  <c r="C3655" i="2"/>
  <c r="G3655" i="2" s="1"/>
  <c r="C3665" i="2"/>
  <c r="G3665" i="2" s="1"/>
  <c r="C3683" i="2"/>
  <c r="G3683" i="2" s="1"/>
  <c r="C3693" i="2"/>
  <c r="G3693" i="2" s="1"/>
  <c r="C3704" i="2"/>
  <c r="G3704" i="2" s="1"/>
  <c r="C3711" i="2"/>
  <c r="G3711" i="2" s="1"/>
  <c r="C3728" i="2"/>
  <c r="G3728" i="2" s="1"/>
  <c r="C3735" i="2"/>
  <c r="G3735" i="2" s="1"/>
  <c r="C3749" i="2"/>
  <c r="G3749" i="2" s="1"/>
  <c r="C3756" i="2"/>
  <c r="G3756" i="2" s="1"/>
  <c r="C3763" i="2"/>
  <c r="G3763" i="2" s="1"/>
  <c r="C3784" i="2"/>
  <c r="G3784" i="2" s="1"/>
  <c r="C3787" i="2"/>
  <c r="G3787" i="2" s="1"/>
  <c r="C3801" i="2"/>
  <c r="G3801" i="2" s="1"/>
  <c r="C3829" i="2"/>
  <c r="G3829" i="2" s="1"/>
  <c r="C3833" i="2"/>
  <c r="G3833" i="2" s="1"/>
  <c r="C3847" i="2"/>
  <c r="G3847" i="2" s="1"/>
  <c r="C3854" i="2"/>
  <c r="G3854" i="2" s="1"/>
  <c r="C3861" i="2"/>
  <c r="G3861" i="2" s="1"/>
  <c r="C3907" i="2"/>
  <c r="G3907" i="2" s="1"/>
  <c r="C3931" i="2"/>
  <c r="G3931" i="2" s="1"/>
  <c r="C4037" i="2"/>
  <c r="G4037" i="2" s="1"/>
  <c r="C4082" i="2"/>
  <c r="G4082" i="2" s="1"/>
  <c r="C2974" i="2"/>
  <c r="G2974" i="2" s="1"/>
  <c r="C2998" i="2"/>
  <c r="G2998" i="2" s="1"/>
  <c r="C3018" i="2"/>
  <c r="G3018" i="2" s="1"/>
  <c r="C3042" i="2"/>
  <c r="G3042" i="2" s="1"/>
  <c r="C3086" i="2"/>
  <c r="G3086" i="2" s="1"/>
  <c r="C3174" i="2"/>
  <c r="G3174" i="2" s="1"/>
  <c r="C3269" i="2"/>
  <c r="G3269" i="2" s="1"/>
  <c r="C3325" i="2"/>
  <c r="G3325" i="2" s="1"/>
  <c r="C3360" i="2"/>
  <c r="G3360" i="2" s="1"/>
  <c r="C3381" i="2"/>
  <c r="G3381" i="2" s="1"/>
  <c r="C3509" i="2"/>
  <c r="G3509" i="2" s="1"/>
  <c r="C3621" i="2"/>
  <c r="G3621" i="2" s="1"/>
  <c r="C3673" i="2"/>
  <c r="G3673" i="2" s="1"/>
  <c r="C3701" i="2"/>
  <c r="G3701" i="2" s="1"/>
  <c r="C3725" i="2"/>
  <c r="G3725" i="2" s="1"/>
  <c r="C3781" i="2"/>
  <c r="G3781" i="2" s="1"/>
  <c r="C3809" i="2"/>
  <c r="G3809" i="2" s="1"/>
  <c r="C3921" i="2"/>
  <c r="G3921" i="2" s="1"/>
  <c r="C3945" i="2"/>
  <c r="G3945" i="2" s="1"/>
  <c r="C2870" i="2"/>
  <c r="G2870" i="2" s="1"/>
  <c r="C2877" i="2"/>
  <c r="G2877" i="2" s="1"/>
  <c r="C2890" i="2"/>
  <c r="G2890" i="2" s="1"/>
  <c r="C2897" i="2"/>
  <c r="G2897" i="2" s="1"/>
  <c r="C2924" i="2"/>
  <c r="G2924" i="2" s="1"/>
  <c r="C2934" i="2"/>
  <c r="G2934" i="2" s="1"/>
  <c r="C2941" i="2"/>
  <c r="G2941" i="2" s="1"/>
  <c r="C2954" i="2"/>
  <c r="G2954" i="2" s="1"/>
  <c r="C2985" i="2"/>
  <c r="G2985" i="2" s="1"/>
  <c r="C3012" i="2"/>
  <c r="G3012" i="2" s="1"/>
  <c r="C3022" i="2"/>
  <c r="G3022" i="2" s="1"/>
  <c r="C3029" i="2"/>
  <c r="G3029" i="2" s="1"/>
  <c r="C3036" i="2"/>
  <c r="G3036" i="2" s="1"/>
  <c r="C3046" i="2"/>
  <c r="G3046" i="2" s="1"/>
  <c r="C3053" i="2"/>
  <c r="G3053" i="2" s="1"/>
  <c r="C3066" i="2"/>
  <c r="G3066" i="2" s="1"/>
  <c r="C3073" i="2"/>
  <c r="G3073" i="2" s="1"/>
  <c r="C3090" i="2"/>
  <c r="G3090" i="2" s="1"/>
  <c r="C3100" i="2"/>
  <c r="G3100" i="2" s="1"/>
  <c r="C3110" i="2"/>
  <c r="G3110" i="2" s="1"/>
  <c r="C3114" i="2"/>
  <c r="G3114" i="2" s="1"/>
  <c r="C3124" i="2"/>
  <c r="G3124" i="2" s="1"/>
  <c r="C3134" i="2"/>
  <c r="G3134" i="2" s="1"/>
  <c r="C3141" i="2"/>
  <c r="G3141" i="2" s="1"/>
  <c r="C3178" i="2"/>
  <c r="G3178" i="2" s="1"/>
  <c r="C3185" i="2"/>
  <c r="G3185" i="2" s="1"/>
  <c r="C3202" i="2"/>
  <c r="G3202" i="2" s="1"/>
  <c r="C3212" i="2"/>
  <c r="G3212" i="2" s="1"/>
  <c r="C3222" i="2"/>
  <c r="G3222" i="2" s="1"/>
  <c r="C3229" i="2"/>
  <c r="G3229" i="2" s="1"/>
  <c r="C3249" i="2"/>
  <c r="G3249" i="2" s="1"/>
  <c r="C3266" i="2"/>
  <c r="G3266" i="2" s="1"/>
  <c r="C3280" i="2"/>
  <c r="G3280" i="2" s="1"/>
  <c r="C3283" i="2"/>
  <c r="G3283" i="2" s="1"/>
  <c r="C3294" i="2"/>
  <c r="G3294" i="2" s="1"/>
  <c r="C3305" i="2"/>
  <c r="G3305" i="2" s="1"/>
  <c r="C3308" i="2"/>
  <c r="G3308" i="2" s="1"/>
  <c r="C3349" i="2"/>
  <c r="G3349" i="2" s="1"/>
  <c r="C3371" i="2"/>
  <c r="G3371" i="2" s="1"/>
  <c r="C3375" i="2"/>
  <c r="G3375" i="2" s="1"/>
  <c r="C3392" i="2"/>
  <c r="G3392" i="2" s="1"/>
  <c r="C3420" i="2"/>
  <c r="G3420" i="2" s="1"/>
  <c r="C3427" i="2"/>
  <c r="G3427" i="2" s="1"/>
  <c r="C3434" i="2"/>
  <c r="G3434" i="2" s="1"/>
  <c r="C3448" i="2"/>
  <c r="G3448" i="2" s="1"/>
  <c r="C3455" i="2"/>
  <c r="G3455" i="2" s="1"/>
  <c r="C3461" i="2"/>
  <c r="G3461" i="2" s="1"/>
  <c r="C3465" i="2"/>
  <c r="G3465" i="2" s="1"/>
  <c r="C3503" i="2"/>
  <c r="G3503" i="2" s="1"/>
  <c r="C3533" i="2"/>
  <c r="G3533" i="2" s="1"/>
  <c r="C3540" i="2"/>
  <c r="G3540" i="2" s="1"/>
  <c r="C3563" i="2"/>
  <c r="G3563" i="2" s="1"/>
  <c r="C3573" i="2"/>
  <c r="G3573" i="2" s="1"/>
  <c r="C3580" i="2"/>
  <c r="G3580" i="2" s="1"/>
  <c r="C3604" i="2"/>
  <c r="G3604" i="2" s="1"/>
  <c r="C3611" i="2"/>
  <c r="G3611" i="2" s="1"/>
  <c r="C3632" i="2"/>
  <c r="G3632" i="2" s="1"/>
  <c r="C3639" i="2"/>
  <c r="G3639" i="2" s="1"/>
  <c r="C3663" i="2"/>
  <c r="G3663" i="2" s="1"/>
  <c r="C3677" i="2"/>
  <c r="G3677" i="2" s="1"/>
  <c r="C3688" i="2"/>
  <c r="G3688" i="2" s="1"/>
  <c r="C3691" i="2"/>
  <c r="G3691" i="2" s="1"/>
  <c r="C3705" i="2"/>
  <c r="G3705" i="2" s="1"/>
  <c r="C3719" i="2"/>
  <c r="G3719" i="2" s="1"/>
  <c r="C3729" i="2"/>
  <c r="G3729" i="2" s="1"/>
  <c r="C3747" i="2"/>
  <c r="G3747" i="2" s="1"/>
  <c r="C3757" i="2"/>
  <c r="G3757" i="2" s="1"/>
  <c r="C3768" i="2"/>
  <c r="G3768" i="2" s="1"/>
  <c r="C3775" i="2"/>
  <c r="G3775" i="2" s="1"/>
  <c r="C3792" i="2"/>
  <c r="G3792" i="2" s="1"/>
  <c r="C3799" i="2"/>
  <c r="G3799" i="2" s="1"/>
  <c r="C3813" i="2"/>
  <c r="G3813" i="2" s="1"/>
  <c r="C3831" i="2"/>
  <c r="G3831" i="2" s="1"/>
  <c r="C3859" i="2"/>
  <c r="G3859" i="2" s="1"/>
  <c r="C3873" i="2"/>
  <c r="G3873" i="2" s="1"/>
  <c r="C3884" i="2"/>
  <c r="G3884" i="2" s="1"/>
  <c r="C3915" i="2"/>
  <c r="G3915" i="2" s="1"/>
  <c r="C3936" i="2"/>
  <c r="G3936" i="2" s="1"/>
  <c r="C3939" i="2"/>
  <c r="G3939" i="2" s="1"/>
  <c r="C3946" i="2"/>
  <c r="G3946" i="2" s="1"/>
  <c r="C3970" i="2"/>
  <c r="G3970" i="2" s="1"/>
  <c r="C3992" i="2"/>
  <c r="G3992" i="2" s="1"/>
  <c r="C4012" i="2"/>
  <c r="G4012" i="2" s="1"/>
  <c r="C4015" i="2"/>
  <c r="G4015" i="2" s="1"/>
  <c r="C4025" i="2"/>
  <c r="G4025" i="2" s="1"/>
  <c r="C4032" i="2"/>
  <c r="G4032" i="2" s="1"/>
  <c r="C4035" i="2"/>
  <c r="G4035" i="2" s="1"/>
  <c r="C4055" i="2"/>
  <c r="G4055" i="2" s="1"/>
  <c r="C4075" i="2"/>
  <c r="G4075" i="2" s="1"/>
  <c r="C4088" i="2"/>
  <c r="G4088" i="2" s="1"/>
  <c r="C4108" i="2"/>
  <c r="G4108" i="2" s="1"/>
  <c r="C4111" i="2"/>
  <c r="G4111" i="2" s="1"/>
  <c r="C4131" i="2"/>
  <c r="G4131" i="2" s="1"/>
  <c r="C4144" i="2"/>
  <c r="G4144" i="2" s="1"/>
  <c r="C4167" i="2"/>
  <c r="G4167" i="2" s="1"/>
  <c r="C4193" i="2"/>
  <c r="G4193" i="2" s="1"/>
  <c r="C4210" i="2"/>
  <c r="G4210" i="2" s="1"/>
  <c r="C4230" i="2"/>
  <c r="G4230" i="2" s="1"/>
  <c r="C4243" i="2"/>
  <c r="G4243" i="2" s="1"/>
  <c r="C4267" i="2"/>
  <c r="G4267" i="2" s="1"/>
  <c r="C4274" i="2"/>
  <c r="G4274" i="2" s="1"/>
  <c r="C4281" i="2"/>
  <c r="G4281" i="2" s="1"/>
  <c r="C4308" i="2"/>
  <c r="G4308" i="2" s="1"/>
  <c r="C4321" i="2"/>
  <c r="G4321" i="2" s="1"/>
  <c r="C4338" i="2"/>
  <c r="G4338" i="2" s="1"/>
  <c r="C4345" i="2"/>
  <c r="G4345" i="2" s="1"/>
  <c r="C4358" i="2"/>
  <c r="G4358" i="2" s="1"/>
  <c r="C4365" i="2"/>
  <c r="G4365" i="2" s="1"/>
  <c r="C4395" i="2"/>
  <c r="G4395" i="2" s="1"/>
  <c r="C4412" i="2"/>
  <c r="G4412" i="2" s="1"/>
  <c r="C4422" i="2"/>
  <c r="G4422" i="2" s="1"/>
  <c r="C4435" i="2"/>
  <c r="G4435" i="2" s="1"/>
  <c r="C4455" i="2"/>
  <c r="G4455" i="2" s="1"/>
  <c r="C4462" i="2"/>
  <c r="G4462" i="2" s="1"/>
  <c r="C4465" i="2"/>
  <c r="G4465" i="2" s="1"/>
  <c r="C4475" i="2"/>
  <c r="G4475" i="2" s="1"/>
  <c r="C4492" i="2"/>
  <c r="G4492" i="2" s="1"/>
  <c r="C4498" i="2"/>
  <c r="G4498" i="2" s="1"/>
  <c r="C4505" i="2"/>
  <c r="G4505" i="2" s="1"/>
  <c r="C4512" i="2"/>
  <c r="G4512" i="2" s="1"/>
  <c r="C4543" i="2"/>
  <c r="G4543" i="2" s="1"/>
  <c r="C4546" i="2"/>
  <c r="G4546" i="2" s="1"/>
  <c r="C4563" i="2"/>
  <c r="G4563" i="2" s="1"/>
  <c r="C4583" i="2"/>
  <c r="G4583" i="2" s="1"/>
  <c r="C4681" i="2"/>
  <c r="G4681" i="2" s="1"/>
  <c r="C4692" i="2"/>
  <c r="G4692" i="2" s="1"/>
  <c r="C5012" i="2"/>
  <c r="G5012" i="2" s="1"/>
  <c r="C5240" i="2"/>
  <c r="G5240" i="2" s="1"/>
  <c r="C4019" i="2"/>
  <c r="G4019" i="2" s="1"/>
  <c r="C4059" i="2"/>
  <c r="G4059" i="2" s="1"/>
  <c r="C4072" i="2"/>
  <c r="G4072" i="2" s="1"/>
  <c r="C4092" i="2"/>
  <c r="G4092" i="2" s="1"/>
  <c r="C4095" i="2"/>
  <c r="G4095" i="2" s="1"/>
  <c r="C4115" i="2"/>
  <c r="G4115" i="2" s="1"/>
  <c r="C4151" i="2"/>
  <c r="G4151" i="2" s="1"/>
  <c r="C4184" i="2"/>
  <c r="G4184" i="2" s="1"/>
  <c r="C4187" i="2"/>
  <c r="G4187" i="2" s="1"/>
  <c r="C4224" i="2"/>
  <c r="G4224" i="2" s="1"/>
  <c r="C4227" i="2"/>
  <c r="G4227" i="2" s="1"/>
  <c r="C4237" i="2"/>
  <c r="G4237" i="2" s="1"/>
  <c r="C4244" i="2"/>
  <c r="G4244" i="2" s="1"/>
  <c r="C4302" i="2"/>
  <c r="G4302" i="2" s="1"/>
  <c r="C4305" i="2"/>
  <c r="G4305" i="2" s="1"/>
  <c r="C4312" i="2"/>
  <c r="G4312" i="2" s="1"/>
  <c r="C4355" i="2"/>
  <c r="G4355" i="2" s="1"/>
  <c r="C4372" i="2"/>
  <c r="G4372" i="2" s="1"/>
  <c r="C4409" i="2"/>
  <c r="G4409" i="2" s="1"/>
  <c r="C4416" i="2"/>
  <c r="G4416" i="2" s="1"/>
  <c r="C4419" i="2"/>
  <c r="G4419" i="2" s="1"/>
  <c r="C4429" i="2"/>
  <c r="G4429" i="2" s="1"/>
  <c r="C4436" i="2"/>
  <c r="G4436" i="2" s="1"/>
  <c r="C4469" i="2"/>
  <c r="G4469" i="2" s="1"/>
  <c r="C4472" i="2"/>
  <c r="G4472" i="2" s="1"/>
  <c r="C4479" i="2"/>
  <c r="G4479" i="2" s="1"/>
  <c r="C4516" i="2"/>
  <c r="G4516" i="2" s="1"/>
  <c r="C4540" i="2"/>
  <c r="G4540" i="2" s="1"/>
  <c r="C4547" i="2"/>
  <c r="G4547" i="2" s="1"/>
  <c r="C4557" i="2"/>
  <c r="G4557" i="2" s="1"/>
  <c r="C4616" i="2"/>
  <c r="G4616" i="2" s="1"/>
  <c r="C4619" i="2"/>
  <c r="G4619" i="2" s="1"/>
  <c r="C4636" i="2"/>
  <c r="G4636" i="2" s="1"/>
  <c r="C4668" i="2"/>
  <c r="G4668" i="2" s="1"/>
  <c r="C4671" i="2"/>
  <c r="G4671" i="2" s="1"/>
  <c r="C4675" i="2"/>
  <c r="G4675" i="2" s="1"/>
  <c r="C4723" i="2"/>
  <c r="G4723" i="2" s="1"/>
  <c r="C4747" i="2"/>
  <c r="G4747" i="2" s="1"/>
  <c r="C5071" i="2"/>
  <c r="G5071" i="2" s="1"/>
  <c r="C5087" i="2"/>
  <c r="G5087" i="2" s="1"/>
  <c r="C3820" i="2"/>
  <c r="G3820" i="2" s="1"/>
  <c r="C3827" i="2"/>
  <c r="G3827" i="2" s="1"/>
  <c r="C3848" i="2"/>
  <c r="G3848" i="2" s="1"/>
  <c r="C3851" i="2"/>
  <c r="G3851" i="2" s="1"/>
  <c r="C3865" i="2"/>
  <c r="G3865" i="2" s="1"/>
  <c r="C3893" i="2"/>
  <c r="G3893" i="2" s="1"/>
  <c r="C3913" i="2"/>
  <c r="G3913" i="2" s="1"/>
  <c r="C3920" i="2"/>
  <c r="G3920" i="2" s="1"/>
  <c r="C3943" i="2"/>
  <c r="G3943" i="2" s="1"/>
  <c r="C3963" i="2"/>
  <c r="G3963" i="2" s="1"/>
  <c r="C3976" i="2"/>
  <c r="G3976" i="2" s="1"/>
  <c r="C4003" i="2"/>
  <c r="G4003" i="2" s="1"/>
  <c r="C4023" i="2"/>
  <c r="G4023" i="2" s="1"/>
  <c r="C4043" i="2"/>
  <c r="G4043" i="2" s="1"/>
  <c r="C4060" i="2"/>
  <c r="G4060" i="2" s="1"/>
  <c r="C4063" i="2"/>
  <c r="G4063" i="2" s="1"/>
  <c r="C4089" i="2"/>
  <c r="G4089" i="2" s="1"/>
  <c r="C4096" i="2"/>
  <c r="G4096" i="2" s="1"/>
  <c r="C4099" i="2"/>
  <c r="G4099" i="2" s="1"/>
  <c r="C4119" i="2"/>
  <c r="G4119" i="2" s="1"/>
  <c r="C4145" i="2"/>
  <c r="G4145" i="2" s="1"/>
  <c r="C4152" i="2"/>
  <c r="G4152" i="2" s="1"/>
  <c r="C4155" i="2"/>
  <c r="G4155" i="2" s="1"/>
  <c r="C4188" i="2"/>
  <c r="G4188" i="2" s="1"/>
  <c r="C4191" i="2"/>
  <c r="G4191" i="2" s="1"/>
  <c r="C4198" i="2"/>
  <c r="G4198" i="2" s="1"/>
  <c r="C4205" i="2"/>
  <c r="G4205" i="2" s="1"/>
  <c r="C4241" i="2"/>
  <c r="G4241" i="2" s="1"/>
  <c r="C4245" i="2"/>
  <c r="G4245" i="2" s="1"/>
  <c r="C4282" i="2"/>
  <c r="G4282" i="2" s="1"/>
  <c r="C4316" i="2"/>
  <c r="G4316" i="2" s="1"/>
  <c r="C4319" i="2"/>
  <c r="G4319" i="2" s="1"/>
  <c r="C4326" i="2"/>
  <c r="G4326" i="2" s="1"/>
  <c r="C4373" i="2"/>
  <c r="G4373" i="2" s="1"/>
  <c r="C4413" i="2"/>
  <c r="G4413" i="2" s="1"/>
  <c r="C4433" i="2"/>
  <c r="G4433" i="2" s="1"/>
  <c r="C4437" i="2"/>
  <c r="G4437" i="2" s="1"/>
  <c r="C4440" i="2"/>
  <c r="G4440" i="2" s="1"/>
  <c r="C4466" i="2"/>
  <c r="G4466" i="2" s="1"/>
  <c r="C4510" i="2"/>
  <c r="G4510" i="2" s="1"/>
  <c r="C4517" i="2"/>
  <c r="G4517" i="2" s="1"/>
  <c r="C4520" i="2"/>
  <c r="G4520" i="2" s="1"/>
  <c r="C4571" i="2"/>
  <c r="G4571" i="2" s="1"/>
  <c r="C4581" i="2"/>
  <c r="G4581" i="2" s="1"/>
  <c r="C4599" i="2"/>
  <c r="G4599" i="2" s="1"/>
  <c r="C4603" i="2"/>
  <c r="G4603" i="2" s="1"/>
  <c r="C4644" i="2"/>
  <c r="G4644" i="2" s="1"/>
  <c r="C5064" i="2"/>
  <c r="G5064" i="2" s="1"/>
  <c r="C5084" i="2"/>
  <c r="G5084" i="2" s="1"/>
  <c r="C5096" i="2"/>
  <c r="G5096" i="2" s="1"/>
  <c r="C5230" i="2"/>
  <c r="G5230" i="2" s="1"/>
  <c r="C3980" i="2"/>
  <c r="G3980" i="2" s="1"/>
  <c r="C3983" i="2"/>
  <c r="G3983" i="2" s="1"/>
  <c r="C4000" i="2"/>
  <c r="G4000" i="2" s="1"/>
  <c r="C4027" i="2"/>
  <c r="G4027" i="2" s="1"/>
  <c r="C4040" i="2"/>
  <c r="G4040" i="2" s="1"/>
  <c r="C4080" i="2"/>
  <c r="G4080" i="2" s="1"/>
  <c r="C4083" i="2"/>
  <c r="G4083" i="2" s="1"/>
  <c r="C4136" i="2"/>
  <c r="G4136" i="2" s="1"/>
  <c r="C4139" i="2"/>
  <c r="G4139" i="2" s="1"/>
  <c r="C4172" i="2"/>
  <c r="G4172" i="2" s="1"/>
  <c r="C4175" i="2"/>
  <c r="G4175" i="2" s="1"/>
  <c r="C4195" i="2"/>
  <c r="G4195" i="2" s="1"/>
  <c r="C4249" i="2"/>
  <c r="G4249" i="2" s="1"/>
  <c r="C4252" i="2"/>
  <c r="G4252" i="2" s="1"/>
  <c r="C4255" i="2"/>
  <c r="G4255" i="2" s="1"/>
  <c r="C4262" i="2"/>
  <c r="G4262" i="2" s="1"/>
  <c r="C4269" i="2"/>
  <c r="G4269" i="2" s="1"/>
  <c r="C4323" i="2"/>
  <c r="G4323" i="2" s="1"/>
  <c r="C4363" i="2"/>
  <c r="G4363" i="2" s="1"/>
  <c r="C4377" i="2"/>
  <c r="G4377" i="2" s="1"/>
  <c r="C4380" i="2"/>
  <c r="G4380" i="2" s="1"/>
  <c r="C4383" i="2"/>
  <c r="G4383" i="2" s="1"/>
  <c r="C4390" i="2"/>
  <c r="G4390" i="2" s="1"/>
  <c r="C4397" i="2"/>
  <c r="G4397" i="2" s="1"/>
  <c r="C4585" i="2"/>
  <c r="G4585" i="2" s="1"/>
  <c r="C4610" i="2"/>
  <c r="G4610" i="2" s="1"/>
  <c r="C4690" i="2"/>
  <c r="G4690" i="2" s="1"/>
  <c r="C4714" i="2"/>
  <c r="G4714" i="2" s="1"/>
  <c r="C4801" i="2"/>
  <c r="G4801" i="2" s="1"/>
  <c r="C3948" i="2"/>
  <c r="G3948" i="2" s="1"/>
  <c r="C3951" i="2"/>
  <c r="G3951" i="2" s="1"/>
  <c r="C3977" i="2"/>
  <c r="G3977" i="2" s="1"/>
  <c r="C3984" i="2"/>
  <c r="G3984" i="2" s="1"/>
  <c r="C4011" i="2"/>
  <c r="G4011" i="2" s="1"/>
  <c r="C4028" i="2"/>
  <c r="G4028" i="2" s="1"/>
  <c r="C4031" i="2"/>
  <c r="G4031" i="2" s="1"/>
  <c r="C4051" i="2"/>
  <c r="G4051" i="2" s="1"/>
  <c r="C4087" i="2"/>
  <c r="G4087" i="2" s="1"/>
  <c r="C4107" i="2"/>
  <c r="G4107" i="2" s="1"/>
  <c r="C4140" i="2"/>
  <c r="G4140" i="2" s="1"/>
  <c r="C4143" i="2"/>
  <c r="G4143" i="2" s="1"/>
  <c r="C4163" i="2"/>
  <c r="G4163" i="2" s="1"/>
  <c r="C4176" i="2"/>
  <c r="G4176" i="2" s="1"/>
  <c r="C4202" i="2"/>
  <c r="G4202" i="2" s="1"/>
  <c r="C4242" i="2"/>
  <c r="G4242" i="2" s="1"/>
  <c r="C4246" i="2"/>
  <c r="G4246" i="2" s="1"/>
  <c r="C4256" i="2"/>
  <c r="G4256" i="2" s="1"/>
  <c r="C4263" i="2"/>
  <c r="G4263" i="2" s="1"/>
  <c r="C4270" i="2"/>
  <c r="G4270" i="2" s="1"/>
  <c r="C4280" i="2"/>
  <c r="G4280" i="2" s="1"/>
  <c r="C4284" i="2"/>
  <c r="G4284" i="2" s="1"/>
  <c r="C4294" i="2"/>
  <c r="G4294" i="2" s="1"/>
  <c r="C4324" i="2"/>
  <c r="G4324" i="2" s="1"/>
  <c r="C4330" i="2"/>
  <c r="G4330" i="2" s="1"/>
  <c r="C4341" i="2"/>
  <c r="G4341" i="2" s="1"/>
  <c r="C4344" i="2"/>
  <c r="G4344" i="2" s="1"/>
  <c r="C4374" i="2"/>
  <c r="G4374" i="2" s="1"/>
  <c r="C4384" i="2"/>
  <c r="G4384" i="2" s="1"/>
  <c r="C4391" i="2"/>
  <c r="G4391" i="2" s="1"/>
  <c r="C4398" i="2"/>
  <c r="G4398" i="2" s="1"/>
  <c r="C4401" i="2"/>
  <c r="G4401" i="2" s="1"/>
  <c r="C4434" i="2"/>
  <c r="G4434" i="2" s="1"/>
  <c r="C4454" i="2"/>
  <c r="G4454" i="2" s="1"/>
  <c r="C4461" i="2"/>
  <c r="G4461" i="2" s="1"/>
  <c r="C4521" i="2"/>
  <c r="G4521" i="2" s="1"/>
  <c r="C4525" i="2"/>
  <c r="G4525" i="2" s="1"/>
  <c r="C4528" i="2"/>
  <c r="G4528" i="2" s="1"/>
  <c r="C4538" i="2"/>
  <c r="G4538" i="2" s="1"/>
  <c r="C4597" i="2"/>
  <c r="G4597" i="2" s="1"/>
  <c r="C4634" i="2"/>
  <c r="G4634" i="2" s="1"/>
  <c r="C4649" i="2"/>
  <c r="G4649" i="2" s="1"/>
  <c r="C4666" i="2"/>
  <c r="G4666" i="2" s="1"/>
  <c r="C4673" i="2"/>
  <c r="G4673" i="2" s="1"/>
  <c r="C4764" i="2"/>
  <c r="G4764" i="2" s="1"/>
  <c r="C5155" i="2"/>
  <c r="G5155" i="2" s="1"/>
  <c r="C5192" i="2"/>
  <c r="G5192" i="2" s="1"/>
  <c r="C5216" i="2"/>
  <c r="G5216" i="2" s="1"/>
  <c r="C5283" i="2"/>
  <c r="G5283" i="2" s="1"/>
  <c r="C4587" i="2"/>
  <c r="G4587" i="2" s="1"/>
  <c r="C4635" i="2"/>
  <c r="G4635" i="2" s="1"/>
  <c r="C4658" i="2"/>
  <c r="G4658" i="2" s="1"/>
  <c r="C4665" i="2"/>
  <c r="G4665" i="2" s="1"/>
  <c r="C4683" i="2"/>
  <c r="G4683" i="2" s="1"/>
  <c r="C4689" i="2"/>
  <c r="G4689" i="2" s="1"/>
  <c r="C4700" i="2"/>
  <c r="G4700" i="2" s="1"/>
  <c r="C4706" i="2"/>
  <c r="G4706" i="2" s="1"/>
  <c r="C4713" i="2"/>
  <c r="G4713" i="2" s="1"/>
  <c r="C4724" i="2"/>
  <c r="G4724" i="2" s="1"/>
  <c r="C4731" i="2"/>
  <c r="G4731" i="2" s="1"/>
  <c r="C4737" i="2"/>
  <c r="G4737" i="2" s="1"/>
  <c r="C4748" i="2"/>
  <c r="G4748" i="2" s="1"/>
  <c r="C4754" i="2"/>
  <c r="G4754" i="2" s="1"/>
  <c r="C4785" i="2"/>
  <c r="G4785" i="2" s="1"/>
  <c r="C4802" i="2"/>
  <c r="G4802" i="2" s="1"/>
  <c r="C4808" i="2"/>
  <c r="G4808" i="2" s="1"/>
  <c r="C4822" i="2"/>
  <c r="G4822" i="2" s="1"/>
  <c r="C4839" i="2"/>
  <c r="G4839" i="2" s="1"/>
  <c r="C4843" i="2"/>
  <c r="G4843" i="2" s="1"/>
  <c r="C4850" i="2"/>
  <c r="G4850" i="2" s="1"/>
  <c r="C4867" i="2"/>
  <c r="G4867" i="2" s="1"/>
  <c r="C4874" i="2"/>
  <c r="G4874" i="2" s="1"/>
  <c r="C4891" i="2"/>
  <c r="G4891" i="2" s="1"/>
  <c r="C4895" i="2"/>
  <c r="G4895" i="2" s="1"/>
  <c r="C4899" i="2"/>
  <c r="G4899" i="2" s="1"/>
  <c r="C4903" i="2"/>
  <c r="G4903" i="2" s="1"/>
  <c r="C4951" i="2"/>
  <c r="G4951" i="2" s="1"/>
  <c r="C4955" i="2"/>
  <c r="G4955" i="2" s="1"/>
  <c r="C4982" i="2"/>
  <c r="G4982" i="2" s="1"/>
  <c r="C4993" i="2"/>
  <c r="G4993" i="2" s="1"/>
  <c r="C4997" i="2"/>
  <c r="G4997" i="2" s="1"/>
  <c r="C5020" i="2"/>
  <c r="G5020" i="2" s="1"/>
  <c r="C5024" i="2"/>
  <c r="G5024" i="2" s="1"/>
  <c r="C5028" i="2"/>
  <c r="G5028" i="2" s="1"/>
  <c r="C5108" i="2"/>
  <c r="G5108" i="2" s="1"/>
  <c r="C5122" i="2"/>
  <c r="G5122" i="2" s="1"/>
  <c r="C5132" i="2"/>
  <c r="G5132" i="2" s="1"/>
  <c r="C5142" i="2"/>
  <c r="G5142" i="2" s="1"/>
  <c r="C5186" i="2"/>
  <c r="G5186" i="2" s="1"/>
  <c r="C5210" i="2"/>
  <c r="G5210" i="2" s="1"/>
  <c r="C5220" i="2"/>
  <c r="G5220" i="2" s="1"/>
  <c r="C5244" i="2"/>
  <c r="G5244" i="2" s="1"/>
  <c r="C5254" i="2"/>
  <c r="G5254" i="2" s="1"/>
  <c r="C5257" i="2"/>
  <c r="G5257" i="2" s="1"/>
  <c r="C5317" i="2"/>
  <c r="G5317" i="2" s="1"/>
  <c r="C5324" i="2"/>
  <c r="G5324" i="2" s="1"/>
  <c r="C5334" i="2"/>
  <c r="G5334" i="2" s="1"/>
  <c r="C5337" i="2"/>
  <c r="G5337" i="2" s="1"/>
  <c r="C5341" i="2"/>
  <c r="G5341" i="2" s="1"/>
  <c r="C5392" i="2"/>
  <c r="G5392" i="2" s="1"/>
  <c r="C5427" i="2"/>
  <c r="G5427" i="2" s="1"/>
  <c r="C5435" i="2"/>
  <c r="G5435" i="2" s="1"/>
  <c r="C5464" i="2"/>
  <c r="G5464" i="2" s="1"/>
  <c r="C4738" i="2"/>
  <c r="G4738" i="2" s="1"/>
  <c r="C4847" i="2"/>
  <c r="G4847" i="2" s="1"/>
  <c r="C4979" i="2"/>
  <c r="G4979" i="2" s="1"/>
  <c r="C4986" i="2"/>
  <c r="G4986" i="2" s="1"/>
  <c r="C5163" i="2"/>
  <c r="G5163" i="2" s="1"/>
  <c r="C5291" i="2"/>
  <c r="G5291" i="2" s="1"/>
  <c r="C5355" i="2"/>
  <c r="G5355" i="2" s="1"/>
  <c r="C5679" i="2"/>
  <c r="G5679" i="2" s="1"/>
  <c r="C4643" i="2"/>
  <c r="G4643" i="2" s="1"/>
  <c r="C4656" i="2"/>
  <c r="G4656" i="2" s="1"/>
  <c r="C4663" i="2"/>
  <c r="G4663" i="2" s="1"/>
  <c r="C4667" i="2"/>
  <c r="G4667" i="2" s="1"/>
  <c r="C4691" i="2"/>
  <c r="G4691" i="2" s="1"/>
  <c r="C4697" i="2"/>
  <c r="G4697" i="2" s="1"/>
  <c r="C4708" i="2"/>
  <c r="G4708" i="2" s="1"/>
  <c r="C4715" i="2"/>
  <c r="G4715" i="2" s="1"/>
  <c r="C4721" i="2"/>
  <c r="G4721" i="2" s="1"/>
  <c r="C4725" i="2"/>
  <c r="G4725" i="2" s="1"/>
  <c r="C4739" i="2"/>
  <c r="G4739" i="2" s="1"/>
  <c r="C4745" i="2"/>
  <c r="G4745" i="2" s="1"/>
  <c r="C4756" i="2"/>
  <c r="G4756" i="2" s="1"/>
  <c r="C4762" i="2"/>
  <c r="G4762" i="2" s="1"/>
  <c r="C4776" i="2"/>
  <c r="G4776" i="2" s="1"/>
  <c r="C4786" i="2"/>
  <c r="G4786" i="2" s="1"/>
  <c r="C4790" i="2"/>
  <c r="G4790" i="2" s="1"/>
  <c r="C4793" i="2"/>
  <c r="G4793" i="2" s="1"/>
  <c r="C4796" i="2"/>
  <c r="G4796" i="2" s="1"/>
  <c r="C4799" i="2"/>
  <c r="G4799" i="2" s="1"/>
  <c r="C4810" i="2"/>
  <c r="G4810" i="2" s="1"/>
  <c r="C4841" i="2"/>
  <c r="G4841" i="2" s="1"/>
  <c r="C4889" i="2"/>
  <c r="G4889" i="2" s="1"/>
  <c r="C4893" i="2"/>
  <c r="G4893" i="2" s="1"/>
  <c r="C4901" i="2"/>
  <c r="G4901" i="2" s="1"/>
  <c r="C4921" i="2"/>
  <c r="G4921" i="2" s="1"/>
  <c r="C4953" i="2"/>
  <c r="G4953" i="2" s="1"/>
  <c r="C4983" i="2"/>
  <c r="G4983" i="2" s="1"/>
  <c r="C5014" i="2"/>
  <c r="G5014" i="2" s="1"/>
  <c r="C5033" i="2"/>
  <c r="G5033" i="2" s="1"/>
  <c r="C5076" i="2"/>
  <c r="G5076" i="2" s="1"/>
  <c r="C5079" i="2"/>
  <c r="G5079" i="2" s="1"/>
  <c r="C5098" i="2"/>
  <c r="G5098" i="2" s="1"/>
  <c r="C5102" i="2"/>
  <c r="G5102" i="2" s="1"/>
  <c r="C5113" i="2"/>
  <c r="G5113" i="2" s="1"/>
  <c r="C5117" i="2"/>
  <c r="G5117" i="2" s="1"/>
  <c r="C5130" i="2"/>
  <c r="G5130" i="2" s="1"/>
  <c r="C5157" i="2"/>
  <c r="G5157" i="2" s="1"/>
  <c r="C5164" i="2"/>
  <c r="G5164" i="2" s="1"/>
  <c r="C5174" i="2"/>
  <c r="G5174" i="2" s="1"/>
  <c r="C5181" i="2"/>
  <c r="G5181" i="2" s="1"/>
  <c r="C5194" i="2"/>
  <c r="G5194" i="2" s="1"/>
  <c r="C5204" i="2"/>
  <c r="G5204" i="2" s="1"/>
  <c r="C5211" i="2"/>
  <c r="G5211" i="2" s="1"/>
  <c r="C5218" i="2"/>
  <c r="G5218" i="2" s="1"/>
  <c r="C5242" i="2"/>
  <c r="G5242" i="2" s="1"/>
  <c r="C5268" i="2"/>
  <c r="G5268" i="2" s="1"/>
  <c r="C5285" i="2"/>
  <c r="G5285" i="2" s="1"/>
  <c r="C5292" i="2"/>
  <c r="G5292" i="2" s="1"/>
  <c r="C5302" i="2"/>
  <c r="G5302" i="2" s="1"/>
  <c r="C5305" i="2"/>
  <c r="G5305" i="2" s="1"/>
  <c r="C5397" i="2"/>
  <c r="G5397" i="2" s="1"/>
  <c r="C4698" i="2"/>
  <c r="G4698" i="2" s="1"/>
  <c r="C4712" i="2"/>
  <c r="G4712" i="2" s="1"/>
  <c r="C4716" i="2"/>
  <c r="G4716" i="2" s="1"/>
  <c r="C4722" i="2"/>
  <c r="G4722" i="2" s="1"/>
  <c r="C4729" i="2"/>
  <c r="G4729" i="2" s="1"/>
  <c r="C4740" i="2"/>
  <c r="G4740" i="2" s="1"/>
  <c r="C4746" i="2"/>
  <c r="G4746" i="2" s="1"/>
  <c r="C4773" i="2"/>
  <c r="G4773" i="2" s="1"/>
  <c r="C4818" i="2"/>
  <c r="G4818" i="2" s="1"/>
  <c r="C4835" i="2"/>
  <c r="G4835" i="2" s="1"/>
  <c r="C4838" i="2"/>
  <c r="G4838" i="2" s="1"/>
  <c r="C4842" i="2"/>
  <c r="G4842" i="2" s="1"/>
  <c r="C4849" i="2"/>
  <c r="G4849" i="2" s="1"/>
  <c r="C4873" i="2"/>
  <c r="G4873" i="2" s="1"/>
  <c r="C4898" i="2"/>
  <c r="G4898" i="2" s="1"/>
  <c r="C4902" i="2"/>
  <c r="G4902" i="2" s="1"/>
  <c r="C4937" i="2"/>
  <c r="G4937" i="2" s="1"/>
  <c r="C4950" i="2"/>
  <c r="G4950" i="2" s="1"/>
  <c r="C4965" i="2"/>
  <c r="G4965" i="2" s="1"/>
  <c r="C4988" i="2"/>
  <c r="G4988" i="2" s="1"/>
  <c r="C4991" i="2"/>
  <c r="G4991" i="2" s="1"/>
  <c r="C4995" i="2"/>
  <c r="G4995" i="2" s="1"/>
  <c r="C5008" i="2"/>
  <c r="G5008" i="2" s="1"/>
  <c r="C5011" i="2"/>
  <c r="G5011" i="2" s="1"/>
  <c r="C5018" i="2"/>
  <c r="G5018" i="2" s="1"/>
  <c r="C5022" i="2"/>
  <c r="G5022" i="2" s="1"/>
  <c r="C5034" i="2"/>
  <c r="G5034" i="2" s="1"/>
  <c r="C5037" i="2"/>
  <c r="G5037" i="2" s="1"/>
  <c r="C5040" i="2"/>
  <c r="G5040" i="2" s="1"/>
  <c r="C5043" i="2"/>
  <c r="G5043" i="2" s="1"/>
  <c r="C5057" i="2"/>
  <c r="G5057" i="2" s="1"/>
  <c r="C5063" i="2"/>
  <c r="G5063" i="2" s="1"/>
  <c r="C5077" i="2"/>
  <c r="G5077" i="2" s="1"/>
  <c r="C5124" i="2"/>
  <c r="G5124" i="2" s="1"/>
  <c r="C5148" i="2"/>
  <c r="G5148" i="2" s="1"/>
  <c r="C5158" i="2"/>
  <c r="G5158" i="2" s="1"/>
  <c r="C5161" i="2"/>
  <c r="G5161" i="2" s="1"/>
  <c r="C5165" i="2"/>
  <c r="G5165" i="2" s="1"/>
  <c r="C5188" i="2"/>
  <c r="G5188" i="2" s="1"/>
  <c r="C5205" i="2"/>
  <c r="G5205" i="2" s="1"/>
  <c r="C5236" i="2"/>
  <c r="G5236" i="2" s="1"/>
  <c r="C5269" i="2"/>
  <c r="G5269" i="2" s="1"/>
  <c r="C5276" i="2"/>
  <c r="G5276" i="2" s="1"/>
  <c r="C5286" i="2"/>
  <c r="G5286" i="2" s="1"/>
  <c r="C5289" i="2"/>
  <c r="G5289" i="2" s="1"/>
  <c r="C5293" i="2"/>
  <c r="G5293" i="2" s="1"/>
  <c r="C5306" i="2"/>
  <c r="G5306" i="2" s="1"/>
  <c r="C5339" i="2"/>
  <c r="G5339" i="2" s="1"/>
  <c r="C5350" i="2"/>
  <c r="G5350" i="2" s="1"/>
  <c r="C5353" i="2"/>
  <c r="G5353" i="2" s="1"/>
  <c r="C5357" i="2"/>
  <c r="G5357" i="2" s="1"/>
  <c r="C5370" i="2"/>
  <c r="G5370" i="2" s="1"/>
  <c r="C5406" i="2"/>
  <c r="G5406" i="2" s="1"/>
  <c r="C5410" i="2"/>
  <c r="G5410" i="2" s="1"/>
  <c r="C5455" i="2"/>
  <c r="G5455" i="2" s="1"/>
  <c r="C5639" i="2"/>
  <c r="G5639" i="2" s="1"/>
  <c r="C4825" i="2"/>
  <c r="G4825" i="2" s="1"/>
  <c r="C4832" i="2"/>
  <c r="G4832" i="2" s="1"/>
  <c r="C4853" i="2"/>
  <c r="G4853" i="2" s="1"/>
  <c r="C4866" i="2"/>
  <c r="G4866" i="2" s="1"/>
  <c r="C4870" i="2"/>
  <c r="G4870" i="2" s="1"/>
  <c r="C4877" i="2"/>
  <c r="G4877" i="2" s="1"/>
  <c r="C4880" i="2"/>
  <c r="G4880" i="2" s="1"/>
  <c r="C4906" i="2"/>
  <c r="G4906" i="2" s="1"/>
  <c r="C4912" i="2"/>
  <c r="G4912" i="2" s="1"/>
  <c r="C4930" i="2"/>
  <c r="G4930" i="2" s="1"/>
  <c r="C4934" i="2"/>
  <c r="G4934" i="2" s="1"/>
  <c r="C4962" i="2"/>
  <c r="G4962" i="2" s="1"/>
  <c r="C4992" i="2"/>
  <c r="G4992" i="2" s="1"/>
  <c r="C4996" i="2"/>
  <c r="G4996" i="2" s="1"/>
  <c r="C5090" i="2"/>
  <c r="G5090" i="2" s="1"/>
  <c r="C5093" i="2"/>
  <c r="G5093" i="2" s="1"/>
  <c r="C5141" i="2"/>
  <c r="G5141" i="2" s="1"/>
  <c r="C5209" i="2"/>
  <c r="G5209" i="2" s="1"/>
  <c r="C5213" i="2"/>
  <c r="G5213" i="2" s="1"/>
  <c r="C5226" i="2"/>
  <c r="G5226" i="2" s="1"/>
  <c r="C5253" i="2"/>
  <c r="G5253" i="2" s="1"/>
  <c r="C5316" i="2"/>
  <c r="G5316" i="2" s="1"/>
  <c r="C5333" i="2"/>
  <c r="G5333" i="2" s="1"/>
  <c r="C5340" i="2"/>
  <c r="G5340" i="2" s="1"/>
  <c r="C5381" i="2"/>
  <c r="G5381" i="2" s="1"/>
  <c r="C5391" i="2"/>
  <c r="G5391" i="2" s="1"/>
  <c r="C5448" i="2"/>
  <c r="G5448" i="2" s="1"/>
  <c r="C5463" i="2"/>
  <c r="G5463" i="2" s="1"/>
  <c r="C5471" i="2"/>
  <c r="G5471" i="2" s="1"/>
  <c r="C5475" i="2"/>
  <c r="G5475" i="2" s="1"/>
  <c r="C5632" i="2"/>
  <c r="G5632" i="2" s="1"/>
  <c r="C5349" i="2"/>
  <c r="G5349" i="2" s="1"/>
  <c r="C5356" i="2"/>
  <c r="G5356" i="2" s="1"/>
  <c r="C5369" i="2"/>
  <c r="G5369" i="2" s="1"/>
  <c r="C5373" i="2"/>
  <c r="G5373" i="2" s="1"/>
  <c r="C5396" i="2"/>
  <c r="G5396" i="2" s="1"/>
  <c r="C5413" i="2"/>
  <c r="G5413" i="2" s="1"/>
  <c r="C5420" i="2"/>
  <c r="G5420" i="2" s="1"/>
  <c r="C5430" i="2"/>
  <c r="G5430" i="2" s="1"/>
  <c r="C5437" i="2"/>
  <c r="G5437" i="2" s="1"/>
  <c r="C5450" i="2"/>
  <c r="G5450" i="2" s="1"/>
  <c r="C5460" i="2"/>
  <c r="G5460" i="2" s="1"/>
  <c r="C5477" i="2"/>
  <c r="G5477" i="2" s="1"/>
  <c r="C5484" i="2"/>
  <c r="G5484" i="2" s="1"/>
  <c r="C5494" i="2"/>
  <c r="G5494" i="2" s="1"/>
  <c r="C5497" i="2"/>
  <c r="G5497" i="2" s="1"/>
  <c r="C5501" i="2"/>
  <c r="G5501" i="2" s="1"/>
  <c r="C5514" i="2"/>
  <c r="G5514" i="2" s="1"/>
  <c r="C5547" i="2"/>
  <c r="G5547" i="2" s="1"/>
  <c r="C5554" i="2"/>
  <c r="G5554" i="2" s="1"/>
  <c r="C5564" i="2"/>
  <c r="G5564" i="2" s="1"/>
  <c r="C5574" i="2"/>
  <c r="G5574" i="2" s="1"/>
  <c r="C5577" i="2"/>
  <c r="G5577" i="2" s="1"/>
  <c r="C5581" i="2"/>
  <c r="G5581" i="2" s="1"/>
  <c r="C5611" i="2"/>
  <c r="G5611" i="2" s="1"/>
  <c r="C5618" i="2"/>
  <c r="G5618" i="2" s="1"/>
  <c r="C5645" i="2"/>
  <c r="G5645" i="2" s="1"/>
  <c r="C5658" i="2"/>
  <c r="G5658" i="2" s="1"/>
  <c r="C5668" i="2"/>
  <c r="G5668" i="2" s="1"/>
  <c r="C5685" i="2"/>
  <c r="G5685" i="2" s="1"/>
  <c r="C5695" i="2"/>
  <c r="G5695" i="2" s="1"/>
  <c r="C5706" i="2"/>
  <c r="G5706" i="2" s="1"/>
  <c r="C5717" i="2"/>
  <c r="G5717" i="2" s="1"/>
  <c r="C5724" i="2"/>
  <c r="G5724" i="2" s="1"/>
  <c r="C5735" i="2"/>
  <c r="G5735" i="2" s="1"/>
  <c r="C5746" i="2"/>
  <c r="G5746" i="2" s="1"/>
  <c r="C5753" i="2"/>
  <c r="G5753" i="2" s="1"/>
  <c r="C5764" i="2"/>
  <c r="G5764" i="2" s="1"/>
  <c r="C5771" i="2"/>
  <c r="G5771" i="2" s="1"/>
  <c r="C5786" i="2"/>
  <c r="G5786" i="2" s="1"/>
  <c r="C5789" i="2"/>
  <c r="G5789" i="2" s="1"/>
  <c r="C5793" i="2"/>
  <c r="G5793" i="2" s="1"/>
  <c r="C5804" i="2"/>
  <c r="G5804" i="2" s="1"/>
  <c r="C5811" i="2"/>
  <c r="G5811" i="2" s="1"/>
  <c r="C5815" i="2"/>
  <c r="G5815" i="2" s="1"/>
  <c r="C5826" i="2"/>
  <c r="G5826" i="2" s="1"/>
  <c r="C5830" i="2"/>
  <c r="G5830" i="2" s="1"/>
  <c r="C5837" i="2"/>
  <c r="G5837" i="2" s="1"/>
  <c r="C5867" i="2"/>
  <c r="G5867" i="2" s="1"/>
  <c r="C5893" i="2"/>
  <c r="G5893" i="2" s="1"/>
  <c r="C5897" i="2"/>
  <c r="G5897" i="2" s="1"/>
  <c r="C5923" i="2"/>
  <c r="G5923" i="2" s="1"/>
  <c r="C5941" i="2"/>
  <c r="G5941" i="2" s="1"/>
  <c r="C5948" i="2"/>
  <c r="G5948" i="2" s="1"/>
  <c r="C5993" i="2"/>
  <c r="G5993" i="2" s="1"/>
  <c r="C5996" i="2"/>
  <c r="G5996" i="2" s="1"/>
  <c r="C6037" i="2"/>
  <c r="G6037" i="2" s="1"/>
  <c r="C6064" i="2"/>
  <c r="G6064" i="2" s="1"/>
  <c r="C6118" i="2"/>
  <c r="G6118" i="2" s="1"/>
  <c r="C6122" i="2"/>
  <c r="G6122" i="2" s="1"/>
  <c r="C5434" i="2"/>
  <c r="G5434" i="2" s="1"/>
  <c r="C5474" i="2"/>
  <c r="G5474" i="2" s="1"/>
  <c r="C5524" i="2"/>
  <c r="G5524" i="2" s="1"/>
  <c r="C5541" i="2"/>
  <c r="G5541" i="2" s="1"/>
  <c r="C5548" i="2"/>
  <c r="G5548" i="2" s="1"/>
  <c r="C5558" i="2"/>
  <c r="G5558" i="2" s="1"/>
  <c r="C5561" i="2"/>
  <c r="G5561" i="2" s="1"/>
  <c r="C5605" i="2"/>
  <c r="G5605" i="2" s="1"/>
  <c r="C5612" i="2"/>
  <c r="G5612" i="2" s="1"/>
  <c r="C5622" i="2"/>
  <c r="G5622" i="2" s="1"/>
  <c r="C5629" i="2"/>
  <c r="G5629" i="2" s="1"/>
  <c r="C5642" i="2"/>
  <c r="G5642" i="2" s="1"/>
  <c r="C5682" i="2"/>
  <c r="G5682" i="2" s="1"/>
  <c r="C5692" i="2"/>
  <c r="G5692" i="2" s="1"/>
  <c r="C5714" i="2"/>
  <c r="G5714" i="2" s="1"/>
  <c r="C5743" i="2"/>
  <c r="G5743" i="2" s="1"/>
  <c r="C5772" i="2"/>
  <c r="G5772" i="2" s="1"/>
  <c r="C5783" i="2"/>
  <c r="G5783" i="2" s="1"/>
  <c r="C5790" i="2"/>
  <c r="G5790" i="2" s="1"/>
  <c r="C5812" i="2"/>
  <c r="G5812" i="2" s="1"/>
  <c r="C5823" i="2"/>
  <c r="G5823" i="2" s="1"/>
  <c r="C5834" i="2"/>
  <c r="G5834" i="2" s="1"/>
  <c r="C5860" i="2"/>
  <c r="G5860" i="2" s="1"/>
  <c r="C5864" i="2"/>
  <c r="G5864" i="2" s="1"/>
  <c r="C5978" i="2"/>
  <c r="G5978" i="2" s="1"/>
  <c r="C6030" i="2"/>
  <c r="G6030" i="2" s="1"/>
  <c r="C6034" i="2"/>
  <c r="G6034" i="2" s="1"/>
  <c r="C6099" i="2"/>
  <c r="G6099" i="2" s="1"/>
  <c r="C6103" i="2"/>
  <c r="G6103" i="2" s="1"/>
  <c r="C6107" i="2"/>
  <c r="G6107" i="2" s="1"/>
  <c r="C6171" i="2"/>
  <c r="G6171" i="2" s="1"/>
  <c r="C5451" i="2"/>
  <c r="G5451" i="2" s="1"/>
  <c r="C5458" i="2"/>
  <c r="G5458" i="2" s="1"/>
  <c r="C5525" i="2"/>
  <c r="G5525" i="2" s="1"/>
  <c r="C5532" i="2"/>
  <c r="G5532" i="2" s="1"/>
  <c r="C5542" i="2"/>
  <c r="G5542" i="2" s="1"/>
  <c r="C5545" i="2"/>
  <c r="G5545" i="2" s="1"/>
  <c r="C5549" i="2"/>
  <c r="G5549" i="2" s="1"/>
  <c r="C5562" i="2"/>
  <c r="G5562" i="2" s="1"/>
  <c r="C5596" i="2"/>
  <c r="G5596" i="2" s="1"/>
  <c r="C5606" i="2"/>
  <c r="G5606" i="2" s="1"/>
  <c r="C5609" i="2"/>
  <c r="G5609" i="2" s="1"/>
  <c r="C5613" i="2"/>
  <c r="G5613" i="2" s="1"/>
  <c r="C5626" i="2"/>
  <c r="G5626" i="2" s="1"/>
  <c r="C5636" i="2"/>
  <c r="G5636" i="2" s="1"/>
  <c r="C5659" i="2"/>
  <c r="G5659" i="2" s="1"/>
  <c r="C5666" i="2"/>
  <c r="G5666" i="2" s="1"/>
  <c r="C5693" i="2"/>
  <c r="G5693" i="2" s="1"/>
  <c r="C5700" i="2"/>
  <c r="G5700" i="2" s="1"/>
  <c r="C5707" i="2"/>
  <c r="G5707" i="2" s="1"/>
  <c r="C5722" i="2"/>
  <c r="G5722" i="2" s="1"/>
  <c r="C5725" i="2"/>
  <c r="G5725" i="2" s="1"/>
  <c r="C5729" i="2"/>
  <c r="G5729" i="2" s="1"/>
  <c r="C5740" i="2"/>
  <c r="G5740" i="2" s="1"/>
  <c r="C5747" i="2"/>
  <c r="G5747" i="2" s="1"/>
  <c r="C5751" i="2"/>
  <c r="G5751" i="2" s="1"/>
  <c r="C5765" i="2"/>
  <c r="G5765" i="2" s="1"/>
  <c r="C5769" i="2"/>
  <c r="G5769" i="2" s="1"/>
  <c r="C5791" i="2"/>
  <c r="G5791" i="2" s="1"/>
  <c r="C5805" i="2"/>
  <c r="G5805" i="2" s="1"/>
  <c r="C5865" i="2"/>
  <c r="G5865" i="2" s="1"/>
  <c r="C5884" i="2"/>
  <c r="G5884" i="2" s="1"/>
  <c r="C5895" i="2"/>
  <c r="G5895" i="2" s="1"/>
  <c r="C5906" i="2"/>
  <c r="G5906" i="2" s="1"/>
  <c r="C5928" i="2"/>
  <c r="G5928" i="2" s="1"/>
  <c r="C5939" i="2"/>
  <c r="G5939" i="2" s="1"/>
  <c r="C5946" i="2"/>
  <c r="G5946" i="2" s="1"/>
  <c r="C5953" i="2"/>
  <c r="G5953" i="2" s="1"/>
  <c r="C5961" i="2"/>
  <c r="G5961" i="2" s="1"/>
  <c r="C5964" i="2"/>
  <c r="G5964" i="2" s="1"/>
  <c r="C5982" i="2"/>
  <c r="G5982" i="2" s="1"/>
  <c r="C6035" i="2"/>
  <c r="G6035" i="2" s="1"/>
  <c r="C6039" i="2"/>
  <c r="G6039" i="2" s="1"/>
  <c r="C6081" i="2"/>
  <c r="G6081" i="2" s="1"/>
  <c r="C5371" i="2"/>
  <c r="G5371" i="2" s="1"/>
  <c r="C5378" i="2"/>
  <c r="G5378" i="2" s="1"/>
  <c r="C5382" i="2"/>
  <c r="G5382" i="2" s="1"/>
  <c r="C5385" i="2"/>
  <c r="G5385" i="2" s="1"/>
  <c r="C5442" i="2"/>
  <c r="G5442" i="2" s="1"/>
  <c r="C5499" i="2"/>
  <c r="G5499" i="2" s="1"/>
  <c r="C5506" i="2"/>
  <c r="G5506" i="2" s="1"/>
  <c r="C5516" i="2"/>
  <c r="G5516" i="2" s="1"/>
  <c r="C5526" i="2"/>
  <c r="G5526" i="2" s="1"/>
  <c r="C5529" i="2"/>
  <c r="G5529" i="2" s="1"/>
  <c r="C5533" i="2"/>
  <c r="G5533" i="2" s="1"/>
  <c r="C5546" i="2"/>
  <c r="G5546" i="2" s="1"/>
  <c r="C5556" i="2"/>
  <c r="G5556" i="2" s="1"/>
  <c r="C5579" i="2"/>
  <c r="G5579" i="2" s="1"/>
  <c r="C5586" i="2"/>
  <c r="G5586" i="2" s="1"/>
  <c r="C5593" i="2"/>
  <c r="G5593" i="2" s="1"/>
  <c r="C5597" i="2"/>
  <c r="G5597" i="2" s="1"/>
  <c r="C5610" i="2"/>
  <c r="G5610" i="2" s="1"/>
  <c r="C5620" i="2"/>
  <c r="G5620" i="2" s="1"/>
  <c r="C5650" i="2"/>
  <c r="G5650" i="2" s="1"/>
  <c r="C5697" i="2"/>
  <c r="G5697" i="2" s="1"/>
  <c r="C5716" i="2"/>
  <c r="G5716" i="2" s="1"/>
  <c r="C5730" i="2"/>
  <c r="G5730" i="2" s="1"/>
  <c r="C5733" i="2"/>
  <c r="G5733" i="2" s="1"/>
  <c r="C5737" i="2"/>
  <c r="G5737" i="2" s="1"/>
  <c r="C5755" i="2"/>
  <c r="G5755" i="2" s="1"/>
  <c r="C5759" i="2"/>
  <c r="G5759" i="2" s="1"/>
  <c r="C5781" i="2"/>
  <c r="G5781" i="2" s="1"/>
  <c r="C5788" i="2"/>
  <c r="G5788" i="2" s="1"/>
  <c r="C5799" i="2"/>
  <c r="G5799" i="2" s="1"/>
  <c r="C5810" i="2"/>
  <c r="G5810" i="2" s="1"/>
  <c r="C5821" i="2"/>
  <c r="G5821" i="2" s="1"/>
  <c r="C5836" i="2"/>
  <c r="G5836" i="2" s="1"/>
  <c r="C5843" i="2"/>
  <c r="G5843" i="2" s="1"/>
  <c r="C5855" i="2"/>
  <c r="G5855" i="2" s="1"/>
  <c r="C5862" i="2"/>
  <c r="G5862" i="2" s="1"/>
  <c r="C5866" i="2"/>
  <c r="G5866" i="2" s="1"/>
  <c r="C5870" i="2"/>
  <c r="G5870" i="2" s="1"/>
  <c r="C5877" i="2"/>
  <c r="G5877" i="2" s="1"/>
  <c r="C5881" i="2"/>
  <c r="G5881" i="2" s="1"/>
  <c r="C5892" i="2"/>
  <c r="G5892" i="2" s="1"/>
  <c r="C5899" i="2"/>
  <c r="G5899" i="2" s="1"/>
  <c r="C5911" i="2"/>
  <c r="G5911" i="2" s="1"/>
  <c r="C5918" i="2"/>
  <c r="G5918" i="2" s="1"/>
  <c r="C5925" i="2"/>
  <c r="G5925" i="2" s="1"/>
  <c r="C5929" i="2"/>
  <c r="G5929" i="2" s="1"/>
  <c r="C5947" i="2"/>
  <c r="G5947" i="2" s="1"/>
  <c r="C5950" i="2"/>
  <c r="G5950" i="2" s="1"/>
  <c r="C5958" i="2"/>
  <c r="G5958" i="2" s="1"/>
  <c r="C6012" i="2"/>
  <c r="G6012" i="2" s="1"/>
  <c r="C6070" i="2"/>
  <c r="G6070" i="2" s="1"/>
  <c r="C6074" i="2"/>
  <c r="G6074" i="2" s="1"/>
  <c r="C6136" i="2"/>
  <c r="G6136" i="2" s="1"/>
  <c r="C5389" i="2"/>
  <c r="G5389" i="2" s="1"/>
  <c r="C5402" i="2"/>
  <c r="G5402" i="2" s="1"/>
  <c r="C5412" i="2"/>
  <c r="G5412" i="2" s="1"/>
  <c r="C5429" i="2"/>
  <c r="G5429" i="2" s="1"/>
  <c r="C5436" i="2"/>
  <c r="G5436" i="2" s="1"/>
  <c r="C5446" i="2"/>
  <c r="G5446" i="2" s="1"/>
  <c r="C5449" i="2"/>
  <c r="G5449" i="2" s="1"/>
  <c r="C5453" i="2"/>
  <c r="G5453" i="2" s="1"/>
  <c r="C5466" i="2"/>
  <c r="G5466" i="2" s="1"/>
  <c r="C5476" i="2"/>
  <c r="G5476" i="2" s="1"/>
  <c r="C5493" i="2"/>
  <c r="G5493" i="2" s="1"/>
  <c r="C5500" i="2"/>
  <c r="G5500" i="2" s="1"/>
  <c r="C5510" i="2"/>
  <c r="G5510" i="2" s="1"/>
  <c r="C5513" i="2"/>
  <c r="G5513" i="2" s="1"/>
  <c r="C5573" i="2"/>
  <c r="G5573" i="2" s="1"/>
  <c r="C5580" i="2"/>
  <c r="G5580" i="2" s="1"/>
  <c r="C5590" i="2"/>
  <c r="G5590" i="2" s="1"/>
  <c r="C5634" i="2"/>
  <c r="G5634" i="2" s="1"/>
  <c r="C5644" i="2"/>
  <c r="G5644" i="2" s="1"/>
  <c r="C5654" i="2"/>
  <c r="G5654" i="2" s="1"/>
  <c r="C5657" i="2"/>
  <c r="G5657" i="2" s="1"/>
  <c r="C5661" i="2"/>
  <c r="G5661" i="2" s="1"/>
  <c r="C5674" i="2"/>
  <c r="G5674" i="2" s="1"/>
  <c r="C5684" i="2"/>
  <c r="G5684" i="2" s="1"/>
  <c r="C5705" i="2"/>
  <c r="G5705" i="2" s="1"/>
  <c r="C5727" i="2"/>
  <c r="G5727" i="2" s="1"/>
  <c r="C5745" i="2"/>
  <c r="G5745" i="2" s="1"/>
  <c r="C5756" i="2"/>
  <c r="G5756" i="2" s="1"/>
  <c r="C5767" i="2"/>
  <c r="G5767" i="2" s="1"/>
  <c r="C5778" i="2"/>
  <c r="G5778" i="2" s="1"/>
  <c r="C5807" i="2"/>
  <c r="G5807" i="2" s="1"/>
  <c r="C5818" i="2"/>
  <c r="G5818" i="2" s="1"/>
  <c r="C5844" i="2"/>
  <c r="G5844" i="2" s="1"/>
  <c r="C5874" i="2"/>
  <c r="G5874" i="2" s="1"/>
  <c r="C5900" i="2"/>
  <c r="G5900" i="2" s="1"/>
  <c r="C5922" i="2"/>
  <c r="G5922" i="2" s="1"/>
  <c r="C5926" i="2"/>
  <c r="G5926" i="2" s="1"/>
  <c r="C5930" i="2"/>
  <c r="G5930" i="2" s="1"/>
  <c r="C5944" i="2"/>
  <c r="G5944" i="2" s="1"/>
  <c r="C5951" i="2"/>
  <c r="G5951" i="2" s="1"/>
  <c r="C5955" i="2"/>
  <c r="G5955" i="2" s="1"/>
  <c r="C5966" i="2"/>
  <c r="G5966" i="2" s="1"/>
  <c r="C5984" i="2"/>
  <c r="G5984" i="2" s="1"/>
  <c r="C6021" i="2"/>
  <c r="G6021" i="2" s="1"/>
  <c r="C6048" i="2"/>
  <c r="G6048" i="2" s="1"/>
  <c r="C6056" i="2"/>
  <c r="G6056" i="2" s="1"/>
  <c r="C6059" i="2"/>
  <c r="G6059" i="2" s="1"/>
  <c r="C6129" i="2"/>
  <c r="G6129" i="2" s="1"/>
  <c r="C7318" i="2"/>
  <c r="G7318" i="2" s="1"/>
  <c r="C7159" i="2"/>
  <c r="G7159" i="2" s="1"/>
  <c r="C5802" i="2"/>
  <c r="G5802" i="2" s="1"/>
  <c r="C5806" i="2"/>
  <c r="G5806" i="2" s="1"/>
  <c r="C5813" i="2"/>
  <c r="G5813" i="2" s="1"/>
  <c r="C5827" i="2"/>
  <c r="G5827" i="2" s="1"/>
  <c r="C5839" i="2"/>
  <c r="G5839" i="2" s="1"/>
  <c r="C5846" i="2"/>
  <c r="G5846" i="2" s="1"/>
  <c r="C5854" i="2"/>
  <c r="G5854" i="2" s="1"/>
  <c r="C5876" i="2"/>
  <c r="G5876" i="2" s="1"/>
  <c r="C5883" i="2"/>
  <c r="G5883" i="2" s="1"/>
  <c r="C5887" i="2"/>
  <c r="G5887" i="2" s="1"/>
  <c r="C5898" i="2"/>
  <c r="G5898" i="2" s="1"/>
  <c r="C5909" i="2"/>
  <c r="G5909" i="2" s="1"/>
  <c r="C5934" i="2"/>
  <c r="G5934" i="2" s="1"/>
  <c r="C5960" i="2"/>
  <c r="G5960" i="2" s="1"/>
  <c r="C5985" i="2"/>
  <c r="G5985" i="2" s="1"/>
  <c r="C5988" i="2"/>
  <c r="G5988" i="2" s="1"/>
  <c r="C6003" i="2"/>
  <c r="G6003" i="2" s="1"/>
  <c r="C6017" i="2"/>
  <c r="G6017" i="2" s="1"/>
  <c r="C6020" i="2"/>
  <c r="G6020" i="2" s="1"/>
  <c r="C6024" i="2"/>
  <c r="G6024" i="2" s="1"/>
  <c r="C6031" i="2"/>
  <c r="G6031" i="2" s="1"/>
  <c r="C6045" i="2"/>
  <c r="G6045" i="2" s="1"/>
  <c r="C6067" i="2"/>
  <c r="G6067" i="2" s="1"/>
  <c r="C6071" i="2"/>
  <c r="G6071" i="2" s="1"/>
  <c r="C6078" i="2"/>
  <c r="G6078" i="2" s="1"/>
  <c r="C6085" i="2"/>
  <c r="G6085" i="2" s="1"/>
  <c r="C6092" i="2"/>
  <c r="G6092" i="2" s="1"/>
  <c r="C6104" i="2"/>
  <c r="G6104" i="2" s="1"/>
  <c r="C6115" i="2"/>
  <c r="G6115" i="2" s="1"/>
  <c r="C6119" i="2"/>
  <c r="G6119" i="2" s="1"/>
  <c r="C6126" i="2"/>
  <c r="G6126" i="2" s="1"/>
  <c r="C6147" i="2"/>
  <c r="G6147" i="2" s="1"/>
  <c r="C6161" i="2"/>
  <c r="G6161" i="2" s="1"/>
  <c r="C6164" i="2"/>
  <c r="G6164" i="2" s="1"/>
  <c r="C6179" i="2"/>
  <c r="G6179" i="2" s="1"/>
  <c r="C6183" i="2"/>
  <c r="G6183" i="2" s="1"/>
  <c r="C6189" i="2"/>
  <c r="G6189" i="2" s="1"/>
  <c r="C6211" i="2"/>
  <c r="G6211" i="2" s="1"/>
  <c r="C6215" i="2"/>
  <c r="G6215" i="2" s="1"/>
  <c r="C6233" i="2"/>
  <c r="G6233" i="2" s="1"/>
  <c r="C6236" i="2"/>
  <c r="G6236" i="2" s="1"/>
  <c r="C6251" i="2"/>
  <c r="G6251" i="2" s="1"/>
  <c r="C6255" i="2"/>
  <c r="G6255" i="2" s="1"/>
  <c r="C6262" i="2"/>
  <c r="G6262" i="2" s="1"/>
  <c r="C6273" i="2"/>
  <c r="G6273" i="2" s="1"/>
  <c r="C6287" i="2"/>
  <c r="G6287" i="2" s="1"/>
  <c r="C6294" i="2"/>
  <c r="G6294" i="2" s="1"/>
  <c r="C6301" i="2"/>
  <c r="G6301" i="2" s="1"/>
  <c r="C6308" i="2"/>
  <c r="G6308" i="2" s="1"/>
  <c r="C6326" i="2"/>
  <c r="G6326" i="2" s="1"/>
  <c r="C6369" i="2"/>
  <c r="G6369" i="2" s="1"/>
  <c r="C6390" i="2"/>
  <c r="G6390" i="2" s="1"/>
  <c r="C6409" i="2"/>
  <c r="G6409" i="2" s="1"/>
  <c r="C6416" i="2"/>
  <c r="G6416" i="2" s="1"/>
  <c r="C6423" i="2"/>
  <c r="G6423" i="2" s="1"/>
  <c r="C6440" i="2"/>
  <c r="G6440" i="2" s="1"/>
  <c r="C6496" i="2"/>
  <c r="G6496" i="2" s="1"/>
  <c r="C6499" i="2"/>
  <c r="G6499" i="2" s="1"/>
  <c r="C6502" i="2"/>
  <c r="G6502" i="2" s="1"/>
  <c r="C6506" i="2"/>
  <c r="G6506" i="2" s="1"/>
  <c r="C6510" i="2"/>
  <c r="G6510" i="2" s="1"/>
  <c r="C6530" i="2"/>
  <c r="G6530" i="2" s="1"/>
  <c r="C6540" i="2"/>
  <c r="G6540" i="2" s="1"/>
  <c r="C6543" i="2"/>
  <c r="G6543" i="2" s="1"/>
  <c r="C6546" i="2"/>
  <c r="G6546" i="2" s="1"/>
  <c r="C6586" i="2"/>
  <c r="G6586" i="2" s="1"/>
  <c r="C6602" i="2"/>
  <c r="G6602" i="2" s="1"/>
  <c r="C6612" i="2"/>
  <c r="G6612" i="2" s="1"/>
  <c r="C6622" i="2"/>
  <c r="G6622" i="2" s="1"/>
  <c r="C6625" i="2"/>
  <c r="G6625" i="2" s="1"/>
  <c r="C6649" i="2"/>
  <c r="G6649" i="2" s="1"/>
  <c r="C6682" i="2"/>
  <c r="G6682" i="2" s="1"/>
  <c r="C6692" i="2"/>
  <c r="G6692" i="2" s="1"/>
  <c r="C6695" i="2"/>
  <c r="G6695" i="2" s="1"/>
  <c r="C6715" i="2"/>
  <c r="G6715" i="2" s="1"/>
  <c r="C6748" i="2"/>
  <c r="G6748" i="2" s="1"/>
  <c r="C6751" i="2"/>
  <c r="G6751" i="2" s="1"/>
  <c r="C6778" i="2"/>
  <c r="G6778" i="2" s="1"/>
  <c r="C6791" i="2"/>
  <c r="G6791" i="2" s="1"/>
  <c r="C6811" i="2"/>
  <c r="G6811" i="2" s="1"/>
  <c r="C6828" i="2"/>
  <c r="G6828" i="2" s="1"/>
  <c r="C6831" i="2"/>
  <c r="G6831" i="2" s="1"/>
  <c r="C6834" i="2"/>
  <c r="G6834" i="2" s="1"/>
  <c r="C6851" i="2"/>
  <c r="G6851" i="2" s="1"/>
  <c r="C6858" i="2"/>
  <c r="G6858" i="2" s="1"/>
  <c r="C6868" i="2"/>
  <c r="G6868" i="2" s="1"/>
  <c r="C6871" i="2"/>
  <c r="G6871" i="2" s="1"/>
  <c r="C6908" i="2"/>
  <c r="G6908" i="2" s="1"/>
  <c r="C6911" i="2"/>
  <c r="G6911" i="2" s="1"/>
  <c r="C6914" i="2"/>
  <c r="G6914" i="2" s="1"/>
  <c r="C6947" i="2"/>
  <c r="G6947" i="2" s="1"/>
  <c r="C6954" i="2"/>
  <c r="G6954" i="2" s="1"/>
  <c r="C6964" i="2"/>
  <c r="G6964" i="2" s="1"/>
  <c r="C6967" i="2"/>
  <c r="G6967" i="2" s="1"/>
  <c r="C7004" i="2"/>
  <c r="G7004" i="2" s="1"/>
  <c r="C7007" i="2"/>
  <c r="G7007" i="2" s="1"/>
  <c r="C7010" i="2"/>
  <c r="G7010" i="2" s="1"/>
  <c r="C7084" i="2"/>
  <c r="G7084" i="2" s="1"/>
  <c r="C7098" i="2"/>
  <c r="G7098" i="2" s="1"/>
  <c r="C7118" i="2"/>
  <c r="G7118" i="2" s="1"/>
  <c r="C7146" i="2"/>
  <c r="G7146" i="2" s="1"/>
  <c r="C7160" i="2"/>
  <c r="G7160" i="2" s="1"/>
  <c r="C7164" i="2"/>
  <c r="G7164" i="2" s="1"/>
  <c r="C7171" i="2"/>
  <c r="G7171" i="2" s="1"/>
  <c r="C7181" i="2"/>
  <c r="G7181" i="2" s="1"/>
  <c r="C7259" i="2"/>
  <c r="G7259" i="2" s="1"/>
  <c r="C7314" i="2"/>
  <c r="G7314" i="2" s="1"/>
  <c r="C7366" i="2"/>
  <c r="G7366" i="2" s="1"/>
  <c r="C7515" i="2"/>
  <c r="G7515" i="2" s="1"/>
  <c r="C7584" i="2"/>
  <c r="G7584" i="2" s="1"/>
  <c r="C6093" i="2"/>
  <c r="G6093" i="2" s="1"/>
  <c r="C6108" i="2"/>
  <c r="G6108" i="2" s="1"/>
  <c r="C6140" i="2"/>
  <c r="G6140" i="2" s="1"/>
  <c r="C6172" i="2"/>
  <c r="G6172" i="2" s="1"/>
  <c r="C6204" i="2"/>
  <c r="G6204" i="2" s="1"/>
  <c r="C6237" i="2"/>
  <c r="G6237" i="2" s="1"/>
  <c r="C6244" i="2"/>
  <c r="G6244" i="2" s="1"/>
  <c r="C6309" i="2"/>
  <c r="G6309" i="2" s="1"/>
  <c r="C6380" i="2"/>
  <c r="G6380" i="2" s="1"/>
  <c r="C6420" i="2"/>
  <c r="G6420" i="2" s="1"/>
  <c r="C6489" i="2"/>
  <c r="G6489" i="2" s="1"/>
  <c r="C6517" i="2"/>
  <c r="G6517" i="2" s="1"/>
  <c r="C6568" i="2"/>
  <c r="G6568" i="2" s="1"/>
  <c r="C6841" i="2"/>
  <c r="G6841" i="2" s="1"/>
  <c r="C6921" i="2"/>
  <c r="G6921" i="2" s="1"/>
  <c r="C7017" i="2"/>
  <c r="G7017" i="2" s="1"/>
  <c r="C7126" i="2"/>
  <c r="G7126" i="2" s="1"/>
  <c r="C7150" i="2"/>
  <c r="G7150" i="2" s="1"/>
  <c r="C7203" i="2"/>
  <c r="G7203" i="2" s="1"/>
  <c r="C7234" i="2"/>
  <c r="G7234" i="2" s="1"/>
  <c r="C7256" i="2"/>
  <c r="G7256" i="2" s="1"/>
  <c r="C7260" i="2"/>
  <c r="G7260" i="2" s="1"/>
  <c r="C7271" i="2"/>
  <c r="G7271" i="2" s="1"/>
  <c r="C7311" i="2"/>
  <c r="G7311" i="2" s="1"/>
  <c r="C7359" i="2"/>
  <c r="G7359" i="2" s="1"/>
  <c r="C6028" i="2"/>
  <c r="G6028" i="2" s="1"/>
  <c r="C6068" i="2"/>
  <c r="G6068" i="2" s="1"/>
  <c r="C6101" i="2"/>
  <c r="G6101" i="2" s="1"/>
  <c r="C6116" i="2"/>
  <c r="G6116" i="2" s="1"/>
  <c r="C6148" i="2"/>
  <c r="G6148" i="2" s="1"/>
  <c r="C6180" i="2"/>
  <c r="G6180" i="2" s="1"/>
  <c r="C6212" i="2"/>
  <c r="G6212" i="2" s="1"/>
  <c r="C6252" i="2"/>
  <c r="G6252" i="2" s="1"/>
  <c r="C6277" i="2"/>
  <c r="G6277" i="2" s="1"/>
  <c r="C6284" i="2"/>
  <c r="G6284" i="2" s="1"/>
  <c r="C6413" i="2"/>
  <c r="G6413" i="2" s="1"/>
  <c r="C6493" i="2"/>
  <c r="G6493" i="2" s="1"/>
  <c r="C6503" i="2"/>
  <c r="G6503" i="2" s="1"/>
  <c r="C6521" i="2"/>
  <c r="G6521" i="2" s="1"/>
  <c r="C6561" i="2"/>
  <c r="G6561" i="2" s="1"/>
  <c r="C6572" i="2"/>
  <c r="G6572" i="2" s="1"/>
  <c r="C6593" i="2"/>
  <c r="G6593" i="2" s="1"/>
  <c r="C6616" i="2"/>
  <c r="G6616" i="2" s="1"/>
  <c r="C6745" i="2"/>
  <c r="G6745" i="2" s="1"/>
  <c r="C6825" i="2"/>
  <c r="G6825" i="2" s="1"/>
  <c r="C6905" i="2"/>
  <c r="G6905" i="2" s="1"/>
  <c r="C7001" i="2"/>
  <c r="G7001" i="2" s="1"/>
  <c r="C7308" i="2"/>
  <c r="G7308" i="2" s="1"/>
  <c r="C5965" i="2"/>
  <c r="G5965" i="2" s="1"/>
  <c r="C5972" i="2"/>
  <c r="G5972" i="2" s="1"/>
  <c r="C5983" i="2"/>
  <c r="G5983" i="2" s="1"/>
  <c r="C5990" i="2"/>
  <c r="G5990" i="2" s="1"/>
  <c r="C5997" i="2"/>
  <c r="G5997" i="2" s="1"/>
  <c r="C6015" i="2"/>
  <c r="G6015" i="2" s="1"/>
  <c r="C6022" i="2"/>
  <c r="G6022" i="2" s="1"/>
  <c r="C6033" i="2"/>
  <c r="G6033" i="2" s="1"/>
  <c r="C6036" i="2"/>
  <c r="G6036" i="2" s="1"/>
  <c r="C6051" i="2"/>
  <c r="G6051" i="2" s="1"/>
  <c r="C6055" i="2"/>
  <c r="G6055" i="2" s="1"/>
  <c r="C6080" i="2"/>
  <c r="G6080" i="2" s="1"/>
  <c r="C6102" i="2"/>
  <c r="G6102" i="2" s="1"/>
  <c r="C6109" i="2"/>
  <c r="G6109" i="2" s="1"/>
  <c r="C6121" i="2"/>
  <c r="G6121" i="2" s="1"/>
  <c r="C6128" i="2"/>
  <c r="G6128" i="2" s="1"/>
  <c r="C6135" i="2"/>
  <c r="G6135" i="2" s="1"/>
  <c r="C6141" i="2"/>
  <c r="G6141" i="2" s="1"/>
  <c r="C6159" i="2"/>
  <c r="G6159" i="2" s="1"/>
  <c r="C6173" i="2"/>
  <c r="G6173" i="2" s="1"/>
  <c r="C6195" i="2"/>
  <c r="G6195" i="2" s="1"/>
  <c r="C6199" i="2"/>
  <c r="G6199" i="2" s="1"/>
  <c r="C6205" i="2"/>
  <c r="G6205" i="2" s="1"/>
  <c r="C6217" i="2"/>
  <c r="G6217" i="2" s="1"/>
  <c r="C6224" i="2"/>
  <c r="G6224" i="2" s="1"/>
  <c r="C6231" i="2"/>
  <c r="G6231" i="2" s="1"/>
  <c r="C6245" i="2"/>
  <c r="G6245" i="2" s="1"/>
  <c r="C6257" i="2"/>
  <c r="G6257" i="2" s="1"/>
  <c r="C6260" i="2"/>
  <c r="G6260" i="2" s="1"/>
  <c r="C6264" i="2"/>
  <c r="G6264" i="2" s="1"/>
  <c r="C6271" i="2"/>
  <c r="G6271" i="2" s="1"/>
  <c r="C6289" i="2"/>
  <c r="G6289" i="2" s="1"/>
  <c r="C6292" i="2"/>
  <c r="G6292" i="2" s="1"/>
  <c r="C6324" i="2"/>
  <c r="G6324" i="2" s="1"/>
  <c r="C6328" i="2"/>
  <c r="G6328" i="2" s="1"/>
  <c r="C6348" i="2"/>
  <c r="G6348" i="2" s="1"/>
  <c r="C6363" i="2"/>
  <c r="G6363" i="2" s="1"/>
  <c r="C6367" i="2"/>
  <c r="G6367" i="2" s="1"/>
  <c r="C6381" i="2"/>
  <c r="G6381" i="2" s="1"/>
  <c r="C6388" i="2"/>
  <c r="G6388" i="2" s="1"/>
  <c r="C6392" i="2"/>
  <c r="G6392" i="2" s="1"/>
  <c r="C6403" i="2"/>
  <c r="G6403" i="2" s="1"/>
  <c r="C6407" i="2"/>
  <c r="G6407" i="2" s="1"/>
  <c r="C6425" i="2"/>
  <c r="G6425" i="2" s="1"/>
  <c r="C6428" i="2"/>
  <c r="G6428" i="2" s="1"/>
  <c r="C6460" i="2"/>
  <c r="G6460" i="2" s="1"/>
  <c r="C6463" i="2"/>
  <c r="G6463" i="2" s="1"/>
  <c r="C6470" i="2"/>
  <c r="G6470" i="2" s="1"/>
  <c r="C6480" i="2"/>
  <c r="G6480" i="2" s="1"/>
  <c r="C6494" i="2"/>
  <c r="G6494" i="2" s="1"/>
  <c r="C6508" i="2"/>
  <c r="G6508" i="2" s="1"/>
  <c r="C6514" i="2"/>
  <c r="G6514" i="2" s="1"/>
  <c r="C6538" i="2"/>
  <c r="G6538" i="2" s="1"/>
  <c r="C6548" i="2"/>
  <c r="G6548" i="2" s="1"/>
  <c r="C6562" i="2"/>
  <c r="G6562" i="2" s="1"/>
  <c r="C6576" i="2"/>
  <c r="G6576" i="2" s="1"/>
  <c r="C6594" i="2"/>
  <c r="G6594" i="2" s="1"/>
  <c r="C6607" i="2"/>
  <c r="G6607" i="2" s="1"/>
  <c r="C6610" i="2"/>
  <c r="G6610" i="2" s="1"/>
  <c r="C6631" i="2"/>
  <c r="G6631" i="2" s="1"/>
  <c r="C6634" i="2"/>
  <c r="G6634" i="2" s="1"/>
  <c r="C6657" i="2"/>
  <c r="G6657" i="2" s="1"/>
  <c r="C6684" i="2"/>
  <c r="G6684" i="2" s="1"/>
  <c r="C6687" i="2"/>
  <c r="G6687" i="2" s="1"/>
  <c r="C6690" i="2"/>
  <c r="G6690" i="2" s="1"/>
  <c r="C6723" i="2"/>
  <c r="G6723" i="2" s="1"/>
  <c r="C6729" i="2"/>
  <c r="G6729" i="2" s="1"/>
  <c r="C6746" i="2"/>
  <c r="G6746" i="2" s="1"/>
  <c r="C6763" i="2"/>
  <c r="G6763" i="2" s="1"/>
  <c r="C6780" i="2"/>
  <c r="G6780" i="2" s="1"/>
  <c r="C6783" i="2"/>
  <c r="G6783" i="2" s="1"/>
  <c r="C6786" i="2"/>
  <c r="G6786" i="2" s="1"/>
  <c r="C6819" i="2"/>
  <c r="G6819" i="2" s="1"/>
  <c r="C6826" i="2"/>
  <c r="G6826" i="2" s="1"/>
  <c r="C6836" i="2"/>
  <c r="G6836" i="2" s="1"/>
  <c r="C6839" i="2"/>
  <c r="G6839" i="2" s="1"/>
  <c r="C6860" i="2"/>
  <c r="G6860" i="2" s="1"/>
  <c r="C6863" i="2"/>
  <c r="G6863" i="2" s="1"/>
  <c r="C6866" i="2"/>
  <c r="G6866" i="2" s="1"/>
  <c r="C6889" i="2"/>
  <c r="G6889" i="2" s="1"/>
  <c r="C6906" i="2"/>
  <c r="G6906" i="2" s="1"/>
  <c r="C6916" i="2"/>
  <c r="G6916" i="2" s="1"/>
  <c r="C6919" i="2"/>
  <c r="G6919" i="2" s="1"/>
  <c r="C6939" i="2"/>
  <c r="G6939" i="2" s="1"/>
  <c r="C6956" i="2"/>
  <c r="G6956" i="2" s="1"/>
  <c r="C6959" i="2"/>
  <c r="G6959" i="2" s="1"/>
  <c r="C6962" i="2"/>
  <c r="G6962" i="2" s="1"/>
  <c r="C6979" i="2"/>
  <c r="G6979" i="2" s="1"/>
  <c r="C6985" i="2"/>
  <c r="G6985" i="2" s="1"/>
  <c r="C7002" i="2"/>
  <c r="G7002" i="2" s="1"/>
  <c r="C7012" i="2"/>
  <c r="G7012" i="2" s="1"/>
  <c r="C7015" i="2"/>
  <c r="G7015" i="2" s="1"/>
  <c r="C7086" i="2"/>
  <c r="G7086" i="2" s="1"/>
  <c r="C7204" i="2"/>
  <c r="G7204" i="2" s="1"/>
  <c r="C7211" i="2"/>
  <c r="G7211" i="2" s="1"/>
  <c r="C7235" i="2"/>
  <c r="G7235" i="2" s="1"/>
  <c r="C7246" i="2"/>
  <c r="G7246" i="2" s="1"/>
  <c r="C7261" i="2"/>
  <c r="G7261" i="2" s="1"/>
  <c r="C7272" i="2"/>
  <c r="G7272" i="2" s="1"/>
  <c r="C7276" i="2"/>
  <c r="G7276" i="2" s="1"/>
  <c r="C7283" i="2"/>
  <c r="G7283" i="2" s="1"/>
  <c r="C7301" i="2"/>
  <c r="G7301" i="2" s="1"/>
  <c r="C7389" i="2"/>
  <c r="G7389" i="2" s="1"/>
  <c r="C7691" i="2"/>
  <c r="G7691" i="2" s="1"/>
  <c r="C7811" i="2"/>
  <c r="G7811" i="2" s="1"/>
  <c r="C6088" i="2"/>
  <c r="G6088" i="2" s="1"/>
  <c r="C6095" i="2"/>
  <c r="G6095" i="2" s="1"/>
  <c r="C6110" i="2"/>
  <c r="G6110" i="2" s="1"/>
  <c r="C6142" i="2"/>
  <c r="G6142" i="2" s="1"/>
  <c r="C6163" i="2"/>
  <c r="G6163" i="2" s="1"/>
  <c r="C6167" i="2"/>
  <c r="G6167" i="2" s="1"/>
  <c r="C6174" i="2"/>
  <c r="G6174" i="2" s="1"/>
  <c r="C6192" i="2"/>
  <c r="G6192" i="2" s="1"/>
  <c r="C6235" i="2"/>
  <c r="G6235" i="2" s="1"/>
  <c r="C6239" i="2"/>
  <c r="G6239" i="2" s="1"/>
  <c r="C6304" i="2"/>
  <c r="G6304" i="2" s="1"/>
  <c r="C6311" i="2"/>
  <c r="G6311" i="2" s="1"/>
  <c r="C6318" i="2"/>
  <c r="G6318" i="2" s="1"/>
  <c r="C6335" i="2"/>
  <c r="G6335" i="2" s="1"/>
  <c r="C6353" i="2"/>
  <c r="G6353" i="2" s="1"/>
  <c r="C6360" i="2"/>
  <c r="G6360" i="2" s="1"/>
  <c r="C6382" i="2"/>
  <c r="G6382" i="2" s="1"/>
  <c r="C6400" i="2"/>
  <c r="G6400" i="2" s="1"/>
  <c r="C6436" i="2"/>
  <c r="G6436" i="2" s="1"/>
  <c r="C6467" i="2"/>
  <c r="G6467" i="2" s="1"/>
  <c r="C6477" i="2"/>
  <c r="G6477" i="2" s="1"/>
  <c r="C6484" i="2"/>
  <c r="G6484" i="2" s="1"/>
  <c r="C6559" i="2"/>
  <c r="G6559" i="2" s="1"/>
  <c r="C6566" i="2"/>
  <c r="G6566" i="2" s="1"/>
  <c r="C6638" i="2"/>
  <c r="G6638" i="2" s="1"/>
  <c r="C6658" i="2"/>
  <c r="G6658" i="2" s="1"/>
  <c r="C6671" i="2"/>
  <c r="G6671" i="2" s="1"/>
  <c r="C6674" i="2"/>
  <c r="G6674" i="2" s="1"/>
  <c r="C6707" i="2"/>
  <c r="G6707" i="2" s="1"/>
  <c r="C6730" i="2"/>
  <c r="G6730" i="2" s="1"/>
  <c r="C6740" i="2"/>
  <c r="G6740" i="2" s="1"/>
  <c r="C6767" i="2"/>
  <c r="G6767" i="2" s="1"/>
  <c r="C6770" i="2"/>
  <c r="G6770" i="2" s="1"/>
  <c r="C6843" i="2"/>
  <c r="G6843" i="2" s="1"/>
  <c r="C6883" i="2"/>
  <c r="G6883" i="2" s="1"/>
  <c r="C6890" i="2"/>
  <c r="G6890" i="2" s="1"/>
  <c r="C6900" i="2"/>
  <c r="G6900" i="2" s="1"/>
  <c r="C6903" i="2"/>
  <c r="G6903" i="2" s="1"/>
  <c r="C6923" i="2"/>
  <c r="G6923" i="2" s="1"/>
  <c r="C6986" i="2"/>
  <c r="G6986" i="2" s="1"/>
  <c r="C6996" i="2"/>
  <c r="G6996" i="2" s="1"/>
  <c r="C6999" i="2"/>
  <c r="G6999" i="2" s="1"/>
  <c r="C7019" i="2"/>
  <c r="G7019" i="2" s="1"/>
  <c r="C7035" i="2"/>
  <c r="G7035" i="2" s="1"/>
  <c r="C7051" i="2"/>
  <c r="G7051" i="2" s="1"/>
  <c r="C7067" i="2"/>
  <c r="G7067" i="2" s="1"/>
  <c r="C7087" i="2"/>
  <c r="G7087" i="2" s="1"/>
  <c r="C7101" i="2"/>
  <c r="G7101" i="2" s="1"/>
  <c r="C7104" i="2"/>
  <c r="G7104" i="2" s="1"/>
  <c r="C7128" i="2"/>
  <c r="G7128" i="2" s="1"/>
  <c r="C7138" i="2"/>
  <c r="G7138" i="2" s="1"/>
  <c r="C7187" i="2"/>
  <c r="G7187" i="2" s="1"/>
  <c r="C7218" i="2"/>
  <c r="G7218" i="2" s="1"/>
  <c r="C7239" i="2"/>
  <c r="G7239" i="2" s="1"/>
  <c r="C7254" i="2"/>
  <c r="G7254" i="2" s="1"/>
  <c r="C7269" i="2"/>
  <c r="G7269" i="2" s="1"/>
  <c r="C7309" i="2"/>
  <c r="G7309" i="2" s="1"/>
  <c r="C7339" i="2"/>
  <c r="G7339" i="2" s="1"/>
  <c r="C7346" i="2"/>
  <c r="G7346" i="2" s="1"/>
  <c r="C7357" i="2"/>
  <c r="G7357" i="2" s="1"/>
  <c r="C7491" i="2"/>
  <c r="G7491" i="2" s="1"/>
  <c r="C6160" i="2"/>
  <c r="G6160" i="2" s="1"/>
  <c r="C6182" i="2"/>
  <c r="G6182" i="2" s="1"/>
  <c r="C6214" i="2"/>
  <c r="G6214" i="2" s="1"/>
  <c r="C6225" i="2"/>
  <c r="G6225" i="2" s="1"/>
  <c r="C6232" i="2"/>
  <c r="G6232" i="2" s="1"/>
  <c r="C6254" i="2"/>
  <c r="G6254" i="2" s="1"/>
  <c r="C6265" i="2"/>
  <c r="G6265" i="2" s="1"/>
  <c r="C6272" i="2"/>
  <c r="G6272" i="2" s="1"/>
  <c r="C6279" i="2"/>
  <c r="G6279" i="2" s="1"/>
  <c r="C6297" i="2"/>
  <c r="G6297" i="2" s="1"/>
  <c r="C6315" i="2"/>
  <c r="G6315" i="2" s="1"/>
  <c r="C6329" i="2"/>
  <c r="G6329" i="2" s="1"/>
  <c r="C6339" i="2"/>
  <c r="G6339" i="2" s="1"/>
  <c r="C6375" i="2"/>
  <c r="G6375" i="2" s="1"/>
  <c r="C6393" i="2"/>
  <c r="G6393" i="2" s="1"/>
  <c r="C6415" i="2"/>
  <c r="G6415" i="2" s="1"/>
  <c r="C6422" i="2"/>
  <c r="G6422" i="2" s="1"/>
  <c r="C6471" i="2"/>
  <c r="G6471" i="2" s="1"/>
  <c r="C6474" i="2"/>
  <c r="G6474" i="2" s="1"/>
  <c r="C6495" i="2"/>
  <c r="G6495" i="2" s="1"/>
  <c r="C6509" i="2"/>
  <c r="G6509" i="2" s="1"/>
  <c r="C6563" i="2"/>
  <c r="G6563" i="2" s="1"/>
  <c r="C6570" i="2"/>
  <c r="G6570" i="2" s="1"/>
  <c r="C6595" i="2"/>
  <c r="G6595" i="2" s="1"/>
  <c r="C6598" i="2"/>
  <c r="G6598" i="2" s="1"/>
  <c r="C6611" i="2"/>
  <c r="G6611" i="2" s="1"/>
  <c r="C6642" i="2"/>
  <c r="G6642" i="2" s="1"/>
  <c r="C6691" i="2"/>
  <c r="G6691" i="2" s="1"/>
  <c r="C6714" i="2"/>
  <c r="G6714" i="2" s="1"/>
  <c r="C6727" i="2"/>
  <c r="G6727" i="2" s="1"/>
  <c r="C6747" i="2"/>
  <c r="G6747" i="2" s="1"/>
  <c r="C6764" i="2"/>
  <c r="G6764" i="2" s="1"/>
  <c r="C6787" i="2"/>
  <c r="G6787" i="2" s="1"/>
  <c r="C6810" i="2"/>
  <c r="G6810" i="2" s="1"/>
  <c r="C6820" i="2"/>
  <c r="G6820" i="2" s="1"/>
  <c r="C6823" i="2"/>
  <c r="G6823" i="2" s="1"/>
  <c r="C6827" i="2"/>
  <c r="G6827" i="2" s="1"/>
  <c r="C6847" i="2"/>
  <c r="G6847" i="2" s="1"/>
  <c r="C6850" i="2"/>
  <c r="G6850" i="2" s="1"/>
  <c r="C6867" i="2"/>
  <c r="G6867" i="2" s="1"/>
  <c r="C6907" i="2"/>
  <c r="G6907" i="2" s="1"/>
  <c r="C6940" i="2"/>
  <c r="G6940" i="2" s="1"/>
  <c r="C6943" i="2"/>
  <c r="G6943" i="2" s="1"/>
  <c r="C6946" i="2"/>
  <c r="G6946" i="2" s="1"/>
  <c r="C6980" i="2"/>
  <c r="G6980" i="2" s="1"/>
  <c r="C6983" i="2"/>
  <c r="G6983" i="2" s="1"/>
  <c r="C7347" i="2"/>
  <c r="G7347" i="2" s="1"/>
  <c r="C7390" i="2"/>
  <c r="G7390" i="2" s="1"/>
  <c r="C7394" i="2"/>
  <c r="G7394" i="2" s="1"/>
  <c r="C7400" i="2"/>
  <c r="G7400" i="2" s="1"/>
  <c r="C7404" i="2"/>
  <c r="G7404" i="2" s="1"/>
  <c r="C7445" i="2"/>
  <c r="G7445" i="2" s="1"/>
  <c r="C7482" i="2"/>
  <c r="G7482" i="2" s="1"/>
  <c r="C7499" i="2"/>
  <c r="G7499" i="2" s="1"/>
  <c r="C7523" i="2"/>
  <c r="G7523" i="2" s="1"/>
  <c r="C7533" i="2"/>
  <c r="G7533" i="2" s="1"/>
  <c r="C7547" i="2"/>
  <c r="G7547" i="2" s="1"/>
  <c r="C7567" i="2"/>
  <c r="G7567" i="2" s="1"/>
  <c r="C7597" i="2"/>
  <c r="G7597" i="2" s="1"/>
  <c r="C7617" i="2"/>
  <c r="G7617" i="2" s="1"/>
  <c r="C7621" i="2"/>
  <c r="G7621" i="2" s="1"/>
  <c r="C7642" i="2"/>
  <c r="G7642" i="2" s="1"/>
  <c r="C7666" i="2"/>
  <c r="G7666" i="2" s="1"/>
  <c r="C7674" i="2"/>
  <c r="G7674" i="2" s="1"/>
  <c r="C7677" i="2"/>
  <c r="G7677" i="2" s="1"/>
  <c r="C7684" i="2"/>
  <c r="G7684" i="2" s="1"/>
  <c r="C7688" i="2"/>
  <c r="G7688" i="2" s="1"/>
  <c r="C7710" i="2"/>
  <c r="G7710" i="2" s="1"/>
  <c r="C7722" i="2"/>
  <c r="G7722" i="2" s="1"/>
  <c r="C7726" i="2"/>
  <c r="G7726" i="2" s="1"/>
  <c r="C7785" i="2"/>
  <c r="G7785" i="2" s="1"/>
  <c r="C7789" i="2"/>
  <c r="G7789" i="2" s="1"/>
  <c r="C7804" i="2"/>
  <c r="G7804" i="2" s="1"/>
  <c r="C7808" i="2"/>
  <c r="G7808" i="2" s="1"/>
  <c r="C7815" i="2"/>
  <c r="G7815" i="2" s="1"/>
  <c r="C8028" i="2"/>
  <c r="G8028" i="2" s="1"/>
  <c r="C8153" i="2"/>
  <c r="G8153" i="2" s="1"/>
  <c r="C8157" i="2"/>
  <c r="G8157" i="2" s="1"/>
  <c r="C8223" i="2"/>
  <c r="G8223" i="2" s="1"/>
  <c r="C8278" i="2"/>
  <c r="G8278" i="2" s="1"/>
  <c r="C8348" i="2"/>
  <c r="G8348" i="2" s="1"/>
  <c r="C7250" i="2"/>
  <c r="G7250" i="2" s="1"/>
  <c r="C7285" i="2"/>
  <c r="G7285" i="2" s="1"/>
  <c r="C7288" i="2"/>
  <c r="G7288" i="2" s="1"/>
  <c r="C7292" i="2"/>
  <c r="G7292" i="2" s="1"/>
  <c r="C7299" i="2"/>
  <c r="G7299" i="2" s="1"/>
  <c r="C7371" i="2"/>
  <c r="G7371" i="2" s="1"/>
  <c r="C7395" i="2"/>
  <c r="G7395" i="2" s="1"/>
  <c r="C7405" i="2"/>
  <c r="G7405" i="2" s="1"/>
  <c r="C7414" i="2"/>
  <c r="G7414" i="2" s="1"/>
  <c r="C7431" i="2"/>
  <c r="G7431" i="2" s="1"/>
  <c r="C7446" i="2"/>
  <c r="G7446" i="2" s="1"/>
  <c r="C7455" i="2"/>
  <c r="G7455" i="2" s="1"/>
  <c r="C7483" i="2"/>
  <c r="G7483" i="2" s="1"/>
  <c r="C7496" i="2"/>
  <c r="G7496" i="2" s="1"/>
  <c r="C7506" i="2"/>
  <c r="G7506" i="2" s="1"/>
  <c r="C7520" i="2"/>
  <c r="G7520" i="2" s="1"/>
  <c r="C7524" i="2"/>
  <c r="G7524" i="2" s="1"/>
  <c r="C7534" i="2"/>
  <c r="G7534" i="2" s="1"/>
  <c r="C7544" i="2"/>
  <c r="G7544" i="2" s="1"/>
  <c r="C7548" i="2"/>
  <c r="G7548" i="2" s="1"/>
  <c r="C7557" i="2"/>
  <c r="G7557" i="2" s="1"/>
  <c r="C7572" i="2"/>
  <c r="G7572" i="2" s="1"/>
  <c r="C7618" i="2"/>
  <c r="G7618" i="2" s="1"/>
  <c r="C7622" i="2"/>
  <c r="G7622" i="2" s="1"/>
  <c r="C7635" i="2"/>
  <c r="G7635" i="2" s="1"/>
  <c r="C7639" i="2"/>
  <c r="G7639" i="2" s="1"/>
  <c r="C7663" i="2"/>
  <c r="G7663" i="2" s="1"/>
  <c r="C7696" i="2"/>
  <c r="G7696" i="2" s="1"/>
  <c r="C7723" i="2"/>
  <c r="G7723" i="2" s="1"/>
  <c r="C7930" i="2"/>
  <c r="G7930" i="2" s="1"/>
  <c r="C8010" i="2"/>
  <c r="G8010" i="2" s="1"/>
  <c r="C8083" i="2"/>
  <c r="G8083" i="2" s="1"/>
  <c r="C8209" i="2"/>
  <c r="G8209" i="2" s="1"/>
  <c r="C8271" i="2"/>
  <c r="G8271" i="2" s="1"/>
  <c r="C8334" i="2"/>
  <c r="G8334" i="2" s="1"/>
  <c r="C8338" i="2"/>
  <c r="G8338" i="2" s="1"/>
  <c r="C8616" i="2"/>
  <c r="G8616" i="2" s="1"/>
  <c r="C8705" i="2"/>
  <c r="G8705" i="2" s="1"/>
  <c r="C8709" i="2"/>
  <c r="G8709" i="2" s="1"/>
  <c r="C7107" i="2"/>
  <c r="G7107" i="2" s="1"/>
  <c r="C7114" i="2"/>
  <c r="G7114" i="2" s="1"/>
  <c r="C7124" i="2"/>
  <c r="G7124" i="2" s="1"/>
  <c r="C7137" i="2"/>
  <c r="G7137" i="2" s="1"/>
  <c r="C7189" i="2"/>
  <c r="G7189" i="2" s="1"/>
  <c r="C7192" i="2"/>
  <c r="G7192" i="2" s="1"/>
  <c r="C7196" i="2"/>
  <c r="G7196" i="2" s="1"/>
  <c r="C7220" i="2"/>
  <c r="G7220" i="2" s="1"/>
  <c r="C7227" i="2"/>
  <c r="G7227" i="2" s="1"/>
  <c r="C7251" i="2"/>
  <c r="G7251" i="2" s="1"/>
  <c r="C7282" i="2"/>
  <c r="G7282" i="2" s="1"/>
  <c r="C7300" i="2"/>
  <c r="G7300" i="2" s="1"/>
  <c r="C7307" i="2"/>
  <c r="G7307" i="2" s="1"/>
  <c r="C7345" i="2"/>
  <c r="G7345" i="2" s="1"/>
  <c r="C7365" i="2"/>
  <c r="G7365" i="2" s="1"/>
  <c r="C7368" i="2"/>
  <c r="G7368" i="2" s="1"/>
  <c r="C7378" i="2"/>
  <c r="G7378" i="2" s="1"/>
  <c r="C7396" i="2"/>
  <c r="G7396" i="2" s="1"/>
  <c r="C7406" i="2"/>
  <c r="G7406" i="2" s="1"/>
  <c r="C7409" i="2"/>
  <c r="G7409" i="2" s="1"/>
  <c r="C7415" i="2"/>
  <c r="G7415" i="2" s="1"/>
  <c r="C7480" i="2"/>
  <c r="G7480" i="2" s="1"/>
  <c r="C7484" i="2"/>
  <c r="G7484" i="2" s="1"/>
  <c r="C7497" i="2"/>
  <c r="G7497" i="2" s="1"/>
  <c r="C7503" i="2"/>
  <c r="G7503" i="2" s="1"/>
  <c r="C7521" i="2"/>
  <c r="G7521" i="2" s="1"/>
  <c r="C7545" i="2"/>
  <c r="G7545" i="2" s="1"/>
  <c r="C7549" i="2"/>
  <c r="G7549" i="2" s="1"/>
  <c r="C7558" i="2"/>
  <c r="G7558" i="2" s="1"/>
  <c r="C7569" i="2"/>
  <c r="G7569" i="2" s="1"/>
  <c r="C7573" i="2"/>
  <c r="G7573" i="2" s="1"/>
  <c r="C7611" i="2"/>
  <c r="G7611" i="2" s="1"/>
  <c r="C7654" i="2"/>
  <c r="G7654" i="2" s="1"/>
  <c r="C7658" i="2"/>
  <c r="G7658" i="2" s="1"/>
  <c r="C7661" i="2"/>
  <c r="G7661" i="2" s="1"/>
  <c r="C7672" i="2"/>
  <c r="G7672" i="2" s="1"/>
  <c r="C7697" i="2"/>
  <c r="G7697" i="2" s="1"/>
  <c r="C7701" i="2"/>
  <c r="G7701" i="2" s="1"/>
  <c r="C7712" i="2"/>
  <c r="G7712" i="2" s="1"/>
  <c r="C7724" i="2"/>
  <c r="G7724" i="2" s="1"/>
  <c r="C7757" i="2"/>
  <c r="G7757" i="2" s="1"/>
  <c r="C7764" i="2"/>
  <c r="G7764" i="2" s="1"/>
  <c r="C7768" i="2"/>
  <c r="G7768" i="2" s="1"/>
  <c r="C7775" i="2"/>
  <c r="G7775" i="2" s="1"/>
  <c r="C7829" i="2"/>
  <c r="G7829" i="2" s="1"/>
  <c r="C7840" i="2"/>
  <c r="G7840" i="2" s="1"/>
  <c r="C7847" i="2"/>
  <c r="G7847" i="2" s="1"/>
  <c r="C7912" i="2"/>
  <c r="G7912" i="2" s="1"/>
  <c r="C7919" i="2"/>
  <c r="G7919" i="2" s="1"/>
  <c r="C7995" i="2"/>
  <c r="G7995" i="2" s="1"/>
  <c r="C7999" i="2"/>
  <c r="G7999" i="2" s="1"/>
  <c r="C8057" i="2"/>
  <c r="G8057" i="2" s="1"/>
  <c r="C8061" i="2"/>
  <c r="G8061" i="2" s="1"/>
  <c r="C8129" i="2"/>
  <c r="G8129" i="2" s="1"/>
  <c r="C8139" i="2"/>
  <c r="G8139" i="2" s="1"/>
  <c r="C8254" i="2"/>
  <c r="G8254" i="2" s="1"/>
  <c r="C8327" i="2"/>
  <c r="G8327" i="2" s="1"/>
  <c r="C7352" i="2"/>
  <c r="G7352" i="2" s="1"/>
  <c r="C7362" i="2"/>
  <c r="G7362" i="2" s="1"/>
  <c r="C7416" i="2"/>
  <c r="G7416" i="2" s="1"/>
  <c r="C7420" i="2"/>
  <c r="G7420" i="2" s="1"/>
  <c r="C7433" i="2"/>
  <c r="G7433" i="2" s="1"/>
  <c r="C7457" i="2"/>
  <c r="G7457" i="2" s="1"/>
  <c r="C7474" i="2"/>
  <c r="G7474" i="2" s="1"/>
  <c r="C7508" i="2"/>
  <c r="G7508" i="2" s="1"/>
  <c r="C7562" i="2"/>
  <c r="G7562" i="2" s="1"/>
  <c r="C7566" i="2"/>
  <c r="G7566" i="2" s="1"/>
  <c r="C7577" i="2"/>
  <c r="G7577" i="2" s="1"/>
  <c r="C7602" i="2"/>
  <c r="G7602" i="2" s="1"/>
  <c r="C7605" i="2"/>
  <c r="G7605" i="2" s="1"/>
  <c r="C7612" i="2"/>
  <c r="G7612" i="2" s="1"/>
  <c r="C7633" i="2"/>
  <c r="G7633" i="2" s="1"/>
  <c r="C7637" i="2"/>
  <c r="G7637" i="2" s="1"/>
  <c r="C7644" i="2"/>
  <c r="G7644" i="2" s="1"/>
  <c r="C7732" i="2"/>
  <c r="G7732" i="2" s="1"/>
  <c r="C7746" i="2"/>
  <c r="G7746" i="2" s="1"/>
  <c r="C7818" i="2"/>
  <c r="G7818" i="2" s="1"/>
  <c r="C7822" i="2"/>
  <c r="G7822" i="2" s="1"/>
  <c r="C7984" i="2"/>
  <c r="G7984" i="2" s="1"/>
  <c r="C8050" i="2"/>
  <c r="G8050" i="2" s="1"/>
  <c r="C8054" i="2"/>
  <c r="G8054" i="2" s="1"/>
  <c r="C8178" i="2"/>
  <c r="G8178" i="2" s="1"/>
  <c r="C8233" i="2"/>
  <c r="G8233" i="2" s="1"/>
  <c r="C8306" i="2"/>
  <c r="G8306" i="2" s="1"/>
  <c r="C8309" i="2"/>
  <c r="G8309" i="2" s="1"/>
  <c r="C8316" i="2"/>
  <c r="G8316" i="2" s="1"/>
  <c r="C8366" i="2"/>
  <c r="G8366" i="2" s="1"/>
  <c r="C8384" i="2"/>
  <c r="G8384" i="2" s="1"/>
  <c r="C8429" i="2"/>
  <c r="G8429" i="2" s="1"/>
  <c r="C8492" i="2"/>
  <c r="G8492" i="2" s="1"/>
  <c r="C8540" i="2"/>
  <c r="G8540" i="2" s="1"/>
  <c r="C7440" i="2"/>
  <c r="G7440" i="2" s="1"/>
  <c r="C7444" i="2"/>
  <c r="G7444" i="2" s="1"/>
  <c r="C7481" i="2"/>
  <c r="G7481" i="2" s="1"/>
  <c r="C7485" i="2"/>
  <c r="G7485" i="2" s="1"/>
  <c r="C7494" i="2"/>
  <c r="G7494" i="2" s="1"/>
  <c r="C7498" i="2"/>
  <c r="G7498" i="2" s="1"/>
  <c r="C7518" i="2"/>
  <c r="G7518" i="2" s="1"/>
  <c r="C7522" i="2"/>
  <c r="G7522" i="2" s="1"/>
  <c r="C7532" i="2"/>
  <c r="G7532" i="2" s="1"/>
  <c r="C7620" i="2"/>
  <c r="G7620" i="2" s="1"/>
  <c r="C7698" i="2"/>
  <c r="G7698" i="2" s="1"/>
  <c r="C7725" i="2"/>
  <c r="G7725" i="2" s="1"/>
  <c r="C7784" i="2"/>
  <c r="G7784" i="2" s="1"/>
  <c r="C7894" i="2"/>
  <c r="G7894" i="2" s="1"/>
  <c r="C8111" i="2"/>
  <c r="G8111" i="2" s="1"/>
  <c r="C8171" i="2"/>
  <c r="G8171" i="2" s="1"/>
  <c r="C8281" i="2"/>
  <c r="G8281" i="2" s="1"/>
  <c r="C8355" i="2"/>
  <c r="G8355" i="2" s="1"/>
  <c r="C7779" i="2"/>
  <c r="G7779" i="2" s="1"/>
  <c r="C7851" i="2"/>
  <c r="G7851" i="2" s="1"/>
  <c r="C7862" i="2"/>
  <c r="G7862" i="2" s="1"/>
  <c r="C7923" i="2"/>
  <c r="G7923" i="2" s="1"/>
  <c r="C7963" i="2"/>
  <c r="G7963" i="2" s="1"/>
  <c r="C8007" i="2"/>
  <c r="G8007" i="2" s="1"/>
  <c r="C8043" i="2"/>
  <c r="G8043" i="2" s="1"/>
  <c r="C8047" i="2"/>
  <c r="G8047" i="2" s="1"/>
  <c r="C8087" i="2"/>
  <c r="G8087" i="2" s="1"/>
  <c r="C8094" i="2"/>
  <c r="G8094" i="2" s="1"/>
  <c r="C8126" i="2"/>
  <c r="G8126" i="2" s="1"/>
  <c r="C8175" i="2"/>
  <c r="G8175" i="2" s="1"/>
  <c r="C8199" i="2"/>
  <c r="G8199" i="2" s="1"/>
  <c r="C8247" i="2"/>
  <c r="G8247" i="2" s="1"/>
  <c r="C8251" i="2"/>
  <c r="G8251" i="2" s="1"/>
  <c r="C8331" i="2"/>
  <c r="G8331" i="2" s="1"/>
  <c r="C8359" i="2"/>
  <c r="G8359" i="2" s="1"/>
  <c r="C8363" i="2"/>
  <c r="G8363" i="2" s="1"/>
  <c r="C8761" i="2"/>
  <c r="G8761" i="2" s="1"/>
  <c r="C7695" i="2"/>
  <c r="G7695" i="2" s="1"/>
  <c r="C7747" i="2"/>
  <c r="G7747" i="2" s="1"/>
  <c r="C7751" i="2"/>
  <c r="G7751" i="2" s="1"/>
  <c r="C7783" i="2"/>
  <c r="G7783" i="2" s="1"/>
  <c r="C7823" i="2"/>
  <c r="G7823" i="2" s="1"/>
  <c r="C7841" i="2"/>
  <c r="G7841" i="2" s="1"/>
  <c r="C7845" i="2"/>
  <c r="G7845" i="2" s="1"/>
  <c r="C7852" i="2"/>
  <c r="G7852" i="2" s="1"/>
  <c r="C7855" i="2"/>
  <c r="G7855" i="2" s="1"/>
  <c r="C7874" i="2"/>
  <c r="G7874" i="2" s="1"/>
  <c r="C7895" i="2"/>
  <c r="G7895" i="2" s="1"/>
  <c r="C7906" i="2"/>
  <c r="G7906" i="2" s="1"/>
  <c r="C7913" i="2"/>
  <c r="G7913" i="2" s="1"/>
  <c r="C7917" i="2"/>
  <c r="G7917" i="2" s="1"/>
  <c r="C7924" i="2"/>
  <c r="G7924" i="2" s="1"/>
  <c r="C7931" i="2"/>
  <c r="G7931" i="2" s="1"/>
  <c r="C7935" i="2"/>
  <c r="G7935" i="2" s="1"/>
  <c r="C7942" i="2"/>
  <c r="G7942" i="2" s="1"/>
  <c r="C7946" i="2"/>
  <c r="G7946" i="2" s="1"/>
  <c r="C7953" i="2"/>
  <c r="G7953" i="2" s="1"/>
  <c r="C7964" i="2"/>
  <c r="G7964" i="2" s="1"/>
  <c r="C7967" i="2"/>
  <c r="G7967" i="2" s="1"/>
  <c r="C7978" i="2"/>
  <c r="G7978" i="2" s="1"/>
  <c r="C7985" i="2"/>
  <c r="G7985" i="2" s="1"/>
  <c r="C7989" i="2"/>
  <c r="G7989" i="2" s="1"/>
  <c r="C8004" i="2"/>
  <c r="G8004" i="2" s="1"/>
  <c r="C8022" i="2"/>
  <c r="G8022" i="2" s="1"/>
  <c r="C8044" i="2"/>
  <c r="G8044" i="2" s="1"/>
  <c r="C8051" i="2"/>
  <c r="G8051" i="2" s="1"/>
  <c r="C8073" i="2"/>
  <c r="G8073" i="2" s="1"/>
  <c r="C8077" i="2"/>
  <c r="G8077" i="2" s="1"/>
  <c r="C8095" i="2"/>
  <c r="G8095" i="2" s="1"/>
  <c r="C8102" i="2"/>
  <c r="G8102" i="2" s="1"/>
  <c r="C8115" i="2"/>
  <c r="G8115" i="2" s="1"/>
  <c r="C8127" i="2"/>
  <c r="G8127" i="2" s="1"/>
  <c r="C8151" i="2"/>
  <c r="G8151" i="2" s="1"/>
  <c r="C8158" i="2"/>
  <c r="G8158" i="2" s="1"/>
  <c r="C8172" i="2"/>
  <c r="G8172" i="2" s="1"/>
  <c r="C8179" i="2"/>
  <c r="G8179" i="2" s="1"/>
  <c r="C8190" i="2"/>
  <c r="G8190" i="2" s="1"/>
  <c r="C8203" i="2"/>
  <c r="G8203" i="2" s="1"/>
  <c r="C8217" i="2"/>
  <c r="G8217" i="2" s="1"/>
  <c r="C8238" i="2"/>
  <c r="G8238" i="2" s="1"/>
  <c r="C8248" i="2"/>
  <c r="G8248" i="2" s="1"/>
  <c r="C8255" i="2"/>
  <c r="G8255" i="2" s="1"/>
  <c r="C8293" i="2"/>
  <c r="G8293" i="2" s="1"/>
  <c r="C8321" i="2"/>
  <c r="G8321" i="2" s="1"/>
  <c r="C8349" i="2"/>
  <c r="G8349" i="2" s="1"/>
  <c r="C8356" i="2"/>
  <c r="G8356" i="2" s="1"/>
  <c r="C8415" i="2"/>
  <c r="G8415" i="2" s="1"/>
  <c r="C8658" i="2"/>
  <c r="G8658" i="2" s="1"/>
  <c r="C8688" i="2"/>
  <c r="G8688" i="2" s="1"/>
  <c r="C8751" i="2"/>
  <c r="G8751" i="2" s="1"/>
  <c r="C7668" i="2"/>
  <c r="G7668" i="2" s="1"/>
  <c r="C7699" i="2"/>
  <c r="G7699" i="2" s="1"/>
  <c r="C7703" i="2"/>
  <c r="G7703" i="2" s="1"/>
  <c r="C7713" i="2"/>
  <c r="G7713" i="2" s="1"/>
  <c r="C7717" i="2"/>
  <c r="G7717" i="2" s="1"/>
  <c r="C7734" i="2"/>
  <c r="G7734" i="2" s="1"/>
  <c r="C7738" i="2"/>
  <c r="G7738" i="2" s="1"/>
  <c r="C7741" i="2"/>
  <c r="G7741" i="2" s="1"/>
  <c r="C7748" i="2"/>
  <c r="G7748" i="2" s="1"/>
  <c r="C7766" i="2"/>
  <c r="G7766" i="2" s="1"/>
  <c r="C7787" i="2"/>
  <c r="G7787" i="2" s="1"/>
  <c r="C7798" i="2"/>
  <c r="G7798" i="2" s="1"/>
  <c r="C7802" i="2"/>
  <c r="G7802" i="2" s="1"/>
  <c r="C7806" i="2"/>
  <c r="G7806" i="2" s="1"/>
  <c r="C7813" i="2"/>
  <c r="G7813" i="2" s="1"/>
  <c r="C7820" i="2"/>
  <c r="G7820" i="2" s="1"/>
  <c r="C7885" i="2"/>
  <c r="G7885" i="2" s="1"/>
  <c r="C7932" i="2"/>
  <c r="G7932" i="2" s="1"/>
  <c r="C7950" i="2"/>
  <c r="G7950" i="2" s="1"/>
  <c r="C7957" i="2"/>
  <c r="G7957" i="2" s="1"/>
  <c r="C7997" i="2"/>
  <c r="G7997" i="2" s="1"/>
  <c r="C8026" i="2"/>
  <c r="G8026" i="2" s="1"/>
  <c r="C8033" i="2"/>
  <c r="G8033" i="2" s="1"/>
  <c r="C8037" i="2"/>
  <c r="G8037" i="2" s="1"/>
  <c r="C8052" i="2"/>
  <c r="G8052" i="2" s="1"/>
  <c r="C8066" i="2"/>
  <c r="G8066" i="2" s="1"/>
  <c r="C8070" i="2"/>
  <c r="G8070" i="2" s="1"/>
  <c r="C8085" i="2"/>
  <c r="G8085" i="2" s="1"/>
  <c r="C8109" i="2"/>
  <c r="G8109" i="2" s="1"/>
  <c r="C8116" i="2"/>
  <c r="G8116" i="2" s="1"/>
  <c r="C8134" i="2"/>
  <c r="G8134" i="2" s="1"/>
  <c r="C8159" i="2"/>
  <c r="G8159" i="2" s="1"/>
  <c r="C8166" i="2"/>
  <c r="G8166" i="2" s="1"/>
  <c r="C8169" i="2"/>
  <c r="G8169" i="2" s="1"/>
  <c r="C8180" i="2"/>
  <c r="G8180" i="2" s="1"/>
  <c r="C8194" i="2"/>
  <c r="G8194" i="2" s="1"/>
  <c r="C8197" i="2"/>
  <c r="G8197" i="2" s="1"/>
  <c r="C8214" i="2"/>
  <c r="G8214" i="2" s="1"/>
  <c r="C8273" i="2"/>
  <c r="G8273" i="2" s="1"/>
  <c r="C8290" i="2"/>
  <c r="G8290" i="2" s="1"/>
  <c r="C8297" i="2"/>
  <c r="G8297" i="2" s="1"/>
  <c r="C8314" i="2"/>
  <c r="G8314" i="2" s="1"/>
  <c r="C8318" i="2"/>
  <c r="G8318" i="2" s="1"/>
  <c r="C8325" i="2"/>
  <c r="G8325" i="2" s="1"/>
  <c r="C8336" i="2"/>
  <c r="G8336" i="2" s="1"/>
  <c r="C8386" i="2"/>
  <c r="G8386" i="2" s="1"/>
  <c r="C8408" i="2"/>
  <c r="G8408" i="2" s="1"/>
  <c r="C8516" i="2"/>
  <c r="G8516" i="2" s="1"/>
  <c r="C8651" i="2"/>
  <c r="G8651" i="2" s="1"/>
  <c r="C8685" i="2"/>
  <c r="G8685" i="2" s="1"/>
  <c r="C9373" i="2"/>
  <c r="G9373" i="2" s="1"/>
  <c r="C7634" i="2"/>
  <c r="G7634" i="2" s="1"/>
  <c r="C7651" i="2"/>
  <c r="G7651" i="2" s="1"/>
  <c r="C7655" i="2"/>
  <c r="G7655" i="2" s="1"/>
  <c r="C7665" i="2"/>
  <c r="G7665" i="2" s="1"/>
  <c r="C7669" i="2"/>
  <c r="G7669" i="2" s="1"/>
  <c r="C7686" i="2"/>
  <c r="G7686" i="2" s="1"/>
  <c r="C7690" i="2"/>
  <c r="G7690" i="2" s="1"/>
  <c r="C7693" i="2"/>
  <c r="G7693" i="2" s="1"/>
  <c r="C7714" i="2"/>
  <c r="G7714" i="2" s="1"/>
  <c r="C7731" i="2"/>
  <c r="G7731" i="2" s="1"/>
  <c r="C7735" i="2"/>
  <c r="G7735" i="2" s="1"/>
  <c r="C7745" i="2"/>
  <c r="G7745" i="2" s="1"/>
  <c r="C7749" i="2"/>
  <c r="G7749" i="2" s="1"/>
  <c r="C7756" i="2"/>
  <c r="G7756" i="2" s="1"/>
  <c r="C7795" i="2"/>
  <c r="G7795" i="2" s="1"/>
  <c r="C7799" i="2"/>
  <c r="G7799" i="2" s="1"/>
  <c r="C7821" i="2"/>
  <c r="G7821" i="2" s="1"/>
  <c r="C7828" i="2"/>
  <c r="G7828" i="2" s="1"/>
  <c r="C7835" i="2"/>
  <c r="G7835" i="2" s="1"/>
  <c r="C7868" i="2"/>
  <c r="G7868" i="2" s="1"/>
  <c r="C7886" i="2"/>
  <c r="G7886" i="2" s="1"/>
  <c r="C7893" i="2"/>
  <c r="G7893" i="2" s="1"/>
  <c r="C7907" i="2"/>
  <c r="G7907" i="2" s="1"/>
  <c r="C7933" i="2"/>
  <c r="G7933" i="2" s="1"/>
  <c r="C7940" i="2"/>
  <c r="G7940" i="2" s="1"/>
  <c r="C7958" i="2"/>
  <c r="G7958" i="2" s="1"/>
  <c r="C7979" i="2"/>
  <c r="G7979" i="2" s="1"/>
  <c r="C7990" i="2"/>
  <c r="G7990" i="2" s="1"/>
  <c r="C7994" i="2"/>
  <c r="G7994" i="2" s="1"/>
  <c r="C7998" i="2"/>
  <c r="G7998" i="2" s="1"/>
  <c r="C8023" i="2"/>
  <c r="G8023" i="2" s="1"/>
  <c r="C8034" i="2"/>
  <c r="G8034" i="2" s="1"/>
  <c r="C8038" i="2"/>
  <c r="G8038" i="2" s="1"/>
  <c r="C8060" i="2"/>
  <c r="G8060" i="2" s="1"/>
  <c r="C8063" i="2"/>
  <c r="G8063" i="2" s="1"/>
  <c r="C8082" i="2"/>
  <c r="G8082" i="2" s="1"/>
  <c r="C8089" i="2"/>
  <c r="G8089" i="2" s="1"/>
  <c r="C8096" i="2"/>
  <c r="G8096" i="2" s="1"/>
  <c r="C8113" i="2"/>
  <c r="G8113" i="2" s="1"/>
  <c r="C8117" i="2"/>
  <c r="G8117" i="2" s="1"/>
  <c r="C8131" i="2"/>
  <c r="G8131" i="2" s="1"/>
  <c r="C8156" i="2"/>
  <c r="G8156" i="2" s="1"/>
  <c r="C8170" i="2"/>
  <c r="G8170" i="2" s="1"/>
  <c r="C8181" i="2"/>
  <c r="G8181" i="2" s="1"/>
  <c r="C8191" i="2"/>
  <c r="G8191" i="2" s="1"/>
  <c r="C8201" i="2"/>
  <c r="G8201" i="2" s="1"/>
  <c r="C8222" i="2"/>
  <c r="G8222" i="2" s="1"/>
  <c r="C8253" i="2"/>
  <c r="G8253" i="2" s="1"/>
  <c r="C8270" i="2"/>
  <c r="G8270" i="2" s="1"/>
  <c r="C8274" i="2"/>
  <c r="G8274" i="2" s="1"/>
  <c r="C8277" i="2"/>
  <c r="G8277" i="2" s="1"/>
  <c r="C8287" i="2"/>
  <c r="G8287" i="2" s="1"/>
  <c r="C8298" i="2"/>
  <c r="G8298" i="2" s="1"/>
  <c r="C8305" i="2"/>
  <c r="G8305" i="2" s="1"/>
  <c r="C8311" i="2"/>
  <c r="G8311" i="2" s="1"/>
  <c r="C8326" i="2"/>
  <c r="G8326" i="2" s="1"/>
  <c r="C8365" i="2"/>
  <c r="G8365" i="2" s="1"/>
  <c r="C8379" i="2"/>
  <c r="G8379" i="2" s="1"/>
  <c r="C8509" i="2"/>
  <c r="G8509" i="2" s="1"/>
  <c r="C8557" i="2"/>
  <c r="G8557" i="2" s="1"/>
  <c r="C8675" i="2"/>
  <c r="G8675" i="2" s="1"/>
  <c r="C9164" i="2"/>
  <c r="G9164" i="2" s="1"/>
  <c r="C9198" i="2"/>
  <c r="G9198" i="2" s="1"/>
  <c r="C7825" i="2"/>
  <c r="G7825" i="2" s="1"/>
  <c r="C7836" i="2"/>
  <c r="G7836" i="2" s="1"/>
  <c r="C7850" i="2"/>
  <c r="G7850" i="2" s="1"/>
  <c r="C7857" i="2"/>
  <c r="G7857" i="2" s="1"/>
  <c r="C7861" i="2"/>
  <c r="G7861" i="2" s="1"/>
  <c r="C7890" i="2"/>
  <c r="G7890" i="2" s="1"/>
  <c r="C7897" i="2"/>
  <c r="G7897" i="2" s="1"/>
  <c r="C7901" i="2"/>
  <c r="G7901" i="2" s="1"/>
  <c r="C7908" i="2"/>
  <c r="G7908" i="2" s="1"/>
  <c r="C7922" i="2"/>
  <c r="G7922" i="2" s="1"/>
  <c r="C7962" i="2"/>
  <c r="G7962" i="2" s="1"/>
  <c r="C7969" i="2"/>
  <c r="G7969" i="2" s="1"/>
  <c r="C7973" i="2"/>
  <c r="G7973" i="2" s="1"/>
  <c r="C7980" i="2"/>
  <c r="G7980" i="2" s="1"/>
  <c r="C8002" i="2"/>
  <c r="G8002" i="2" s="1"/>
  <c r="C8013" i="2"/>
  <c r="G8013" i="2" s="1"/>
  <c r="C8020" i="2"/>
  <c r="G8020" i="2" s="1"/>
  <c r="C8042" i="2"/>
  <c r="G8042" i="2" s="1"/>
  <c r="C8046" i="2"/>
  <c r="G8046" i="2" s="1"/>
  <c r="C8093" i="2"/>
  <c r="G8093" i="2" s="1"/>
  <c r="C8125" i="2"/>
  <c r="G8125" i="2" s="1"/>
  <c r="C8145" i="2"/>
  <c r="G8145" i="2" s="1"/>
  <c r="C8149" i="2"/>
  <c r="G8149" i="2" s="1"/>
  <c r="C8205" i="2"/>
  <c r="G8205" i="2" s="1"/>
  <c r="C8226" i="2"/>
  <c r="G8226" i="2" s="1"/>
  <c r="C8229" i="2"/>
  <c r="G8229" i="2" s="1"/>
  <c r="C8250" i="2"/>
  <c r="G8250" i="2" s="1"/>
  <c r="C8257" i="2"/>
  <c r="G8257" i="2" s="1"/>
  <c r="C8302" i="2"/>
  <c r="G8302" i="2" s="1"/>
  <c r="C8323" i="2"/>
  <c r="G8323" i="2" s="1"/>
  <c r="C8358" i="2"/>
  <c r="G8358" i="2" s="1"/>
  <c r="C8362" i="2"/>
  <c r="G8362" i="2" s="1"/>
  <c r="C8394" i="2"/>
  <c r="G8394" i="2" s="1"/>
  <c r="C8436" i="2"/>
  <c r="G8436" i="2" s="1"/>
  <c r="C8619" i="2"/>
  <c r="G8619" i="2" s="1"/>
  <c r="C8367" i="2"/>
  <c r="G8367" i="2" s="1"/>
  <c r="C8391" i="2"/>
  <c r="G8391" i="2" s="1"/>
  <c r="C8419" i="2"/>
  <c r="G8419" i="2" s="1"/>
  <c r="C8464" i="2"/>
  <c r="G8464" i="2" s="1"/>
  <c r="C8496" i="2"/>
  <c r="G8496" i="2" s="1"/>
  <c r="C8506" i="2"/>
  <c r="G8506" i="2" s="1"/>
  <c r="C8530" i="2"/>
  <c r="G8530" i="2" s="1"/>
  <c r="C8537" i="2"/>
  <c r="G8537" i="2" s="1"/>
  <c r="C8582" i="2"/>
  <c r="G8582" i="2" s="1"/>
  <c r="C8606" i="2"/>
  <c r="G8606" i="2" s="1"/>
  <c r="C8610" i="2"/>
  <c r="G8610" i="2" s="1"/>
  <c r="C8630" i="2"/>
  <c r="G8630" i="2" s="1"/>
  <c r="C8665" i="2"/>
  <c r="G8665" i="2" s="1"/>
  <c r="C8730" i="2"/>
  <c r="G8730" i="2" s="1"/>
  <c r="C8741" i="2"/>
  <c r="G8741" i="2" s="1"/>
  <c r="C9261" i="2"/>
  <c r="G9261" i="2" s="1"/>
  <c r="C9366" i="2"/>
  <c r="G9366" i="2" s="1"/>
  <c r="C8218" i="2"/>
  <c r="G8218" i="2" s="1"/>
  <c r="C8225" i="2"/>
  <c r="G8225" i="2" s="1"/>
  <c r="C8235" i="2"/>
  <c r="G8235" i="2" s="1"/>
  <c r="C8269" i="2"/>
  <c r="G8269" i="2" s="1"/>
  <c r="C8286" i="2"/>
  <c r="G8286" i="2" s="1"/>
  <c r="C8303" i="2"/>
  <c r="G8303" i="2" s="1"/>
  <c r="C8313" i="2"/>
  <c r="G8313" i="2" s="1"/>
  <c r="C8330" i="2"/>
  <c r="G8330" i="2" s="1"/>
  <c r="C8337" i="2"/>
  <c r="G8337" i="2" s="1"/>
  <c r="C8343" i="2"/>
  <c r="G8343" i="2" s="1"/>
  <c r="C8354" i="2"/>
  <c r="G8354" i="2" s="1"/>
  <c r="C8357" i="2"/>
  <c r="G8357" i="2" s="1"/>
  <c r="C8378" i="2"/>
  <c r="G8378" i="2" s="1"/>
  <c r="C8385" i="2"/>
  <c r="G8385" i="2" s="1"/>
  <c r="C8395" i="2"/>
  <c r="G8395" i="2" s="1"/>
  <c r="C8409" i="2"/>
  <c r="G8409" i="2" s="1"/>
  <c r="C8423" i="2"/>
  <c r="G8423" i="2" s="1"/>
  <c r="C8434" i="2"/>
  <c r="G8434" i="2" s="1"/>
  <c r="C8437" i="2"/>
  <c r="G8437" i="2" s="1"/>
  <c r="C8444" i="2"/>
  <c r="G8444" i="2" s="1"/>
  <c r="C8475" i="2"/>
  <c r="G8475" i="2" s="1"/>
  <c r="C8510" i="2"/>
  <c r="G8510" i="2" s="1"/>
  <c r="C8517" i="2"/>
  <c r="G8517" i="2" s="1"/>
  <c r="C8527" i="2"/>
  <c r="G8527" i="2" s="1"/>
  <c r="C8534" i="2"/>
  <c r="G8534" i="2" s="1"/>
  <c r="C8545" i="2"/>
  <c r="G8545" i="2" s="1"/>
  <c r="C8572" i="2"/>
  <c r="G8572" i="2" s="1"/>
  <c r="C8593" i="2"/>
  <c r="G8593" i="2" s="1"/>
  <c r="C8600" i="2"/>
  <c r="G8600" i="2" s="1"/>
  <c r="C8607" i="2"/>
  <c r="G8607" i="2" s="1"/>
  <c r="C8641" i="2"/>
  <c r="G8641" i="2" s="1"/>
  <c r="C8645" i="2"/>
  <c r="G8645" i="2" s="1"/>
  <c r="C8659" i="2"/>
  <c r="G8659" i="2" s="1"/>
  <c r="C8706" i="2"/>
  <c r="G8706" i="2" s="1"/>
  <c r="C8731" i="2"/>
  <c r="G8731" i="2" s="1"/>
  <c r="C8752" i="2"/>
  <c r="G8752" i="2" s="1"/>
  <c r="C8762" i="2"/>
  <c r="G8762" i="2" s="1"/>
  <c r="C8769" i="2"/>
  <c r="G8769" i="2" s="1"/>
  <c r="C8773" i="2"/>
  <c r="G8773" i="2" s="1"/>
  <c r="C8781" i="2"/>
  <c r="G8781" i="2" s="1"/>
  <c r="C8789" i="2"/>
  <c r="G8789" i="2" s="1"/>
  <c r="C8793" i="2"/>
  <c r="G8793" i="2" s="1"/>
  <c r="C8797" i="2"/>
  <c r="G8797" i="2" s="1"/>
  <c r="C8804" i="2"/>
  <c r="G8804" i="2" s="1"/>
  <c r="C8910" i="2"/>
  <c r="G8910" i="2" s="1"/>
  <c r="C8981" i="2"/>
  <c r="G8981" i="2" s="1"/>
  <c r="C9154" i="2"/>
  <c r="G9154" i="2" s="1"/>
  <c r="C9184" i="2"/>
  <c r="G9184" i="2" s="1"/>
  <c r="C9211" i="2"/>
  <c r="G9211" i="2" s="1"/>
  <c r="C9218" i="2"/>
  <c r="G9218" i="2" s="1"/>
  <c r="C9244" i="2"/>
  <c r="G9244" i="2" s="1"/>
  <c r="C8382" i="2"/>
  <c r="G8382" i="2" s="1"/>
  <c r="C8413" i="2"/>
  <c r="G8413" i="2" s="1"/>
  <c r="C8441" i="2"/>
  <c r="G8441" i="2" s="1"/>
  <c r="C8448" i="2"/>
  <c r="G8448" i="2" s="1"/>
  <c r="C8455" i="2"/>
  <c r="G8455" i="2" s="1"/>
  <c r="C8469" i="2"/>
  <c r="G8469" i="2" s="1"/>
  <c r="C8549" i="2"/>
  <c r="G8549" i="2" s="1"/>
  <c r="C8552" i="2"/>
  <c r="G8552" i="2" s="1"/>
  <c r="C8555" i="2"/>
  <c r="G8555" i="2" s="1"/>
  <c r="C8597" i="2"/>
  <c r="G8597" i="2" s="1"/>
  <c r="C8604" i="2"/>
  <c r="G8604" i="2" s="1"/>
  <c r="C8653" i="2"/>
  <c r="G8653" i="2" s="1"/>
  <c r="C8656" i="2"/>
  <c r="G8656" i="2" s="1"/>
  <c r="C8680" i="2"/>
  <c r="G8680" i="2" s="1"/>
  <c r="C8683" i="2"/>
  <c r="G8683" i="2" s="1"/>
  <c r="C8693" i="2"/>
  <c r="G8693" i="2" s="1"/>
  <c r="C8696" i="2"/>
  <c r="G8696" i="2" s="1"/>
  <c r="C8700" i="2"/>
  <c r="G8700" i="2" s="1"/>
  <c r="C8703" i="2"/>
  <c r="G8703" i="2" s="1"/>
  <c r="C8707" i="2"/>
  <c r="G8707" i="2" s="1"/>
  <c r="C8735" i="2"/>
  <c r="G8735" i="2" s="1"/>
  <c r="C8749" i="2"/>
  <c r="G8749" i="2" s="1"/>
  <c r="C8763" i="2"/>
  <c r="G8763" i="2" s="1"/>
  <c r="C8774" i="2"/>
  <c r="G8774" i="2" s="1"/>
  <c r="C8903" i="2"/>
  <c r="G8903" i="2" s="1"/>
  <c r="C8918" i="2"/>
  <c r="G8918" i="2" s="1"/>
  <c r="C8943" i="2"/>
  <c r="G8943" i="2" s="1"/>
  <c r="C9021" i="2"/>
  <c r="G9021" i="2" s="1"/>
  <c r="C9054" i="2"/>
  <c r="G9054" i="2" s="1"/>
  <c r="C9084" i="2"/>
  <c r="G9084" i="2" s="1"/>
  <c r="C9111" i="2"/>
  <c r="G9111" i="2" s="1"/>
  <c r="C9302" i="2"/>
  <c r="G9302" i="2" s="1"/>
  <c r="C9306" i="2"/>
  <c r="G9306" i="2" s="1"/>
  <c r="C9349" i="2"/>
  <c r="G9349" i="2" s="1"/>
  <c r="C9435" i="2"/>
  <c r="G9435" i="2" s="1"/>
  <c r="C8542" i="2"/>
  <c r="G8542" i="2" s="1"/>
  <c r="C8546" i="2"/>
  <c r="G8546" i="2" s="1"/>
  <c r="C8566" i="2"/>
  <c r="G8566" i="2" s="1"/>
  <c r="C8594" i="2"/>
  <c r="G8594" i="2" s="1"/>
  <c r="C9181" i="2"/>
  <c r="G9181" i="2" s="1"/>
  <c r="C9394" i="2"/>
  <c r="G9394" i="2" s="1"/>
  <c r="C8373" i="2"/>
  <c r="G8373" i="2" s="1"/>
  <c r="C8383" i="2"/>
  <c r="G8383" i="2" s="1"/>
  <c r="C8390" i="2"/>
  <c r="G8390" i="2" s="1"/>
  <c r="C8397" i="2"/>
  <c r="G8397" i="2" s="1"/>
  <c r="C8407" i="2"/>
  <c r="G8407" i="2" s="1"/>
  <c r="C8418" i="2"/>
  <c r="G8418" i="2" s="1"/>
  <c r="C8425" i="2"/>
  <c r="G8425" i="2" s="1"/>
  <c r="C8463" i="2"/>
  <c r="G8463" i="2" s="1"/>
  <c r="C8466" i="2"/>
  <c r="G8466" i="2" s="1"/>
  <c r="C8481" i="2"/>
  <c r="G8481" i="2" s="1"/>
  <c r="C8495" i="2"/>
  <c r="G8495" i="2" s="1"/>
  <c r="C8502" i="2"/>
  <c r="G8502" i="2" s="1"/>
  <c r="C8512" i="2"/>
  <c r="G8512" i="2" s="1"/>
  <c r="C8519" i="2"/>
  <c r="G8519" i="2" s="1"/>
  <c r="C8529" i="2"/>
  <c r="G8529" i="2" s="1"/>
  <c r="C8536" i="2"/>
  <c r="G8536" i="2" s="1"/>
  <c r="C8543" i="2"/>
  <c r="G8543" i="2" s="1"/>
  <c r="C8581" i="2"/>
  <c r="G8581" i="2" s="1"/>
  <c r="C8591" i="2"/>
  <c r="G8591" i="2" s="1"/>
  <c r="C8598" i="2"/>
  <c r="G8598" i="2" s="1"/>
  <c r="C8609" i="2"/>
  <c r="G8609" i="2" s="1"/>
  <c r="C8636" i="2"/>
  <c r="G8636" i="2" s="1"/>
  <c r="C8647" i="2"/>
  <c r="G8647" i="2" s="1"/>
  <c r="C8650" i="2"/>
  <c r="G8650" i="2" s="1"/>
  <c r="C8657" i="2"/>
  <c r="G8657" i="2" s="1"/>
  <c r="C8661" i="2"/>
  <c r="G8661" i="2" s="1"/>
  <c r="C8671" i="2"/>
  <c r="G8671" i="2" s="1"/>
  <c r="C8674" i="2"/>
  <c r="G8674" i="2" s="1"/>
  <c r="C8697" i="2"/>
  <c r="G8697" i="2" s="1"/>
  <c r="C8712" i="2"/>
  <c r="G8712" i="2" s="1"/>
  <c r="C8733" i="2"/>
  <c r="G8733" i="2" s="1"/>
  <c r="C8787" i="2"/>
  <c r="G8787" i="2" s="1"/>
  <c r="C8813" i="2"/>
  <c r="G8813" i="2" s="1"/>
  <c r="C8826" i="2"/>
  <c r="G8826" i="2" s="1"/>
  <c r="C8874" i="2"/>
  <c r="G8874" i="2" s="1"/>
  <c r="C8890" i="2"/>
  <c r="G8890" i="2" s="1"/>
  <c r="C8994" i="2"/>
  <c r="G8994" i="2" s="1"/>
  <c r="C9067" i="2"/>
  <c r="G9067" i="2" s="1"/>
  <c r="C9074" i="2"/>
  <c r="G9074" i="2" s="1"/>
  <c r="C9097" i="2"/>
  <c r="G9097" i="2" s="1"/>
  <c r="C9264" i="2"/>
  <c r="G9264" i="2" s="1"/>
  <c r="C9282" i="2"/>
  <c r="G9282" i="2" s="1"/>
  <c r="C9315" i="2"/>
  <c r="G9315" i="2" s="1"/>
  <c r="C9322" i="2"/>
  <c r="G9322" i="2" s="1"/>
  <c r="C9343" i="2"/>
  <c r="G9343" i="2" s="1"/>
  <c r="C8747" i="2"/>
  <c r="G8747" i="2" s="1"/>
  <c r="C8757" i="2"/>
  <c r="G8757" i="2" s="1"/>
  <c r="C8760" i="2"/>
  <c r="G8760" i="2" s="1"/>
  <c r="C8764" i="2"/>
  <c r="G8764" i="2" s="1"/>
  <c r="C8767" i="2"/>
  <c r="G8767" i="2" s="1"/>
  <c r="C8771" i="2"/>
  <c r="G8771" i="2" s="1"/>
  <c r="C8782" i="2"/>
  <c r="G8782" i="2" s="1"/>
  <c r="C8792" i="2"/>
  <c r="G8792" i="2" s="1"/>
  <c r="C8800" i="2"/>
  <c r="G8800" i="2" s="1"/>
  <c r="C8814" i="2"/>
  <c r="G8814" i="2" s="1"/>
  <c r="C8817" i="2"/>
  <c r="G8817" i="2" s="1"/>
  <c r="C8820" i="2"/>
  <c r="G8820" i="2" s="1"/>
  <c r="C8830" i="2"/>
  <c r="G8830" i="2" s="1"/>
  <c r="C8833" i="2"/>
  <c r="G8833" i="2" s="1"/>
  <c r="C8840" i="2"/>
  <c r="G8840" i="2" s="1"/>
  <c r="C8850" i="2"/>
  <c r="G8850" i="2" s="1"/>
  <c r="C8854" i="2"/>
  <c r="G8854" i="2" s="1"/>
  <c r="C8864" i="2"/>
  <c r="G8864" i="2" s="1"/>
  <c r="C8868" i="2"/>
  <c r="G8868" i="2" s="1"/>
  <c r="C8875" i="2"/>
  <c r="G8875" i="2" s="1"/>
  <c r="C8885" i="2"/>
  <c r="G8885" i="2" s="1"/>
  <c r="C8892" i="2"/>
  <c r="G8892" i="2" s="1"/>
  <c r="C8915" i="2"/>
  <c r="G8915" i="2" s="1"/>
  <c r="C8955" i="2"/>
  <c r="G8955" i="2" s="1"/>
  <c r="C8968" i="2"/>
  <c r="G8968" i="2" s="1"/>
  <c r="C9008" i="2"/>
  <c r="G9008" i="2" s="1"/>
  <c r="C9028" i="2"/>
  <c r="G9028" i="2" s="1"/>
  <c r="C9048" i="2"/>
  <c r="G9048" i="2" s="1"/>
  <c r="C9061" i="2"/>
  <c r="G9061" i="2" s="1"/>
  <c r="C9068" i="2"/>
  <c r="G9068" i="2" s="1"/>
  <c r="C9091" i="2"/>
  <c r="G9091" i="2" s="1"/>
  <c r="C9101" i="2"/>
  <c r="G9101" i="2" s="1"/>
  <c r="C9115" i="2"/>
  <c r="G9115" i="2" s="1"/>
  <c r="C9128" i="2"/>
  <c r="G9128" i="2" s="1"/>
  <c r="C9145" i="2"/>
  <c r="G9145" i="2" s="1"/>
  <c r="C9168" i="2"/>
  <c r="G9168" i="2" s="1"/>
  <c r="C9195" i="2"/>
  <c r="G9195" i="2" s="1"/>
  <c r="C9212" i="2"/>
  <c r="G9212" i="2" s="1"/>
  <c r="C9225" i="2"/>
  <c r="G9225" i="2" s="1"/>
  <c r="C9235" i="2"/>
  <c r="G9235" i="2" s="1"/>
  <c r="C9248" i="2"/>
  <c r="G9248" i="2" s="1"/>
  <c r="C9272" i="2"/>
  <c r="G9272" i="2" s="1"/>
  <c r="C9296" i="2"/>
  <c r="G9296" i="2" s="1"/>
  <c r="C9309" i="2"/>
  <c r="G9309" i="2" s="1"/>
  <c r="C9336" i="2"/>
  <c r="G9336" i="2" s="1"/>
  <c r="C9356" i="2"/>
  <c r="G9356" i="2" s="1"/>
  <c r="C9376" i="2"/>
  <c r="G9376" i="2" s="1"/>
  <c r="C9397" i="2"/>
  <c r="G9397" i="2" s="1"/>
  <c r="C9411" i="2"/>
  <c r="G9411" i="2" s="1"/>
  <c r="C9425" i="2"/>
  <c r="G9425" i="2" s="1"/>
  <c r="C9436" i="2"/>
  <c r="G9436" i="2" s="1"/>
  <c r="C9439" i="2"/>
  <c r="G9439" i="2" s="1"/>
  <c r="C9453" i="2"/>
  <c r="G9453" i="2" s="1"/>
  <c r="C8837" i="2"/>
  <c r="G8837" i="2" s="1"/>
  <c r="C8909" i="2"/>
  <c r="G8909" i="2" s="1"/>
  <c r="C8949" i="2"/>
  <c r="G8949" i="2" s="1"/>
  <c r="C9109" i="2"/>
  <c r="G9109" i="2" s="1"/>
  <c r="C9229" i="2"/>
  <c r="G9229" i="2" s="1"/>
  <c r="C9269" i="2"/>
  <c r="G9269" i="2" s="1"/>
  <c r="C9433" i="2"/>
  <c r="G9433" i="2" s="1"/>
  <c r="C8783" i="2"/>
  <c r="G8783" i="2" s="1"/>
  <c r="C8828" i="2"/>
  <c r="G8828" i="2" s="1"/>
  <c r="C8834" i="2"/>
  <c r="G8834" i="2" s="1"/>
  <c r="C8845" i="2"/>
  <c r="G8845" i="2" s="1"/>
  <c r="C8852" i="2"/>
  <c r="G8852" i="2" s="1"/>
  <c r="C8858" i="2"/>
  <c r="G8858" i="2" s="1"/>
  <c r="C8883" i="2"/>
  <c r="G8883" i="2" s="1"/>
  <c r="C8923" i="2"/>
  <c r="G8923" i="2" s="1"/>
  <c r="C8936" i="2"/>
  <c r="G8936" i="2" s="1"/>
  <c r="C8976" i="2"/>
  <c r="G8976" i="2" s="1"/>
  <c r="C8996" i="2"/>
  <c r="G8996" i="2" s="1"/>
  <c r="C9016" i="2"/>
  <c r="G9016" i="2" s="1"/>
  <c r="C9029" i="2"/>
  <c r="G9029" i="2" s="1"/>
  <c r="C9036" i="2"/>
  <c r="G9036" i="2" s="1"/>
  <c r="C9059" i="2"/>
  <c r="G9059" i="2" s="1"/>
  <c r="C9069" i="2"/>
  <c r="G9069" i="2" s="1"/>
  <c r="C9076" i="2"/>
  <c r="G9076" i="2" s="1"/>
  <c r="C9099" i="2"/>
  <c r="G9099" i="2" s="1"/>
  <c r="C9113" i="2"/>
  <c r="G9113" i="2" s="1"/>
  <c r="C9136" i="2"/>
  <c r="G9136" i="2" s="1"/>
  <c r="C9156" i="2"/>
  <c r="G9156" i="2" s="1"/>
  <c r="C9193" i="2"/>
  <c r="G9193" i="2" s="1"/>
  <c r="C9203" i="2"/>
  <c r="G9203" i="2" s="1"/>
  <c r="C9213" i="2"/>
  <c r="G9213" i="2" s="1"/>
  <c r="C9220" i="2"/>
  <c r="G9220" i="2" s="1"/>
  <c r="C9256" i="2"/>
  <c r="G9256" i="2" s="1"/>
  <c r="C9284" i="2"/>
  <c r="G9284" i="2" s="1"/>
  <c r="C9307" i="2"/>
  <c r="G9307" i="2" s="1"/>
  <c r="C9317" i="2"/>
  <c r="G9317" i="2" s="1"/>
  <c r="C9324" i="2"/>
  <c r="G9324" i="2" s="1"/>
  <c r="C9357" i="2"/>
  <c r="G9357" i="2" s="1"/>
  <c r="C9364" i="2"/>
  <c r="G9364" i="2" s="1"/>
  <c r="C9367" i="2"/>
  <c r="G9367" i="2" s="1"/>
  <c r="C9388" i="2"/>
  <c r="G9388" i="2" s="1"/>
  <c r="C9395" i="2"/>
  <c r="G9395" i="2" s="1"/>
  <c r="C9416" i="2"/>
  <c r="G9416" i="2" s="1"/>
  <c r="C9423" i="2"/>
  <c r="G9423" i="2" s="1"/>
  <c r="C9444" i="2"/>
  <c r="G9444" i="2" s="1"/>
  <c r="C9451" i="2"/>
  <c r="G9451" i="2" s="1"/>
  <c r="C9371" i="2"/>
  <c r="G9371" i="2" s="1"/>
  <c r="C9392" i="2"/>
  <c r="G9392" i="2" s="1"/>
  <c r="C9399" i="2"/>
  <c r="G9399" i="2" s="1"/>
  <c r="C9420" i="2"/>
  <c r="G9420" i="2" s="1"/>
  <c r="C9427" i="2"/>
  <c r="G9427" i="2" s="1"/>
  <c r="C9448" i="2"/>
  <c r="G9448" i="2" s="1"/>
  <c r="C9455" i="2"/>
  <c r="G9455" i="2" s="1"/>
  <c r="C8809" i="2"/>
  <c r="G8809" i="2" s="1"/>
  <c r="C8846" i="2"/>
  <c r="G8846" i="2" s="1"/>
  <c r="C8849" i="2"/>
  <c r="G8849" i="2" s="1"/>
  <c r="C8866" i="2"/>
  <c r="G8866" i="2" s="1"/>
  <c r="C8877" i="2"/>
  <c r="G8877" i="2" s="1"/>
  <c r="C8884" i="2"/>
  <c r="G8884" i="2" s="1"/>
  <c r="C8907" i="2"/>
  <c r="G8907" i="2" s="1"/>
  <c r="C8917" i="2"/>
  <c r="G8917" i="2" s="1"/>
  <c r="C8924" i="2"/>
  <c r="G8924" i="2" s="1"/>
  <c r="C8947" i="2"/>
  <c r="G8947" i="2" s="1"/>
  <c r="C8987" i="2"/>
  <c r="G8987" i="2" s="1"/>
  <c r="C9000" i="2"/>
  <c r="G9000" i="2" s="1"/>
  <c r="C9040" i="2"/>
  <c r="G9040" i="2" s="1"/>
  <c r="C9060" i="2"/>
  <c r="G9060" i="2" s="1"/>
  <c r="C9080" i="2"/>
  <c r="G9080" i="2" s="1"/>
  <c r="C9093" i="2"/>
  <c r="G9093" i="2" s="1"/>
  <c r="C9100" i="2"/>
  <c r="G9100" i="2" s="1"/>
  <c r="C9107" i="2"/>
  <c r="G9107" i="2" s="1"/>
  <c r="C9147" i="2"/>
  <c r="G9147" i="2" s="1"/>
  <c r="C9160" i="2"/>
  <c r="G9160" i="2" s="1"/>
  <c r="C9177" i="2"/>
  <c r="G9177" i="2" s="1"/>
  <c r="C9187" i="2"/>
  <c r="G9187" i="2" s="1"/>
  <c r="C9197" i="2"/>
  <c r="G9197" i="2" s="1"/>
  <c r="C9204" i="2"/>
  <c r="G9204" i="2" s="1"/>
  <c r="C9227" i="2"/>
  <c r="G9227" i="2" s="1"/>
  <c r="C9257" i="2"/>
  <c r="G9257" i="2" s="1"/>
  <c r="C9267" i="2"/>
  <c r="G9267" i="2" s="1"/>
  <c r="C9288" i="2"/>
  <c r="G9288" i="2" s="1"/>
  <c r="C9308" i="2"/>
  <c r="G9308" i="2" s="1"/>
  <c r="C9328" i="2"/>
  <c r="G9328" i="2" s="1"/>
  <c r="C9345" i="2"/>
  <c r="G9345" i="2" s="1"/>
  <c r="C9396" i="2"/>
  <c r="G9396" i="2" s="1"/>
  <c r="C9403" i="2"/>
  <c r="G9403" i="2" s="1"/>
  <c r="C9424" i="2"/>
  <c r="G9424" i="2" s="1"/>
  <c r="C9431" i="2"/>
  <c r="G9431" i="2" s="1"/>
  <c r="C9452" i="2"/>
  <c r="G9452" i="2" s="1"/>
  <c r="C602" i="2"/>
  <c r="G602" i="2" s="1"/>
  <c r="C658" i="2"/>
  <c r="G658" i="2" s="1"/>
  <c r="C690" i="2"/>
  <c r="G690" i="2" s="1"/>
  <c r="C722" i="2"/>
  <c r="G722" i="2" s="1"/>
  <c r="C754" i="2"/>
  <c r="G754" i="2" s="1"/>
  <c r="C786" i="2"/>
  <c r="G786" i="2" s="1"/>
  <c r="C1075" i="2"/>
  <c r="G1075" i="2" s="1"/>
  <c r="C1139" i="2"/>
  <c r="G1139" i="2" s="1"/>
  <c r="C1216" i="2"/>
  <c r="G1216" i="2" s="1"/>
  <c r="C1089" i="2"/>
  <c r="G1089" i="2" s="1"/>
  <c r="C1153" i="2"/>
  <c r="G1153" i="2" s="1"/>
  <c r="C1469" i="2"/>
  <c r="G1469" i="2" s="1"/>
  <c r="C578" i="2"/>
  <c r="G578" i="2" s="1"/>
  <c r="C642" i="2"/>
  <c r="G642" i="2" s="1"/>
  <c r="C662" i="2"/>
  <c r="G662" i="2" s="1"/>
  <c r="C694" i="2"/>
  <c r="G694" i="2" s="1"/>
  <c r="C758" i="2"/>
  <c r="G758" i="2" s="1"/>
  <c r="C1053" i="2"/>
  <c r="G1053" i="2" s="1"/>
  <c r="C1248" i="2"/>
  <c r="G1248" i="2" s="1"/>
  <c r="C1405" i="2"/>
  <c r="G1405" i="2" s="1"/>
  <c r="C1432" i="2"/>
  <c r="G1432" i="2" s="1"/>
  <c r="C570" i="2"/>
  <c r="G570" i="2" s="1"/>
  <c r="C634" i="2"/>
  <c r="G634" i="2" s="1"/>
  <c r="C674" i="2"/>
  <c r="G674" i="2" s="1"/>
  <c r="C706" i="2"/>
  <c r="G706" i="2" s="1"/>
  <c r="C738" i="2"/>
  <c r="G738" i="2" s="1"/>
  <c r="C770" i="2"/>
  <c r="G770" i="2" s="1"/>
  <c r="C554" i="2"/>
  <c r="G554" i="2" s="1"/>
  <c r="C698" i="2"/>
  <c r="G698" i="2" s="1"/>
  <c r="C730" i="2"/>
  <c r="G730" i="2" s="1"/>
  <c r="C762" i="2"/>
  <c r="G762" i="2" s="1"/>
  <c r="C1064" i="2"/>
  <c r="G1064" i="2" s="1"/>
  <c r="C1128" i="2"/>
  <c r="G1128" i="2" s="1"/>
  <c r="C1280" i="2"/>
  <c r="G1280" i="2" s="1"/>
  <c r="C1420" i="2"/>
  <c r="G1420" i="2" s="1"/>
  <c r="C1548" i="2"/>
  <c r="G1548" i="2" s="1"/>
  <c r="C1084" i="2"/>
  <c r="G1084" i="2" s="1"/>
  <c r="C1148" i="2"/>
  <c r="G1148" i="2" s="1"/>
  <c r="C1372" i="2"/>
  <c r="G1372" i="2" s="1"/>
  <c r="C1384" i="2"/>
  <c r="G1384" i="2" s="1"/>
  <c r="C1436" i="2"/>
  <c r="G1436" i="2" s="1"/>
  <c r="C1448" i="2"/>
  <c r="G1448" i="2" s="1"/>
  <c r="C1500" i="2"/>
  <c r="G1500" i="2" s="1"/>
  <c r="C1512" i="2"/>
  <c r="G1512" i="2" s="1"/>
  <c r="C1564" i="2"/>
  <c r="G1564" i="2" s="1"/>
  <c r="C1576" i="2"/>
  <c r="G1576" i="2" s="1"/>
  <c r="C2157" i="2"/>
  <c r="G2157" i="2" s="1"/>
  <c r="C2173" i="2"/>
  <c r="G2173" i="2" s="1"/>
  <c r="C2189" i="2"/>
  <c r="G2189" i="2" s="1"/>
  <c r="C2205" i="2"/>
  <c r="G2205" i="2" s="1"/>
  <c r="C2221" i="2"/>
  <c r="G2221" i="2" s="1"/>
  <c r="C2254" i="2"/>
  <c r="G2254" i="2" s="1"/>
  <c r="C2276" i="2"/>
  <c r="G2276" i="2" s="1"/>
  <c r="C2340" i="2"/>
  <c r="G2340" i="2" s="1"/>
  <c r="C1068" i="2"/>
  <c r="G1068" i="2" s="1"/>
  <c r="C1132" i="2"/>
  <c r="G1132" i="2" s="1"/>
  <c r="C3438" i="2"/>
  <c r="G3438" i="2" s="1"/>
  <c r="C1116" i="2"/>
  <c r="G1116" i="2" s="1"/>
  <c r="C1352" i="2"/>
  <c r="G1352" i="2" s="1"/>
  <c r="C1404" i="2"/>
  <c r="G1404" i="2" s="1"/>
  <c r="C1416" i="2"/>
  <c r="G1416" i="2" s="1"/>
  <c r="C1468" i="2"/>
  <c r="G1468" i="2" s="1"/>
  <c r="C1480" i="2"/>
  <c r="G1480" i="2" s="1"/>
  <c r="C1532" i="2"/>
  <c r="G1532" i="2" s="1"/>
  <c r="C1544" i="2"/>
  <c r="G1544" i="2" s="1"/>
  <c r="C1596" i="2"/>
  <c r="G1596" i="2" s="1"/>
  <c r="C1608" i="2"/>
  <c r="G1608" i="2" s="1"/>
  <c r="C1108" i="2"/>
  <c r="G1108" i="2" s="1"/>
  <c r="C1172" i="2"/>
  <c r="G1172" i="2" s="1"/>
  <c r="C1195" i="2"/>
  <c r="G1195" i="2" s="1"/>
  <c r="C1204" i="2"/>
  <c r="G1204" i="2" s="1"/>
  <c r="C1227" i="2"/>
  <c r="G1227" i="2" s="1"/>
  <c r="C1236" i="2"/>
  <c r="G1236" i="2" s="1"/>
  <c r="C1259" i="2"/>
  <c r="G1259" i="2" s="1"/>
  <c r="C1268" i="2"/>
  <c r="G1268" i="2" s="1"/>
  <c r="C1291" i="2"/>
  <c r="G1291" i="2" s="1"/>
  <c r="C1300" i="2"/>
  <c r="G1300" i="2" s="1"/>
  <c r="C1323" i="2"/>
  <c r="G1323" i="2" s="1"/>
  <c r="C1332" i="2"/>
  <c r="G1332" i="2" s="1"/>
  <c r="C1380" i="2"/>
  <c r="G1380" i="2" s="1"/>
  <c r="C1392" i="2"/>
  <c r="G1392" i="2" s="1"/>
  <c r="C1444" i="2"/>
  <c r="G1444" i="2" s="1"/>
  <c r="C1456" i="2"/>
  <c r="G1456" i="2" s="1"/>
  <c r="C1508" i="2"/>
  <c r="G1508" i="2" s="1"/>
  <c r="C1520" i="2"/>
  <c r="G1520" i="2" s="1"/>
  <c r="C1572" i="2"/>
  <c r="G1572" i="2" s="1"/>
  <c r="C1584" i="2"/>
  <c r="G1584" i="2" s="1"/>
  <c r="C1621" i="2"/>
  <c r="G1621" i="2" s="1"/>
  <c r="C1637" i="2"/>
  <c r="G1637" i="2" s="1"/>
  <c r="C1653" i="2"/>
  <c r="G1653" i="2" s="1"/>
  <c r="C1669" i="2"/>
  <c r="G1669" i="2" s="1"/>
  <c r="C1685" i="2"/>
  <c r="G1685" i="2" s="1"/>
  <c r="C1701" i="2"/>
  <c r="G1701" i="2" s="1"/>
  <c r="C1717" i="2"/>
  <c r="G1717" i="2" s="1"/>
  <c r="C1733" i="2"/>
  <c r="G1733" i="2" s="1"/>
  <c r="C1749" i="2"/>
  <c r="G1749" i="2" s="1"/>
  <c r="C1765" i="2"/>
  <c r="G1765" i="2" s="1"/>
  <c r="C1781" i="2"/>
  <c r="G1781" i="2" s="1"/>
  <c r="C1797" i="2"/>
  <c r="G1797" i="2" s="1"/>
  <c r="C1813" i="2"/>
  <c r="G1813" i="2" s="1"/>
  <c r="C1829" i="2"/>
  <c r="G1829" i="2" s="1"/>
  <c r="C1845" i="2"/>
  <c r="G1845" i="2" s="1"/>
  <c r="C1877" i="2"/>
  <c r="G1877" i="2" s="1"/>
  <c r="C1893" i="2"/>
  <c r="G1893" i="2" s="1"/>
  <c r="C1925" i="2"/>
  <c r="G1925" i="2" s="1"/>
  <c r="C1941" i="2"/>
  <c r="G1941" i="2" s="1"/>
  <c r="C1957" i="2"/>
  <c r="G1957" i="2" s="1"/>
  <c r="C1973" i="2"/>
  <c r="G1973" i="2" s="1"/>
  <c r="C1989" i="2"/>
  <c r="G1989" i="2" s="1"/>
  <c r="C2021" i="2"/>
  <c r="G2021" i="2" s="1"/>
  <c r="C2037" i="2"/>
  <c r="G2037" i="2" s="1"/>
  <c r="C2053" i="2"/>
  <c r="G2053" i="2" s="1"/>
  <c r="C2069" i="2"/>
  <c r="G2069" i="2" s="1"/>
  <c r="C2085" i="2"/>
  <c r="G2085" i="2" s="1"/>
  <c r="C2101" i="2"/>
  <c r="G2101" i="2" s="1"/>
  <c r="C2117" i="2"/>
  <c r="G2117" i="2" s="1"/>
  <c r="C2133" i="2"/>
  <c r="G2133" i="2" s="1"/>
  <c r="C2149" i="2"/>
  <c r="G2149" i="2" s="1"/>
  <c r="C2165" i="2"/>
  <c r="G2165" i="2" s="1"/>
  <c r="C2181" i="2"/>
  <c r="G2181" i="2" s="1"/>
  <c r="C2197" i="2"/>
  <c r="G2197" i="2" s="1"/>
  <c r="C2229" i="2"/>
  <c r="G2229" i="2" s="1"/>
  <c r="C2265" i="2"/>
  <c r="G2265" i="2" s="1"/>
  <c r="C2308" i="2"/>
  <c r="G2308" i="2" s="1"/>
  <c r="C3377" i="2"/>
  <c r="G3377" i="2" s="1"/>
  <c r="C3636" i="2"/>
  <c r="G3636" i="2" s="1"/>
  <c r="C3388" i="2"/>
  <c r="G3388" i="2" s="1"/>
  <c r="C2244" i="2"/>
  <c r="G2244" i="2" s="1"/>
  <c r="C2292" i="2"/>
  <c r="G2292" i="2" s="1"/>
  <c r="C2301" i="2"/>
  <c r="G2301" i="2" s="1"/>
  <c r="C2324" i="2"/>
  <c r="G2324" i="2" s="1"/>
  <c r="C2333" i="2"/>
  <c r="G2333" i="2" s="1"/>
  <c r="C2356" i="2"/>
  <c r="G2356" i="2" s="1"/>
  <c r="C2420" i="2"/>
  <c r="G2420" i="2" s="1"/>
  <c r="C3828" i="2"/>
  <c r="G3828" i="2" s="1"/>
  <c r="C4564" i="2"/>
  <c r="G4564" i="2" s="1"/>
  <c r="C5266" i="2"/>
  <c r="G5266" i="2" s="1"/>
  <c r="C2236" i="2"/>
  <c r="G2236" i="2" s="1"/>
  <c r="C2396" i="2"/>
  <c r="G2396" i="2" s="1"/>
  <c r="C2460" i="2"/>
  <c r="G2460" i="2" s="1"/>
  <c r="C3260" i="2"/>
  <c r="G3260" i="2" s="1"/>
  <c r="C3352" i="2"/>
  <c r="G3352" i="2" s="1"/>
  <c r="C3399" i="2"/>
  <c r="G3399" i="2" s="1"/>
  <c r="C3464" i="2"/>
  <c r="G3464" i="2" s="1"/>
  <c r="C2412" i="2"/>
  <c r="G2412" i="2" s="1"/>
  <c r="C3271" i="2"/>
  <c r="G3271" i="2" s="1"/>
  <c r="C3363" i="2"/>
  <c r="G3363" i="2" s="1"/>
  <c r="C3441" i="2"/>
  <c r="G3441" i="2" s="1"/>
  <c r="C3255" i="2"/>
  <c r="G3255" i="2" s="1"/>
  <c r="C3319" i="2"/>
  <c r="G3319" i="2" s="1"/>
  <c r="C3383" i="2"/>
  <c r="G3383" i="2" s="1"/>
  <c r="C3447" i="2"/>
  <c r="G3447" i="2" s="1"/>
  <c r="C3456" i="2"/>
  <c r="G3456" i="2" s="1"/>
  <c r="C3479" i="2"/>
  <c r="G3479" i="2" s="1"/>
  <c r="C3620" i="2"/>
  <c r="G3620" i="2" s="1"/>
  <c r="C3684" i="2"/>
  <c r="G3684" i="2" s="1"/>
  <c r="C3812" i="2"/>
  <c r="G3812" i="2" s="1"/>
  <c r="C3876" i="2"/>
  <c r="G3876" i="2" s="1"/>
  <c r="C4260" i="2"/>
  <c r="G4260" i="2" s="1"/>
  <c r="C4277" i="2"/>
  <c r="G4277" i="2" s="1"/>
  <c r="C4299" i="2"/>
  <c r="G4299" i="2" s="1"/>
  <c r="C4430" i="2"/>
  <c r="G4430" i="2" s="1"/>
  <c r="C4238" i="2"/>
  <c r="G4238" i="2" s="1"/>
  <c r="C4313" i="2"/>
  <c r="G4313" i="2" s="1"/>
  <c r="C4352" i="2"/>
  <c r="G4352" i="2" s="1"/>
  <c r="C4613" i="2"/>
  <c r="G4613" i="2" s="1"/>
  <c r="C4696" i="2"/>
  <c r="G4696" i="2" s="1"/>
  <c r="C4760" i="2"/>
  <c r="G4760" i="2" s="1"/>
  <c r="C5138" i="2"/>
  <c r="G5138" i="2" s="1"/>
  <c r="C3287" i="2"/>
  <c r="G3287" i="2" s="1"/>
  <c r="C3351" i="2"/>
  <c r="G3351" i="2" s="1"/>
  <c r="C3415" i="2"/>
  <c r="G3415" i="2" s="1"/>
  <c r="C3463" i="2"/>
  <c r="G3463" i="2" s="1"/>
  <c r="C3472" i="2"/>
  <c r="G3472" i="2" s="1"/>
  <c r="C3496" i="2"/>
  <c r="G3496" i="2" s="1"/>
  <c r="C3652" i="2"/>
  <c r="G3652" i="2" s="1"/>
  <c r="C3716" i="2"/>
  <c r="G3716" i="2" s="1"/>
  <c r="C3780" i="2"/>
  <c r="G3780" i="2" s="1"/>
  <c r="C3844" i="2"/>
  <c r="G3844" i="2" s="1"/>
  <c r="C4388" i="2"/>
  <c r="G4388" i="2" s="1"/>
  <c r="C4405" i="2"/>
  <c r="G4405" i="2" s="1"/>
  <c r="C4427" i="2"/>
  <c r="G4427" i="2" s="1"/>
  <c r="C4483" i="2"/>
  <c r="G4483" i="2" s="1"/>
  <c r="C3279" i="2"/>
  <c r="G3279" i="2" s="1"/>
  <c r="C3343" i="2"/>
  <c r="G3343" i="2" s="1"/>
  <c r="C3407" i="2"/>
  <c r="G3407" i="2" s="1"/>
  <c r="C3484" i="2"/>
  <c r="G3484" i="2" s="1"/>
  <c r="C3512" i="2"/>
  <c r="G3512" i="2" s="1"/>
  <c r="C3528" i="2"/>
  <c r="G3528" i="2" s="1"/>
  <c r="C3544" i="2"/>
  <c r="G3544" i="2" s="1"/>
  <c r="C3560" i="2"/>
  <c r="G3560" i="2" s="1"/>
  <c r="C3576" i="2"/>
  <c r="G3576" i="2" s="1"/>
  <c r="C3612" i="2"/>
  <c r="G3612" i="2" s="1"/>
  <c r="C3676" i="2"/>
  <c r="G3676" i="2" s="1"/>
  <c r="C3740" i="2"/>
  <c r="G3740" i="2" s="1"/>
  <c r="C3804" i="2"/>
  <c r="G3804" i="2" s="1"/>
  <c r="C3868" i="2"/>
  <c r="G3868" i="2" s="1"/>
  <c r="C3908" i="2"/>
  <c r="G3908" i="2" s="1"/>
  <c r="C3924" i="2"/>
  <c r="G3924" i="2" s="1"/>
  <c r="C3972" i="2"/>
  <c r="G3972" i="2" s="1"/>
  <c r="C3988" i="2"/>
  <c r="G3988" i="2" s="1"/>
  <c r="C4004" i="2"/>
  <c r="G4004" i="2" s="1"/>
  <c r="C4020" i="2"/>
  <c r="G4020" i="2" s="1"/>
  <c r="C4036" i="2"/>
  <c r="G4036" i="2" s="1"/>
  <c r="C4052" i="2"/>
  <c r="G4052" i="2" s="1"/>
  <c r="C4068" i="2"/>
  <c r="G4068" i="2" s="1"/>
  <c r="C4084" i="2"/>
  <c r="G4084" i="2" s="1"/>
  <c r="C4100" i="2"/>
  <c r="G4100" i="2" s="1"/>
  <c r="C4116" i="2"/>
  <c r="G4116" i="2" s="1"/>
  <c r="C4132" i="2"/>
  <c r="G4132" i="2" s="1"/>
  <c r="C4148" i="2"/>
  <c r="G4148" i="2" s="1"/>
  <c r="C4164" i="2"/>
  <c r="G4164" i="2" s="1"/>
  <c r="C4180" i="2"/>
  <c r="G4180" i="2" s="1"/>
  <c r="C4196" i="2"/>
  <c r="G4196" i="2" s="1"/>
  <c r="C4213" i="2"/>
  <c r="G4213" i="2" s="1"/>
  <c r="C4235" i="2"/>
  <c r="G4235" i="2" s="1"/>
  <c r="C4366" i="2"/>
  <c r="G4366" i="2" s="1"/>
  <c r="C4441" i="2"/>
  <c r="G4441" i="2" s="1"/>
  <c r="C4640" i="2"/>
  <c r="G4640" i="2" s="1"/>
  <c r="C4680" i="2"/>
  <c r="G4680" i="2" s="1"/>
  <c r="C4744" i="2"/>
  <c r="G4744" i="2" s="1"/>
  <c r="C4829" i="2"/>
  <c r="G4829" i="2" s="1"/>
  <c r="C4236" i="2"/>
  <c r="G4236" i="2" s="1"/>
  <c r="C4300" i="2"/>
  <c r="G4300" i="2" s="1"/>
  <c r="C4364" i="2"/>
  <c r="G4364" i="2" s="1"/>
  <c r="C4556" i="2"/>
  <c r="G4556" i="2" s="1"/>
  <c r="C4568" i="2"/>
  <c r="G4568" i="2" s="1"/>
  <c r="C4620" i="2"/>
  <c r="G4620" i="2" s="1"/>
  <c r="C4632" i="2"/>
  <c r="G4632" i="2" s="1"/>
  <c r="C4771" i="2"/>
  <c r="G4771" i="2" s="1"/>
  <c r="C4918" i="2"/>
  <c r="G4918" i="2" s="1"/>
  <c r="C4228" i="2"/>
  <c r="G4228" i="2" s="1"/>
  <c r="C4292" i="2"/>
  <c r="G4292" i="2" s="1"/>
  <c r="C4356" i="2"/>
  <c r="G4356" i="2" s="1"/>
  <c r="C4420" i="2"/>
  <c r="G4420" i="2" s="1"/>
  <c r="C4476" i="2"/>
  <c r="G4476" i="2" s="1"/>
  <c r="C4499" i="2"/>
  <c r="G4499" i="2" s="1"/>
  <c r="C4508" i="2"/>
  <c r="G4508" i="2" s="1"/>
  <c r="C4532" i="2"/>
  <c r="G4532" i="2" s="1"/>
  <c r="C4544" i="2"/>
  <c r="G4544" i="2" s="1"/>
  <c r="C4608" i="2"/>
  <c r="G4608" i="2" s="1"/>
  <c r="C4660" i="2"/>
  <c r="G4660" i="2" s="1"/>
  <c r="C4672" i="2"/>
  <c r="G4672" i="2" s="1"/>
  <c r="C4688" i="2"/>
  <c r="G4688" i="2" s="1"/>
  <c r="C4704" i="2"/>
  <c r="G4704" i="2" s="1"/>
  <c r="C4720" i="2"/>
  <c r="G4720" i="2" s="1"/>
  <c r="C4736" i="2"/>
  <c r="G4736" i="2" s="1"/>
  <c r="C4752" i="2"/>
  <c r="G4752" i="2" s="1"/>
  <c r="C4768" i="2"/>
  <c r="G4768" i="2" s="1"/>
  <c r="C4846" i="2"/>
  <c r="G4846" i="2" s="1"/>
  <c r="C5005" i="2"/>
  <c r="G5005" i="2" s="1"/>
  <c r="C5106" i="2"/>
  <c r="G5106" i="2" s="1"/>
  <c r="C5202" i="2"/>
  <c r="G5202" i="2" s="1"/>
  <c r="C5330" i="2"/>
  <c r="G5330" i="2" s="1"/>
  <c r="C5742" i="2"/>
  <c r="G5742" i="2" s="1"/>
  <c r="C4909" i="2"/>
  <c r="G4909" i="2" s="1"/>
  <c r="C4212" i="2"/>
  <c r="G4212" i="2" s="1"/>
  <c r="C4276" i="2"/>
  <c r="G4276" i="2" s="1"/>
  <c r="C4340" i="2"/>
  <c r="G4340" i="2" s="1"/>
  <c r="C4404" i="2"/>
  <c r="G4404" i="2" s="1"/>
  <c r="C4468" i="2"/>
  <c r="G4468" i="2" s="1"/>
  <c r="C4491" i="2"/>
  <c r="G4491" i="2" s="1"/>
  <c r="C4500" i="2"/>
  <c r="G4500" i="2" s="1"/>
  <c r="C4548" i="2"/>
  <c r="G4548" i="2" s="1"/>
  <c r="C4560" i="2"/>
  <c r="G4560" i="2" s="1"/>
  <c r="C4612" i="2"/>
  <c r="G4612" i="2" s="1"/>
  <c r="C4624" i="2"/>
  <c r="G4624" i="2" s="1"/>
  <c r="C4821" i="2"/>
  <c r="G4821" i="2" s="1"/>
  <c r="C4204" i="2"/>
  <c r="G4204" i="2" s="1"/>
  <c r="C4268" i="2"/>
  <c r="G4268" i="2" s="1"/>
  <c r="C4332" i="2"/>
  <c r="G4332" i="2" s="1"/>
  <c r="C4396" i="2"/>
  <c r="G4396" i="2" s="1"/>
  <c r="C4460" i="2"/>
  <c r="G4460" i="2" s="1"/>
  <c r="C4536" i="2"/>
  <c r="G4536" i="2" s="1"/>
  <c r="C4588" i="2"/>
  <c r="G4588" i="2" s="1"/>
  <c r="C4600" i="2"/>
  <c r="G4600" i="2" s="1"/>
  <c r="C4652" i="2"/>
  <c r="G4652" i="2" s="1"/>
  <c r="C4782" i="2"/>
  <c r="G4782" i="2" s="1"/>
  <c r="C4857" i="2"/>
  <c r="G4857" i="2" s="1"/>
  <c r="C4897" i="2"/>
  <c r="G4897" i="2" s="1"/>
  <c r="C4973" i="2"/>
  <c r="G4973" i="2" s="1"/>
  <c r="C5046" i="2"/>
  <c r="G5046" i="2" s="1"/>
  <c r="C5082" i="2"/>
  <c r="G5082" i="2" s="1"/>
  <c r="C5097" i="2"/>
  <c r="G5097" i="2" s="1"/>
  <c r="C5154" i="2"/>
  <c r="G5154" i="2" s="1"/>
  <c r="C5282" i="2"/>
  <c r="G5282" i="2" s="1"/>
  <c r="C5873" i="2"/>
  <c r="G5873" i="2" s="1"/>
  <c r="C4769" i="2"/>
  <c r="G4769" i="2" s="1"/>
  <c r="C4833" i="2"/>
  <c r="G4833" i="2" s="1"/>
  <c r="C4881" i="2"/>
  <c r="G4881" i="2" s="1"/>
  <c r="C4913" i="2"/>
  <c r="G4913" i="2" s="1"/>
  <c r="C4945" i="2"/>
  <c r="G4945" i="2" s="1"/>
  <c r="C5009" i="2"/>
  <c r="G5009" i="2" s="1"/>
  <c r="C5041" i="2"/>
  <c r="G5041" i="2" s="1"/>
  <c r="C5074" i="2"/>
  <c r="G5074" i="2" s="1"/>
  <c r="C5089" i="2"/>
  <c r="G5089" i="2" s="1"/>
  <c r="C5713" i="2"/>
  <c r="G5713" i="2" s="1"/>
  <c r="C5777" i="2"/>
  <c r="G5777" i="2" s="1"/>
  <c r="C5841" i="2"/>
  <c r="G5841" i="2" s="1"/>
  <c r="C5905" i="2"/>
  <c r="G5905" i="2" s="1"/>
  <c r="C5932" i="2"/>
  <c r="G5932" i="2" s="1"/>
  <c r="C6240" i="2"/>
  <c r="G6240" i="2" s="1"/>
  <c r="C6334" i="2"/>
  <c r="G6334" i="2" s="1"/>
  <c r="C4925" i="2"/>
  <c r="G4925" i="2" s="1"/>
  <c r="C4957" i="2"/>
  <c r="G4957" i="2" s="1"/>
  <c r="C4989" i="2"/>
  <c r="G4989" i="2" s="1"/>
  <c r="C5021" i="2"/>
  <c r="G5021" i="2" s="1"/>
  <c r="C5053" i="2"/>
  <c r="G5053" i="2" s="1"/>
  <c r="C5065" i="2"/>
  <c r="G5065" i="2" s="1"/>
  <c r="C5114" i="2"/>
  <c r="G5114" i="2" s="1"/>
  <c r="C4809" i="2"/>
  <c r="G4809" i="2" s="1"/>
  <c r="C4885" i="2"/>
  <c r="G4885" i="2" s="1"/>
  <c r="C4917" i="2"/>
  <c r="G4917" i="2" s="1"/>
  <c r="C4949" i="2"/>
  <c r="G4949" i="2" s="1"/>
  <c r="C4981" i="2"/>
  <c r="G4981" i="2" s="1"/>
  <c r="C5013" i="2"/>
  <c r="G5013" i="2" s="1"/>
  <c r="C5045" i="2"/>
  <c r="G5045" i="2" s="1"/>
  <c r="C5066" i="2"/>
  <c r="G5066" i="2" s="1"/>
  <c r="C5081" i="2"/>
  <c r="G5081" i="2" s="1"/>
  <c r="C5121" i="2"/>
  <c r="G5121" i="2" s="1"/>
  <c r="C5137" i="2"/>
  <c r="G5137" i="2" s="1"/>
  <c r="C5153" i="2"/>
  <c r="G5153" i="2" s="1"/>
  <c r="C5169" i="2"/>
  <c r="G5169" i="2" s="1"/>
  <c r="C5185" i="2"/>
  <c r="G5185" i="2" s="1"/>
  <c r="C5201" i="2"/>
  <c r="G5201" i="2" s="1"/>
  <c r="C5217" i="2"/>
  <c r="G5217" i="2" s="1"/>
  <c r="C5233" i="2"/>
  <c r="G5233" i="2" s="1"/>
  <c r="C5249" i="2"/>
  <c r="G5249" i="2" s="1"/>
  <c r="C5265" i="2"/>
  <c r="G5265" i="2" s="1"/>
  <c r="C5281" i="2"/>
  <c r="G5281" i="2" s="1"/>
  <c r="C5297" i="2"/>
  <c r="G5297" i="2" s="1"/>
  <c r="C5313" i="2"/>
  <c r="G5313" i="2" s="1"/>
  <c r="C5329" i="2"/>
  <c r="G5329" i="2" s="1"/>
  <c r="C5345" i="2"/>
  <c r="G5345" i="2" s="1"/>
  <c r="C5361" i="2"/>
  <c r="G5361" i="2" s="1"/>
  <c r="C5377" i="2"/>
  <c r="G5377" i="2" s="1"/>
  <c r="C5393" i="2"/>
  <c r="G5393" i="2" s="1"/>
  <c r="C5409" i="2"/>
  <c r="G5409" i="2" s="1"/>
  <c r="C5425" i="2"/>
  <c r="G5425" i="2" s="1"/>
  <c r="C5441" i="2"/>
  <c r="G5441" i="2" s="1"/>
  <c r="C5457" i="2"/>
  <c r="G5457" i="2" s="1"/>
  <c r="C5473" i="2"/>
  <c r="G5473" i="2" s="1"/>
  <c r="C5489" i="2"/>
  <c r="G5489" i="2" s="1"/>
  <c r="C5521" i="2"/>
  <c r="G5521" i="2" s="1"/>
  <c r="C5537" i="2"/>
  <c r="G5537" i="2" s="1"/>
  <c r="C5553" i="2"/>
  <c r="G5553" i="2" s="1"/>
  <c r="C5569" i="2"/>
  <c r="G5569" i="2" s="1"/>
  <c r="C5585" i="2"/>
  <c r="G5585" i="2" s="1"/>
  <c r="C5601" i="2"/>
  <c r="G5601" i="2" s="1"/>
  <c r="C5617" i="2"/>
  <c r="G5617" i="2" s="1"/>
  <c r="C5633" i="2"/>
  <c r="G5633" i="2" s="1"/>
  <c r="C5649" i="2"/>
  <c r="G5649" i="2" s="1"/>
  <c r="C5665" i="2"/>
  <c r="G5665" i="2" s="1"/>
  <c r="C5681" i="2"/>
  <c r="G5681" i="2" s="1"/>
  <c r="C5721" i="2"/>
  <c r="G5721" i="2" s="1"/>
  <c r="C5785" i="2"/>
  <c r="G5785" i="2" s="1"/>
  <c r="C5849" i="2"/>
  <c r="G5849" i="2" s="1"/>
  <c r="C5913" i="2"/>
  <c r="G5913" i="2" s="1"/>
  <c r="C5943" i="2"/>
  <c r="G5943" i="2" s="1"/>
  <c r="C6230" i="2"/>
  <c r="G6230" i="2" s="1"/>
  <c r="C6368" i="2"/>
  <c r="G6368" i="2" s="1"/>
  <c r="C6482" i="2"/>
  <c r="G6482" i="2" s="1"/>
  <c r="C5927" i="2"/>
  <c r="G5927" i="2" s="1"/>
  <c r="C5975" i="2"/>
  <c r="G5975" i="2" s="1"/>
  <c r="C6248" i="2"/>
  <c r="G6248" i="2" s="1"/>
  <c r="C6278" i="2"/>
  <c r="G6278" i="2" s="1"/>
  <c r="C6312" i="2"/>
  <c r="G6312" i="2" s="1"/>
  <c r="C6342" i="2"/>
  <c r="G6342" i="2" s="1"/>
  <c r="C6376" i="2"/>
  <c r="G6376" i="2" s="1"/>
  <c r="C6406" i="2"/>
  <c r="G6406" i="2" s="1"/>
  <c r="C6443" i="2"/>
  <c r="G6443" i="2" s="1"/>
  <c r="C6507" i="2"/>
  <c r="G6507" i="2" s="1"/>
  <c r="C6567" i="2"/>
  <c r="G6567" i="2" s="1"/>
  <c r="C5976" i="2"/>
  <c r="G5976" i="2" s="1"/>
  <c r="C6184" i="2"/>
  <c r="G6184" i="2" s="1"/>
  <c r="C6190" i="2"/>
  <c r="G6190" i="2" s="1"/>
  <c r="C6200" i="2"/>
  <c r="G6200" i="2" s="1"/>
  <c r="C6206" i="2"/>
  <c r="G6206" i="2" s="1"/>
  <c r="C6216" i="2"/>
  <c r="G6216" i="2" s="1"/>
  <c r="C6222" i="2"/>
  <c r="G6222" i="2" s="1"/>
  <c r="C6256" i="2"/>
  <c r="G6256" i="2" s="1"/>
  <c r="C6286" i="2"/>
  <c r="G6286" i="2" s="1"/>
  <c r="C6320" i="2"/>
  <c r="G6320" i="2" s="1"/>
  <c r="C6350" i="2"/>
  <c r="G6350" i="2" s="1"/>
  <c r="C6384" i="2"/>
  <c r="G6384" i="2" s="1"/>
  <c r="C6414" i="2"/>
  <c r="G6414" i="2" s="1"/>
  <c r="C6485" i="2"/>
  <c r="G6485" i="2" s="1"/>
  <c r="C6668" i="2"/>
  <c r="G6668" i="2" s="1"/>
  <c r="C5959" i="2"/>
  <c r="G5959" i="2" s="1"/>
  <c r="C6246" i="2"/>
  <c r="G6246" i="2" s="1"/>
  <c r="C6280" i="2"/>
  <c r="G6280" i="2" s="1"/>
  <c r="C6310" i="2"/>
  <c r="G6310" i="2" s="1"/>
  <c r="C6344" i="2"/>
  <c r="G6344" i="2" s="1"/>
  <c r="C6374" i="2"/>
  <c r="G6374" i="2" s="1"/>
  <c r="C6408" i="2"/>
  <c r="G6408" i="2" s="1"/>
  <c r="C6555" i="2"/>
  <c r="G6555" i="2" s="1"/>
  <c r="C6491" i="2"/>
  <c r="G6491" i="2" s="1"/>
  <c r="C6519" i="2"/>
  <c r="G6519" i="2" s="1"/>
  <c r="C6571" i="2"/>
  <c r="G6571" i="2" s="1"/>
  <c r="C6583" i="2"/>
  <c r="G6583" i="2" s="1"/>
  <c r="C6635" i="2"/>
  <c r="G6635" i="2" s="1"/>
  <c r="C6647" i="2"/>
  <c r="G6647" i="2" s="1"/>
  <c r="C7140" i="2"/>
  <c r="G7140" i="2" s="1"/>
  <c r="C6475" i="2"/>
  <c r="G6475" i="2" s="1"/>
  <c r="C6523" i="2"/>
  <c r="G6523" i="2" s="1"/>
  <c r="C6535" i="2"/>
  <c r="G6535" i="2" s="1"/>
  <c r="C6587" i="2"/>
  <c r="G6587" i="2" s="1"/>
  <c r="C6599" i="2"/>
  <c r="G6599" i="2" s="1"/>
  <c r="C6651" i="2"/>
  <c r="G6651" i="2" s="1"/>
  <c r="C6663" i="2"/>
  <c r="G6663" i="2" s="1"/>
  <c r="C7076" i="2"/>
  <c r="G7076" i="2" s="1"/>
  <c r="C7151" i="2"/>
  <c r="G7151" i="2" s="1"/>
  <c r="C6459" i="2"/>
  <c r="G6459" i="2" s="1"/>
  <c r="C6539" i="2"/>
  <c r="G6539" i="2" s="1"/>
  <c r="C6551" i="2"/>
  <c r="G6551" i="2" s="1"/>
  <c r="C6603" i="2"/>
  <c r="G6603" i="2" s="1"/>
  <c r="C6615" i="2"/>
  <c r="G6615" i="2" s="1"/>
  <c r="C6667" i="2"/>
  <c r="G6667" i="2" s="1"/>
  <c r="C6451" i="2"/>
  <c r="G6451" i="2" s="1"/>
  <c r="C6515" i="2"/>
  <c r="G6515" i="2" s="1"/>
  <c r="C6527" i="2"/>
  <c r="G6527" i="2" s="1"/>
  <c r="C6579" i="2"/>
  <c r="G6579" i="2" s="1"/>
  <c r="C6591" i="2"/>
  <c r="G6591" i="2" s="1"/>
  <c r="C6655" i="2"/>
  <c r="G6655" i="2" s="1"/>
  <c r="C7112" i="2"/>
  <c r="G7112" i="2" s="1"/>
  <c r="C7129" i="2"/>
  <c r="G7129" i="2" s="1"/>
  <c r="C7165" i="2"/>
  <c r="G7165" i="2" s="1"/>
  <c r="C7088" i="2"/>
  <c r="G7088" i="2" s="1"/>
  <c r="C7152" i="2"/>
  <c r="G7152" i="2" s="1"/>
  <c r="C7169" i="2"/>
  <c r="G7169" i="2" s="1"/>
  <c r="C7193" i="2"/>
  <c r="G7193" i="2" s="1"/>
  <c r="C7209" i="2"/>
  <c r="G7209" i="2" s="1"/>
  <c r="C7225" i="2"/>
  <c r="G7225" i="2" s="1"/>
  <c r="C7241" i="2"/>
  <c r="G7241" i="2" s="1"/>
  <c r="C7257" i="2"/>
  <c r="G7257" i="2" s="1"/>
  <c r="C7273" i="2"/>
  <c r="G7273" i="2" s="1"/>
  <c r="C7289" i="2"/>
  <c r="G7289" i="2" s="1"/>
  <c r="C7305" i="2"/>
  <c r="G7305" i="2" s="1"/>
  <c r="C7321" i="2"/>
  <c r="G7321" i="2" s="1"/>
  <c r="C7337" i="2"/>
  <c r="G7337" i="2" s="1"/>
  <c r="C7507" i="2"/>
  <c r="G7507" i="2" s="1"/>
  <c r="C7080" i="2"/>
  <c r="G7080" i="2" s="1"/>
  <c r="C7144" i="2"/>
  <c r="G7144" i="2" s="1"/>
  <c r="C7379" i="2"/>
  <c r="G7379" i="2" s="1"/>
  <c r="C7392" i="2"/>
  <c r="G7392" i="2" s="1"/>
  <c r="C7443" i="2"/>
  <c r="G7443" i="2" s="1"/>
  <c r="C7493" i="2"/>
  <c r="G7493" i="2" s="1"/>
  <c r="C7934" i="2"/>
  <c r="G7934" i="2" s="1"/>
  <c r="C7136" i="2"/>
  <c r="G7136" i="2" s="1"/>
  <c r="C7184" i="2"/>
  <c r="G7184" i="2" s="1"/>
  <c r="C7194" i="2"/>
  <c r="G7194" i="2" s="1"/>
  <c r="C7200" i="2"/>
  <c r="G7200" i="2" s="1"/>
  <c r="C7210" i="2"/>
  <c r="G7210" i="2" s="1"/>
  <c r="C7216" i="2"/>
  <c r="G7216" i="2" s="1"/>
  <c r="C7226" i="2"/>
  <c r="G7226" i="2" s="1"/>
  <c r="C7232" i="2"/>
  <c r="G7232" i="2" s="1"/>
  <c r="C7242" i="2"/>
  <c r="G7242" i="2" s="1"/>
  <c r="C7248" i="2"/>
  <c r="G7248" i="2" s="1"/>
  <c r="C7258" i="2"/>
  <c r="G7258" i="2" s="1"/>
  <c r="C7264" i="2"/>
  <c r="G7264" i="2" s="1"/>
  <c r="C7274" i="2"/>
  <c r="G7274" i="2" s="1"/>
  <c r="C7280" i="2"/>
  <c r="G7280" i="2" s="1"/>
  <c r="C7290" i="2"/>
  <c r="G7290" i="2" s="1"/>
  <c r="C7296" i="2"/>
  <c r="G7296" i="2" s="1"/>
  <c r="C7306" i="2"/>
  <c r="G7306" i="2" s="1"/>
  <c r="C7312" i="2"/>
  <c r="G7312" i="2" s="1"/>
  <c r="C7322" i="2"/>
  <c r="G7322" i="2" s="1"/>
  <c r="C7328" i="2"/>
  <c r="G7328" i="2" s="1"/>
  <c r="C7338" i="2"/>
  <c r="G7338" i="2" s="1"/>
  <c r="C7344" i="2"/>
  <c r="G7344" i="2" s="1"/>
  <c r="C7354" i="2"/>
  <c r="G7354" i="2" s="1"/>
  <c r="C7360" i="2"/>
  <c r="G7360" i="2" s="1"/>
  <c r="C7370" i="2"/>
  <c r="G7370" i="2" s="1"/>
  <c r="C7376" i="2"/>
  <c r="G7376" i="2" s="1"/>
  <c r="C7429" i="2"/>
  <c r="G7429" i="2" s="1"/>
  <c r="C7504" i="2"/>
  <c r="G7504" i="2" s="1"/>
  <c r="C7120" i="2"/>
  <c r="G7120" i="2" s="1"/>
  <c r="C7176" i="2"/>
  <c r="G7176" i="2" s="1"/>
  <c r="C7185" i="2"/>
  <c r="G7185" i="2" s="1"/>
  <c r="C7201" i="2"/>
  <c r="G7201" i="2" s="1"/>
  <c r="C7217" i="2"/>
  <c r="G7217" i="2" s="1"/>
  <c r="C7249" i="2"/>
  <c r="G7249" i="2" s="1"/>
  <c r="C7265" i="2"/>
  <c r="G7265" i="2" s="1"/>
  <c r="C7281" i="2"/>
  <c r="G7281" i="2" s="1"/>
  <c r="C7297" i="2"/>
  <c r="G7297" i="2" s="1"/>
  <c r="C7313" i="2"/>
  <c r="G7313" i="2" s="1"/>
  <c r="C7329" i="2"/>
  <c r="G7329" i="2" s="1"/>
  <c r="C7454" i="2"/>
  <c r="G7454" i="2" s="1"/>
  <c r="C7546" i="2"/>
  <c r="G7546" i="2" s="1"/>
  <c r="C7425" i="2"/>
  <c r="G7425" i="2" s="1"/>
  <c r="C7489" i="2"/>
  <c r="G7489" i="2" s="1"/>
  <c r="C7553" i="2"/>
  <c r="G7553" i="2" s="1"/>
  <c r="C7586" i="2"/>
  <c r="G7586" i="2" s="1"/>
  <c r="C7601" i="2"/>
  <c r="G7601" i="2" s="1"/>
  <c r="C7801" i="2"/>
  <c r="G7801" i="2" s="1"/>
  <c r="C7865" i="2"/>
  <c r="G7865" i="2" s="1"/>
  <c r="C7929" i="2"/>
  <c r="G7929" i="2" s="1"/>
  <c r="C7993" i="2"/>
  <c r="G7993" i="2" s="1"/>
  <c r="C8118" i="2"/>
  <c r="G8118" i="2" s="1"/>
  <c r="C7401" i="2"/>
  <c r="G7401" i="2" s="1"/>
  <c r="C7529" i="2"/>
  <c r="G7529" i="2" s="1"/>
  <c r="C7578" i="2"/>
  <c r="G7578" i="2" s="1"/>
  <c r="C7593" i="2"/>
  <c r="G7593" i="2" s="1"/>
  <c r="C7873" i="2"/>
  <c r="G7873" i="2" s="1"/>
  <c r="C7937" i="2"/>
  <c r="G7937" i="2" s="1"/>
  <c r="C8001" i="2"/>
  <c r="G8001" i="2" s="1"/>
  <c r="C8049" i="2"/>
  <c r="G8049" i="2" s="1"/>
  <c r="C8081" i="2"/>
  <c r="G8081" i="2" s="1"/>
  <c r="C7385" i="2"/>
  <c r="G7385" i="2" s="1"/>
  <c r="C7449" i="2"/>
  <c r="G7449" i="2" s="1"/>
  <c r="C7513" i="2"/>
  <c r="G7513" i="2" s="1"/>
  <c r="C7594" i="2"/>
  <c r="G7594" i="2" s="1"/>
  <c r="C7609" i="2"/>
  <c r="G7609" i="2" s="1"/>
  <c r="C7377" i="2"/>
  <c r="G7377" i="2" s="1"/>
  <c r="C7441" i="2"/>
  <c r="G7441" i="2" s="1"/>
  <c r="C7505" i="2"/>
  <c r="G7505" i="2" s="1"/>
  <c r="C7570" i="2"/>
  <c r="G7570" i="2" s="1"/>
  <c r="C7585" i="2"/>
  <c r="G7585" i="2" s="1"/>
  <c r="C7625" i="2"/>
  <c r="G7625" i="2" s="1"/>
  <c r="C7641" i="2"/>
  <c r="G7641" i="2" s="1"/>
  <c r="C7657" i="2"/>
  <c r="G7657" i="2" s="1"/>
  <c r="C7689" i="2"/>
  <c r="G7689" i="2" s="1"/>
  <c r="C7705" i="2"/>
  <c r="G7705" i="2" s="1"/>
  <c r="C7721" i="2"/>
  <c r="G7721" i="2" s="1"/>
  <c r="C7737" i="2"/>
  <c r="G7737" i="2" s="1"/>
  <c r="C7753" i="2"/>
  <c r="G7753" i="2" s="1"/>
  <c r="C7817" i="2"/>
  <c r="G7817" i="2" s="1"/>
  <c r="C7881" i="2"/>
  <c r="G7881" i="2" s="1"/>
  <c r="C7945" i="2"/>
  <c r="G7945" i="2" s="1"/>
  <c r="C8009" i="2"/>
  <c r="G8009" i="2" s="1"/>
  <c r="C8106" i="2"/>
  <c r="G8106" i="2" s="1"/>
  <c r="C8138" i="2"/>
  <c r="G8138" i="2" s="1"/>
  <c r="C8414" i="2"/>
  <c r="G8414" i="2" s="1"/>
  <c r="C8896" i="2"/>
  <c r="G8896" i="2" s="1"/>
  <c r="C9024" i="2"/>
  <c r="G9024" i="2" s="1"/>
  <c r="C9152" i="2"/>
  <c r="G9152" i="2" s="1"/>
  <c r="C9352" i="2"/>
  <c r="G9352" i="2" s="1"/>
  <c r="C8098" i="2"/>
  <c r="G8098" i="2" s="1"/>
  <c r="C8130" i="2"/>
  <c r="G8130" i="2" s="1"/>
  <c r="C8162" i="2"/>
  <c r="G8162" i="2" s="1"/>
  <c r="C8177" i="2"/>
  <c r="G8177" i="2" s="1"/>
  <c r="C8398" i="2"/>
  <c r="G8398" i="2" s="1"/>
  <c r="C8513" i="2"/>
  <c r="G8513" i="2" s="1"/>
  <c r="C8588" i="2"/>
  <c r="G8588" i="2" s="1"/>
  <c r="C8629" i="2"/>
  <c r="G8629" i="2" s="1"/>
  <c r="C8668" i="2"/>
  <c r="G8668" i="2" s="1"/>
  <c r="C8992" i="2"/>
  <c r="G8992" i="2" s="1"/>
  <c r="C9120" i="2"/>
  <c r="G9120" i="2" s="1"/>
  <c r="C8524" i="2"/>
  <c r="G8524" i="2" s="1"/>
  <c r="C8565" i="2"/>
  <c r="G8565" i="2" s="1"/>
  <c r="C8960" i="2"/>
  <c r="G8960" i="2" s="1"/>
  <c r="C9088" i="2"/>
  <c r="G9088" i="2" s="1"/>
  <c r="C8406" i="2"/>
  <c r="G8406" i="2" s="1"/>
  <c r="C8460" i="2"/>
  <c r="G8460" i="2" s="1"/>
  <c r="C8620" i="2"/>
  <c r="G8620" i="2" s="1"/>
  <c r="C9224" i="2"/>
  <c r="G9224" i="2" s="1"/>
  <c r="C8114" i="2"/>
  <c r="G8114" i="2" s="1"/>
  <c r="C8146" i="2"/>
  <c r="G8146" i="2" s="1"/>
  <c r="C8430" i="2"/>
  <c r="G8430" i="2" s="1"/>
  <c r="C8488" i="2"/>
  <c r="G8488" i="2" s="1"/>
  <c r="C8717" i="2"/>
  <c r="G8717" i="2" s="1"/>
  <c r="C8744" i="2"/>
  <c r="G8744" i="2" s="1"/>
  <c r="C8928" i="2"/>
  <c r="G8928" i="2" s="1"/>
  <c r="C9056" i="2"/>
  <c r="G9056" i="2" s="1"/>
  <c r="C8500" i="2"/>
  <c r="G8500" i="2" s="1"/>
  <c r="C8528" i="2"/>
  <c r="G8528" i="2" s="1"/>
  <c r="C8560" i="2"/>
  <c r="G8560" i="2" s="1"/>
  <c r="C8592" i="2"/>
  <c r="G8592" i="2" s="1"/>
  <c r="C8624" i="2"/>
  <c r="G8624" i="2" s="1"/>
  <c r="C8660" i="2"/>
  <c r="G8660" i="2" s="1"/>
  <c r="C8672" i="2"/>
  <c r="G8672" i="2" s="1"/>
  <c r="C8724" i="2"/>
  <c r="G8724" i="2" s="1"/>
  <c r="C8736" i="2"/>
  <c r="G8736" i="2" s="1"/>
  <c r="C8779" i="2"/>
  <c r="G8779" i="2" s="1"/>
  <c r="C9176" i="2"/>
  <c r="G9176" i="2" s="1"/>
  <c r="C9304" i="2"/>
  <c r="G9304" i="2" s="1"/>
  <c r="C8476" i="2"/>
  <c r="G8476" i="2" s="1"/>
  <c r="C8532" i="2"/>
  <c r="G8532" i="2" s="1"/>
  <c r="C8564" i="2"/>
  <c r="G8564" i="2" s="1"/>
  <c r="C8596" i="2"/>
  <c r="G8596" i="2" s="1"/>
  <c r="C8628" i="2"/>
  <c r="G8628" i="2" s="1"/>
  <c r="C8652" i="2"/>
  <c r="G8652" i="2" s="1"/>
  <c r="C8664" i="2"/>
  <c r="G8664" i="2" s="1"/>
  <c r="C8716" i="2"/>
  <c r="G8716" i="2" s="1"/>
  <c r="C8728" i="2"/>
  <c r="G8728" i="2" s="1"/>
  <c r="C8468" i="2"/>
  <c r="G8468" i="2" s="1"/>
  <c r="C8544" i="2"/>
  <c r="G8544" i="2" s="1"/>
  <c r="C8576" i="2"/>
  <c r="G8576" i="2" s="1"/>
  <c r="C8608" i="2"/>
  <c r="G8608" i="2" s="1"/>
  <c r="C8640" i="2"/>
  <c r="G8640" i="2" s="1"/>
  <c r="C8692" i="2"/>
  <c r="G8692" i="2" s="1"/>
  <c r="C8704" i="2"/>
  <c r="G8704" i="2" s="1"/>
  <c r="C8756" i="2"/>
  <c r="G8756" i="2" s="1"/>
  <c r="C8768" i="2"/>
  <c r="G8768" i="2" s="1"/>
  <c r="C8790" i="2"/>
  <c r="G8790" i="2" s="1"/>
  <c r="C8808" i="2"/>
  <c r="G8808" i="2" s="1"/>
  <c r="C8824" i="2"/>
  <c r="G8824" i="2" s="1"/>
  <c r="C8843" i="2"/>
  <c r="G8843" i="2" s="1"/>
  <c r="C9240" i="2"/>
  <c r="G9240" i="2" s="1"/>
  <c r="C8785" i="2"/>
  <c r="G8785" i="2" s="1"/>
  <c r="C8851" i="2"/>
  <c r="G8851" i="2" s="1"/>
  <c r="C8857" i="2"/>
  <c r="G8857" i="2" s="1"/>
  <c r="C8873" i="2"/>
  <c r="G8873" i="2" s="1"/>
  <c r="C8889" i="2"/>
  <c r="G8889" i="2" s="1"/>
  <c r="C8905" i="2"/>
  <c r="G8905" i="2" s="1"/>
  <c r="C8921" i="2"/>
  <c r="G8921" i="2" s="1"/>
  <c r="C8937" i="2"/>
  <c r="G8937" i="2" s="1"/>
  <c r="C8953" i="2"/>
  <c r="G8953" i="2" s="1"/>
  <c r="C8969" i="2"/>
  <c r="G8969" i="2" s="1"/>
  <c r="C8985" i="2"/>
  <c r="G8985" i="2" s="1"/>
  <c r="C9001" i="2"/>
  <c r="G9001" i="2" s="1"/>
  <c r="C9017" i="2"/>
  <c r="G9017" i="2" s="1"/>
  <c r="C9049" i="2"/>
  <c r="G9049" i="2" s="1"/>
  <c r="C9065" i="2"/>
  <c r="G9065" i="2" s="1"/>
  <c r="C8777" i="2"/>
  <c r="G8777" i="2" s="1"/>
  <c r="C8825" i="2"/>
  <c r="G8825" i="2" s="1"/>
  <c r="C9400" i="2"/>
  <c r="G9400" i="2" s="1"/>
  <c r="C8865" i="2"/>
  <c r="G8865" i="2" s="1"/>
  <c r="C8881" i="2"/>
  <c r="G8881" i="2" s="1"/>
  <c r="C8897" i="2"/>
  <c r="G8897" i="2" s="1"/>
  <c r="C8913" i="2"/>
  <c r="G8913" i="2" s="1"/>
  <c r="C8929" i="2"/>
  <c r="G8929" i="2" s="1"/>
  <c r="C8945" i="2"/>
  <c r="G8945" i="2" s="1"/>
  <c r="C8961" i="2"/>
  <c r="G8961" i="2" s="1"/>
  <c r="C8977" i="2"/>
  <c r="G8977" i="2" s="1"/>
  <c r="C9025" i="2"/>
  <c r="G9025" i="2" s="1"/>
  <c r="C9041" i="2"/>
  <c r="G9041" i="2" s="1"/>
  <c r="C9057" i="2"/>
  <c r="G9057" i="2" s="1"/>
  <c r="C9073" i="2"/>
  <c r="G9073" i="2" s="1"/>
  <c r="C9089" i="2"/>
  <c r="G9089" i="2" s="1"/>
  <c r="C9105" i="2"/>
  <c r="G9105" i="2" s="1"/>
  <c r="C9121" i="2"/>
  <c r="G9121" i="2" s="1"/>
  <c r="C9137" i="2"/>
  <c r="G9137" i="2" s="1"/>
  <c r="C9153" i="2"/>
  <c r="G9153" i="2" s="1"/>
  <c r="C9169" i="2"/>
  <c r="G9169" i="2" s="1"/>
  <c r="C9185" i="2"/>
  <c r="G9185" i="2" s="1"/>
  <c r="C9201" i="2"/>
  <c r="G9201" i="2" s="1"/>
  <c r="C9217" i="2"/>
  <c r="G9217" i="2" s="1"/>
  <c r="C9233" i="2"/>
  <c r="G9233" i="2" s="1"/>
  <c r="C9249" i="2"/>
  <c r="G9249" i="2" s="1"/>
  <c r="C9265" i="2"/>
  <c r="G9265" i="2" s="1"/>
  <c r="C9281" i="2"/>
  <c r="G9281" i="2" s="1"/>
  <c r="C9297" i="2"/>
  <c r="G9297" i="2" s="1"/>
  <c r="C9313" i="2"/>
  <c r="G9313" i="2" s="1"/>
  <c r="C9329" i="2"/>
  <c r="G9329" i="2" s="1"/>
  <c r="C9408" i="2"/>
  <c r="G9408" i="2" s="1"/>
  <c r="C9368" i="2"/>
  <c r="G9368" i="2" s="1"/>
  <c r="C9432" i="2"/>
  <c r="G9432" i="2" s="1"/>
  <c r="C9449" i="2"/>
  <c r="G9449" i="2" s="1"/>
  <c r="B9" i="3" l="1" a="1"/>
  <c r="B9" i="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<sst xmlns="http://schemas.openxmlformats.org/spreadsheetml/2006/main" count="9461" uniqueCount="9428">
  <si>
    <t>Class</t>
  </si>
  <si>
    <t>Item</t>
  </si>
  <si>
    <t>Description</t>
  </si>
  <si>
    <t>ABRASIVES</t>
  </si>
  <si>
    <t>Abrasives Equipment and Tools</t>
  </si>
  <si>
    <t>Abrasives, Coated: Cloth, Fiber, Sandpaper, etc.</t>
  </si>
  <si>
    <t>Abrasives, Sandblasting, Metal</t>
  </si>
  <si>
    <t>Abrasives, Sandblasting, Other than Metal</t>
  </si>
  <si>
    <t>Abrasives, Solid: Wheels, Stones, etc.</t>
  </si>
  <si>
    <t>Abrasives, Tumbling (Wheel)</t>
  </si>
  <si>
    <t>Compounds, Grinding and Polishing: Carborundum, Diamond, etc. (See Class 075 For Valve Grinding Compounds)</t>
  </si>
  <si>
    <t>Pumice Stone  (Inactive, effective January 1, 2016)</t>
  </si>
  <si>
    <t>Recycled Abrasives, Products and Supplies</t>
  </si>
  <si>
    <t>Wool, Steel, Aluminum, Copper, and Lead</t>
  </si>
  <si>
    <t>ACOUSTICAL TILE, INSULATING MATERIALS, AND SUPPLIES</t>
  </si>
  <si>
    <t>Acoustical Tile, All Types, Including Recycled Types</t>
  </si>
  <si>
    <t>Acoustical Tile Accessories: Channels, Grids, Mounting Hardware, Rods, Runners, Suspension Brackets, Tees, Wall Angles, and Wires</t>
  </si>
  <si>
    <t>Acoustical Tile Insulation</t>
  </si>
  <si>
    <t>Adhesives and Cements, Acoustical Tile</t>
  </si>
  <si>
    <t>Adhesives and Cements, Insulation</t>
  </si>
  <si>
    <t>Insulation, Aluminum Foil</t>
  </si>
  <si>
    <t>Hardware, Pipe Insulation: Bands, Clips, and Wires</t>
  </si>
  <si>
    <t>Hardware, Duct Insulation: Clips, Pins, etc.</t>
  </si>
  <si>
    <t>Insulation: Cork, Blocks, Boards, Sheets, etc.</t>
  </si>
  <si>
    <t>Insulation and Finish Systems, Exterior</t>
  </si>
  <si>
    <t>Insulation, Fiberglass: Batts, Blankets and Rolls</t>
  </si>
  <si>
    <t>Foam Glass: Blocks, Sheets, etc.</t>
  </si>
  <si>
    <t>Insulation, Foam-in-Place: Phenolic, Urethane, etc.</t>
  </si>
  <si>
    <t>Insulation, Foam Plastics: Blocks, Boards, Sheets, etc.</t>
  </si>
  <si>
    <t>Insulation, Reflective, Radiant Barrier</t>
  </si>
  <si>
    <t>Insulation, Interior</t>
  </si>
  <si>
    <t>Insulation, Blown Type</t>
  </si>
  <si>
    <t>Insulation, Loose Fill</t>
  </si>
  <si>
    <t>Insulation Jacketing, Canvas, Osnaburg, etc.</t>
  </si>
  <si>
    <t>Insulation, Magnesia, Blocks, Sheets, etc.</t>
  </si>
  <si>
    <t>Insulation, Mineral Wool: Blankets, Blocks, Boards</t>
  </si>
  <si>
    <t>Insulation Paints, Primers, Sealers, etc.</t>
  </si>
  <si>
    <t>Insulation, Paper Type Material, Cellulose, etc.</t>
  </si>
  <si>
    <t>Insulation, Pipe and Tubing, All Types</t>
  </si>
  <si>
    <t>Insulation, Preformed, All Types, Ells, Tees, Valves, etc.</t>
  </si>
  <si>
    <t>Recycled Insulation Materials and Supplies, All Types</t>
  </si>
  <si>
    <t>Insulation, Rubber</t>
  </si>
  <si>
    <t>ADDRESSING, COPYING, MIMEOGRAPH, AND DUPLICATING MACHINE SUPPLIES: CHEMICALS, INKS, PAPER, ETC.</t>
  </si>
  <si>
    <t>Addressing Machine Supplies, Metal and Plastic Plate Type</t>
  </si>
  <si>
    <t>Addressing Machine Supplies, Paper Plate Type</t>
  </si>
  <si>
    <t>Chemicals and Supplies, Dry, Bond Paper Type Copying Machines</t>
  </si>
  <si>
    <t>Chemicals and Supplies, Wet, Bond Paper Type Copying Machines</t>
  </si>
  <si>
    <t>Chemicals and Supplies, Duplicating Machines</t>
  </si>
  <si>
    <t>Chemicals, Inks, and Supplies, Mimeograph Machines)</t>
  </si>
  <si>
    <t>Paper, Chemicals, and Supplies, Blueline Machines</t>
  </si>
  <si>
    <t>Paper, Chemicals, and Supplies, Coated or Treated Paper Type Copying Machines, (See 305-39 for Diazo Process Copy Machines</t>
  </si>
  <si>
    <t>Paper, Chemicals, and Supplies, Diffusion Transfer Type Copying Machines, (See 305-39 for Diazo Process Copy Machines)</t>
  </si>
  <si>
    <t>Paper and Supplies, Dual Spectrum Process Copying Machines, (See 305-39 for Diazo Process Copy Machines)</t>
  </si>
  <si>
    <t>Paper, Chemicals, and Supplies. Thermal Process Copying Machines, (See 305-39 for Diazo Process Copy Machines)</t>
  </si>
  <si>
    <t>Recycled Copying and Duplicating Supplies</t>
  </si>
  <si>
    <t>AGRICULTURAL CROPS AND GRAINS, INCLUDING FRUITS, MELONS, NUTS, AND VEGETABLES</t>
  </si>
  <si>
    <t>Barley</t>
  </si>
  <si>
    <t>Berry Crops</t>
  </si>
  <si>
    <t>Buckwheat</t>
  </si>
  <si>
    <t>Corn</t>
  </si>
  <si>
    <t>Cotton</t>
  </si>
  <si>
    <t>Fruits, Citrus</t>
  </si>
  <si>
    <t>Fruits, Deciduous Tree</t>
  </si>
  <si>
    <t>Grapes</t>
  </si>
  <si>
    <t>Hops</t>
  </si>
  <si>
    <t>Melons</t>
  </si>
  <si>
    <t>Millet</t>
  </si>
  <si>
    <t>Nuts, Tree</t>
  </si>
  <si>
    <t>Oats</t>
  </si>
  <si>
    <t>Potatoes</t>
  </si>
  <si>
    <t>Pumpkins</t>
  </si>
  <si>
    <t>Rice</t>
  </si>
  <si>
    <t>Rye</t>
  </si>
  <si>
    <t>Sorghum</t>
  </si>
  <si>
    <t>Soybeans</t>
  </si>
  <si>
    <t>Sugarcane and Sugarbeets</t>
  </si>
  <si>
    <t>Tobacco</t>
  </si>
  <si>
    <t>Vegetables, (Not Otherwise Classified)</t>
  </si>
  <si>
    <t>Wheat</t>
  </si>
  <si>
    <t>AGRICULTURAL EQUIPMENT, IMPLEMENTS, AND ACCESSORIES (SEE CLASS 022 FOR PARTS)</t>
  </si>
  <si>
    <t>Backhoe, Farm Tractor</t>
  </si>
  <si>
    <t>Brush and Tree Chippers</t>
  </si>
  <si>
    <t>Brush Cutters and Saws, Motor Driven</t>
  </si>
  <si>
    <t>Counters, Acre</t>
  </si>
  <si>
    <t>Cultivating Equipment, Farm: Go-Devils, Row Type Shovel Cultivators, Tooth and Spring Harrows, etc.</t>
  </si>
  <si>
    <t>Curb Edger, Heavy Duty, Tractor Mounted</t>
  </si>
  <si>
    <t>Cutters and Shredders, Mowers, Heavy Duty, Flail: Tow Type and Center Mount Type</t>
  </si>
  <si>
    <t>Cutters and Shredders, Mowers, Heavy Duty, Reel and Rotary: Tow Type and Center Mount Type</t>
  </si>
  <si>
    <t>Dozer Blades. Farm Tractors</t>
  </si>
  <si>
    <t>Drying Equipment, Grain</t>
  </si>
  <si>
    <t>Ensilage Cutters</t>
  </si>
  <si>
    <t>Farm Wagons</t>
  </si>
  <si>
    <t>Feed Mills and Mixers</t>
  </si>
  <si>
    <t>Feed Wagons</t>
  </si>
  <si>
    <t>Fertilizer Applicators and Fittings: Liquid and Gas</t>
  </si>
  <si>
    <t>Fertilizer Distributors, Dry, Commercial (See Class 515 for Lawn Type Distributors)</t>
  </si>
  <si>
    <t>Garden Tractors, Cultivators, and Plows</t>
  </si>
  <si>
    <t>Gang Mowers, Reel Type, Towed</t>
  </si>
  <si>
    <t>Grain Bins and Tanks</t>
  </si>
  <si>
    <t>Grading Machines for Seeds, Grains and Dried Vegetables</t>
  </si>
  <si>
    <t>Grass Seed Strippers and Cleaners</t>
  </si>
  <si>
    <t>Grass Spriggers and Seeders</t>
  </si>
  <si>
    <t>Grinding Mills: Seed, Grain, Dried Vegetable</t>
  </si>
  <si>
    <t>Harvesting Equipment: Bean, Corn, and Pea Pickers and Shellers, Combines, Cotton and Fruit Pickers, Headers, Sled Cutters and Threshers</t>
  </si>
  <si>
    <t>Haying Equipment: Balers, Dryers, Elevators and Rakes, etc.</t>
  </si>
  <si>
    <t>Herbicide, Insecticide and Fungicide Applicators and Distributors</t>
  </si>
  <si>
    <t>Irrigation Equipment and Supplies, Agricultural</t>
  </si>
  <si>
    <t>Land Levelers</t>
  </si>
  <si>
    <t>Loaders, Tractor Mounted, Farm</t>
  </si>
  <si>
    <t>Log Splitters</t>
  </si>
  <si>
    <t>Manure Spreaders</t>
  </si>
  <si>
    <t>Mower, Articulated Boom: Flail, Rotary, or Sickle Head</t>
  </si>
  <si>
    <t>Mower, Steep Slope Type with Cutter Head on Telescoping Boom: Flail, Rotary, or Sickle Bar Cutter Heads, For Mounting on Tractors or Trucks (See Class 515 for Lawn Type Mowers)</t>
  </si>
  <si>
    <t>Mower, Tractor Mounted, Steep Slope Type with Cutter Head on Telescoping Boom): Flail, Rotary, or Sickle Bar Cutter Heads (See Class 515 for Lawn Type Mowers)</t>
  </si>
  <si>
    <t>Mower-Tractor Unit or Self-Propelled Mower, for Slope Mowing (See Class 515 for Lawn Type Mowers)</t>
  </si>
  <si>
    <t>Mower, Center Mounted; and Tractor (See Class 515 for Lawn Type Mowers)</t>
  </si>
  <si>
    <t>Pasture Renovators</t>
  </si>
  <si>
    <t>Planting Equipment, Broadcasting</t>
  </si>
  <si>
    <t>Planting Equipment, Drilling</t>
  </si>
  <si>
    <t>Planting Equipment, Row Crop</t>
  </si>
  <si>
    <t>Processing Machinery and Equipment, Agricultural</t>
  </si>
  <si>
    <t>Posthole Diggers, Tractor Mounted</t>
  </si>
  <si>
    <t>Protection Structures, Rollover (ROPS)</t>
  </si>
  <si>
    <t>Pulverizers and Rotary Tillers, Soil</t>
  </si>
  <si>
    <t>Recycled Agricultural Equipment Accessories and Supplies</t>
  </si>
  <si>
    <t>Rock Pickers and Rakes</t>
  </si>
  <si>
    <t>Processing Machinery and Equipment Agricultural Environmental: Anerobic Digesters, Waste to Energy</t>
  </si>
  <si>
    <t>Rodent Control Equipment, Tractor Operated</t>
  </si>
  <si>
    <t>Spade, Tree (Truck or Trailer Mounted, or Three-Point Hook-Up for Tractor Mounting) and Other Tree Transplanting and Diggers</t>
  </si>
  <si>
    <t>Sweeps and Other Steel Shapes</t>
  </si>
  <si>
    <t>Soil Mixers and Samplers</t>
  </si>
  <si>
    <t>Terracing Equipment</t>
  </si>
  <si>
    <t>Tillage Equipment, Heavy Duty, Farm: Blade Plows, Disc Harrows, Listers, Rotary Hoes, Tool Bars, etc.</t>
  </si>
  <si>
    <t>Tractors, Farm, Wheel Type</t>
  </si>
  <si>
    <t>Tree and Root Cutters and Stump Grinders, Tractor Mounted</t>
  </si>
  <si>
    <t>Tree Girdlers and Timber Tongs</t>
  </si>
  <si>
    <t>Umbrellas, Tractor</t>
  </si>
  <si>
    <t>Unloaders and Elevators, Grain</t>
  </si>
  <si>
    <t>Wedges, Steel, Tree Felling and Splitting</t>
  </si>
  <si>
    <t>Operations/Grounds Field Equipment less than $750</t>
  </si>
  <si>
    <t>Other Operations/Grounds Field Equipment over $5,000</t>
  </si>
  <si>
    <t>AGRICULTURAL EQUIPMENT AND IMPLEMENT PARTS</t>
  </si>
  <si>
    <t>Brush Chipper, Cutter and Saw Parts</t>
  </si>
  <si>
    <t>Cultivating Equipment Parts</t>
  </si>
  <si>
    <t>Cutter and Shredder, Mower: Flail, Rotary, Reel, and Sickle Bar Parts</t>
  </si>
  <si>
    <t>Fertilizer Distributor Parts</t>
  </si>
  <si>
    <t>Harvesting Equipment Parts</t>
  </si>
  <si>
    <t>Haying Equipment Parts</t>
  </si>
  <si>
    <t>Herbicide, Insecticide and Fungicide Applicator and Distributor Parts</t>
  </si>
  <si>
    <t>Implement Parts, John Deere</t>
  </si>
  <si>
    <t>Implement Parts. Ford, New Holland</t>
  </si>
  <si>
    <t>Implement Parts, Case/IH International Harvester</t>
  </si>
  <si>
    <t>Implement Parts, Kubota</t>
  </si>
  <si>
    <t>Implement Parts, Farm Equipment, (Not Otherwise Classified)</t>
  </si>
  <si>
    <t>Irrigation System Parts, Agricultural</t>
  </si>
  <si>
    <t>Planting Equipment Parts</t>
  </si>
  <si>
    <t>Processing Machinery Parts, Environmental</t>
  </si>
  <si>
    <t>Posthole Digger, Tractor Mounted Parts</t>
  </si>
  <si>
    <t>Recycled Agricultural and Implement Parts</t>
  </si>
  <si>
    <t>Sprigger and Seeder Parts, Grass</t>
  </si>
  <si>
    <t>Tillage Equipment Parts</t>
  </si>
  <si>
    <t>Tractor (Farm and Garden) Parts</t>
  </si>
  <si>
    <t>Tree Spade and Forestry Equipment Parts</t>
  </si>
  <si>
    <t>Unloader and Elevator, Grain Equipment Parts</t>
  </si>
  <si>
    <t>Wagon Parts</t>
  </si>
  <si>
    <t>AIR COMPRESSORS AND ACCESSORIES</t>
  </si>
  <si>
    <t>Compressor, Bare Unit, Not Mounted or Powered: 15 HP and less</t>
  </si>
  <si>
    <t>Compressor, Bare Unit, Not Mounted or Powered: over 15 HP</t>
  </si>
  <si>
    <t>Compressor, Base or Tank Mounted: Electric Motor or Engine Driven, 15 HP and less, Including Parts and Accessories</t>
  </si>
  <si>
    <t>Compressor, Base or Tank Mounted: Electric Motor or Engine Driven, Over 15 HP, Including Parts and Accessories</t>
  </si>
  <si>
    <t>Compressor: High Pressure, All Sizes and Models</t>
  </si>
  <si>
    <t>Compressor, Portable: Electric Motor or Engine Driven, 5 HP and less, Including Parts and Accessories</t>
  </si>
  <si>
    <t>Compressor, Portable, Electric Motor or Engine Driven: over 25 CFM at 100 PSI, Including Parts and Accessories</t>
  </si>
  <si>
    <t>Dryers, Desiccant Air</t>
  </si>
  <si>
    <t>Filters, Air Gauges and Valves, Pressure Regulators, Shock Mounts, etc.</t>
  </si>
  <si>
    <t>Moisture Separators, Non-Refrigerated</t>
  </si>
  <si>
    <t>Moisture Separators, Refrigerated</t>
  </si>
  <si>
    <t>Motors, Air Compressor</t>
  </si>
  <si>
    <t>Recycled Air Compressor Accessories and Supplies</t>
  </si>
  <si>
    <t>AIR CONDITIONING, HEATING, AND VENTILATING EQUIPMENT, PARTS AND ACCESSORIES</t>
  </si>
  <si>
    <t>Air Conditioning Units, Portable or Room AC Units, Computer Rooms, Hospital Rooms, Sporting Events, etc.</t>
  </si>
  <si>
    <t>Air Conditioners Systems, Commercial and Industrial, Including Parts and Accessories, (Not Otherwise Classified)</t>
  </si>
  <si>
    <t>Air Conditioners: Controlled Environment, Computer Rooms, etc., Including  Parts and Accessories, (Not Otherwise Classified)</t>
  </si>
  <si>
    <t>Air Conditioning and Heating Systems, Window and Wall Mounted, Ductless, Including Parts and Accessories, (Not Otherwise Classified)</t>
  </si>
  <si>
    <t>Air Conditioning and Heating Central Air Systems, Including Parts and Accessories, (Not Otherwise Classified)</t>
  </si>
  <si>
    <t>Air Circulation Equipment (Not Otherwise Classified)</t>
  </si>
  <si>
    <t>Air Curtains</t>
  </si>
  <si>
    <t>Air Flow Meters</t>
  </si>
  <si>
    <t>Air Purifiers, Accessories and Supplies</t>
  </si>
  <si>
    <t>Blowers, Industrial Types</t>
  </si>
  <si>
    <t>Chillers, Heat Exchangers and Receivers</t>
  </si>
  <si>
    <t>Chilled Water System, Portable</t>
  </si>
  <si>
    <t>Chilled Water Meter System</t>
  </si>
  <si>
    <t>Coatings and Sealants, Duct</t>
  </si>
  <si>
    <t>Coils, Chilled or Heated Water, and Direct Expansion</t>
  </si>
  <si>
    <t>Coil and Fan Units, Air Conditioning</t>
  </si>
  <si>
    <t>Compressors, Air Conditioning, Window Unit Type Including Parts and Accessories</t>
  </si>
  <si>
    <t>Compressors, Air Conditioning, Industrial Type, and Parts</t>
  </si>
  <si>
    <t>Condensing Units (For Air Conditioners)</t>
  </si>
  <si>
    <t>Controls, Cooling Tower Water Treatment: pH, Conductivity, Corrosion Sensors</t>
  </si>
  <si>
    <t>Controls, Limit Switches, Relays, Thermostats, Gas Valves, etc.</t>
  </si>
  <si>
    <t>Control Systems: Complete, Automatic Temperature Control</t>
  </si>
  <si>
    <t>Cooling Tower Water Treatment: Non-chemical Ozone, Centrifugal Separators, Magnetic Descaling Equip. (See Class 885 for Chemical Types)</t>
  </si>
  <si>
    <t>Cooling Towers, Forced Air, Gravity, etc.</t>
  </si>
  <si>
    <t>Dampers, Motorized</t>
  </si>
  <si>
    <t>Dehumidifiers and Humidifiers</t>
  </si>
  <si>
    <t>Duct Cleaning Equipment, Air</t>
  </si>
  <si>
    <t>Duct, Prefabricated, Flexible or Rigid: Glass Fiber, Plastic, etc.</t>
  </si>
  <si>
    <t>Duct, Fabricated, Metal</t>
  </si>
  <si>
    <t>Dust Collectors, Industrial Type</t>
  </si>
  <si>
    <t>Electronic Air Cleaners, Electrostatic Precipitators, Ozonators, Including Parts and Accessories</t>
  </si>
  <si>
    <t>Evaporative Coolers</t>
  </si>
  <si>
    <t>Fans, Industrial Types: Attic, Exhaust, Forced Draft, etc., Including Fan Blades and Fan Parts</t>
  </si>
  <si>
    <t>Fans, Room Type: Ceiling and Portable Type, Stationary and Oscillating</t>
  </si>
  <si>
    <t>Filter Coating, Adhesive, Coil Cleaners, Degreasing Solvents, etc.</t>
  </si>
  <si>
    <t>Filters, Air Conditioning and Furnace, Permanent Type</t>
  </si>
  <si>
    <t>Filters, Air Conditioning and Furnace, Disposable Type</t>
  </si>
  <si>
    <t>Filters and Filter Media, Evaporative Cooler</t>
  </si>
  <si>
    <t>Filter Frames, Metal</t>
  </si>
  <si>
    <t>Freon</t>
  </si>
  <si>
    <t>Furnaces, Central Heating Type, Forced Air, Gas Fired</t>
  </si>
  <si>
    <t>Grilles, Diffusers, Registers, etc.</t>
  </si>
  <si>
    <t>Hand Tools, HVAC Maintenance, Testing, Recording, Detection, etc.</t>
  </si>
  <si>
    <t>Heat Pumps</t>
  </si>
  <si>
    <t>Heaters, Electric, Baseboard Type, Including Parts and Accessories (Inactive, please see commodity code 031-58 effective January 1, 2016)</t>
  </si>
  <si>
    <t>Heaters, Electric, Baseboard, Panel or Wall Type, Including Parts and Accessories</t>
  </si>
  <si>
    <t>Heaters, Electric, Portable, Including Parts and Accessories</t>
  </si>
  <si>
    <t>Heaters, Gas-Fired: Space, All Types, Including Parts and Accessories</t>
  </si>
  <si>
    <t>Heaters, Gas-Fired: Wall Type, Vented and Unvented, Including Parts and Accessories</t>
  </si>
  <si>
    <t>Heaters, Kerosene or Oil Fired: Space Type, Vented and Unvented, Including Parts and Accessories</t>
  </si>
  <si>
    <t>Heaters, Space, Steam</t>
  </si>
  <si>
    <t>Heating Elements, Electric</t>
  </si>
  <si>
    <t>Hydronic Specialties</t>
  </si>
  <si>
    <t>HVAC Equipment, Accessories and Supplies (Not Otherwise Classified)</t>
  </si>
  <si>
    <t>Odor Control Equipment, Room or Portable Type, Including Parts and Accessories</t>
  </si>
  <si>
    <t>Odor Control Equipment, Duct Air, Including Ozone Type</t>
  </si>
  <si>
    <t>Pumps, Descaling Acid</t>
  </si>
  <si>
    <t>Pumps, Refrigerant Circulating</t>
  </si>
  <si>
    <t>Pumps, Refrigerant Vacuum</t>
  </si>
  <si>
    <t>Radiators, Heating</t>
  </si>
  <si>
    <t>Refurbished HVAC Products, Including Parts and Accessories</t>
  </si>
  <si>
    <t>Roof Ventilators, Power Driven, Including Refurbished Types</t>
  </si>
  <si>
    <t>Roof Ventilators, Wind Driven, Including Refurbished Types</t>
  </si>
  <si>
    <t>Solar Heating Units</t>
  </si>
  <si>
    <t>Stoves, Wood or Coal</t>
  </si>
  <si>
    <t>Testing and Recording Instruments, AC and Heating (Inactive, see commodity code 031-55, effective January 1, 2016)</t>
  </si>
  <si>
    <t>Thermometers and Gauges, AC and Heating</t>
  </si>
  <si>
    <t>Unit Heaters, Electric, Duct and Suspended Types</t>
  </si>
  <si>
    <t>Unit Heaters, Gas-Fired, Duct and Suspended Types</t>
  </si>
  <si>
    <t>Unit Heaters, Gas-Fire, Radiant and Infrared, Portable and Stationary</t>
  </si>
  <si>
    <t>Unit Heaters, Steam and Hot Water Types</t>
  </si>
  <si>
    <t>Ventilation Equipment and Systems (See 031-78, 79 for Roof Ventilators)</t>
  </si>
  <si>
    <t>Vent Pipes, Fittings, and Accessories</t>
  </si>
  <si>
    <t>Vacuum System, Central, Including Filters, Parts and Accessories</t>
  </si>
  <si>
    <t>AIRCRAFT AND AIRPORT EQUIPMENT, PARTS, AND SUPPLIES</t>
  </si>
  <si>
    <t>Air Conditioning Units, Aircraft, Cooling Interiors While at the Gate</t>
  </si>
  <si>
    <t>*Aeronautical Charts and Maps</t>
  </si>
  <si>
    <t>Aircraft Avionics, (Not Otherwise Classified): Navigation Instruments, Transponders, Global Positioning Systems, etc.</t>
  </si>
  <si>
    <t>Aircraft Crash Locators, Including Parts and Accessories</t>
  </si>
  <si>
    <t>Aircraft Accessories (Not Otherwise Classified)</t>
  </si>
  <si>
    <t>Aircraft Fuselage and Components</t>
  </si>
  <si>
    <t>Aircraft Fenders</t>
  </si>
  <si>
    <t>Aircraft Communications Radio</t>
  </si>
  <si>
    <t>Aircraft Navigation Radio</t>
  </si>
  <si>
    <t>Aircraft Master Control Systems, Computer, etc.</t>
  </si>
  <si>
    <t>Aircraft Radar</t>
  </si>
  <si>
    <t>Aircraft, Remotely Operated: Surveillance, Search and Rescue</t>
  </si>
  <si>
    <t>Airplanes</t>
  </si>
  <si>
    <t>Airships</t>
  </si>
  <si>
    <t>Airport Equipment (Not Otherwise Classified)</t>
  </si>
  <si>
    <t>Airport Equipment Ground Power for Aircraft at the Gates</t>
  </si>
  <si>
    <t>Automatic Pilot Systems</t>
  </si>
  <si>
    <t>Baggage Handling Equipment, Including Parts and Accessories</t>
  </si>
  <si>
    <t>Beacons, Visual and Runway Lights</t>
  </si>
  <si>
    <t>Cameras and Accessories, Aerial Photograph</t>
  </si>
  <si>
    <t>Drop Equipment and Supplies, Aerial</t>
  </si>
  <si>
    <t>Engines and Parts, Airplane</t>
  </si>
  <si>
    <t>Encryption/Decryption Systems, Aircraft</t>
  </si>
  <si>
    <t>Ejection or Escape Systems, Aircraft</t>
  </si>
  <si>
    <t>Engines and Parts, Helicopter</t>
  </si>
  <si>
    <t>Engine Instruments: Fuel, Manifold and Oil Pressure, Oil Temperature, Tachometers, etc.</t>
  </si>
  <si>
    <t>Equipment and Supplies, Airplane (Not Otherwise Classified)</t>
  </si>
  <si>
    <t>Fire Control Systems, Aircraft</t>
  </si>
  <si>
    <t>Equipment and Supplies, Navigation, Helicopter (Not Otherwise Classified)</t>
  </si>
  <si>
    <t>Flight Instruments: Airspeed, Altimeters, Attitude and Turn and Bank Indicators, etc.</t>
  </si>
  <si>
    <t>Flight Simulator</t>
  </si>
  <si>
    <t>Gliders</t>
  </si>
  <si>
    <t>Hydraulic Systems, Aircraft</t>
  </si>
  <si>
    <t>Helicopters</t>
  </si>
  <si>
    <t>Hot Air Balloons</t>
  </si>
  <si>
    <t>Information Display Systems, Flight (F.I.D.S. - Airport)</t>
  </si>
  <si>
    <t>Instrument Landing Systems</t>
  </si>
  <si>
    <t>Instruments and Testers, Airplane</t>
  </si>
  <si>
    <t>Instruments and Testers, Helicopter</t>
  </si>
  <si>
    <t>Landing and Braking Systems and Components, Aircraft</t>
  </si>
  <si>
    <t>Lights: Anti-Collision, Landing, Navigations, etc.</t>
  </si>
  <si>
    <t>Metal Crack Detection Dyes</t>
  </si>
  <si>
    <t>Magnetometers, Security Screening Equipment</t>
  </si>
  <si>
    <t>Parts, Airplane, Except Engine</t>
  </si>
  <si>
    <t>Oxygen Equipment, Aircraft</t>
  </si>
  <si>
    <t>Parachutes and Drag Chutes</t>
  </si>
  <si>
    <t>Parts (Except Engine), Helicopter</t>
  </si>
  <si>
    <t>Power Systems, Aircraft</t>
  </si>
  <si>
    <t>Photographs, Aerial</t>
  </si>
  <si>
    <t>Ramps and Passenger Transportation Vehicles, Aircraft Boarding</t>
  </si>
  <si>
    <t>Recycled Aircraft and Airport Equipment, Accessories and Supplies</t>
  </si>
  <si>
    <t>Snow Melters for Runways, Taxiways, Roads and Streets (See Class 765 for other types of Snow Equipment)</t>
  </si>
  <si>
    <t>Sweepers, Runway (See 765-77 for Street Sweepers)</t>
  </si>
  <si>
    <t>Taxiway and Runway Testing Equipment and Supplies</t>
  </si>
  <si>
    <t>Tanks, Fuel, Aircraft, Including Parts and Accessories</t>
  </si>
  <si>
    <t>Tools, Airplane</t>
  </si>
  <si>
    <t>Tools, Helicopter</t>
  </si>
  <si>
    <t>Tow Bars for Moving Aircraft at the Airport</t>
  </si>
  <si>
    <t>Wind Tees and Wind Socks, Airport</t>
  </si>
  <si>
    <t>Tugs and Tractors for Moving Aircraft at the Airport</t>
  </si>
  <si>
    <t>Warning Systems, Aircraft: Emergency, Fire, Escape, Ejection, etc.</t>
  </si>
  <si>
    <t>X-Ray Scanner, Passenger Baggage</t>
  </si>
  <si>
    <t>*Unmanned Aerial Vehicles (UAV), Drones</t>
  </si>
  <si>
    <t>Bar, Snack and Soda, Equipment and Accessories</t>
  </si>
  <si>
    <t>Cards: Greeting and Gift, Including Recycled Types</t>
  </si>
  <si>
    <t>Carnival and Fair Equipment: Inflatables, Bounce Houses, Interactive Games</t>
  </si>
  <si>
    <t>Collections: Coin, Stamp, Comic Books, etc.</t>
  </si>
  <si>
    <t>Decorations: Holiday, Party, etc.</t>
  </si>
  <si>
    <t>Decorative Household or Office Items, (Not Otherwise Classified)</t>
  </si>
  <si>
    <t>Gifts, Including Gift Cards and Gift Certificates</t>
  </si>
  <si>
    <t>Novelties, Promotional and Specialty Products, Including Biodegradable</t>
  </si>
  <si>
    <t>Paper, Crepe</t>
  </si>
  <si>
    <t>Recycled Decorations, Games and Toys</t>
  </si>
  <si>
    <t>Replicas: Food, Fruit, etc.</t>
  </si>
  <si>
    <t>Soda Fountain Equipment and Accessories, Including Slush Machines, (See 165-50 for Malt and Milkshake Machines)</t>
  </si>
  <si>
    <t>Souvenirs and Prizes: Promotional, Advertising, etc.</t>
  </si>
  <si>
    <t>Toys and Games, Including Coloring Books and Activity Items, Not Educational Type, (See 208-47; 209-48; 785-53; and 805-51 for other type games)</t>
  </si>
  <si>
    <t>Video Game Machines</t>
  </si>
  <si>
    <t>Video and On-line Games</t>
  </si>
  <si>
    <t>Amphibia: Frogs, Toads, Salamanders and Other Cold Blooded Vertebrates, Live</t>
  </si>
  <si>
    <t>Animal Carriers</t>
  </si>
  <si>
    <t>Animal Care Supplies: Collars, Clothing, Leashes, Litter Boxes, etc.</t>
  </si>
  <si>
    <t>Animal Training Equipment and Supplies</t>
  </si>
  <si>
    <t>Bees</t>
  </si>
  <si>
    <t>Birds</t>
  </si>
  <si>
    <t>Cages and Shelters, Animal and Marine Life (See Class 495 for Laboratory Type)</t>
  </si>
  <si>
    <t>Cats, All Types</t>
  </si>
  <si>
    <t>Cattle, Beef, Breeding Stock</t>
  </si>
  <si>
    <t>Cattle, Beef, Commercial</t>
  </si>
  <si>
    <t>Cattle, Dairy</t>
  </si>
  <si>
    <t>Chickens</t>
  </si>
  <si>
    <t>Chicks, Meat Type, Baby</t>
  </si>
  <si>
    <t>Chicks, Meat Type, Starter</t>
  </si>
  <si>
    <t>Cockerels, All Types, Baby</t>
  </si>
  <si>
    <t>Cockerels, All Types, Starter</t>
  </si>
  <si>
    <t>Dogs, All Types</t>
  </si>
  <si>
    <t>Earthworms</t>
  </si>
  <si>
    <t>Electronic Identification Systems Used for Inventory and Tracking of Animals</t>
  </si>
  <si>
    <t>Fish, Brood and Fingerling</t>
  </si>
  <si>
    <t>Fish (Not Otherwise Classified)</t>
  </si>
  <si>
    <t>Fish, Tropical</t>
  </si>
  <si>
    <t>Fur Bearing Animals (Not Otherwise Classified)</t>
  </si>
  <si>
    <t>Goats</t>
  </si>
  <si>
    <t>Hibernation Boxes, Butterfly, Ladybug, etc.</t>
  </si>
  <si>
    <t>Hogs, Pigs and Swine, Breeding Stock</t>
  </si>
  <si>
    <t>Hogs, Pigs and Swine, Commercial</t>
  </si>
  <si>
    <t>Horses</t>
  </si>
  <si>
    <t>Houses and Cages, Bird</t>
  </si>
  <si>
    <t>Insects, (Not Otherwise Classified)</t>
  </si>
  <si>
    <t>Marine Life (Not Otherwise Classified)</t>
  </si>
  <si>
    <t>Mules and Donkeys</t>
  </si>
  <si>
    <t>Pullets</t>
  </si>
  <si>
    <t>Pullets, Laying Types, Baby</t>
  </si>
  <si>
    <t>Pullets, Laying Types, Starter</t>
  </si>
  <si>
    <t>Rabbits</t>
  </si>
  <si>
    <t>Recycled Animal, Bird, and Marine Life Accessories and Supplies</t>
  </si>
  <si>
    <t>Rodents (See 495-12,13 for Experimental Types)</t>
  </si>
  <si>
    <t>Reptiles, Live</t>
  </si>
  <si>
    <t>Sheep</t>
  </si>
  <si>
    <t>Specialty Items for Shows and Entertainment, Perches, Hoods, Hoops, etc.</t>
  </si>
  <si>
    <t>Toys for Pets and Zoo Animals</t>
  </si>
  <si>
    <t>Turkeys, Baby</t>
  </si>
  <si>
    <t>Turkeys, Starter</t>
  </si>
  <si>
    <t>Wildlife and Pet Bands, Labels and Tags, Not Electronic</t>
  </si>
  <si>
    <t>Zoo Animals, All Types</t>
  </si>
  <si>
    <t>APPLIANCES AND EQUIPMENT, HOUSEHOLD TYPE</t>
  </si>
  <si>
    <t>Appliances, Small, Electric, Household (Not Otherwise Classified)</t>
  </si>
  <si>
    <t>Appliances, Small, Non-Electric, Household (Not Otherwise Classified)</t>
  </si>
  <si>
    <t>Blenders, Household</t>
  </si>
  <si>
    <t>Bread Makers, Household</t>
  </si>
  <si>
    <t>Can Openers, Household</t>
  </si>
  <si>
    <t>Cleaners and Sweepers, Hand-Operated, Household</t>
  </si>
  <si>
    <t>Coffeemakers, All Types, Household</t>
  </si>
  <si>
    <t>Cooking and Food Preparation Utensils, All Types, Household</t>
  </si>
  <si>
    <t>Cookware and Bakeware, Household (Not Otherwise Classified)</t>
  </si>
  <si>
    <t>Dishwashers, Household</t>
  </si>
  <si>
    <t>Dishes, Drinking Utensils, and Serving ware, Household</t>
  </si>
  <si>
    <t>Disposal Units, Household</t>
  </si>
  <si>
    <t>Flatware and Cutlery, Household</t>
  </si>
  <si>
    <t>Hot Plates and Burners, Gas or Electric, Household</t>
  </si>
  <si>
    <t>Irons, Clothes, Household</t>
  </si>
  <si>
    <t>Ironing Tables and Boards, Household</t>
  </si>
  <si>
    <t>Ironing Table (Board) Pads and Covers (Inactive, please see commodity code 045-48 effective January 1, 2016)</t>
  </si>
  <si>
    <t>Kitchen Units, Compact, Complete, Household (Inactive, effective January 1, 2016)</t>
  </si>
  <si>
    <t>Mixers, Food, Household</t>
  </si>
  <si>
    <t>Ovens, Microwave and Convection, Household</t>
  </si>
  <si>
    <t>Ranges, Stove Tops, and Ovens, Electric, Household</t>
  </si>
  <si>
    <t>Ranges, Stove Tops, and Ovens, Gas, Household</t>
  </si>
  <si>
    <t>Recycled Appliances and Accessories, Household</t>
  </si>
  <si>
    <t>Refrigerators and Freezers, Household</t>
  </si>
  <si>
    <t>Skillets, Electric, Household</t>
  </si>
  <si>
    <t>Storage Baskets: Metal and Plastic (For Freezers), Household</t>
  </si>
  <si>
    <t>Toasters and Toaster Ovens, Household</t>
  </si>
  <si>
    <t>Tools, Appliance, Household</t>
  </si>
  <si>
    <t>Trash Compactors, Household (See 165 and 545 for Other Types)</t>
  </si>
  <si>
    <t>Vacuum Cleaners, Manual, Including Parts and Accessories, Household</t>
  </si>
  <si>
    <t>Vacuum Cleaners, Electric, Including Parts and Accessories, Household</t>
  </si>
  <si>
    <t>Vent Hoods, Ranges, Household</t>
  </si>
  <si>
    <t>Vent Kits, Household Laundry Dryer</t>
  </si>
  <si>
    <t>Washers and Dryers, Coin-Operated Type (Inactive, please see commodity code 500-96 effective January 1, 2016)</t>
  </si>
  <si>
    <t>Washers and Dryers, Household</t>
  </si>
  <si>
    <t>Water Softeners, Household</t>
  </si>
  <si>
    <t>ART EQUIPMENT AND SUPPLIES</t>
  </si>
  <si>
    <t>Block Printing Supplies</t>
  </si>
  <si>
    <t>Casters, Drying Racks</t>
  </si>
  <si>
    <t>Coatings, Protective, Artwork</t>
  </si>
  <si>
    <t>Cloth (For Application of Designs and Transfers): Burlap, Linen, etc.</t>
  </si>
  <si>
    <t>Drawing and Painting Supplies: Brushes, Canvas, Chalk, Colors (Acrylic, Oil, Water, etc.), Crayons, Palettes, Paper and Pads, Staples, etc.</t>
  </si>
  <si>
    <t>Glue, Paste, etc., Art</t>
  </si>
  <si>
    <t>Letter Cutting Machine</t>
  </si>
  <si>
    <t>Engraving, Etching, and Lithography Equipment and Supplies, Burins, etc.</t>
  </si>
  <si>
    <t>Paper, Art, Various Types</t>
  </si>
  <si>
    <t>Picture Frames and Framing Supplies: Mat Cutters, Mats, Molding, Stretcher Strips, etc.</t>
  </si>
  <si>
    <t>Racks, Art Drying, Portable and Stationary</t>
  </si>
  <si>
    <t>Recycled Art Equipment and Supplies</t>
  </si>
  <si>
    <t>Sculpturing Equipment and Supplies: Carving Boards, Casting Materials, Modeling Clay, Sculptor's Tools, etc.</t>
  </si>
  <si>
    <t>Shapes, Strings, Tapes, Twists, etc. Decorative Art Items</t>
  </si>
  <si>
    <t>Silk Screen Process Supplies</t>
  </si>
  <si>
    <t>Stained Glass Supplies</t>
  </si>
  <si>
    <t>Art Equipment &lt;$750</t>
  </si>
  <si>
    <t>Art Equipment $750-$5,000</t>
  </si>
  <si>
    <t>ART OBJECTS</t>
  </si>
  <si>
    <t>Antiques</t>
  </si>
  <si>
    <t>Ceramic and Glass Objects: Shadow Boxes, Stained Glass, etc.</t>
  </si>
  <si>
    <t>Collectibles, Museum Pieces, etc., (Not Otherwise Classified)</t>
  </si>
  <si>
    <t>Cut-Outs, Life Size and Oversized, of Animals and Symbols</t>
  </si>
  <si>
    <t>Drawings, Originals</t>
  </si>
  <si>
    <t>Engravings, Etchings, Linocuts, Lithographs, Scrolls, Serigraphs, and Similar Reproductions</t>
  </si>
  <si>
    <t>Fabric Designs: Silk Screen, etc.</t>
  </si>
  <si>
    <t>Masks</t>
  </si>
  <si>
    <t>Mixed Media</t>
  </si>
  <si>
    <t>Murals</t>
  </si>
  <si>
    <t>Murals, Clay</t>
  </si>
  <si>
    <t>Murals, Glass</t>
  </si>
  <si>
    <t>Murals, Photographic: Kiln Fired, Image Sublimation</t>
  </si>
  <si>
    <t>Murals: Stone, Tile</t>
  </si>
  <si>
    <t>Murals, Wall</t>
  </si>
  <si>
    <t>Paintings, Originals: Oil, Acrylic, Water Color, etc.</t>
  </si>
  <si>
    <t>Photographs</t>
  </si>
  <si>
    <t>Posters and Prints, Not Originals</t>
  </si>
  <si>
    <t>Recycled Art Objects</t>
  </si>
  <si>
    <t>Sculptures: Marble, Metal, Plastic, etc.</t>
  </si>
  <si>
    <t>Wood Carvings and Woodcuts</t>
  </si>
  <si>
    <t>AUTOMOTIVE ACCESSORIES FOR AUTOMOBILES, BUSES, TRAILERS, TRUCKS, ETC.</t>
  </si>
  <si>
    <t>Air Bags, Automotive</t>
  </si>
  <si>
    <t>Air Conditioners, Automotive, Including Parts and Accessories</t>
  </si>
  <si>
    <t>Anti-theft and Security Devices, Automotive</t>
  </si>
  <si>
    <t>Top Carriers, Automotive</t>
  </si>
  <si>
    <t>Belts, Safety, Child Restraint Systems, Car Seats, Automotive</t>
  </si>
  <si>
    <t>Brake Adjusters (Inactive, please see commodity code 060-14 effective January 1, 2016)</t>
  </si>
  <si>
    <t>Bug Screens and Protective Shields, Automotive</t>
  </si>
  <si>
    <t>Cameras, Video, Automotive</t>
  </si>
  <si>
    <t>Car Seats for Infants (Inactive, please see commodity code 055-08 effective January 1, 2016)</t>
  </si>
  <si>
    <t>Chains and Traction Belts, Tire, Automotive</t>
  </si>
  <si>
    <t>Consoles, Police, Automobiles (Includes Controls for P.A., Sirens, Warning Devices)</t>
  </si>
  <si>
    <t>Console Accessories, Emergency Response Automobiles</t>
  </si>
  <si>
    <t>Controls, Physically Impaired, Automotive</t>
  </si>
  <si>
    <t>Conversion Kits and Systems: CNG, LPG, etc. Gases, Automotive</t>
  </si>
  <si>
    <t>Couplings and Hitches, Automotive</t>
  </si>
  <si>
    <t>Cushions and Covers, Seat, Automotive</t>
  </si>
  <si>
    <t>Emergency Kits: First Aid Kit, Tools, etc., Automotive</t>
  </si>
  <si>
    <t>Fans, Cab (Inactive, effective January 1, 2016)</t>
  </si>
  <si>
    <t>Fifth Wheels (Inactive, effective January 1, 2016)</t>
  </si>
  <si>
    <t>Gauges, Automotive, Including Speedometers</t>
  </si>
  <si>
    <t>Grease Guns, Automotive</t>
  </si>
  <si>
    <t>Generators, 110V, Attached to and Operated by Automotive Engine</t>
  </si>
  <si>
    <t>*Global Positioning Systems for Tracking Vehicles</t>
  </si>
  <si>
    <t>Grille Guards and Crash Cushions, Automotive</t>
  </si>
  <si>
    <t>Headlights, Lamps, Automotive, Including Parts and Accessories</t>
  </si>
  <si>
    <t>Heaters, Defrosters, and Defogging Systems, Automotive</t>
  </si>
  <si>
    <t>Immobilizer Devices, Automotive</t>
  </si>
  <si>
    <t>Interior Trim Items, Automotive</t>
  </si>
  <si>
    <t>Labeling Systems, Automotive</t>
  </si>
  <si>
    <t>Lights and Lens: Back-up, Stop, Tail, and Parking, Automotive</t>
  </si>
  <si>
    <t>Lights and Lens: Clearance and Marker, Including License Plate Lights, Automotive</t>
  </si>
  <si>
    <t>Lights and Lens: Directional and Turn Signal, Automotive</t>
  </si>
  <si>
    <t>Lights and Lens: Emergency, Flood, Trouble and Spotlights, Automotive</t>
  </si>
  <si>
    <t>Lights and Lens: Miniature, Automotive</t>
  </si>
  <si>
    <t>Lights and Accessories: Flashing, Light Bars, Revolving, and Warning, Including Strobe/Warning Lights, Automotive</t>
  </si>
  <si>
    <t>Lights and Lens, Automotive (Not Otherwise Classified)</t>
  </si>
  <si>
    <t>Mats, Floor (See 760-56 for Heavy Equipment Type), Automotive</t>
  </si>
  <si>
    <t>Mirrors: Rearview, Interior and Exterior, Automotive</t>
  </si>
  <si>
    <t>Moisture Separators, Automotive</t>
  </si>
  <si>
    <t>Mounting Hardware: Laptops, GPS, Cameras, Electronic Devices, etc. Automotive.</t>
  </si>
  <si>
    <t>Monitors, Computerized and Wireless, Including Equipment Utilization, Engine/Driver Performance, Brakes, Lights, RPM, Temperature, etc.</t>
  </si>
  <si>
    <t>Organizers: Cup Holders, Tissue Dispenser, etc., Automotive</t>
  </si>
  <si>
    <t>Power Takeoff, Automotive</t>
  </si>
  <si>
    <t>Propane/Butane or Natural Gas Conversion Equipment, Automotive</t>
  </si>
  <si>
    <t>Racks: Gun, Hat, etc., Automotive</t>
  </si>
  <si>
    <t>Reel Assembly, Cable, Mounted, Automotive</t>
  </si>
  <si>
    <t>Reflectors, Automotive</t>
  </si>
  <si>
    <t>Seats, Including Parts and Accessories, Automotive</t>
  </si>
  <si>
    <t>Sirens, Horns and Back-up Alarms, Automotive</t>
  </si>
  <si>
    <t>Splash Guards, Automotive</t>
  </si>
  <si>
    <t>Switches and Flashers, Automotive</t>
  </si>
  <si>
    <t>Tanks, Fuel, Auxiliary, Automotive</t>
  </si>
  <si>
    <t>Tanks, Miscellaneous, Including Parts and Accessories (Not Otherwise Classified)</t>
  </si>
  <si>
    <t>Tops and Covers, Short Wheelbase Vehicles</t>
  </si>
  <si>
    <t>Warning Devices, Triangular, Including Slow Moving Vehicle Signs</t>
  </si>
  <si>
    <t>Wheelchair Lift and Accessories, Vehicle-Mounted</t>
  </si>
  <si>
    <t>Vehicle Safety Systems: Collision Avoidance and Impact Sensing, Automotive</t>
  </si>
  <si>
    <t>Recycled Automotive Accessory Items</t>
  </si>
  <si>
    <t>AUTOMOTIVE AND TRAILER EQUIPMENT AND PARTS</t>
  </si>
  <si>
    <t>Adapters and Clevises, Automotive Parts</t>
  </si>
  <si>
    <t>Accessories, Freightliner</t>
  </si>
  <si>
    <t>Antifreeze</t>
  </si>
  <si>
    <t>Axles, Trailers and Trucks, Tandem and Single</t>
  </si>
  <si>
    <t>Batteries and Charging Stations for Electric Automobiles, Including Recycled Types</t>
  </si>
  <si>
    <t>Batteries, Storage, Including Electrolyte and Recycled Types, Automotive</t>
  </si>
  <si>
    <t>Brake Adjusters</t>
  </si>
  <si>
    <t>Brakes, Electric Controller</t>
  </si>
  <si>
    <t>Brake Fluid, Hydraulic</t>
  </si>
  <si>
    <t>Brakes, Repairs, and Replacements, Not Electric Controller</t>
  </si>
  <si>
    <t>Bushings and Related Items</t>
  </si>
  <si>
    <t>Cables, Looms, and Terminals, Including Fuse Holders, (See 280-75 for Cable and Wire Ties)</t>
  </si>
  <si>
    <t>Cement, Radiator</t>
  </si>
  <si>
    <t>Clamps, Hose</t>
  </si>
  <si>
    <t>Cooling System: Radiators, Complete and Cores; Thermostats; Water Pumps; etc.</t>
  </si>
  <si>
    <t>Electrical Accessories: Alternators, Ammeters, Distributors, Generators, Regulators, Starters, etc.</t>
  </si>
  <si>
    <t>Electrical Parts, Not Ignition, (Not Otherwise Classified)</t>
  </si>
  <si>
    <t>Engines, Diesel, Including Replacement Parts, Automotive</t>
  </si>
  <si>
    <t>Engines, Dual Fuel, Including Replacement Part, Automotive</t>
  </si>
  <si>
    <t>Engines, Gasoline: Complete, Short Block, and Parts</t>
  </si>
  <si>
    <t>Exhaust System: Clamps, Exhaust Pipes, Mufflers, Tailpipes, Catalytic Converters, etc.</t>
  </si>
  <si>
    <t>Filters, Air, Fuel, Oil, Power Steering, Transmission and Water, and PCV Valves</t>
  </si>
  <si>
    <t>ENGINES, LPG, INCLUDING REPLACEMENT PARTS, AUTOMOTIVE</t>
  </si>
  <si>
    <t>Fittings, For Copper Tubing</t>
  </si>
  <si>
    <t>Front End Alignment Parts and Accessories (See 075 for Equipment)</t>
  </si>
  <si>
    <t>Fuel System: Carburetors and Kits, Fuel Pumps, Tanks and Caps, etc.</t>
  </si>
  <si>
    <t>Fuses, Automotive</t>
  </si>
  <si>
    <t>Gaskets and Gasket Material, Automotive</t>
  </si>
  <si>
    <t>Glass and Supplies: Door, Windshield, etc., Automotive</t>
  </si>
  <si>
    <t>Governors, Engine and Road Speed</t>
  </si>
  <si>
    <t>Hose and Hose Fittings: Brake, Heater, Radiator, Vacuum, Washer, Wiper, etc.</t>
  </si>
  <si>
    <t>Hydraulic System Components and Parts</t>
  </si>
  <si>
    <t>Ignition System: Coils, Condensers, Points, Rotors, Spark Plugs (Not Aircraft), Spark Plug Wires, etc.</t>
  </si>
  <si>
    <t>Lubricating System and Parts (See 060-42 for Filters and Class 075 for Equipment)</t>
  </si>
  <si>
    <t>Power and Drive Train Components and Parts</t>
  </si>
  <si>
    <t>Parts and Accessories, Automotive, Miscellaneous (Not Otherwise Classified)</t>
  </si>
  <si>
    <t>Recycled Automotive Parts</t>
  </si>
  <si>
    <t>Remanufactured Engines, Transmissions, Differentials and Rear Axle Assemblies</t>
  </si>
  <si>
    <t>Replacement Parts for Chrysler (Mopar)</t>
  </si>
  <si>
    <t>Replacement Parts for Ford</t>
  </si>
  <si>
    <t>Replacement Parts for General Motors</t>
  </si>
  <si>
    <t>Replacement Parts for International Harvester</t>
  </si>
  <si>
    <t>Replacement Parts for other than Chrysler, Ford, General Motors, and International Harvester</t>
  </si>
  <si>
    <t>Retread Rubber</t>
  </si>
  <si>
    <t>Retreading Equipment</t>
  </si>
  <si>
    <t>Seals and O-Rings</t>
  </si>
  <si>
    <t>Shock Absorbers, Struts, etc.</t>
  </si>
  <si>
    <t>Springs, Leaves, Suspensions, etc., Including Sway Bars</t>
  </si>
  <si>
    <t>Steering Components and Parts</t>
  </si>
  <si>
    <t>Tire and Tube Repair Items and Vulcanizers</t>
  </si>
  <si>
    <t>Tire Sealing Compound</t>
  </si>
  <si>
    <t>Transmissions, Standard and Automatic, Including Clutch Assemblies and Parts</t>
  </si>
  <si>
    <t>Wheel Bearings and Seals</t>
  </si>
  <si>
    <t>Wheels and Rims, Including Wheel Covers and Hubcaps</t>
  </si>
  <si>
    <t>Windshield Wiper and Washer Assemblies, and Parts, Including Windshield Washer Fluid</t>
  </si>
  <si>
    <t>AUTOMOTIVE AND TRAILER BODIES, BODY ACCESSORIES, AND PARTS</t>
  </si>
  <si>
    <t>Aerial Ladders and Towers, Including Buckets for Personnel</t>
  </si>
  <si>
    <t>Bodies, Including Parts and Accessories, Passenger Automobiles</t>
  </si>
  <si>
    <t>Bodies, Animal Control</t>
  </si>
  <si>
    <t>Bodies, Utility</t>
  </si>
  <si>
    <t>Body and Frame Parts, Including Bed Extenders (Not Otherwise Classified)</t>
  </si>
  <si>
    <t>Bookmobile Bodies</t>
  </si>
  <si>
    <t>Brush Guards, Truck</t>
  </si>
  <si>
    <t>Bus Bodies, School</t>
  </si>
  <si>
    <t>Cement Truck Bodies</t>
  </si>
  <si>
    <t>Covers, Camper Shells, Load Covers, etc., For Trucks</t>
  </si>
  <si>
    <t>Derrick, Digger, Truck Mounted</t>
  </si>
  <si>
    <t>Dump Bodies, Hoist Subframes, etc.</t>
  </si>
  <si>
    <t>Fire Protection and Crash Rescue Bodies</t>
  </si>
  <si>
    <t>Flat Bed Bodies</t>
  </si>
  <si>
    <t>Grain Bodies</t>
  </si>
  <si>
    <t>Handles, Grab</t>
  </si>
  <si>
    <t>Hatches, Roof, Ventilation, Emergency Exit, etc.</t>
  </si>
  <si>
    <t>Headache Racks, Truck Bodies</t>
  </si>
  <si>
    <t>Ladder Rack Bodies</t>
  </si>
  <si>
    <t>Livestock Bodies</t>
  </si>
  <si>
    <t>Milk Delivery Bodies</t>
  </si>
  <si>
    <t>Mobile Service and Lubrication Bodies</t>
  </si>
  <si>
    <t>Oil Field Bodies</t>
  </si>
  <si>
    <t>Ordnance, Explosive, Disposal Bodies</t>
  </si>
  <si>
    <t>Platform Bodies, Including Elevating Type</t>
  </si>
  <si>
    <t>Powerlift Tailgate</t>
  </si>
  <si>
    <t>Pickup Truck Bodies</t>
  </si>
  <si>
    <t>Refrigerated Bodies</t>
  </si>
  <si>
    <t>Recycled Automotive Bodies, Including Parts and Accessories</t>
  </si>
  <si>
    <t>Refuse/Garbage Collection Bodies, Including Parts and Accessories</t>
  </si>
  <si>
    <t>Sewer/Catch Basin Cleaning Body and Equipment</t>
  </si>
  <si>
    <t>Spreader Boxes</t>
  </si>
  <si>
    <t>Stake Bodies, Including Parts and Accessories</t>
  </si>
  <si>
    <t>Tanker Truck Bodies</t>
  </si>
  <si>
    <t>Tarpaulins for Truck Bodies (See 450-15 and 77 for Other Types)</t>
  </si>
  <si>
    <t>Tool Compartment Boxes, Trucks</t>
  </si>
  <si>
    <t>Class 8 Trucks (33,001 lb. GVWR and Over)</t>
  </si>
  <si>
    <t>Truck Bed Liners</t>
  </si>
  <si>
    <t>Trailer Bodies and Parts, Including Access Steps and Ladders</t>
  </si>
  <si>
    <t>Van Truck Bodies</t>
  </si>
  <si>
    <t>Water Tank Bodies</t>
  </si>
  <si>
    <t>Winches and Cranes, Automotive</t>
  </si>
  <si>
    <t>Wrecker Bodies</t>
  </si>
  <si>
    <t>AUTOMOBILES, SCHOOL BUSES, SUVS, AND VANS, INCLUDING DIESEL, GASOLINE, ELECTRIC, HYBRID, AND ALL OTHER FUEL TYPES</t>
  </si>
  <si>
    <t>All Terrain Amphibious Vehicles, Search and Rescue</t>
  </si>
  <si>
    <t>Ambulances and Rescue Vehicles (See 072-30 for Fire Protection and Crash Rescue Trucks)</t>
  </si>
  <si>
    <t>Automobiles</t>
  </si>
  <si>
    <t>Automobiles, Police and Security Equipped</t>
  </si>
  <si>
    <t>Bus Chassis, School</t>
  </si>
  <si>
    <t>Buses Complete, School, Conventional Type, (See Classes 556 thru 559 for Mass Transit Vehicles)</t>
  </si>
  <si>
    <t>Buses Complete, School (Small Vehicle Type)</t>
  </si>
  <si>
    <t>Buses and Vans, Inmate Transport (Incl. Special Components)</t>
  </si>
  <si>
    <t>Electric Personal Assisted Mobility Device (EPAMD)</t>
  </si>
  <si>
    <t>Motor Scooters and Trucksters, Including All Terrain Types, Golf Carts, etc.</t>
  </si>
  <si>
    <t>Motor Homes, Including Bookmobiles, Mobile and Field Offices, etc.</t>
  </si>
  <si>
    <t>Motorcycles</t>
  </si>
  <si>
    <t>Snowmobiles (See Class 765 for Snow Blowers and Plows)</t>
  </si>
  <si>
    <t>Specialty Vehicles</t>
  </si>
  <si>
    <t>SUV Type Vehicles, Including Carryalls</t>
  </si>
  <si>
    <t>Trams, Touring</t>
  </si>
  <si>
    <t>Vans, Cargo</t>
  </si>
  <si>
    <t>Vans, Customized</t>
  </si>
  <si>
    <t>Vans, Passenger, Regular and Handicapped Equipped</t>
  </si>
  <si>
    <t>TRUCKS, INCLUDING, DIESEL, GASOLINE, ELECTRIC, HYBRID, AND ALTERNATIVE FUEL UNITS</t>
  </si>
  <si>
    <t>Class 1 Trucks (6,000 lb. GVWR or less)</t>
  </si>
  <si>
    <t>Class 2 Trucks (6,001 - 10,000 lb. GVWR)</t>
  </si>
  <si>
    <t>Class 3 Trucks (10,001 - 14,000 lb. GVWR)</t>
  </si>
  <si>
    <t>Class 4 Trucks (14,001 - 16,000 lb. GVWR)</t>
  </si>
  <si>
    <t>Class 5 Trucks (16,001 - 19,500 lb. GVWR)</t>
  </si>
  <si>
    <t>Class 6 Trucks (19,501 - 26,000 lb. GVWR)</t>
  </si>
  <si>
    <t>Class 7 Trucks (26,001 - 33,000 lb. GVWR)</t>
  </si>
  <si>
    <t>Trucks, Fire Protection and Crash Rescue</t>
  </si>
  <si>
    <t>Trucks, Training Simulator</t>
  </si>
  <si>
    <t>Wreckers, Complete (See 065-95 for Wrecker Bodies)</t>
  </si>
  <si>
    <t>TRAILERS</t>
  </si>
  <si>
    <t>Trailers, Cargo, Enclosed</t>
  </si>
  <si>
    <t>Trailers, With Enclosed Refrigeration Unit</t>
  </si>
  <si>
    <t>Trailers, Semi, Enclosed</t>
  </si>
  <si>
    <t>Trailers, Specialty, Enclosed, Tag-Along</t>
  </si>
  <si>
    <t>Trailers, Specialty, Frame, Tag-Along</t>
  </si>
  <si>
    <t>Trailers, Transport, Dry Bulk</t>
  </si>
  <si>
    <t>Trailers, Transport, Equipment, Fixed Deck, Tag-Along</t>
  </si>
  <si>
    <t>Trailers, Transport, Equipment, Tilt Deck, Tag-Along</t>
  </si>
  <si>
    <t>Trailers, Transport, Machinery</t>
  </si>
  <si>
    <t>Trailers, Transport, Tank</t>
  </si>
  <si>
    <t>Trailers, Utility, Enclosed, Tag-Along</t>
  </si>
  <si>
    <t>Trailers, Utility, Flatbed, Tag-Along</t>
  </si>
  <si>
    <t>Trailers, Utility, Gooseneck</t>
  </si>
  <si>
    <t>Trailers, Utility, Tilt Deck, Tag-Along</t>
  </si>
  <si>
    <t>Trailers, Various Types (Not Otherwise Classified)</t>
  </si>
  <si>
    <t>AUTOMOTIVE SHOP AND RELATED EQUIPMENT AND SUPPLIES</t>
  </si>
  <si>
    <t>Air Powered Shop Tools, Regulators, Including Parts and Accessories</t>
  </si>
  <si>
    <t>Alarm Systems, Visual and Audio, Electrically and Mechanically Operated Doors</t>
  </si>
  <si>
    <t>Aligners, Balancers, Including Parts and Accessories, Wheel</t>
  </si>
  <si>
    <t>Battery Chargers and Testers, Automotive (See Also Class 726)</t>
  </si>
  <si>
    <t>Brake Bench Stands</t>
  </si>
  <si>
    <t>Brushes and Cleaning Compounds, Automotive Cleaning</t>
  </si>
  <si>
    <t>Carbon Removing Tools</t>
  </si>
  <si>
    <t>Cements, For Chromatid Felt, Gaskets, Trim, and Weather Strip, and Gasket Shellac</t>
  </si>
  <si>
    <t>Chamois and Sponges, Including Car Wash Mittens and Windshield Squeegees</t>
  </si>
  <si>
    <t>Cleaning and Washing Equipment: Steam, Cold and Hot Water Pressure and Jet Types, Portable and Stationary (Also See 075-49)</t>
  </si>
  <si>
    <t>Crankshaft Truing and Engine Stands</t>
  </si>
  <si>
    <t>Creepers</t>
  </si>
  <si>
    <t>Diagnostic Instrument System, Emission Testing, Automotive</t>
  </si>
  <si>
    <t>Dynamometers</t>
  </si>
  <si>
    <t>Fender Covers</t>
  </si>
  <si>
    <t>Files, Ignition, Tungsten Point</t>
  </si>
  <si>
    <t>Flush and Fill Equipment and Tools: Automatic Transmissions, Cooling Systems, Power Steering Systems, etc.</t>
  </si>
  <si>
    <t>Grinders, Cylinder Hone and Valve Seat: Portable Boring Machines; Hones; and Boring Bars</t>
  </si>
  <si>
    <t>Hand Tools, Air Conditioning, Including Refrigerant Charging Equipment, Automotive</t>
  </si>
  <si>
    <t>Hand Tools, Body Rebuilder's</t>
  </si>
  <si>
    <t>Hand Tools, Special Automotive: Brake Tools, Body and Fender Dollies, Hand Operated Pullers, Mechanic's Inspection Mirror, etc. (For Hardware See Class 450)</t>
  </si>
  <si>
    <t>Hose, Exhaust, Shop Use Only</t>
  </si>
  <si>
    <t>Hydrometers: Antifreeze and Battery</t>
  </si>
  <si>
    <t>Inspection Systems, Under Vehicle Type</t>
  </si>
  <si>
    <t>Jacks, Safety Stands, Portable Cranes, Including Parts and Accessories: Automobiles, Trailers, Trucks, and Transmissions</t>
  </si>
  <si>
    <t>Lights, Drop, and other Remote Work Lights, With Cords</t>
  </si>
  <si>
    <t>Lathes, Armature and Brake Drum</t>
  </si>
  <si>
    <t>Lifts and Hoists, Floor Type: Electric, Hydraulic, or Pneumatic</t>
  </si>
  <si>
    <t>Lubrication Equipment: Guns, Hoses, Fittings, Lubricators, Oil Pumps, etc., Including Oil Filter Presses</t>
  </si>
  <si>
    <t>Mechanic's Equipment and Tools (Not Otherwise Classified)</t>
  </si>
  <si>
    <t>Mechanic's Wire</t>
  </si>
  <si>
    <t>Parts Washing Equipment Including Air Agitated and Pump Agitated (Also See 075-19)</t>
  </si>
  <si>
    <t>Oil Analysis and Diagnostic Equipment</t>
  </si>
  <si>
    <t>Presses and Pullers, Machine Powered, Including Frame Alignment</t>
  </si>
  <si>
    <t>Reclamation Equipment, Automotive, Including Refrigerant Recovery</t>
  </si>
  <si>
    <t>Recycled Automotive Products (Not Otherwise Classified)</t>
  </si>
  <si>
    <t>Reel and Hose Assemblies, Air and Water Dispensing</t>
  </si>
  <si>
    <t>Refinisher Product, Including Polish and Body Filler, (See Class 630  For Paint)</t>
  </si>
  <si>
    <t>Relining Equipment, Brakes</t>
  </si>
  <si>
    <t>Shop and Mechanic's Equipment and Supplies, Recycled</t>
  </si>
  <si>
    <t>Spark Plug Cleaner and Tester, Electric</t>
  </si>
  <si>
    <t>Specialty Products: Carburetor Cleaning Compound, Radiator Flush and Stop Leak, Transmission Sealing Compound, Water Pump Lubricant, Windshield Washer Solvent, etc.</t>
  </si>
  <si>
    <t>Spring Tester, To Balance Valve Springs, etc.</t>
  </si>
  <si>
    <t>Spill Containment, Clean-Up, and Hazardous Waste Elimination System, Vehicle Maintenance and Repair Work</t>
  </si>
  <si>
    <t>Starting Equipment, Vehicle, Equipment Battery, Not Battery to Battery</t>
  </si>
  <si>
    <t>Tachometer, With Wheel for Speed Recording</t>
  </si>
  <si>
    <t>Testers: Engine Analysis, Headlight, Ignition, Timing, Compression, Oscilloscopes, Stroboscopes, etc.</t>
  </si>
  <si>
    <t>Tire Changing Equipment</t>
  </si>
  <si>
    <t>Tire Changing Tools and Accessories: Lug Wrenches, Tire Gauges, Tire Mounting Lubricant, Tire Pumps, etc.</t>
  </si>
  <si>
    <t>Tire Storage Racks</t>
  </si>
  <si>
    <t>Tire Treatments, Anti-skid</t>
  </si>
  <si>
    <t>Tow Bars, Chains, Ropes and Straps</t>
  </si>
  <si>
    <t>Training Aids and Instructional Equipment and Supplies, Automotive</t>
  </si>
  <si>
    <t>Undercoater Equipment and Accessories</t>
  </si>
  <si>
    <t>Undercoating Compounds</t>
  </si>
  <si>
    <t>Wheel Chocks, Blocks</t>
  </si>
  <si>
    <t>Valve Grinding Compounds</t>
  </si>
  <si>
    <t>Washing Systems, Automatic, Stationary, Automotive</t>
  </si>
  <si>
    <t>Windshield Replacement Tools</t>
  </si>
  <si>
    <t>BADGES, AWARDS, EMBLEMS, NAME TAGS AND PLATES, JEWELRY, ETC.</t>
  </si>
  <si>
    <t>Badges, Buttons, Emblems, and ID Cards, Celluloid and Plastic: Student, Faculty, Membership, Employee, etc.</t>
  </si>
  <si>
    <t>Badges, Buttons, Emblems, and Patches, Metal: Cap, Game Wardens', Officers', Service Awards, Uniform, etc.</t>
  </si>
  <si>
    <t>Card Holders, All Types (See Class 578 for Metal)</t>
  </si>
  <si>
    <t>Nameplates, Engraved and Easels</t>
  </si>
  <si>
    <t>Convention Badges and Name Tags, Adhesive Back</t>
  </si>
  <si>
    <t>Convention Badges and Name Tags, Nonadhesive type</t>
  </si>
  <si>
    <t>Holders, Metal: Card, Door Name Card, Label, etc.</t>
  </si>
  <si>
    <t>Fasteners, For Badges, etc.: Metal, Plastic, etc.</t>
  </si>
  <si>
    <t>Folders, Presentation</t>
  </si>
  <si>
    <t>Nameplates, Metal, Adhesive Back</t>
  </si>
  <si>
    <t>Nameplates, Metal, Non-adhesive Back</t>
  </si>
  <si>
    <t>Nameplates, Plastic</t>
  </si>
  <si>
    <t>Nameplates, Specialty, Including Clocks, Logos, Pen/Pencil Sets, etc.</t>
  </si>
  <si>
    <t>Ribbons and Rosettes, For Awards and Non-Award</t>
  </si>
  <si>
    <t>Recycled Awards, Convention Items, Trophies, etc.</t>
  </si>
  <si>
    <t>Service Awards, Specialty Type</t>
  </si>
  <si>
    <t>Tags: Luggage, Security, Identification</t>
  </si>
  <si>
    <t>Tags, Metal, Adhesive Back: Inventory, Property, Tool, etc.</t>
  </si>
  <si>
    <t>Tags, Metal, Non-adhesive Back: Inventory, Property, Skiff, Seine Trawl, etc.</t>
  </si>
  <si>
    <t>Tags, Pet Identification</t>
  </si>
  <si>
    <t>Trophies, Plaques, Awards, Certificates, etc. (Not Otherwise Classified)</t>
  </si>
  <si>
    <t>BAGS, BAGGING, TIES, AND EROSION SHEETING, ETC.</t>
  </si>
  <si>
    <t>Bags, Biodegradable</t>
  </si>
  <si>
    <t>Bagging, Burlap, For Baling Cotton</t>
  </si>
  <si>
    <t>Bags, Burlap or Jute</t>
  </si>
  <si>
    <t>Bags, Canvas, Cotton or Duck, Except Mail</t>
  </si>
  <si>
    <t>Bags, Cement</t>
  </si>
  <si>
    <t>Bags, Dunnage</t>
  </si>
  <si>
    <t>Bags, Denim</t>
  </si>
  <si>
    <t>Bags, Hazardous Material</t>
  </si>
  <si>
    <t>Bags, Mail</t>
  </si>
  <si>
    <t>Bags, Muslin</t>
  </si>
  <si>
    <t>Bags, Osnaburg</t>
  </si>
  <si>
    <t>Bags: Nylon, Polyester, Polypropylene</t>
  </si>
  <si>
    <t>Bags, Potato</t>
  </si>
  <si>
    <t>Bags, Sand</t>
  </si>
  <si>
    <t>Bags, Straw</t>
  </si>
  <si>
    <t>Patterns, Cotton Bagging</t>
  </si>
  <si>
    <t>Recycled Bags and Erosion Control Items</t>
  </si>
  <si>
    <t>Sacks, Cotton Harvesting</t>
  </si>
  <si>
    <t>Seals, Mailbag, etc.</t>
  </si>
  <si>
    <t>Soil Erosion Sheeting Material, Including Silt Fencing: Asphalt, Biodegradable Paper, Burlap, Excelsior, Jute, Straw, etc.</t>
  </si>
  <si>
    <t>Ties For Bags and Cotton Bales</t>
  </si>
  <si>
    <t>BAKERY EQUIPMENT, COMMERCIAL</t>
  </si>
  <si>
    <t>Dough Mixers</t>
  </si>
  <si>
    <t>Dough Sheeters and Dividers</t>
  </si>
  <si>
    <t>Dough Troughs</t>
  </si>
  <si>
    <t>Dough Trucks</t>
  </si>
  <si>
    <t>Flour Sifters</t>
  </si>
  <si>
    <t>Ovens, Bakery</t>
  </si>
  <si>
    <t>Pins, Rolling</t>
  </si>
  <si>
    <t>Proof Boxes</t>
  </si>
  <si>
    <t>Refurbished Bakery Equipment and Supplies</t>
  </si>
  <si>
    <t>Roll Dividers and Rounders</t>
  </si>
  <si>
    <t>Slicers, Bread</t>
  </si>
  <si>
    <t>Tables, Bakers'</t>
  </si>
  <si>
    <t>Wrapping Machines, Bakery</t>
  </si>
  <si>
    <t>BARBER AND BEAUTY SHOP EQUIPMENT AND SUPPLIES</t>
  </si>
  <si>
    <t>Barber Chairs and Parts</t>
  </si>
  <si>
    <t>Barber Jackets</t>
  </si>
  <si>
    <t>Barber Shop Basins, Bowls, and Fittings</t>
  </si>
  <si>
    <t>Barber Shop Cabinets and Parts</t>
  </si>
  <si>
    <t>Barber Shop Mirrors</t>
  </si>
  <si>
    <t>Barber Shop Sterilizers, and Sterilizing Jars</t>
  </si>
  <si>
    <t>Barber Shop and Beauty Shop Sundries: Clipper Lubricants, Disinfectants, Dispensing Bottles, Mugs, Neck Dusters, Trays, etc.</t>
  </si>
  <si>
    <t>Beauty Shop Basins, Bowls, and Fittings</t>
  </si>
  <si>
    <t>Beauty Shop Cabinets and Parts</t>
  </si>
  <si>
    <t>Beauty Shop Chairs and Parts</t>
  </si>
  <si>
    <t>Beauty Shop Foot Rests</t>
  </si>
  <si>
    <t>Beauty Shop Lamps and Parts</t>
  </si>
  <si>
    <t>Beauty Shop Mirrors</t>
  </si>
  <si>
    <t>Beauty Shop Stools</t>
  </si>
  <si>
    <t>Beauty Shop Tables</t>
  </si>
  <si>
    <t>Cases, For Barber and Beauty Kits</t>
  </si>
  <si>
    <t>Chair Cloths, Shampoo Capes, and Clips</t>
  </si>
  <si>
    <t>Clippers and Parts, Hair</t>
  </si>
  <si>
    <t>Dryers, Curling Irons, and Parts, Hair</t>
  </si>
  <si>
    <t>Make-Up Mirrors</t>
  </si>
  <si>
    <t>Lather Makers and Parts</t>
  </si>
  <si>
    <t>Mats, Barber Chair</t>
  </si>
  <si>
    <t>Recycled Barber and Beauty Shop Sundries, Accessories and Supplies</t>
  </si>
  <si>
    <t>Scissors, Shears and Tweezers</t>
  </si>
  <si>
    <t>Strops and Hones, Razor</t>
  </si>
  <si>
    <t>Vibrators, Massagers, and Parts</t>
  </si>
  <si>
    <t>BARRELS, DRUMS, KEGS, AND CONTAINERS</t>
  </si>
  <si>
    <t>Baskets, All Types (Not Otherwise Classified)</t>
  </si>
  <si>
    <t>Boxes, Crates, Baskets (Inactive, effective January 1, 2016)</t>
  </si>
  <si>
    <t>Containers, Plastic, All Purpose)</t>
  </si>
  <si>
    <t>Containers, Recycling</t>
  </si>
  <si>
    <t>Covers, Drum, All Types and Sizes</t>
  </si>
  <si>
    <t>Casks, All Types</t>
  </si>
  <si>
    <t>Drum Spigots, Metal or Plastic</t>
  </si>
  <si>
    <t>Crates, Plywood</t>
  </si>
  <si>
    <t>Drums, Miscellaneous</t>
  </si>
  <si>
    <t>Flip-top Cap Closures</t>
  </si>
  <si>
    <t>Freight and Cargo Containers, Shipping, (See Class 640 For Boxes)</t>
  </si>
  <si>
    <t>Gaskets, All Types: Barrels, Drums, Kegs, and Pails</t>
  </si>
  <si>
    <t>Hazardous Material Containment and Storage, Chemicals</t>
  </si>
  <si>
    <t>Hazardous Material Containment/Storage, Petroleum</t>
  </si>
  <si>
    <t>Holders and Containers. Compost</t>
  </si>
  <si>
    <t>Labels, Hazardous Material Container</t>
  </si>
  <si>
    <t>Pail-Type Containers, Steel</t>
  </si>
  <si>
    <t>Plastic Barrels and Drums, Reinforced</t>
  </si>
  <si>
    <t>Plugging Compounds, Chemically Resistant, Pre-Mixed or Dry, Temporarily Stops Leaks in Drums, Tanks, and Other Containers</t>
  </si>
  <si>
    <t>Plugs, Drum</t>
  </si>
  <si>
    <t>Pumps, Drum</t>
  </si>
  <si>
    <t>Recycled Containers, All Types</t>
  </si>
  <si>
    <t>Repair Supplies and Equipment for all Types of Containers</t>
  </si>
  <si>
    <t>Stainless Steel Drums</t>
  </si>
  <si>
    <t>Steel Barrels, Drums, and Kegs</t>
  </si>
  <si>
    <t>Wooden Barrels and Drums</t>
  </si>
  <si>
    <t>BEARINGS (SEE CLASS 060 FOR WHEEL BEARINGS)</t>
  </si>
  <si>
    <t>Ball Bearings and Parts</t>
  </si>
  <si>
    <t>Bearing Assemblies, Including Hanger Bearings and Custom-Made Bearings</t>
  </si>
  <si>
    <t>Bearings and Parts (For Marine Equipment)</t>
  </si>
  <si>
    <t>Bearings, Various Types (Not Otherwise Classified)</t>
  </si>
  <si>
    <t>Journal Boxes</t>
  </si>
  <si>
    <t>Pillow Blocks, For Bearings</t>
  </si>
  <si>
    <t>Recycled Bearings</t>
  </si>
  <si>
    <t>Roller and Needle Bearings and Parts, Straight</t>
  </si>
  <si>
    <t>Roller Taper Bearings and Parts</t>
  </si>
  <si>
    <t>Sleeve Bearings and Parts</t>
  </si>
  <si>
    <t>BELTS AND BELTING: AUTOMOTIVE AND INDUSTRIAL</t>
  </si>
  <si>
    <t>Accessories: Dressing, Hooks, Laces, etc.</t>
  </si>
  <si>
    <t>Belts, Ferry Equipment</t>
  </si>
  <si>
    <t>Belts, Recycled</t>
  </si>
  <si>
    <t>Conveyor and Elevator: Canvas and Duck</t>
  </si>
  <si>
    <t>Conveyor and Elevator: Neoprene, Plastic, and Rubber</t>
  </si>
  <si>
    <t>Conveyor, Food Processing: Neoprene, Plastic, and Rubber (Inactive, effective January 1, 2016)</t>
  </si>
  <si>
    <t>Flat Belts: Automotive and Lawn Mower, Serpentine, Plain and Grooved, Rubber</t>
  </si>
  <si>
    <t>Power Transmission, Canvas or Duck</t>
  </si>
  <si>
    <t>Power Transmission, Leather</t>
  </si>
  <si>
    <t>Power Transmission: Neoprene, Plastic, and Rubber</t>
  </si>
  <si>
    <t>Recycled Automotive and Industrial Belts</t>
  </si>
  <si>
    <t>V-Belts, Automotive Fan and Generator</t>
  </si>
  <si>
    <t>V-Belts, Industrial</t>
  </si>
  <si>
    <t>V-Belts, Fractional Horsepower</t>
  </si>
  <si>
    <t>V-Belts, Wedge Type, Oil and Heat Resistant, and Static Conducting</t>
  </si>
  <si>
    <t>BIOCHEMICALS, RESEARCH</t>
  </si>
  <si>
    <t>Biochemical Reagents and Tests: Antibiotic Assays, Differentiation Discs, etc.</t>
  </si>
  <si>
    <t>Biochemicals: Amino Acids, Enzymes, Nucleotides, Peptides, etc.</t>
  </si>
  <si>
    <t>Blood Fractions, Not for Human Use: Antigens, Antiserums, Controls, Serums, etc.</t>
  </si>
  <si>
    <t>Catalysts, Biochemical</t>
  </si>
  <si>
    <t>Chemicals, Isotopically Labeled, With Deuterium, Radionuclides, etc.</t>
  </si>
  <si>
    <t>Culture Media, Dehydrated</t>
  </si>
  <si>
    <t>Culture Media, Prepared, (See 495-38 For Microbial Cultures)</t>
  </si>
  <si>
    <t>Nutritional Chemicals, Not For Human Use: Carbohydrates, Proteins, Vitamins, etc.</t>
  </si>
  <si>
    <t>Recycled Biochemicals</t>
  </si>
  <si>
    <t>Research Diets, Special Purpose, For Experimental Animals, Including Diets for Beneficial Insects</t>
  </si>
  <si>
    <t>Stains, Prepared</t>
  </si>
  <si>
    <t>BOATS, MOTORS, AND MARINE EQUIPMENT</t>
  </si>
  <si>
    <t>Agitators, Fish Tank</t>
  </si>
  <si>
    <t>Airboats and Inflatable Boats</t>
  </si>
  <si>
    <t>Anodes, Including Parts and Accessories</t>
  </si>
  <si>
    <t>Anchors</t>
  </si>
  <si>
    <t>Animal Capture Guns and Accessories</t>
  </si>
  <si>
    <t>Bait, Fish</t>
  </si>
  <si>
    <t>Battery Boxes and Battery Chargers, Marine</t>
  </si>
  <si>
    <t>Barges</t>
  </si>
  <si>
    <t>Bells, Ship</t>
  </si>
  <si>
    <t>Bilge Pumps and Boat Bailers</t>
  </si>
  <si>
    <t>Control Systems, Boat, Ship, Marine, Environmental</t>
  </si>
  <si>
    <t>Boat Components (Not Otherwise Classified)</t>
  </si>
  <si>
    <t>Boat Fenders</t>
  </si>
  <si>
    <t>Boat Ramps and Parts</t>
  </si>
  <si>
    <t>Boats, 21 Feet and Under</t>
  </si>
  <si>
    <t>Boats, Recreational (Not Otherwise Classified)</t>
  </si>
  <si>
    <t>Boats, Over 21 Feet, Including Ferries</t>
  </si>
  <si>
    <t>Boats, Pedal and Pontoon</t>
  </si>
  <si>
    <t>Bridges, Passenger Loading</t>
  </si>
  <si>
    <t>Buoys, Marker</t>
  </si>
  <si>
    <t>Bollards, Mooring Devices</t>
  </si>
  <si>
    <t>Communications Equipment, Marine</t>
  </si>
  <si>
    <t>Camels, Structure to Lift Submerged Vessels</t>
  </si>
  <si>
    <t>Canoes and Kayaks</t>
  </si>
  <si>
    <t>Cranes, Container</t>
  </si>
  <si>
    <t>Chiller, Water, Large Flow Capacity to Chill Hatchery Water</t>
  </si>
  <si>
    <t>Depth Finders or Indicators</t>
  </si>
  <si>
    <t>Culture Equipment and Supplies, Fish, Aquaculture; Pisciculture</t>
  </si>
  <si>
    <t>Docks and Piers, Fixed and Floating: Dock Systems, Gangways, Marinas, Wharfs, etc.</t>
  </si>
  <si>
    <t>Electrical Parts and Accessories, Marine</t>
  </si>
  <si>
    <t>Fish Locators and Shockers</t>
  </si>
  <si>
    <t>Fish and Marine Life Incubators, Accessories and Related Equipment</t>
  </si>
  <si>
    <t>Fish Tanks, Holding and Transport</t>
  </si>
  <si>
    <t>Fuel Tanks, Boat</t>
  </si>
  <si>
    <t>Gates, Safety, Marine</t>
  </si>
  <si>
    <t>Gauges, Marine</t>
  </si>
  <si>
    <t>Hydraulic Systems, Marine</t>
  </si>
  <si>
    <t>Hardware, Fittings, Parts, and Supplies, Boat, Except Spark Plugs</t>
  </si>
  <si>
    <t>Hatcheries, Ranches, and other Fishery Resources</t>
  </si>
  <si>
    <t>Hatching Equipment, Fish, Including Jars and Standpipes</t>
  </si>
  <si>
    <t>Lifeboats, Sailboats and Dinghies</t>
  </si>
  <si>
    <t>Life Preservers</t>
  </si>
  <si>
    <t>Lights, Beacon and Signal</t>
  </si>
  <si>
    <t>Lights, Marine Navigation, Boat</t>
  </si>
  <si>
    <t>Line Throwing Apparatus, Rocket</t>
  </si>
  <si>
    <t>Marine Equipment and Supplies, Recycled</t>
  </si>
  <si>
    <t>Minnow Tanks</t>
  </si>
  <si>
    <t>Motor and Engine Parts and Accessories, Miscellaneous, Marine</t>
  </si>
  <si>
    <t>Motors, Marine, Electric</t>
  </si>
  <si>
    <t>Motors, Inboard, Diesel, Marine</t>
  </si>
  <si>
    <t>Motor Conversion Unit, Outboard Propeller to Jet Water Drive</t>
  </si>
  <si>
    <t>Motors, Inboard, Gasoline</t>
  </si>
  <si>
    <t>Motors, Outboard, Diesel</t>
  </si>
  <si>
    <t>Motors, Outboard, Gasoline</t>
  </si>
  <si>
    <t>Navigation Instruments, Marine: Compasses, Sextant, etc. (See Class 220 For Electronic Navigation Equipment)</t>
  </si>
  <si>
    <t>Nets and Repair Supplies, Marine</t>
  </si>
  <si>
    <t>Nets and Repair Supplies, Wildlife Trapping</t>
  </si>
  <si>
    <t>Paddles and Oars</t>
  </si>
  <si>
    <t>Pontoons, All Types</t>
  </si>
  <si>
    <t>Positioning Systems, Global, Marine</t>
  </si>
  <si>
    <t>Preservatives, Net</t>
  </si>
  <si>
    <t>Pumps, Marine</t>
  </si>
  <si>
    <t>Propellers (For Inboard and Outboard Motors)</t>
  </si>
  <si>
    <t>Rigging and Rigging Gear for Ships</t>
  </si>
  <si>
    <t>Rocket Charges and Cannons, Wildlife Trapping</t>
  </si>
  <si>
    <t>Rafts</t>
  </si>
  <si>
    <t>Reefer, Refrigerator Boat or Ship, Including Parts and Accessories</t>
  </si>
  <si>
    <t>Rods, Reels and Tackle Supplies</t>
  </si>
  <si>
    <t>Reach Stackers and Straddle Carriers, Marine</t>
  </si>
  <si>
    <t>Sails, Including Parts and Accessories</t>
  </si>
  <si>
    <t>Scuba and Skin Diving Equipment</t>
  </si>
  <si>
    <t>Ships, All Types: Cargo, Cruise, Salvage, etc.</t>
  </si>
  <si>
    <t>Skis, Jet</t>
  </si>
  <si>
    <t>Searchlights, Marine</t>
  </si>
  <si>
    <t>*Towers: Observation, Hunting, etc.</t>
  </si>
  <si>
    <t>Tools, Marine Hull and Engine</t>
  </si>
  <si>
    <t>Underwater Vehicles, Remote Operated (ROV)</t>
  </si>
  <si>
    <t>Trailers, Boat</t>
  </si>
  <si>
    <t>Submarines: Exploration, Recreation, etc., (See 257-47 for Military Type)</t>
  </si>
  <si>
    <t>Vegetation Control and Removal Equipment, Water</t>
  </si>
  <si>
    <t>Traps, Fish</t>
  </si>
  <si>
    <t>Wildlife Scare-Away Devices: Cannons, Exploders, etc.</t>
  </si>
  <si>
    <t>Wildlife Scare-Away Devices, Ultrasonic (Inactive, please see commodity code 120-94 effective January 1, 2016)</t>
  </si>
  <si>
    <t>Water Safety Equipment and Supplies: Rope, Float Lines, etc. (Not Otherwise Classified)</t>
  </si>
  <si>
    <t>Winches and Lifts, Boat, Including Windlasses</t>
  </si>
  <si>
    <t>BOOKBINDING SUPPLIES</t>
  </si>
  <si>
    <t>Adhesives: Compounds, Glues, Pastes, Glue Pots, and Containers</t>
  </si>
  <si>
    <t>Base Compound</t>
  </si>
  <si>
    <t>Bindery Supplies</t>
  </si>
  <si>
    <t>Bindings, Comb Type: Metal and Plastic</t>
  </si>
  <si>
    <t>Bindings, Comb Type, Plastic</t>
  </si>
  <si>
    <t>Bindings, Machines</t>
  </si>
  <si>
    <t>Bindings, Plastic Post or Rivet Strips</t>
  </si>
  <si>
    <t>Board, Bookbinding Type</t>
  </si>
  <si>
    <t>Cloth, Bookbinding Type</t>
  </si>
  <si>
    <t>Covers, Comb Bound Books</t>
  </si>
  <si>
    <t>End Sheets, Bookbinding</t>
  </si>
  <si>
    <t>Foils, Lettering and Stamping</t>
  </si>
  <si>
    <t>Headbands, Bookbinding</t>
  </si>
  <si>
    <t>Leather, Bookbinding</t>
  </si>
  <si>
    <t>Page Repair Products, Mending Tapes and Cleaners</t>
  </si>
  <si>
    <t>Paper, Reproduction Proofing</t>
  </si>
  <si>
    <t>Paper Treatment Chemicals, Deacidifiers</t>
  </si>
  <si>
    <t>Recycled Bookbinding Supplies</t>
  </si>
  <si>
    <t>Tapes, Bookbinding</t>
  </si>
  <si>
    <t>Thread, Bookbinding</t>
  </si>
  <si>
    <t>Tools, Bookbinding</t>
  </si>
  <si>
    <t>Wire, Bookbinding</t>
  </si>
  <si>
    <t>BRICKS, CLAY, REFRACTORY MATERIALS, STONE, AND TILE PRODUCTS</t>
  </si>
  <si>
    <t>Alabaster, Gypsum, etc.</t>
  </si>
  <si>
    <t>Bricks, Common</t>
  </si>
  <si>
    <t>Brick Facing</t>
  </si>
  <si>
    <t>Bricks, Sewer</t>
  </si>
  <si>
    <t>Cement, Mortar, Refractory</t>
  </si>
  <si>
    <t>Clay, Kaolin and Ball</t>
  </si>
  <si>
    <t>Coloring for Cement and Grout (Inactive, please see commodity code 135-40 effective January 1, 2016)</t>
  </si>
  <si>
    <t>Bricks, Fire</t>
  </si>
  <si>
    <t>Bricks, Fire Clay (Inactive, please see commodity code 135-28 effective January 1, 2016)</t>
  </si>
  <si>
    <t>Granite, Rough Dimension and Building</t>
  </si>
  <si>
    <t>Grout Sealer (Inactive, please see commodity code 135-40 effective January 1, 2016)</t>
  </si>
  <si>
    <t>Grout, Sealer and Coloring, Tile</t>
  </si>
  <si>
    <t>Marble, Building</t>
  </si>
  <si>
    <t>Brick, Molding</t>
  </si>
  <si>
    <t>Refractories, Castable</t>
  </si>
  <si>
    <t>Stone, Building, Except Marble</t>
  </si>
  <si>
    <t>Stone Products, Fabricated</t>
  </si>
  <si>
    <t>Stucco</t>
  </si>
  <si>
    <t>Ties and Anchors, Furnace</t>
  </si>
  <si>
    <t>Tile, Field Stone, Including  Borders and Medallions</t>
  </si>
  <si>
    <t>Tile, Decorative (Inactive, see commodity code 135-64, effective January 1, 2016)</t>
  </si>
  <si>
    <t>Tile, Field Tile, Photo Imaged, Porcelain, Sculptured, Wall</t>
  </si>
  <si>
    <t>Tile, Fire, Refractory</t>
  </si>
  <si>
    <t>Tile, Fine Gemstone, Solid or Mosaic, Including Borders</t>
  </si>
  <si>
    <t>Tile: Floor and Wall, Ceramic, Decorative, Glazed</t>
  </si>
  <si>
    <t>Tile, Shell, Mosaic, Including Borders (Inactive, see commodity code 135-61, effective January 1, 2016)</t>
  </si>
  <si>
    <t>Tile: Floor and Wall, Ceramic, Unglazed</t>
  </si>
  <si>
    <t>Tile, Quarry  (Inactive, please see commodity code 135-64 effective January 1, 2016)</t>
  </si>
  <si>
    <t>Tile, Roof, Clay, Burnt Type  (See 770-64 for Concrete Roofing Tile)</t>
  </si>
  <si>
    <t>Tile Sealant  (Inactive, please see commodity code 135-40 effective January 1, 2016)</t>
  </si>
  <si>
    <t>Tile-Set, For Ceramic Tiles</t>
  </si>
  <si>
    <t>Tile, Metal</t>
  </si>
  <si>
    <t>Tombstone, Stone Grave Markers, and Grave Liners</t>
  </si>
  <si>
    <t>Recycled Tile: Ceramic, Decorative, Fire, Roof, Quarry, etc. (See 360-37 for Other Types)</t>
  </si>
  <si>
    <t>Recycled Bricks, Refractories, Clay, Marble and Stone Products</t>
  </si>
  <si>
    <t>BROOM, BRUSH, AND MOP MANUFACTURING MACHINERY AND SUPPLIES</t>
  </si>
  <si>
    <t>Bands, Wire, Broom</t>
  </si>
  <si>
    <t>Blocks, Brush</t>
  </si>
  <si>
    <t>Broomcorn</t>
  </si>
  <si>
    <t>Broom Manufacturing Machinery and Parts</t>
  </si>
  <si>
    <t>Broom Manufacturing Tools</t>
  </si>
  <si>
    <t>Brush Manufacturing Machinery and Parts</t>
  </si>
  <si>
    <t>Brush Manufacturing Tools</t>
  </si>
  <si>
    <t>Caps, Handle, Whisk Broom</t>
  </si>
  <si>
    <t>Dyes, Broom</t>
  </si>
  <si>
    <t>Ferrules, Handle, Metal</t>
  </si>
  <si>
    <t>Ferrules, Handle, Plastic</t>
  </si>
  <si>
    <t>Fibers, Bass</t>
  </si>
  <si>
    <t>Fibers, Bassine</t>
  </si>
  <si>
    <t>Fibers, Horsehair</t>
  </si>
  <si>
    <t>Fibers, Mixed, Union Mixture</t>
  </si>
  <si>
    <t>Fibers, Palmetto</t>
  </si>
  <si>
    <t>Fibers, Palmyra</t>
  </si>
  <si>
    <t>Fibers, Plastic and Synthetic</t>
  </si>
  <si>
    <t>Fibers, Tampico</t>
  </si>
  <si>
    <t>Mop Manufacturing Machinery and Parts</t>
  </si>
  <si>
    <t>Mop Manufacturing Tools</t>
  </si>
  <si>
    <t>Rag, Broom</t>
  </si>
  <si>
    <t>Recycled Broom, Brush and Mop Supplies</t>
  </si>
  <si>
    <t>Tie Tape, Mop, Nylon</t>
  </si>
  <si>
    <t>Twine, Broom</t>
  </si>
  <si>
    <t>Wire: Broom, Brush, and Mop</t>
  </si>
  <si>
    <t>Yarn, Mop Head, Cotton</t>
  </si>
  <si>
    <t>Yarn, Mop Head, Synthetic</t>
  </si>
  <si>
    <t>BRUSHES (SEE CLASS 485 FOR JANITORIAL TYPE)</t>
  </si>
  <si>
    <t>Acid Brushes</t>
  </si>
  <si>
    <t>Chimney Brushes</t>
  </si>
  <si>
    <t>Cylinder, Tank, and Vat Brushes</t>
  </si>
  <si>
    <t>Glue Brushes</t>
  </si>
  <si>
    <t>Gutter Brushes</t>
  </si>
  <si>
    <t>Kettle Brushes</t>
  </si>
  <si>
    <t>Masonry Brushes</t>
  </si>
  <si>
    <t>Miscellaneous Brushes (Not Otherwise Classified)</t>
  </si>
  <si>
    <t>Paint and Varnish Brushes</t>
  </si>
  <si>
    <t>Recycled Brushes</t>
  </si>
  <si>
    <t>Roofing  Brushes</t>
  </si>
  <si>
    <t>Solder Flux Paste Brushes</t>
  </si>
  <si>
    <t>Snow Brushes</t>
  </si>
  <si>
    <t>Washer Brushes, Car and Truck</t>
  </si>
  <si>
    <t>Wire Brushes, Hand</t>
  </si>
  <si>
    <t>Wire Wheel Brushes</t>
  </si>
  <si>
    <t>BUILDER'S SUPPLIES</t>
  </si>
  <si>
    <t>Adhesives, Bonding Agents and Cement Antifreeze</t>
  </si>
  <si>
    <t>Aluminum Extrusions, Fabricating Window and Door Screens</t>
  </si>
  <si>
    <t>Brick, Fire, Plastic (Inactive, effective January 1, 2016)</t>
  </si>
  <si>
    <t>Builder's Paper, Kraft Types, Not Felt and Tar Paper</t>
  </si>
  <si>
    <t>Boxes, Shoring, Construction Worker Protection</t>
  </si>
  <si>
    <t>Cabinets, Counters, Shelves, etc., Ready-Made</t>
  </si>
  <si>
    <t>Casement Window Hardware: Latches, Operators, and Handles</t>
  </si>
  <si>
    <t>Construction Materials (Not Otherwise Classified)</t>
  </si>
  <si>
    <t>Ceiling Coffers</t>
  </si>
  <si>
    <t>Cement, Concrete, Lime, Plaster Mixes, Retarder and Setting Compounds, Sacked, LTL Quantities, (See Class 750 for Bulk Cement, Concrete and Lime)</t>
  </si>
  <si>
    <t>Chimney</t>
  </si>
  <si>
    <t>Cement, Quick Setting, Sacked  (Inactive, please see commodity code 150-12 effective January 1, 2016)</t>
  </si>
  <si>
    <t>Concrete, Polymer, All Types</t>
  </si>
  <si>
    <t>Curing Mixtures, Concrete, All Types</t>
  </si>
  <si>
    <t>Chutes, Linen, Laundry (Inactive, effective January 1, 2016)</t>
  </si>
  <si>
    <t>Door Bells, Chimes</t>
  </si>
  <si>
    <t>Door Operators, Not Door Closers: Chain Hoist Type, Electric Motor Type, etc.</t>
  </si>
  <si>
    <t>Door Openers, Electric, Including Parts and Accessories</t>
  </si>
  <si>
    <t>Doors, Aluminum and Glass, All Types</t>
  </si>
  <si>
    <t>Doors, Fiberglass</t>
  </si>
  <si>
    <t>Doors, Automatic, Drive-Through Type</t>
  </si>
  <si>
    <t>Doors, Swinging, Including Handicapped</t>
  </si>
  <si>
    <t>Doors, Frames, and Jambs, Steel</t>
  </si>
  <si>
    <t>Doors, Plastic</t>
  </si>
  <si>
    <t>Doors, Frames, and Jambs, Wood</t>
  </si>
  <si>
    <t>Dowels, and Rods, Wood</t>
  </si>
  <si>
    <t>Down Pipes, Eaves, Troughs, Guttering, and Accessories</t>
  </si>
  <si>
    <t>Doors, Folding, Commercial Type, Including Portable Walls</t>
  </si>
  <si>
    <t>Doors, Folding, Residential Type, Including Portable Walls</t>
  </si>
  <si>
    <t>Fireplaces, Wood, Gas or Electric Fired, Including Parts and Accessories</t>
  </si>
  <si>
    <t>Grout, Drywall</t>
  </si>
  <si>
    <t>Handrails, and Handrails, All Types</t>
  </si>
  <si>
    <t>Hardeners, Concrete and Plaster Setting Compound</t>
  </si>
  <si>
    <t>Hatch Covers, Attic</t>
  </si>
  <si>
    <t>Jalousie Doors and Windows</t>
  </si>
  <si>
    <t>Sheds, Storage</t>
  </si>
  <si>
    <t>Lathes: Metal, Plastic, and Wood</t>
  </si>
  <si>
    <t>Lath, Plastic  (Inactive, please see commodity code 150-42 effective January 1, 2016)</t>
  </si>
  <si>
    <t>Lath, Wood  (Inactive, please see commodity code 150-42 effective January 1, 2016)</t>
  </si>
  <si>
    <t>Logs, Building</t>
  </si>
  <si>
    <t>Louvers (See Class 031 for Air Conditioning)</t>
  </si>
  <si>
    <t>Millwork: Counters, Custom-Made Cabinets, Shelves, Stairs, etc.</t>
  </si>
  <si>
    <t>Moldings, Metal</t>
  </si>
  <si>
    <t>Moldings, Plastic and Vinyl</t>
  </si>
  <si>
    <t>Moldings, Strips, Stops, Rounds, etc.: Wood</t>
  </si>
  <si>
    <t>Doors, Non-Corrosive</t>
  </si>
  <si>
    <t>Doors, Overhead, Garage, etc. (See Class 450 for Hardware)</t>
  </si>
  <si>
    <t>Partitions, Office, Metal and Glass, Custom-Made (Inactive, please see commodity code 425-56 effective January 1, 2016)</t>
  </si>
  <si>
    <t>Partitions, Office, Wood and Glass, Custom-Made (Inactive, please see commodity code 425-56 effective January 1, 2016)</t>
  </si>
  <si>
    <t>Setting Compounds, Pole, Post and Pipe</t>
  </si>
  <si>
    <t>Recycled Builder's Supplies Incl. Sacked Cement, Concrete, Lime, Plaster and Setting Compounds</t>
  </si>
  <si>
    <t>Retarder, Plaster  (Inactive, please see commodity code 150-12 effective January 1, 2016)</t>
  </si>
  <si>
    <t>Doors, Revolving</t>
  </si>
  <si>
    <t>Screen Doors and Window Screens, Aluminum Frame</t>
  </si>
  <si>
    <t>Screen Doors and Window Screens, Steel Frame</t>
  </si>
  <si>
    <t>Screen Doors and Window Screens, Wood Frame</t>
  </si>
  <si>
    <t>Doors, Sliding and Rolling, Commercial Type</t>
  </si>
  <si>
    <t>Doors, Sliding and Rolling, Residential Type</t>
  </si>
  <si>
    <t>Storm Doors and Windows</t>
  </si>
  <si>
    <t>Ties, Wall and Rafter, Not Concrete Form</t>
  </si>
  <si>
    <t>Tile, Wall, Metal</t>
  </si>
  <si>
    <t>Tile, Wall, Plastic</t>
  </si>
  <si>
    <t>Transoms, Door and Window</t>
  </si>
  <si>
    <t>Trusses, Roof, Wood and Metal</t>
  </si>
  <si>
    <t>Wardrobe and Closet Specialties</t>
  </si>
  <si>
    <t>Vents, Foundation</t>
  </si>
  <si>
    <t>Doors, Warehouse Type, Impact, PVC Strip, etc.</t>
  </si>
  <si>
    <t>Weather Stripping, All Kinds</t>
  </si>
  <si>
    <t>Wall Panels, Modular, Insulated</t>
  </si>
  <si>
    <t>Windows, Frames and Sashes, Aluminum</t>
  </si>
  <si>
    <t>Windows, Frames and Sashes, Fiberglass</t>
  </si>
  <si>
    <t>Windows, Frames and Sashes, Steel</t>
  </si>
  <si>
    <t>Windows, Frames and Sashes, Vinyl or Plastic</t>
  </si>
  <si>
    <t>Windows, Frames and Sashes, Wooden</t>
  </si>
  <si>
    <t>BUILDINGS AND STRUCTURES: FABRICATED AND PREFABRICATED</t>
  </si>
  <si>
    <t>Barriers and Enclosures, Construction</t>
  </si>
  <si>
    <t>Bridge Part and Accessories</t>
  </si>
  <si>
    <t>Bridges, Prefabricated, Not Installed</t>
  </si>
  <si>
    <t>Buildings, Large, Prefabricated, Over 500 SQFT.</t>
  </si>
  <si>
    <t>Building, 500 SQFT. or Less</t>
  </si>
  <si>
    <t>Buildings, 500 - 1000 Sq. Ft. or less</t>
  </si>
  <si>
    <t>Cabins, Storage Buildings, etc., Pre-Engineered in Kits, Ready to Assemble and Erect</t>
  </si>
  <si>
    <t>Canopies, Freestanding</t>
  </si>
  <si>
    <t>Carports, Fiberglass and Plastic</t>
  </si>
  <si>
    <t>Carports, Metal</t>
  </si>
  <si>
    <t>Farm Structures, Prefabricated, Silos, etc.</t>
  </si>
  <si>
    <t>Field Offices and Sheds, Construction Type</t>
  </si>
  <si>
    <t>Gazebos, Kiosks, Including Informational Type and Pavilions</t>
  </si>
  <si>
    <t>Greenhouses and Equipment, Including Isolation, Irrigation and Ventilation Equipment</t>
  </si>
  <si>
    <t>Guard and Watchman Huts</t>
  </si>
  <si>
    <t>Houses, Club and Play</t>
  </si>
  <si>
    <t>Lifeguard, Umpire and Referee Stands</t>
  </si>
  <si>
    <t>Medical Structures, Prefabricated</t>
  </si>
  <si>
    <t>Office Buildings, Modular and Portable</t>
  </si>
  <si>
    <t>Parking Structures</t>
  </si>
  <si>
    <t>Patio Covers, Fiberglass and Plastic</t>
  </si>
  <si>
    <t>Patio Covers, Metal</t>
  </si>
  <si>
    <t>Portable Kitchens</t>
  </si>
  <si>
    <t>Portable Toilets</t>
  </si>
  <si>
    <t>Recycled Buildings and Structures</t>
  </si>
  <si>
    <t>Residential Structures, Prefabricated</t>
  </si>
  <si>
    <t>Sheds, Storage  (Inactive, please see commodity code 150-38 effective January 1, 2016)</t>
  </si>
  <si>
    <t>Shelters, Decontamination, All Types</t>
  </si>
  <si>
    <t>Shelters, Bus Waiting</t>
  </si>
  <si>
    <t>Shelters, Fire</t>
  </si>
  <si>
    <t>Shelters, Insulated, For Remote Equipment</t>
  </si>
  <si>
    <t>Shelters, Non-Insulated</t>
  </si>
  <si>
    <t>Shelters, Portable</t>
  </si>
  <si>
    <t>Structures, Shade, Fabric Covered, Patio Areas, Play Areas, etc.</t>
  </si>
  <si>
    <t>Structures, Rooms, Panels, Enclosures, etc., Radio Frequency Shielded</t>
  </si>
  <si>
    <t>Telephone Booths and Enclosures</t>
  </si>
  <si>
    <t>Tunnel Accessories and Parts</t>
  </si>
  <si>
    <t>BUTCHER SHOP AND MEAT PROCESSING EQUIPMENT</t>
  </si>
  <si>
    <t>Baskets, Bins, and Chill Trays, Meat Handling</t>
  </si>
  <si>
    <t>Bleach: Preservative and Was, Tripe and Other Meats</t>
  </si>
  <si>
    <t>Blocks, Butcher</t>
  </si>
  <si>
    <t>Block Scrapers, Brushes, and Bone Dust Removers</t>
  </si>
  <si>
    <t>Brine and Pickle Pumping Units and Supplies</t>
  </si>
  <si>
    <t>Buckets and Drums, Stainless Steel, Meat Handling</t>
  </si>
  <si>
    <t>Cleavers, Knives, Steels, Stones, and Sharpeners</t>
  </si>
  <si>
    <t>Dehairer and Dehider</t>
  </si>
  <si>
    <t>Forks and Shovels, Meat</t>
  </si>
  <si>
    <t>Grinders and Accessories, Meat, Heavy Duty, Electric</t>
  </si>
  <si>
    <t>Hooks, Meat</t>
  </si>
  <si>
    <t>Injection Equipment, Meat</t>
  </si>
  <si>
    <t>Kettle, Rendering</t>
  </si>
  <si>
    <t>Knockers and Stunners</t>
  </si>
  <si>
    <t>Lard Making Tools</t>
  </si>
  <si>
    <t>Markers and Inks</t>
  </si>
  <si>
    <t>Meat Marking, Tying, and Wrapping Equipment and Supplies, Including Environmentally Certified Products</t>
  </si>
  <si>
    <t>Meat Molds and Presses</t>
  </si>
  <si>
    <t>Racks and Hanger, Bacon and Ham Curing</t>
  </si>
  <si>
    <t>Rails and Tracks, Meat Handling</t>
  </si>
  <si>
    <t>Refurbished Butcher Shop and Meat Processing Equipment and Supplies</t>
  </si>
  <si>
    <t>Saws, Butcher, Hand</t>
  </si>
  <si>
    <t>Saws, Meat, Electric, All Types</t>
  </si>
  <si>
    <t>Shears, Meat</t>
  </si>
  <si>
    <t>Scalding Equipment</t>
  </si>
  <si>
    <t>Shrouds, Clamps, Pins, and Skewers</t>
  </si>
  <si>
    <t>Slicers, Heavy Duty, Electric</t>
  </si>
  <si>
    <t>Smokehouses: Portable, Gas or Electric, Including Parts and Accessories</t>
  </si>
  <si>
    <t>Steak Machines and Tenderizers</t>
  </si>
  <si>
    <t>Sterilizing Equipment: Knife Sterilizers, etc.</t>
  </si>
  <si>
    <t>Stuffers, Meat, Heavy Duty, Electric</t>
  </si>
  <si>
    <t>Tables, Meat Cutting</t>
  </si>
  <si>
    <t>Tables and Sinks, Stainless Steel, Meat Washing, etc.</t>
  </si>
  <si>
    <t>Tags and Fasteners</t>
  </si>
  <si>
    <t>Thermometers, Meat</t>
  </si>
  <si>
    <t>Trucks: Meat Handling, Head Inspection, Offal, Smoke, etc.</t>
  </si>
  <si>
    <t>Vacuum Packaging Equipment and Supplies, Meat</t>
  </si>
  <si>
    <t>CAFETERIA AND KITCHEN EQUIPMENT, COMMERCIAL</t>
  </si>
  <si>
    <t>Blenders, Food Cutters, Mixers and Food Processors</t>
  </si>
  <si>
    <t>Cabinets, Counters, Stands, Tables, etc.</t>
  </si>
  <si>
    <t>Cafeteria and Kitchen Equipment (Not Otherwise Classified)</t>
  </si>
  <si>
    <t>Crushers, Can and Bottle</t>
  </si>
  <si>
    <t>Can Openers and Knife Sharpeners, Electric</t>
  </si>
  <si>
    <t>Can Openers, Manual</t>
  </si>
  <si>
    <t>Cleaner/Sanitizer</t>
  </si>
  <si>
    <t>Coffeemakers, Hot Water Dispensers, Urn Bags and Filters</t>
  </si>
  <si>
    <t>Cold Pack, (For Use in Keeping Food Items Cold</t>
  </si>
  <si>
    <t>Coffee Mills</t>
  </si>
  <si>
    <t>Compactors, Trash, Cafeteria Type (See 045 and 545 for Other Types)</t>
  </si>
  <si>
    <t>Cotton Candy Machines</t>
  </si>
  <si>
    <t>Deep Fat Fryers</t>
  </si>
  <si>
    <t>Dish Storage Units</t>
  </si>
  <si>
    <t>Dish Trucks and Tote Boxes</t>
  </si>
  <si>
    <t>Dishwashers</t>
  </si>
  <si>
    <t>Dispensers: Aluminum Foil, Plastic Wrap, Food Service Gloves, etc.</t>
  </si>
  <si>
    <t>Dispensers: Butter or Margarine</t>
  </si>
  <si>
    <t>Dispensers: Cream, Juice, Milk, Pancake, Tea, etc.</t>
  </si>
  <si>
    <t>Dispensers: Cup, Dish, Silverware, Tray, etc.</t>
  </si>
  <si>
    <t>Dispensers: Drinking Straw, Napkins, Toothpicks, etc.</t>
  </si>
  <si>
    <t>Disposal Units, Commercial (See 045-30 for Household Type)</t>
  </si>
  <si>
    <t>Dunnage Racks</t>
  </si>
  <si>
    <t>Extractors, Juice</t>
  </si>
  <si>
    <t>Filters for Vent Hoods</t>
  </si>
  <si>
    <t>Food Containers, Stainless Steel, Vacuum Type</t>
  </si>
  <si>
    <t>Food Containers, Storage, Commercial Use</t>
  </si>
  <si>
    <t>Food Serving Dinnerware (Not Otherwise Classified)</t>
  </si>
  <si>
    <t>Food Carts and Cafeteria Serving Units Including Steam Tables</t>
  </si>
  <si>
    <t>Hot and Hot and Cold Pass-Through Units (See Class 740 For Cold Only Pass-Through Units)</t>
  </si>
  <si>
    <t>Ice Cream Making Machinery, Including Malt and Milkshake Equipment</t>
  </si>
  <si>
    <t>Ice Equipment: Carts, Crushers, Picks, Scoops, Shavers, Storage Bins, Tongs, etc.</t>
  </si>
  <si>
    <t>Ingredient Storage Bins</t>
  </si>
  <si>
    <t>Menu Boards</t>
  </si>
  <si>
    <t>Napkin Holders</t>
  </si>
  <si>
    <t>Ovens, Including Convection and Microwave, Commercial</t>
  </si>
  <si>
    <t>Pasta Cookers and Machines</t>
  </si>
  <si>
    <t>Peeler: Fruit or Vegetable</t>
  </si>
  <si>
    <t>Popcorn Machines</t>
  </si>
  <si>
    <t>Racks: Cup, Glass, Tray, etc.</t>
  </si>
  <si>
    <t>Racks: Dispensing, Food Service</t>
  </si>
  <si>
    <t>Racks: Utensil and Pastry: Aluminum, Chrome, and Stainless Steel</t>
  </si>
  <si>
    <t>Ranges, Griddles, Hot Plates, Warmers, etc., Electric and Gas</t>
  </si>
  <si>
    <t>Refurbished Cafeteria and Kitchen Accessories and Supplies</t>
  </si>
  <si>
    <t>Sanitizers (Used to sanitize dishes, counters or any food contact area)</t>
  </si>
  <si>
    <t>Sieves and Strainers, Food</t>
  </si>
  <si>
    <t>Sinks, Scullery, Galvanized and Stainless Steel</t>
  </si>
  <si>
    <t>Slicers and Shredders</t>
  </si>
  <si>
    <t>Soup Stations, Cafeteria</t>
  </si>
  <si>
    <t>Steam Cookers and Steam Jacketed Kettles</t>
  </si>
  <si>
    <t>Storage Shelves: Aluminum, Chrome, and Stainless Steel</t>
  </si>
  <si>
    <t>Table Coverings, Food Service</t>
  </si>
  <si>
    <t>Toasters, Electric and Gas</t>
  </si>
  <si>
    <t>Vending Machines, Non-Refrigerated, Snacks, Laundry items, Candy, Cigarettes, etc.</t>
  </si>
  <si>
    <t>Vent Hoods and Exhaust Systems, Range, Including Filters</t>
  </si>
  <si>
    <t>CHEMICAL LABORATORY EQUIPMENT AND SUPPLIES</t>
  </si>
  <si>
    <t>Aprons and Gloves, Laboratory: Plastic, Rubber, etc.</t>
  </si>
  <si>
    <t>Bacteriological Plugging Material, Cotton or Synthetic</t>
  </si>
  <si>
    <t>Balances and Accessories, Laboratory</t>
  </si>
  <si>
    <t>Burners, Heat Guns, Hot Plates With or Without Stirring), Mantles, etc.</t>
  </si>
  <si>
    <t>Cells and Cuvettes, Photometry and Spectrometry</t>
  </si>
  <si>
    <t>Ceramic Ware, All Types, Laboratory</t>
  </si>
  <si>
    <t>Chemicals, Laboratory: ACS, CP, Practical, Reagent Grade, etc.</t>
  </si>
  <si>
    <t>Chromatography Supplies: Developing Tanks, Columns, Packing, Septums, TLC Plates, etc.</t>
  </si>
  <si>
    <t>Cleaning Equipment and Supplies, Laboratory</t>
  </si>
  <si>
    <t>Cocktails (Solutions), Liquid Scintillation</t>
  </si>
  <si>
    <t>Containers, Liquefied or Compressed Gases, Laboratory Sizes: Dewar Flasks, Gas Cylinders, Lecture Bottles, etc.</t>
  </si>
  <si>
    <t>Crushers and Grinders, Metal and Stoneware: Ball Mills, etc.</t>
  </si>
  <si>
    <t>Dialysis Equipment and Supplies: Cells, Fittings, Membranes, Motors, Tanks, Tubes, etc.</t>
  </si>
  <si>
    <t>DNA or RNA Acids Nucleic, etc.: Including Extraction, Purification, Quantification and Sequencing Equipment</t>
  </si>
  <si>
    <t>Dishes, Evaporating and Other Metal Vessel, (See Class 175-71 For Platinum)</t>
  </si>
  <si>
    <t>Drying Equipment, Laboratory</t>
  </si>
  <si>
    <t>Electrode Sensing Meters and Electrodes: Dissolved Oxygen, pH, Specific Ion, etc.</t>
  </si>
  <si>
    <t>Electrophoresis Supplies: Gel Materials, Plates, Strips, Tubes, Wicks, etc.</t>
  </si>
  <si>
    <t>Extraction, Digestion, and Distillation Apparatus, Specialized: Kjeldahl, Soxhlet, etc.</t>
  </si>
  <si>
    <t>Filtering Apparatus and Filters, Liquids</t>
  </si>
  <si>
    <t>Filter Paper and Membranes</t>
  </si>
  <si>
    <t>Furnaces and Heaters, Laboratory</t>
  </si>
  <si>
    <t>Glass Pipe and Fittings, Laboratory</t>
  </si>
  <si>
    <t>Glassware, Laboratory, Custom-Made, Specialized Fabrication Only</t>
  </si>
  <si>
    <t>Glassware, Laboratory, Stock Only</t>
  </si>
  <si>
    <t>Glassware Washing Compounds</t>
  </si>
  <si>
    <t>Holders, Glass Tube</t>
  </si>
  <si>
    <t>Hydrometers and Pyconometers, Glass, Laboratory</t>
  </si>
  <si>
    <t>Incinerators, Laboratory</t>
  </si>
  <si>
    <t>Interval Timers and Actuators, Electrical and Mechanical</t>
  </si>
  <si>
    <t>Ion Exchange Materials: Liquids, Resins, etc.</t>
  </si>
  <si>
    <t>Laboratory Equipment, General</t>
  </si>
  <si>
    <t>Laboratory Supplies: Asbestos Squares, Corks, Files, Glass Cutters, Ring Stands, Stopcock Grease, Tongs, Wire Gauze, etc.</t>
  </si>
  <si>
    <t>Melting Point Apparatus, Laboratory</t>
  </si>
  <si>
    <t>Metal Ware, Laboratory</t>
  </si>
  <si>
    <t>Ovens, Laboratory</t>
  </si>
  <si>
    <t>Papers, Laboratory</t>
  </si>
  <si>
    <t>pH Buffer Solutions, Indicators, and Papers</t>
  </si>
  <si>
    <t>Pipette Pullers  (Inactive, please see commodity code 175-67 effective January 1, 2016)</t>
  </si>
  <si>
    <t>Pipetters, Pullers and Dispensers</t>
  </si>
  <si>
    <t>Plastic Ware, All Types</t>
  </si>
  <si>
    <t>Porcelain Ware, All Types</t>
  </si>
  <si>
    <t>Platinum Ware: Boats, Crucibles, Dishes, etc.</t>
  </si>
  <si>
    <t>Precious Metals, All Forms, Including Salts: Gold, Platinum Group Metals, and Silver</t>
  </si>
  <si>
    <t>Reagents and Chemicals, Ultrapure, Meeting Higher Standards than Ordinary Reagent Grade, etc.</t>
  </si>
  <si>
    <t>Refractometers</t>
  </si>
  <si>
    <t>Recycled Laboratory Accessories and Supplies</t>
  </si>
  <si>
    <t>Sand, Cement Testing</t>
  </si>
  <si>
    <t>Screening and Sieving Apparatus and Accessories: Riffle Samplers, Sieve Shakers, etc.</t>
  </si>
  <si>
    <t>Solvent Reclaiming Unit, Cleaning</t>
  </si>
  <si>
    <t>Stainless Steel Ware, All Kinds</t>
  </si>
  <si>
    <t>Stirrers, Blenders, Homogenizers, Mixers and Shakers</t>
  </si>
  <si>
    <t>Stoppers, Rubber and Synthetic</t>
  </si>
  <si>
    <t>Syringes, Manual and Automatic, Laboratory</t>
  </si>
  <si>
    <t>Thermometers, General Laboratory Type</t>
  </si>
  <si>
    <t>Transformers, Variable, Laboratory Type</t>
  </si>
  <si>
    <t>Tubing, Plastic, All Types, Laboratory</t>
  </si>
  <si>
    <t>Tubing, Rubber, All Types, Laboratory</t>
  </si>
  <si>
    <t>Tubing, Steel, Laboratory</t>
  </si>
  <si>
    <t>Tubing, Glass, Laboratory</t>
  </si>
  <si>
    <t>Water Baths and Steam Baths, Except Recirculating and Shaking</t>
  </si>
  <si>
    <t>Water Purification Apparatus and Treatments, For Distilled, Reagent Water, etc.</t>
  </si>
  <si>
    <t>CHEMICAL RAW MATERIALS (IN LARGE QUANTITIES PRIMARILY FOR MANUFACTURING JANITORIAL AND LAUNDRY PRODUCTS)</t>
  </si>
  <si>
    <t>Abrasives: Feldspar, Pumice, Silica, etc.</t>
  </si>
  <si>
    <t>Acids, Inorganic: Hydrochloric, Phosphoric, Sulfuric, etc.</t>
  </si>
  <si>
    <t>Acids, Organic: Hydroxyacetic, Oleic, Stearic, etc.</t>
  </si>
  <si>
    <t>Alcohols</t>
  </si>
  <si>
    <t>Ammonium Hydroxide, Aqua Ammonia and Amines</t>
  </si>
  <si>
    <t>Antioxidants</t>
  </si>
  <si>
    <t>Bacteriostats and Germicides, Except Quaternary Ammonium Type</t>
  </si>
  <si>
    <t>Bicarbonates and Carbonates</t>
  </si>
  <si>
    <t>Boron Compounds</t>
  </si>
  <si>
    <t>Brighteners, Fluorescent, Optical Bleaches</t>
  </si>
  <si>
    <t>Chelating and Sequestering Agents, Except Phosphates</t>
  </si>
  <si>
    <t>Chlorine Carriers, Inorganic and Organic</t>
  </si>
  <si>
    <t>Color Compounds and Dispersions</t>
  </si>
  <si>
    <t>Dyes and Pigments</t>
  </si>
  <si>
    <t>Emollients: Glycol Stearate, Lanolin, etc.</t>
  </si>
  <si>
    <t>Fats, Vegetable Oils, and Fatty Acids: Coconut, Tall Oil, Tallow, etc.</t>
  </si>
  <si>
    <t>Foam Stabilizers</t>
  </si>
  <si>
    <t>Hydroxides, Alkali Metal</t>
  </si>
  <si>
    <t>Isotopes and their Compounds, Organic and Inorganic</t>
  </si>
  <si>
    <t>Latexes, Resins, Waxes, and Polymers, For Floor Finishes</t>
  </si>
  <si>
    <t>Mineral Oil, etc. (Inactive, please see commodity code 180-72 effective January 1, 2016)</t>
  </si>
  <si>
    <t>Opacifiers</t>
  </si>
  <si>
    <t>Perfumes and Essential Oils: Citronella, Mineral Oil, etc.</t>
  </si>
  <si>
    <t>Phosphates, Inorganic</t>
  </si>
  <si>
    <t>Quaternary Ammonium Derivatives, For Antistats, Bacteriostats, Fabric Softeners, etc.</t>
  </si>
  <si>
    <t>Recycled Chemical Raw Materials</t>
  </si>
  <si>
    <t>Silicates</t>
  </si>
  <si>
    <t>Sodium Carboxymethylcellulose (CMC) and other Cellulose Derivatives</t>
  </si>
  <si>
    <t>Solvents and Coupling Agents, Including Ethers</t>
  </si>
  <si>
    <t>Sulfates, Inorganic</t>
  </si>
  <si>
    <t>Surfactants, Amphoteric and Cationic: Detergents, Emulsifiers, etc.</t>
  </si>
  <si>
    <t>Surfactants, Anionic: Organic Phosphates, Sulfates, Sulfonates, etc.</t>
  </si>
  <si>
    <t>Surfactants, Nonionic: Ethoxylated Alcohols, Ethoxylated Lanolin, Ethoxylated Phenols, etc.</t>
  </si>
  <si>
    <t>Titanium Dioxide, Anatase</t>
  </si>
  <si>
    <t>CHEMICALS AND SOLVENTS, COMMERCIAL (IN BULK)</t>
  </si>
  <si>
    <t>Acids, Mineral: Boric, Hydrobromic, Hydrochloric, Sulfuric, etc.</t>
  </si>
  <si>
    <t>Alcohols: Ethyl, Isopropyl, Methyl, etc., and Glycerin</t>
  </si>
  <si>
    <t>Bio-Chemical Compounds, Organic and Inorganic: Ammonia Derivatives, Amines, Amides, Imines, Imides</t>
  </si>
  <si>
    <t>Chemicals, Bulk (Not Otherwise Classified)</t>
  </si>
  <si>
    <t>Chlorinated Hydrocarbons: Methylene Chloride, 1,1,1-Trichloroethane, etc.</t>
  </si>
  <si>
    <t>Compounds, Inorganic Chemical</t>
  </si>
  <si>
    <t>Compounds, Organic Chemical</t>
  </si>
  <si>
    <t>Formaldehyde Solution, Formalin</t>
  </si>
  <si>
    <t>Heat Transfer Media, Liquid</t>
  </si>
  <si>
    <t>Hexane and Pentane</t>
  </si>
  <si>
    <t>Intermediates and Fixatives, Chemical</t>
  </si>
  <si>
    <t>Ketones: Acetone, Diacetone Alcohol, Methyl Isobutyl Ketone, etc.</t>
  </si>
  <si>
    <t>Oxidizing and Bleaching Agents</t>
  </si>
  <si>
    <t>Oxides, Including All Oxided Substances</t>
  </si>
  <si>
    <t>Phenol, Liquid</t>
  </si>
  <si>
    <t>Recycled Bulk Chemicals and Solvents</t>
  </si>
  <si>
    <t>Silicone Fluids</t>
  </si>
  <si>
    <t>Pentachlorophenol (Penta), Creosote Oil, and other Wood Preservatives</t>
  </si>
  <si>
    <t>Sodium Phosphates and Polyphosphates</t>
  </si>
  <si>
    <t>Solvents (Not Otherwise Classified)</t>
  </si>
  <si>
    <t>Toluene</t>
  </si>
  <si>
    <t>CLEANING COMPOSITIONS, DETERGENTS, SOLVENTS, AND STRIPPERS - PREPACKAGED</t>
  </si>
  <si>
    <t>Aromatic Hydrocarbon Mixtures, Cleaning Solvents</t>
  </si>
  <si>
    <t>Chemical Spill Solvents and Detergents</t>
  </si>
  <si>
    <t>Cleaners, Miscellaneous,( Not Otherwise Classified)</t>
  </si>
  <si>
    <t>Cold-Tank and Soak-Tank Cleaners, Heavy Duty Shop Use, etc.</t>
  </si>
  <si>
    <t>Concrete Strippers and Brick Detergents</t>
  </si>
  <si>
    <t>Glue Solvents</t>
  </si>
  <si>
    <t>Herbicides and Other Poisons, Cleaning Agents, Used to Clean Spray Equipment</t>
  </si>
  <si>
    <t>Ice and Snow Removal Chemicals (See 775-45 for Road Salt)</t>
  </si>
  <si>
    <t>Nonflammable Solvent Mixtures, Safety Solvents</t>
  </si>
  <si>
    <t>Packing Plant, Smokehouse, and Slaughter House Cleaning Compositions</t>
  </si>
  <si>
    <t>Paint Spray Booth Compounds, Water-Soluble</t>
  </si>
  <si>
    <t>Recycled Cleaning Compositions</t>
  </si>
  <si>
    <t>Spray Detergents, Heavy Duty and Steam Cleaning</t>
  </si>
  <si>
    <t>Steam Cleaning Compounds</t>
  </si>
  <si>
    <t>Stripping Solvents (Not Otherwise Classified)</t>
  </si>
  <si>
    <t>Surface-Active Agents: Emulsifiers, Wetting Agents, and One-Component Nonionic Detergents (See Also Class 180)</t>
  </si>
  <si>
    <t>CLINICAL LABORATORY REAGENTS AND TESTS (BLOOD GROUPING, DIAGNOSTIC, DRUG MONITORING, ETC.)</t>
  </si>
  <si>
    <t>Blood Chemistry and Hematology Controls and References, Normal and Abnormal:  Blood Gas Hemoglobin, Plasma and Serum Factors</t>
  </si>
  <si>
    <t>Blood Chemistry and Hematology Reagents and Supplies, Automatic and Semiautomatic Instruments: Counting Controls, Detergents, etc.</t>
  </si>
  <si>
    <t>Blood Chemistry Reagents and Tests, Nonautomated: BUN, Enzymes, Glucose, Proteins, Triglycerides, etc.</t>
  </si>
  <si>
    <t>Blood Coagulation Reagents and Controls: Fibrinogen, Fibrin, Ogen, Split Products, Prothrombin Time, etc.</t>
  </si>
  <si>
    <t>Blood Fractions, Grouping, Typing, and Diagnosis: Reagent Red Cells, Sera, Antisera, etc.</t>
  </si>
  <si>
    <t>Blood Grouping and Typing Reagents: Antibody Potentiating Media, Copper Sulfate Solutions, Normal Saline, etc.</t>
  </si>
  <si>
    <t>Diagnostic Reagents and Supplies, Automated Chemistry</t>
  </si>
  <si>
    <t>Diagnostic Reagents and Tests, Diseases, Pregnancy, etc.: Cards, Slides, Spot Tests, Strips, Tablets, etc.</t>
  </si>
  <si>
    <t>Drug Assay and Screening Test Kits, Except Radioimmunoassay</t>
  </si>
  <si>
    <t>Enzyme Immunoassay Reagents</t>
  </si>
  <si>
    <t>Nuclear Medicine Test Kits</t>
  </si>
  <si>
    <t>Radioactive Diagnostic Reagents</t>
  </si>
  <si>
    <t>Radioimmunoassay Kits</t>
  </si>
  <si>
    <t>Recycled Clinical Laboratory Reagents and Tests</t>
  </si>
  <si>
    <t>Tests, Examination of Other Body Fluids, Wastes, etc., (Not Otherwise Classified)</t>
  </si>
  <si>
    <t>Test Kits and Supplies, Chemistry (Not Otherwise Classified)</t>
  </si>
  <si>
    <t>Urine and Spinal Fluid Controls, Normal and Abnormal</t>
  </si>
  <si>
    <t>Urinalysis Reagents and Tests: Albumin, Bile, Blood, Glucose, Ketones, etc.</t>
  </si>
  <si>
    <t>Virology Test Equipment and Supplies</t>
  </si>
  <si>
    <t>X-Ray Contrast Media: Barium, Sulfate, Dyes, etc.</t>
  </si>
  <si>
    <t>CLOCKS, WATCHES, TIMEPIECES, JEWELRY AND PRECIOUS STONES</t>
  </si>
  <si>
    <t>Alarm Clocks, Electric and Spring</t>
  </si>
  <si>
    <t>Braille Watches and Clocks</t>
  </si>
  <si>
    <t>Clocks, Countdown</t>
  </si>
  <si>
    <t>Clock and Watchmakers' Repair Parts and Materials</t>
  </si>
  <si>
    <t>Clocks, Battery Operated (See 195-80 for Wall Type)</t>
  </si>
  <si>
    <t>Clocks, Electric, Commercial</t>
  </si>
  <si>
    <t>Clocks, Electronic</t>
  </si>
  <si>
    <t>Clocks, Game, Sports</t>
  </si>
  <si>
    <t>Hourglasses</t>
  </si>
  <si>
    <t>Jewelers' and Watchmakers' Shop Equipment and Furniture</t>
  </si>
  <si>
    <t>Jewelers' and Watchmakers' Tools and Accessories</t>
  </si>
  <si>
    <t>Jewelers' and Watchmakers' Manuals</t>
  </si>
  <si>
    <t>Jewelry, Costume</t>
  </si>
  <si>
    <t>Jewelry, Fine</t>
  </si>
  <si>
    <t>Master Clock Systems and Parts</t>
  </si>
  <si>
    <t>Precious and Semi-Precious Stones, Gems and Pearls</t>
  </si>
  <si>
    <t>Program Clocks, Bells, Lights, and Chimes</t>
  </si>
  <si>
    <t>Recycled Timepiece Accessories and Supplies</t>
  </si>
  <si>
    <t>Stopwatches, Including Liquid Crystal Display</t>
  </si>
  <si>
    <t>Time and Attendance Data Collection Systems</t>
  </si>
  <si>
    <t>Time Clocks and Recorders, Accessories, and Parts</t>
  </si>
  <si>
    <t>Time Indicators, Elapsed</t>
  </si>
  <si>
    <t>Timers, Interval, Including Parks and Accessories, Not Photographic or Laboratory</t>
  </si>
  <si>
    <t>Wall Clocks, Battery</t>
  </si>
  <si>
    <t>Wall Clocks, Electric</t>
  </si>
  <si>
    <t>Watches: Pocket, Wrist, etc.</t>
  </si>
  <si>
    <t>Watchmen's Clocks and Supplies</t>
  </si>
  <si>
    <t>CLOTHING: ATHLETIC, CASUAL, DRESS, UNIFORM, WEATHER AND WORK RELATED</t>
  </si>
  <si>
    <t>Athletic Clothing</t>
  </si>
  <si>
    <t>Athletic Clothing Accessories</t>
  </si>
  <si>
    <t>Children's Clothing</t>
  </si>
  <si>
    <t>Coats, Jackets, Parkas, Vests, Cold Weather</t>
  </si>
  <si>
    <t>Compostable Disposable Clothing, Including House Slippers and Hats</t>
  </si>
  <si>
    <t>Disposable Clothing (See Class 475 for Hospital Type)</t>
  </si>
  <si>
    <t>Dresses, Skirts, Blouses</t>
  </si>
  <si>
    <t>Food Service Clothing</t>
  </si>
  <si>
    <t>Folkloric Clothing</t>
  </si>
  <si>
    <t>Formal Clothing: Tuxedos, Formal Gowns, etc.</t>
  </si>
  <si>
    <t>Hazardous Environment Clothing</t>
  </si>
  <si>
    <t>Hospital Wear, Patient</t>
  </si>
  <si>
    <t>Hospital Wear, Professional</t>
  </si>
  <si>
    <t>Infant Apparel, Including Booties and Shoes</t>
  </si>
  <si>
    <t>Insulated Clothing</t>
  </si>
  <si>
    <t>Laboratory Clothing, All Kinds (See 175-03 for Aprons and Gloves)</t>
  </si>
  <si>
    <t>Maternity Clothing</t>
  </si>
  <si>
    <t>Pants, Slacks, Trousers, Shorts, Jeans, etc.</t>
  </si>
  <si>
    <t>Party Wear</t>
  </si>
  <si>
    <t>Inmate Clothing</t>
  </si>
  <si>
    <t>Recycled Clothing</t>
  </si>
  <si>
    <t>Shirts, Dress and Casual</t>
  </si>
  <si>
    <t>Silk Screened and Embroidered Clothing and Apparel</t>
  </si>
  <si>
    <t>Suits: Dress and Casual</t>
  </si>
  <si>
    <t>Sweaters</t>
  </si>
  <si>
    <t>Swimwear</t>
  </si>
  <si>
    <t>Uniforms, Blended Fabric</t>
  </si>
  <si>
    <t>Uniforms, Cotton</t>
  </si>
  <si>
    <t>Uniforms, Synthetic Fabric</t>
  </si>
  <si>
    <t>Uniforms, Wool and Woolen Blends</t>
  </si>
  <si>
    <t>Waistcoats</t>
  </si>
  <si>
    <t>Uniforms, Arc Rated for Electrical Work</t>
  </si>
  <si>
    <t>Work Clothes</t>
  </si>
  <si>
    <t>CLOTHING ACCESSORIES (SEE CLASS 800 FOR SHOES AND BOOTS)</t>
  </si>
  <si>
    <t>Aprons, Bibs, Smocks, Non-disposable (See 200-32,34 for Hospital type)</t>
  </si>
  <si>
    <t>Bags, Clothing</t>
  </si>
  <si>
    <t>Bandanas, Handkerchiefs, Ties, etc.</t>
  </si>
  <si>
    <t>Bands: Arm, Hat, Head, Sweat, etc.</t>
  </si>
  <si>
    <t>Belts and Suspenders</t>
  </si>
  <si>
    <t>Brushes, Clothes</t>
  </si>
  <si>
    <t>Caps, All Types, Except Disposable and Hospital Types</t>
  </si>
  <si>
    <t>Emblems, Braids, Buttons, and Patches For Caps and Uniforms, Including Chevrons, Epaulettes and Shoulder Boards</t>
  </si>
  <si>
    <t>Gloves, Cloth Type, All Types</t>
  </si>
  <si>
    <t>Gloves, Cowhide and Leather, All Types</t>
  </si>
  <si>
    <t>Gloves, Neoprene and Rubber, All Types</t>
  </si>
  <si>
    <t>Gloves: Latex, Plastic, PVC, Poly, Synthetic, Vinyl, etc., All Types</t>
  </si>
  <si>
    <t>Hats, Felt</t>
  </si>
  <si>
    <t>Hats, Straw</t>
  </si>
  <si>
    <t>Hats, Miscellaneous (See 201-65 for Rain Type and 345-56 for Safety Type)</t>
  </si>
  <si>
    <t>Hoods, Mittens, Mufflers, Scarves, Warmers, etc., Cold Weather</t>
  </si>
  <si>
    <t>Hosiery and Socks</t>
  </si>
  <si>
    <t>Liners, Glove</t>
  </si>
  <si>
    <t>Moth Balls</t>
  </si>
  <si>
    <t>Pacifiers, etc. for Infants</t>
  </si>
  <si>
    <t>Rainwear: Raincoats, Hats, Slicker Suits, Storm Suits, Umbrellas, etc.</t>
  </si>
  <si>
    <t>Recycled Clothing Accessories</t>
  </si>
  <si>
    <t>Robes, Caps, and Gowns, Choir and Graduation Types</t>
  </si>
  <si>
    <t>Shower Accessories: Bath Robes, Caps, Shoes, Wraps, etc.</t>
  </si>
  <si>
    <t>Tie Holders and Racks</t>
  </si>
  <si>
    <t>Undergarments and Sleepwear, Women's</t>
  </si>
  <si>
    <t>Undergarments and Sleepwear, Men's</t>
  </si>
  <si>
    <t>Undergarments and Sleepwear, Unisex</t>
  </si>
  <si>
    <t>Marching Band Uniforms and Supplies</t>
  </si>
  <si>
    <t>COMPUTER ACCESSORIES AND SUPPLIES, ENVIRONMENTALLY CERTIFIED BY AN AGENCY ACCEPTED CERTIFICATION ENTITY</t>
  </si>
  <si>
    <t>*Batteries, Computer and Peripheral, Environmentally Certified Products</t>
  </si>
  <si>
    <t>*Battery Chargers, Computer and Peripheral, Environmentally Certified Products</t>
  </si>
  <si>
    <t>Braces: Monitor, PC's, CRT's, Desk Top Printers, etc., Environmentally Certified Products</t>
  </si>
  <si>
    <t>Carts, Computer, Environmentally Certified Products</t>
  </si>
  <si>
    <t>Cleaners for Keyboards, Monitors, Tapes, Diskettes, etc., Environmentally Certified Products</t>
  </si>
  <si>
    <t>Compact Disks, DVD, ROM, etc., Environmentally Certified Products</t>
  </si>
  <si>
    <t>*Computer Instructional Aids and Training Devices, Environmentally Certified Products</t>
  </si>
  <si>
    <t>Covers and Enclosures, Acoustical and Protective., For Equipment, Environmentally Certified Products</t>
  </si>
  <si>
    <t>CRT Holders, Cases, Glare Screens, Locks, etc., Environmentally Certified Products</t>
  </si>
  <si>
    <t>Diskettes, Disk Packs, Floppy Diskettes, Labels, etc., Environmentally Certified Products</t>
  </si>
  <si>
    <t>Fasteners and Accessories, Thumb Lock, Environmentally Certified Products</t>
  </si>
  <si>
    <t>Forms Bursters, Decollators, Detachers, Feeders, Strippers and Related Accessories, Environmentally Certified Products</t>
  </si>
  <si>
    <t>Forms, Charts, Templates, Rulers, etc., Environmentally Certified Products</t>
  </si>
  <si>
    <t>Graphic Supplies for Plotters and Printer Plotters: Inks, Pens, Penholders, Chemicals, Paper, etc., Environmentally Certified Products</t>
  </si>
  <si>
    <t>Keyboard Dust Covers, Key Top Covers, Keyboard Drawers, Wrist Supports, etc., Environmentally Certified Products</t>
  </si>
  <si>
    <t>*Power Supplies: Surge Protectors, Uninterruptible Power Supplies, Switches, etc., Environmentally Certified Products</t>
  </si>
  <si>
    <t>Printer Accessories and Supplies: Chemicals, Forms Tractors, Inks and Cartridges, Paper, Label Sheets, Sheet Feeders, Toner Cartridges, Wheels, etc., Environmentally Certified Products</t>
  </si>
  <si>
    <t>*Projection Devices and Accessories: Interactive Conferencing Boards, LCD, Pads, Panels, etc., Environmentally Certified Products</t>
  </si>
  <si>
    <t>Recycled Computer Accessories and Supplies, Environmentally Certified Products</t>
  </si>
  <si>
    <t>Sleeves, CD/DVD, Environmentally Certified Products</t>
  </si>
  <si>
    <t>Storage Devices for Tapes and Diskettes: Containers, Racks, etc., Environmentally Certified Products</t>
  </si>
  <si>
    <t>*Systems Environmental Monitor for Computer Rooms, Environmentally Certified Products</t>
  </si>
  <si>
    <t>Tapes, Tape Cartridges, Tape Cassettes, Tape Reels, Tape Labels, etc., Environmentally Certified Products</t>
  </si>
  <si>
    <t>*Testing Equipment for Computers and Related Equipment, Environmentally Certified Products</t>
  </si>
  <si>
    <t>*Tools, Computer, Environmentally Certified Products</t>
  </si>
  <si>
    <t>COMPUTER HARDWARE AND PERIPHERALS FOR MICROCOMPUTERS</t>
  </si>
  <si>
    <t>*Cabinets and Cases: Desktop Cases, Tower Cases, Drive Cabinets, etc.</t>
  </si>
  <si>
    <t>*Cable: Printer, Disk, Network, etc.</t>
  </si>
  <si>
    <t>*Chips: Accelerator, Graphics, Math Co-Processor, Memory (RAM and ROM), Network, SIMMS, etc.</t>
  </si>
  <si>
    <t>*Communication Boards: Fax, Modem, Internal, etc.</t>
  </si>
  <si>
    <t>*Communication Control Units: Concentrators, Multiplexers, Couplers, Scan Converters, etc.</t>
  </si>
  <si>
    <t>*Computer Kiosk: Informational, Touchscreen or Keyboard Input</t>
  </si>
  <si>
    <t>*Controllers, Programmable: Industrial Control Devices, Robots, etc.</t>
  </si>
  <si>
    <t>*Controllers, Tape: Tape Subsystems, etc.</t>
  </si>
  <si>
    <t>*Data Entry and Remote Job Entry Devices: Voice Activated: Voice Recognition, Voice Digitization, Speech Synthesizers, etc.</t>
  </si>
  <si>
    <t>*Data/File Security Hardware/Software, to Include Encryption</t>
  </si>
  <si>
    <t>*Drives, External; Jump Drives, Flash Drives, Thumb Drives, USB Drives, etc.</t>
  </si>
  <si>
    <t>*Drives, Compact Disk: CD ROM, DVR, etc.</t>
  </si>
  <si>
    <t>*Drives, Floppy Disk</t>
  </si>
  <si>
    <t>*Drives, Internal: Hard/Fixed Disk</t>
  </si>
  <si>
    <t>*Drives, Tape</t>
  </si>
  <si>
    <t>*Duplicators: DVD, CD, Hard Drives, etc.</t>
  </si>
  <si>
    <t>*Expansion/Accelerator Boards: Hard Drive Controller Cards, Memory, Processor, SCSI, Video Cards, etc.</t>
  </si>
  <si>
    <t>*Imaging Systems, Microcomputer: Digital Imaging Network (DIN), Technology, and Digital Imaging Communications in Medicine (DICOM)</t>
  </si>
  <si>
    <t>*Integrated Hardware-Software I.T. Solution, Microcomputer</t>
  </si>
  <si>
    <t>*Keyboards</t>
  </si>
  <si>
    <t>*Microcomputers, Desktop or Tower based</t>
  </si>
  <si>
    <t>*Microcomputers, Laptop, Notebook and Tablets</t>
  </si>
  <si>
    <t>*Microcomputers, Multi-Processor</t>
  </si>
  <si>
    <t>*Modems, External, Data Communications</t>
  </si>
  <si>
    <t>*Monitors, Color and Monochrome (CGA, VGA, SVGA, LCD, etc.)</t>
  </si>
  <si>
    <t>*Motherboards</t>
  </si>
  <si>
    <t>*Network Components: Adapter Cards, Bridges, Connectors, Expansion Modules/Ports, Firewall Devices, Hubs, Line Drivers, MSAUs, Routers, Switches, Transceivers, etc.</t>
  </si>
  <si>
    <t>*Peripherals, Miscellaneous: Joy Sticks, Graphic Digitizers, Light Pens, Mice, Pen Pads, Trackballs, Secure I.D. Access Cards, Headsets and Microphones, etc.</t>
  </si>
  <si>
    <t>*Picture Archiving Computer System (PACS)</t>
  </si>
  <si>
    <t>*Plotters, Graphic</t>
  </si>
  <si>
    <t>*Power Supplies and Power Related Parts, Internal</t>
  </si>
  <si>
    <t>*Printer Sharing Devices, Multi-function Devices</t>
  </si>
  <si>
    <t>*Printers, Dot Matrix</t>
  </si>
  <si>
    <t>*Printers, Inkjet</t>
  </si>
  <si>
    <t>*Printers, Laser</t>
  </si>
  <si>
    <t>*Printers, Pen Plotter</t>
  </si>
  <si>
    <t>*Printers, Digital</t>
  </si>
  <si>
    <t>*Printers, Thermal</t>
  </si>
  <si>
    <t>*Printers, Microcomputer (Not Otherwise Classified)</t>
  </si>
  <si>
    <t>*Recycled Microcomputer Hardware and Peripherals</t>
  </si>
  <si>
    <t>*Retrieval Systems, Computer Assisted: Indexing, Retrieval, CD ROM Jukebox, etc., and Access Systems</t>
  </si>
  <si>
    <t>*Scanners, Film</t>
  </si>
  <si>
    <t>*Scanners, Document: Handheld, Desktop and High Volume</t>
  </si>
  <si>
    <t>*Scanners and Readers, Magnetic Strip</t>
  </si>
  <si>
    <t>*Scanners and Readers, Optical Character and Magnetic Type: Bar Code, Remittance Scanner and Processors, Point of Sale Scanners, etc.</t>
  </si>
  <si>
    <t>*Servers, Microcomputer: Application, Database, File, Mail, Network, Web, etc.</t>
  </si>
  <si>
    <t>*Terminals and CRTs: Data Processing Systems</t>
  </si>
  <si>
    <t>*Word Processing Equipment, Accessories and Supplies (Not Otherwise Classified)</t>
  </si>
  <si>
    <t>*Workstations: SPARC, RISC, etc., For Use With CAD and CAM, etc.</t>
  </si>
  <si>
    <t>COMPUTER HARDWARE AND PERIPHERALS FOR MICROCOMPUTERS, ENVIRONMENTALLY CERTIFIED BY AN AGENCY ACCEPTED CERTIFICATION ENTITY</t>
  </si>
  <si>
    <t>*Cabinets and Cases: Desktop Cases, Tower Cases, Drive Cabinets, etc., Environmentally Certified Products</t>
  </si>
  <si>
    <t>*Cables: Printer, Disk, Network, etc., Environmentally Certified Products</t>
  </si>
  <si>
    <t>*Chips: Accelerator, Graphics, Math Co-Processor, Memory (RAM and ROM), Network, SIMMS, etc., Environmentally Certified Products</t>
  </si>
  <si>
    <t>*Communication Boards: Fax, Modem, Internal, etc., Environmentally Certified Products</t>
  </si>
  <si>
    <t>*Communication Control Units: Concentrators, Multiplexers, Couplers, Scan Converters, etc., Environmentally Certified Products</t>
  </si>
  <si>
    <t>*Computer Kiosks: Informational, Touchscreen or Keyboard Input, Environmentally Certified Products</t>
  </si>
  <si>
    <t>*Controllers, Programmable: Industrial Control Devices, Robots, etc., Environmentally Certified Products</t>
  </si>
  <si>
    <t>*Controllers, Tape: Tape Subsystems, etc., Environmentally Certified Products2</t>
  </si>
  <si>
    <t>*Data Entry and Remote Job Entry Devices, Voice Activated: Voice Recognition, Voice Digitization, Speech Synthesizers, etc., Environmentally Certified Products</t>
  </si>
  <si>
    <t>*Data/File Security Hardware/Software, to Include Encryption, Environmentally Certified Products</t>
  </si>
  <si>
    <t>*Drives, External: Jump Drives, Flash Drives, etc., Environmentally Certified Products</t>
  </si>
  <si>
    <t>*Drives, Compact Disk (CD ROM, DVR, etc.), Environmentally Certified Products</t>
  </si>
  <si>
    <t>*Drives, Floppy Disk, Environmentally Certified Products</t>
  </si>
  <si>
    <t>*Drives, Hard/Fixed Disk, Environmentally Certified Products</t>
  </si>
  <si>
    <t>*Drives, Tape, Environmentally Certified Products</t>
  </si>
  <si>
    <t>*Duplicators, DVD, CD, Hard Drives, etc., Environmentally Certified Products</t>
  </si>
  <si>
    <t>*Expansion/Accelerator Boards: Hard Drive Controller Cards, Memory, Processor, SCSI, Video Cards, etc., Environmentally Certified Products</t>
  </si>
  <si>
    <t>*Imaging Systems, Microcomputer, Including Digital Imaging Network (DIN), Technology, and Digital Imaging Communications in Medicine (DICOM), Environmentally Certified Products</t>
  </si>
  <si>
    <t>*Integrated Hardware-Software I.T. Solution (Microcomputer), Environmentally Certified Products</t>
  </si>
  <si>
    <t>*Keyboards, Environmentally Certified Products</t>
  </si>
  <si>
    <t>*Microcomputers, Desktop or Tower based, Environmentally Certified Products</t>
  </si>
  <si>
    <t>*Microcomputers, Handheld, Laptop, and Notebook, Environmentally Certified Products</t>
  </si>
  <si>
    <t>*Microcomputers, Multi-Processor, Environmentally Certified Products</t>
  </si>
  <si>
    <t>*Modems, External, Data Communications, Environmentally Certified Products</t>
  </si>
  <si>
    <t>*Monitors, Color and Monochrome (CGA, VGA, SVGA, etc.), Environmentally Certified Products</t>
  </si>
  <si>
    <t>*Motherboards, Environmentally Certified Products</t>
  </si>
  <si>
    <t>*Network Components: Adapter Cards, Bridges, Connectors, Expansion Modules/Ports, Firewall Devices, Hubs, Line Drivers, MSAUs, Routers, Transceivers, etc., Environmentally Certified Products</t>
  </si>
  <si>
    <t>*Peripherals, Miscellaneous: Joy Sticks, Graphic Digitizers, Light Pens, Mice, Pen Pads, Trackballs, Secure I.D. Access Cards, Headsets and Microphones, etc., Environmentally Certified Products</t>
  </si>
  <si>
    <t>*Picture Archiving Computer System (PACS), Environmentally Certified Products</t>
  </si>
  <si>
    <t>*Plotters, Graphic, Environmentally Certified Products</t>
  </si>
  <si>
    <t>*Power Supplies and Power Related Parts, Internal, Environmentally Certified Products</t>
  </si>
  <si>
    <t>*Printer Sharing Devices, Environmentally Certified Products</t>
  </si>
  <si>
    <t>*Printers, Dot Matrix, Environmentally Certified Products</t>
  </si>
  <si>
    <t>*Printers, Inkjet, Environmentally Certified Products</t>
  </si>
  <si>
    <t>*Printers, Laser, Environmentally Certified Products</t>
  </si>
  <si>
    <t>*Printers, Pen Plotter, Environmentally Certified Products</t>
  </si>
  <si>
    <t>*Printers, Digital, Environmentally Certified Products</t>
  </si>
  <si>
    <t>*Printers, Thermal, Environmentally Certified Products</t>
  </si>
  <si>
    <t>*Printers, Microcomputer (Not Otherwise Classified), Environmentally Certified Products</t>
  </si>
  <si>
    <t>*Recycled Microcomputer Hardware and Peripherals, Environmentally Certified Products</t>
  </si>
  <si>
    <t>*Retrieval Systems, Computer Assisted: Indexing, Retrieval, CD ROM Jukebox, etc. and Access Systems, Environmentally Certified Products</t>
  </si>
  <si>
    <t>*Scanners, Film, Environmentally Certified Products</t>
  </si>
  <si>
    <t>*Scanners, Document: Handheld, Desktop and High Volume, Environmentally Certified Products</t>
  </si>
  <si>
    <t>*Scanners and Readers, Magnetic Strip, Environmentally Certified Products</t>
  </si>
  <si>
    <t>*Scanners and Readers, Optical Character and Magnetic Type: Bar Code, Remittance Scanner/Processors, Point of Sale Scanners, etc., Environmentally Certified Products</t>
  </si>
  <si>
    <t>*Servers, Microcomputer, Application, Database, File, Mail, Network, Web, etc., Environmentally Certified Products</t>
  </si>
  <si>
    <t>*Terminals and CRTs: Data Processing Systems, Environmentally Certified Products</t>
  </si>
  <si>
    <t>*Word Processing Equipment, Accessories and Supplies (Not Otherwise Classified), Environmentally Certified Products</t>
  </si>
  <si>
    <t>*Workstations: SPARC, RISC, etc., For Use With CAD and CAM, etc., Environmentally Certified Products</t>
  </si>
  <si>
    <t>COMPUTER HARDWARE AND PERIPHERALS FOR MAINFRAMES AND SERVERS</t>
  </si>
  <si>
    <t>*Cables: Printer, Disk, Network, etc.</t>
  </si>
  <si>
    <t>*Chips: Accelerator, Graphics, Math Co-Processor, Memory (RAM and ROM), Network, etc.</t>
  </si>
  <si>
    <t>*Communication Boards: Fax, Modem, Internal, Network Cards, Ethernet, etc.</t>
  </si>
  <si>
    <t>*Communication Control Units: Concentrators, Multiplexers, Couplers, etc.</t>
  </si>
  <si>
    <t>*Communication Processors and Protocol Converters: Front-End Processor, Network Interface Module, Protocol Interchange, Switching Controls, etc.</t>
  </si>
  <si>
    <t>*Computer Systems, Digital</t>
  </si>
  <si>
    <t>*Computer Systems, Laboratory Control</t>
  </si>
  <si>
    <t>*Computer Systems, Process Control</t>
  </si>
  <si>
    <t>*Controllers, Disk: Disk Subsystems, etc.</t>
  </si>
  <si>
    <t>*Controllers, Local and Remote</t>
  </si>
  <si>
    <t>*Controllers, Peripheral: Plotters, Printers, Digitizers, etc.</t>
  </si>
  <si>
    <t>*Data Entry and Remote Job Entry Devices, Voice Activated: Voice Recognition, Voice Digitization, Speech Synthesizers, etc.</t>
  </si>
  <si>
    <t>*Drives: Compact Disk, ROM, etc.</t>
  </si>
  <si>
    <t>*Drives: Floppy Disk</t>
  </si>
  <si>
    <t>*Drives: Hard and Fixed Disk</t>
  </si>
  <si>
    <t>*Expansion and Accelerator Boards: Memory, Processor, etc.</t>
  </si>
  <si>
    <t>*Geographic Information Systems (GIS)</t>
  </si>
  <si>
    <t>*Integrated Hardware-Software IT, Turnkey Solution, Server and Mainframe Computer</t>
  </si>
  <si>
    <t>*Imaging Systems, Server and Main Frame Computer (Incl. Digital Imaging Network and Technology)</t>
  </si>
  <si>
    <t>*Modems, External Data Communications</t>
  </si>
  <si>
    <t>*Monitors, Color and Monochrome, CGA, VGA, SVGA, LCD, etc.</t>
  </si>
  <si>
    <t>*Network Components: Adapter Cards, Bridges, Connectors, Expansion Modules and Ports, Hubs, Line Drivers, MSAUs, Routers, Switches, Transceivers, etc.</t>
  </si>
  <si>
    <t>*Peripherals, Miscellaneous: Graphic Digitizers, Joy Sticks, Light Pens, Mice, Pen Pads, Trackballs, etc.</t>
  </si>
  <si>
    <t>*Printer: High Speed, Line Printers, and Printer Subsystems</t>
  </si>
  <si>
    <t>*Printers, 3D</t>
  </si>
  <si>
    <t>*Printers, Mainframe Computer (Not Otherwise Classified)</t>
  </si>
  <si>
    <t>*Recycled Mainframe Computer Hardware and Peripherals</t>
  </si>
  <si>
    <t>*Retrieval Systems, Computer Aided: Indexing, Retrieval and Access Systems, CD ROM Jukebox, etc.</t>
  </si>
  <si>
    <t>*Scanners, Document: Handheld, Desktop, and High Volume</t>
  </si>
  <si>
    <t>*Scanners and Readers, Optical Character: Bar Code, Remittance Scanner and Processors, etc.</t>
  </si>
  <si>
    <t>*Servers, Mainframe Computer, Application, Database, File, Mail, Network, Web, etc.</t>
  </si>
  <si>
    <t>*Storage Devices, Electronic, Disk Drive Compatible, Network Attached Storage (NAS), Storage Attached Network (SAN)</t>
  </si>
  <si>
    <t>COMPUTER ACCESSORIES AND SUPPLIES</t>
  </si>
  <si>
    <t>*Batteries, Computer, Peripheral and Universal Power Supply (UPS)</t>
  </si>
  <si>
    <t>*Battery Chargers, Computer and Peripheral</t>
  </si>
  <si>
    <t>*Braces: Monitor, PC's, CRT's, Desk Top Printers, etc.</t>
  </si>
  <si>
    <t>*Carts, Computer</t>
  </si>
  <si>
    <t>*Cleaners for Keyboards, Monitors, Tapes, Diskettes, etc.</t>
  </si>
  <si>
    <t>*Compact Disks (CD), DVD, ROM, Blu-Ray, etc.</t>
  </si>
  <si>
    <t>*Computer Instructional Aids and Training Devices</t>
  </si>
  <si>
    <t>*Covers and Enclosures, Acoustical and Protective, For Equipment</t>
  </si>
  <si>
    <t>*CRT Holders, Cases, Glare Screens, Locks, etc.</t>
  </si>
  <si>
    <t>*Diskettes, Disk Packs, Labels, etc.</t>
  </si>
  <si>
    <t>*Fasteners and Accessories, Thumb Lock</t>
  </si>
  <si>
    <t>*Forms Bursters, Decollators, Detachers, Feeders, Strippers and Related Accessories</t>
  </si>
  <si>
    <t>*Forms, Charts, Templates, Rulers, etc.</t>
  </si>
  <si>
    <t>*Graphic Supplies for Plotters and Printer Plotters: Inks, Pens, Penholders, Chemicals, Paper, etc.</t>
  </si>
  <si>
    <t>*Keyboard Dust Covers, Key Top Covers, Keyboard Drawers, Wrist Supports, etc.</t>
  </si>
  <si>
    <t>*Power Supplies: Surge Protectors, Uninterruptible Power Supplies, Switches, etc.</t>
  </si>
  <si>
    <t>*Printer Accessories and Supplies: Chemicals, Forms Tractors, Inks and Cartridges, Paper, Label Sheets, Sheet Feeders, Toner Cartridges, Wheels, etc.</t>
  </si>
  <si>
    <t>*Projection Devices and Accessories: Interactive Conferencing Boards, LCD, Pads, Panels, etc.</t>
  </si>
  <si>
    <t>*Recycled Computer Accessories and Supplies</t>
  </si>
  <si>
    <t>*Sleeves, CD and DVD</t>
  </si>
  <si>
    <t>*Storage Devices for Tapes and Diskettes: Containers, Racks, etc.</t>
  </si>
  <si>
    <t>*Systems Environmental Monitoring for Computer Rooms</t>
  </si>
  <si>
    <t>*Tapes, Tape Cartridges, Tape Cassettes, Tape Reels, Tape Labels, etc.</t>
  </si>
  <si>
    <t>*Testing Equipment for Computers and Related Equipment</t>
  </si>
  <si>
    <t>*Tools, Computer</t>
  </si>
  <si>
    <t>COMPUTER SOFTWARE FOR MICROCOMPUTERS, SYSTEMS, INCLUDING CLOUD-BASED (PREPROGRAMMED)</t>
  </si>
  <si>
    <t>*Accounting/Financial: Bookkeeping, Billing and Invoicing, Budgeting, Payroll, Taxes, etc., Microcomputer</t>
  </si>
  <si>
    <t>*Application Software, (Not Otherwise Classified), Microcomputer</t>
  </si>
  <si>
    <t>*Architectural Software, Microcomputer</t>
  </si>
  <si>
    <t>*Aviation Software, Flight Control, Ground Support, Testing, etc., Microcomputer</t>
  </si>
  <si>
    <t>*Bar Code Software, Microcomputer</t>
  </si>
  <si>
    <t>*Biometric Authentication System Software, Microcomputer</t>
  </si>
  <si>
    <t>*Business Software, Misc.: Agenda, Labels, Mail List, Planning, Scheduling, etc., Microcomputer</t>
  </si>
  <si>
    <t>*Business Intelligence Software, Microcomputer</t>
  </si>
  <si>
    <t>*Communications: Networking, Linking, etc. (Includes Clustering Software), Microcomputer</t>
  </si>
  <si>
    <t>*Computer Aided Design (CAD) and Vectorization Software, Microcomputer</t>
  </si>
  <si>
    <t>*Course Evaluation Software, Microcomputer</t>
  </si>
  <si>
    <t>*Customer Relationship Management Software (CRM), Microcomputer</t>
  </si>
  <si>
    <t>*Customer Flow Management System (Queuing System) Including Parts, Labor and Installation</t>
  </si>
  <si>
    <t>*Data Processing Software, Microcomputer</t>
  </si>
  <si>
    <t>*Database Software, Microcomputer</t>
  </si>
  <si>
    <t>*Desktop Publishing, Microcomputer</t>
  </si>
  <si>
    <t>*Driver and Hardware Support Programs, Microcomputer</t>
  </si>
  <si>
    <t>*Engineering Software, Microcomputer</t>
  </si>
  <si>
    <t>*EDI (Electronic Data Interchange) Translator Software, Microcomputer</t>
  </si>
  <si>
    <t>*Educational: eLearning, Foreign Languages, Math, Science, Social Studies, etc., Microcomputer</t>
  </si>
  <si>
    <t>*E-Mail Software, Microcomputer</t>
  </si>
  <si>
    <t>*Expert System Software, Microcomputer</t>
  </si>
  <si>
    <t>*E-Commerce Software, Microcomputer</t>
  </si>
  <si>
    <t>*Games: Adventure, Board, Puzzles, Strategy, etc. (See 037-84; 209-48; 785-53; and 805-51 for other type games), Microcomputer</t>
  </si>
  <si>
    <t>*Graphics: Clip Art, Demos, Presentation, Slide Shows, etc., Microcomputer</t>
  </si>
  <si>
    <t>*Human Resources Software, Microcomputer</t>
  </si>
  <si>
    <t>*Integrated Software, Microcomputer</t>
  </si>
  <si>
    <t>*Internet, Web Site and Mobile Application Development Software, Microcomputer</t>
  </si>
  <si>
    <t>*Inventory Management Software, Microcomputer</t>
  </si>
  <si>
    <t>*Logistics and Supply Chain Software, Microcomputer</t>
  </si>
  <si>
    <t>*Law Enforcement Software, Microcomputer</t>
  </si>
  <si>
    <t>*Language Translation Software, Microcomputer</t>
  </si>
  <si>
    <t>*Library Information Management and Library Catalog Database Software, Microcomputer</t>
  </si>
  <si>
    <t>*Medical Software, All Types, Microcomputer</t>
  </si>
  <si>
    <t>*OCR and Scanner Software, Microcomputer</t>
  </si>
  <si>
    <t>*Photo Identification Software, Microcomputer</t>
  </si>
  <si>
    <t>*Personnel Software, Microcomputer</t>
  </si>
  <si>
    <t>*Postage/Mailing and Shipping Software, Microcomputer</t>
  </si>
  <si>
    <t>*Point of Sale Software, Microcomputer</t>
  </si>
  <si>
    <t>*Professional: Computer Training, E-learning, Hospital/Pharmacy, Legal, etc. Software, Microcomputer</t>
  </si>
  <si>
    <t>*Programming: Basic, Assembler, Computer Assisted Software Engineering Tools (CASE), Libraries, etc., Microcomputer.</t>
  </si>
  <si>
    <t>*Project Management Software, Microcomputer</t>
  </si>
  <si>
    <t>*Printing Software, Microcomputer</t>
  </si>
  <si>
    <t>*Procurement Software, Microcomputer</t>
  </si>
  <si>
    <t>*Procurement and Accounting Taxonomy Software, Microcomputer</t>
  </si>
  <si>
    <t>*Real Estate/Property Management Software, Microcomputer</t>
  </si>
  <si>
    <t>*Recycled Software, Microcomputer</t>
  </si>
  <si>
    <t>*Redaction, De-identification Software</t>
  </si>
  <si>
    <t>*RPA Software, Microcomputer</t>
  </si>
  <si>
    <t>*Software, Microcomputer (Not Otherwise Classified)</t>
  </si>
  <si>
    <t>*Software For Computer Software Training, Microcomputer</t>
  </si>
  <si>
    <t>*Scientific, Statistical, Engineering, Mathematical, and Mapping Software, Including Photogrammetry, Microcomputer</t>
  </si>
  <si>
    <t>*Shipping, Postal Management and Address Verification Software, Microcomputer</t>
  </si>
  <si>
    <t>*Spreadsheet Software, Microcomputer</t>
  </si>
  <si>
    <t>*Surveying Systems Software, Microcomputer</t>
  </si>
  <si>
    <t>*Sound or Music Editing Software, Microcomputer</t>
  </si>
  <si>
    <t>*Tools, Programming and Case Software, Microcomputer</t>
  </si>
  <si>
    <t>*Software, Monitoring, Microcomputer</t>
  </si>
  <si>
    <t>*Threat Alert Software, Microcomputer</t>
  </si>
  <si>
    <t>*Utilities: Back-up, Batch File, Firewall, Menus, Operating System, Network Operating System, Network Management, Recovery, Screen, Security, Virus Protection, etc., Microcomputer</t>
  </si>
  <si>
    <t>*Word Processing, Text Editors, Spell Checkers, Microcomputer</t>
  </si>
  <si>
    <t>COMPUTER SOFTWARE FOR MAINFRAMES AND SERVERS, PREPROGRAMMED</t>
  </si>
  <si>
    <t>*Accounting/Financial: Bookkeeping, Billing and Invoicing, Budgeting, Payroll, Taxes, etc., Mainframes and Servers</t>
  </si>
  <si>
    <t>*Application Software, Mainframe Computer, Including Cobol</t>
  </si>
  <si>
    <t>*Application Software, Servers</t>
  </si>
  <si>
    <t>*Architectural Software, Mainframes and Servers</t>
  </si>
  <si>
    <t>*Bar Code Software, Mainframes and Servers</t>
  </si>
  <si>
    <t>*Biometric Authentication System Software, Mainframes and Servers</t>
  </si>
  <si>
    <t>*Communications: Networking, Linking, etc., Mainframes and Servers</t>
  </si>
  <si>
    <t>*Computer Aided Design (CAD) Software, Mainframes and Servers</t>
  </si>
  <si>
    <t>*Data Processing Software, Mainframes and Servers</t>
  </si>
  <si>
    <t>*Database Software, Mainframes and Servers</t>
  </si>
  <si>
    <t>*Desktop Publishing, Mainframes and Servers</t>
  </si>
  <si>
    <t>*Driver and Hardware Support Programs, Mainframes and Servers</t>
  </si>
  <si>
    <t>*E-Commerce Software, Mainframes and Servers</t>
  </si>
  <si>
    <t>*EDI (Electronic Data Interchange) Translator Software, Mainframes and Servers</t>
  </si>
  <si>
    <t>*Educational: eLearning, Foreign Languages, Math, Science, Social Studies, etc. Mainframes and Servers ,</t>
  </si>
  <si>
    <t>*Email Software, Mainframes and Servers</t>
  </si>
  <si>
    <t>*Expert System Software, Mainframes and Servers</t>
  </si>
  <si>
    <t>*Engineering Software, Mainframes and Servers</t>
  </si>
  <si>
    <t>*Games: Adventure, Board, Puzzles, Strategy, etc. (See 037-84; 208-47; 785-53; and 805-51 for other type games), Mainframes and Servers</t>
  </si>
  <si>
    <t>*Geographic Information System (GIS) Software, Mainframes and Servers</t>
  </si>
  <si>
    <t>*Graphics: Clip Art, Demos, Presentation, Slide Shows, etc., Mainframes and Servers</t>
  </si>
  <si>
    <t>*Human Resources Software, Mainframes and Servers</t>
  </si>
  <si>
    <t>*Internet, Web Site and Mobile Application Software, Mainframes and Servers</t>
  </si>
  <si>
    <t>*Inventory Management Software, Mainframes and Servers</t>
  </si>
  <si>
    <t>*Language Translation Software, Mainframes and Servers</t>
  </si>
  <si>
    <t>*Logistics and Supply Chain Software, Mainframes and Servers</t>
  </si>
  <si>
    <t>*Music or Sound Editing Software, Mainframes and Servers</t>
  </si>
  <si>
    <t>*OCR and Scanner Software, Mainframes and Servers</t>
  </si>
  <si>
    <t>*Personnel Software, Mainframes and Servers</t>
  </si>
  <si>
    <t>*Point of Sale (POS) Software, Mainframes and Servers</t>
  </si>
  <si>
    <t>*Professional: eLearning, Hospital and Pharmacy, Legal, Computer Training, etc., Mainframes and Servers</t>
  </si>
  <si>
    <t>*Programming: Basic, Assembler, etc., Software, Mainframes and Servers</t>
  </si>
  <si>
    <t>*Project Management Software, Mainframes and Servers</t>
  </si>
  <si>
    <t>*Printing Software, Mainframes and Servers</t>
  </si>
  <si>
    <t>*Procurement Software, Mainframes and Servers</t>
  </si>
  <si>
    <t>*Procurement and Accounting Taxonomy Software, Mainframes and Servers</t>
  </si>
  <si>
    <t>*Real Estate and Property Management Software, Mainframes and Servers</t>
  </si>
  <si>
    <t>*Recycled Software, Mainframes and Servers</t>
  </si>
  <si>
    <t>*Scientific, Statistical, Engineering, Mathematical, and Mapping Software, Including Photogrammetry, Mainframes and Servers</t>
  </si>
  <si>
    <t>*Shipping, Postal Management and Address Verification Software, Mainframes and Servers</t>
  </si>
  <si>
    <t>*Spreadsheet Software, Mainframes and Servers</t>
  </si>
  <si>
    <t>*Surveying and Geographical Information Systems (GIS) Software, Mainframes and Servers</t>
  </si>
  <si>
    <t>*Software, Mainframes and Servers (Not Otherwise Classified)</t>
  </si>
  <si>
    <t>*Tools, Programming and Case Software, Mainframes and Servers</t>
  </si>
  <si>
    <t>*Utilities: Back-up, Batch File, Menus, Network Management, Operating System, Recovery, Screen, Security, Virus Protection, etc., Mainframes and Servers</t>
  </si>
  <si>
    <t>*Word Processing, Text Editors, Label Makers, Spell Checkers, etc., Mainframes and Servers</t>
  </si>
  <si>
    <t>CONCRETE AND METAL PRODUCTS, CULVERTS, PILINGS, SEPTIC TANKS, ACCESSORIES AND SUPPLIES</t>
  </si>
  <si>
    <t>Basins, Catch, Including Part and Accessories</t>
  </si>
  <si>
    <t>Blocks, Hollow and Solid, Lightweight</t>
  </si>
  <si>
    <t>Blocks, Hollow and Solid, Normal Weight</t>
  </si>
  <si>
    <t>Blocks, Kiln and Oven</t>
  </si>
  <si>
    <t>Box Voids and Void Concrete Forms, Including Chemical Release Agents</t>
  </si>
  <si>
    <t>Bollard Post, Steel, Removable</t>
  </si>
  <si>
    <t>Bricks, Concrete</t>
  </si>
  <si>
    <t>Concrete Beams, Channels, Roof Decks, Bollards, etc., Prestressed</t>
  </si>
  <si>
    <t>Concrete Bunker Panels</t>
  </si>
  <si>
    <t>Concrete Encased Ducts</t>
  </si>
  <si>
    <t>Concrete Pilings</t>
  </si>
  <si>
    <t>Concrete Support Items, Chairs, etc.</t>
  </si>
  <si>
    <t>Connecting Bands, Corrugated Metal</t>
  </si>
  <si>
    <t>Culverts, Concrete</t>
  </si>
  <si>
    <t>Culverts, Corrugated Metal, Including Well Casing Pipe</t>
  </si>
  <si>
    <t>Curbs, Parking and Curb Boxes: Vehicle, Including Recycled</t>
  </si>
  <si>
    <t>Drains, Including Parts and Accessories</t>
  </si>
  <si>
    <t>Irrigation Pipe, Metal</t>
  </si>
  <si>
    <t>Joint Sealing Compound, Sewer and Drain Pipes</t>
  </si>
  <si>
    <t>Meter Boxes and Concrete Pull Boxes</t>
  </si>
  <si>
    <t>Molds, Concrete, Including Parts and Accessories</t>
  </si>
  <si>
    <t>Paving and Stepping Blocks</t>
  </si>
  <si>
    <t>Recycled Concrete and Metal Products Incl. Culverts, Pilings, and Septic Tanks</t>
  </si>
  <si>
    <t>Risers and Cones, Reinforced Concrete</t>
  </si>
  <si>
    <t>Septic Tanks, Grease Traps, and Water Troughs</t>
  </si>
  <si>
    <t>Ties and Anchors and Other Masonry Wall Reinforcements</t>
  </si>
  <si>
    <t>Vents, Foundation, Concrete</t>
  </si>
  <si>
    <t>CONTROLLING, INDICATING, MEASURING, MONITORING, AND RECORDING INSTRUMENTS AND SUPPLIES</t>
  </si>
  <si>
    <t>Accelerometers</t>
  </si>
  <si>
    <t>Actuators and Controls: Robotics, Servo Systems, etc.</t>
  </si>
  <si>
    <t>Avalanche Devices, Equipment, Including Parts and Accessories</t>
  </si>
  <si>
    <t>Charts: Flowmeter, Receiver, Recorder</t>
  </si>
  <si>
    <t>Clinometers and Inclinometers, Slope and Tilt Measurements</t>
  </si>
  <si>
    <t>Conductivity Instruments, Dissolved Solids</t>
  </si>
  <si>
    <t>Examination Equipment: Current, Liquid Penetrant, Magnetic Particle, etc.</t>
  </si>
  <si>
    <t>*Energy Computerized Control Systems:  HVAC, Lighting, Utilities, etc. Combination</t>
  </si>
  <si>
    <t>Flow Controllers, Indicators, Calibrators, and Recorders: Air and Gases</t>
  </si>
  <si>
    <t>Flow Controllers and Recorders, For Liquids</t>
  </si>
  <si>
    <t>Flood Control Devices, Equipment, Including Parts and Accessories</t>
  </si>
  <si>
    <t>Gauges: Altitude, Pressure, Profile, Temperature, Liquid Level, etc.</t>
  </si>
  <si>
    <t>Gyroscopic Instruments</t>
  </si>
  <si>
    <t>Hazardous Environment Detection and Measuring Equipment</t>
  </si>
  <si>
    <t>High Vacuum Controllers, Indicators, and Recorders and Accessories: Ionization Gauges, Thermocouple Gauges, etc.</t>
  </si>
  <si>
    <t>*High Water Detection and Measuring Equipment</t>
  </si>
  <si>
    <t>*Imaging Systems, Infrared Thermal, Not X-Ray</t>
  </si>
  <si>
    <t>Indicating and Recording Instruments, Equipment and Accessories (Not Otherwise Classified)</t>
  </si>
  <si>
    <t>Liquid Level Controllers, Indicators, and Recorders</t>
  </si>
  <si>
    <t>Logging Devices, Electronic, Long-Range Data Collection and Recording for Use at a Remote Location</t>
  </si>
  <si>
    <t>Meters, Gas: Rotary Positive Displacement, Turbine, Diaphragm and Associated Instrumentation</t>
  </si>
  <si>
    <t>Oscillographs, Cathode-Ray Recording System, Including Parts and Accessories</t>
  </si>
  <si>
    <t>Photoelectric Control Devices</t>
  </si>
  <si>
    <t>Position Measuring Devices, X-Y Coordinates</t>
  </si>
  <si>
    <t>Pressure Controllers, Indicators, and Recorders</t>
  </si>
  <si>
    <t>Pressure Converters</t>
  </si>
  <si>
    <t>Radar Instruments, Marine Type, Magnetrons, etc., Including Parts and Accessories</t>
  </si>
  <si>
    <t>*Biometric Card Reader, Including Parts and Accessories</t>
  </si>
  <si>
    <t>Radiant Energy Measuring Devices, Visual, UV, and IR: Light Meters, Except Photographic, Photometers, Pyranometers, Radiometers, etc.</t>
  </si>
  <si>
    <t>Recorders and Plotters, General Laboratory Type, Strip Chart, X-Y, etc., and Supplies: Chart Paper, Developing Chemicals, Ink, Penholders, Pens, etc. (See 690-62 for Power Generation Type)</t>
  </si>
  <si>
    <t>Recycled Recording, Controlling and Indicating Instruments and Supplies</t>
  </si>
  <si>
    <t>Sonar Instruments, Research Type</t>
  </si>
  <si>
    <t>Sound Analysis Equipment and Accessories: Noise Meters and Dosimeters, Sound Level Meters, etc., Including Noise Control Enclosures, etc.</t>
  </si>
  <si>
    <t>Strain Gauges, Force Gauges, and Associated Instruments: Strain Gauge Conditioners, Stress-Strain Plotters, etc.</t>
  </si>
  <si>
    <t>Stroboscopes and Tachometers, Except Automotive</t>
  </si>
  <si>
    <t>Surface Profile Measurement Equipment</t>
  </si>
  <si>
    <t>Temperature Controllers, Indicators, and Recorders, Digital Thermometers, Pyrometers, etc., Including Parts and Accessories: Thermistors, Thermocouples, etc.</t>
  </si>
  <si>
    <t>Transducers and Couplers</t>
  </si>
  <si>
    <t>Vibration Detecting and Measuring Equipment: Geophones, Seismic Amplifiers, Seismographs, etc.</t>
  </si>
  <si>
    <t>Vibration Generating Equipment: Piezoelectric, Sonic, Ultrasonic, etc.</t>
  </si>
  <si>
    <t>*Weather Instruments: Anemometers, Barographs, Barometers, Hygrometers, Lightning Strike Counters, Relative Humidity Meters, Thermographs, Radar Weather Display, etc.</t>
  </si>
  <si>
    <t>*Weather Station</t>
  </si>
  <si>
    <t>COOLERS, DRINKING WATER (WATER FOUNTAINS)</t>
  </si>
  <si>
    <t>Coolers, Electric, Water Fountains</t>
  </si>
  <si>
    <t>Coolers, Non-Electric, Water Fountains</t>
  </si>
  <si>
    <t>Coolers, Storage Type, Remote Refrigeration Unit, Including Parts and Accessories</t>
  </si>
  <si>
    <t>Recycled Drinking Fountains and Supplies</t>
  </si>
  <si>
    <t>CRAFTS, GENERAL</t>
  </si>
  <si>
    <t>Artificial Plants, Shrubs, and Trees</t>
  </si>
  <si>
    <t>Basketry Materials</t>
  </si>
  <si>
    <t>Beadcraft Supplies</t>
  </si>
  <si>
    <t>Candle Making Equipment and Supplies (See 393-56 for Candles)</t>
  </si>
  <si>
    <t>Carpet Warp and Roving, Macram?2322500Decoupage Materials and Supplies</t>
  </si>
  <si>
    <t>Decoupage Materials and Supplies</t>
  </si>
  <si>
    <t>Dried Flowers and Plants</t>
  </si>
  <si>
    <t>Floral Arrangements, Artificial</t>
  </si>
  <si>
    <t>Floral Supplies: Artificial Flowers, Floral Tape, etc.</t>
  </si>
  <si>
    <t>Glitter, Sequins, Stars, Feather Craft, Polyester Balls, etc.</t>
  </si>
  <si>
    <t>Kits and Supplies: Crafts, Miscellaneous</t>
  </si>
  <si>
    <t>Kits and Supplies: Foil, Tin, etc.</t>
  </si>
  <si>
    <t>Kits and Supplies: Mosaic</t>
  </si>
  <si>
    <t>Kits and Supplies: String and Wire Art</t>
  </si>
  <si>
    <t>Lacing, Crafts</t>
  </si>
  <si>
    <t>Liquid Embroidery and Fabric Painting Supplies</t>
  </si>
  <si>
    <t xml:space="preserve">Miniatures, Craft                                                                                                                                                                                                                                         </t>
  </si>
  <si>
    <t>Model Kits and Parts: Airplane, Automobile, Ship, etc.</t>
  </si>
  <si>
    <t>Molds, For Plaster Cast Projects</t>
  </si>
  <si>
    <t>Needlework Kits and Supplies: Crewel, Embroidery, etc.</t>
  </si>
  <si>
    <t>Precut Wood Kits: Bird Houses, Magazine Baskets, What-not Shelves, etc.</t>
  </si>
  <si>
    <t>Recycled Crafts, General</t>
  </si>
  <si>
    <t>Ribbons, Craft</t>
  </si>
  <si>
    <t>Soap Making Materials and Supplies</t>
  </si>
  <si>
    <t>Styrofoam Shapes and Foam Filler</t>
  </si>
  <si>
    <t>Transfers: Hot Iron, and Rub On Type</t>
  </si>
  <si>
    <t>Weaving Looms and Materials, Hand</t>
  </si>
  <si>
    <t>Wood Burning, Wood Carving, Wood Working Tools, Furniture and Supplies</t>
  </si>
  <si>
    <t>CRAFTS, SPECIALIZED</t>
  </si>
  <si>
    <t>Ceramic and Pottery Equipment and Supplies</t>
  </si>
  <si>
    <t>Faceting and Cabbing Equipment and Accessories</t>
  </si>
  <si>
    <t>Glass Blowing Equipment and Supplies</t>
  </si>
  <si>
    <t>Kilns and Furnaces, For Ceramic and Enameling, Including Parts and Accessories</t>
  </si>
  <si>
    <t>Lapidary Equipment, Jewelry Findings, and Supplies</t>
  </si>
  <si>
    <t>Leather Craft Supplies</t>
  </si>
  <si>
    <t>Metal Enameling Material</t>
  </si>
  <si>
    <t>Metal Craft Supplies</t>
  </si>
  <si>
    <t>Paper Making Equipment and Supplies: Handmade: Beaters, Screens, Vats, etc.</t>
  </si>
  <si>
    <t>Recycled Crafts, Specialized</t>
  </si>
  <si>
    <t>Rubbing Compound, Abrasive</t>
  </si>
  <si>
    <t>CUTLERY, COOKWARE, DISHES, GLASSWARE, SILVERWARE, UTENSILS, AND SUPPLIES</t>
  </si>
  <si>
    <t>Aluminum Ware: Cooking Utensils, Dishes, Trays, Pots and Pans, etc.</t>
  </si>
  <si>
    <t>Beverage Servers, All Types, Including Decanters</t>
  </si>
  <si>
    <t>Cast Iron: Cooking and Frying Pots and Pans, etc.</t>
  </si>
  <si>
    <t>Table Ware: Plates, Bowls, Cups, and Saucers</t>
  </si>
  <si>
    <t>Chinaware</t>
  </si>
  <si>
    <t>Condiment Shakers, Dispensers, Covers, etc.</t>
  </si>
  <si>
    <t>Cookware, Pots and Pans</t>
  </si>
  <si>
    <t>Cutlery: Knives, Spatulas, Steels, etc.</t>
  </si>
  <si>
    <t>Cutting Boards</t>
  </si>
  <si>
    <t>Enamelware: Small Cooking Utensils, Pots and Pans, etc.</t>
  </si>
  <si>
    <t>Flour Sifters, Light Duty</t>
  </si>
  <si>
    <t>Glassware, Table</t>
  </si>
  <si>
    <t>Kitchen Utensils; Small: Basters, Corers, Ladles, Pastry and Vegetable Brushes, Peelers, Scoops, Tongs, Turners, etc.</t>
  </si>
  <si>
    <t>Meal Servers, Insulated</t>
  </si>
  <si>
    <t>Plastic Ware: Dishes, Pots and Pans, Trays, Non-Disposable Type (See 640-60 for Disposable Type)</t>
  </si>
  <si>
    <t>Recycled Dishes, Utensils, etc.</t>
  </si>
  <si>
    <t>Silver Burnishing Equipment and Scouring Pads, All Types</t>
  </si>
  <si>
    <t>Silverware: Flatware, Tableware, etc.</t>
  </si>
  <si>
    <t>Silverware and Dishes, Specialized, Self-Help Feeding Type</t>
  </si>
  <si>
    <t>Stainless Steel Ware: Cooking Utensils, Flatware, Tableware, Trays, Pots and Pans, etc.</t>
  </si>
  <si>
    <t>Storage Boxes, Food</t>
  </si>
  <si>
    <t>Thermometers, Cooking and Oven</t>
  </si>
  <si>
    <t>Timers, Mechanical</t>
  </si>
  <si>
    <t>DAIRY EQUIPMENT AND SUPPLIES</t>
  </si>
  <si>
    <t>Butter Machines, Churns, and Equipment</t>
  </si>
  <si>
    <t>Cheese-Making Supplies: Annatto, Rennet, etc.</t>
  </si>
  <si>
    <t>Cleaning Materials, For Dairy Equipment: Chlorine Sanitizers, Milkstone Remover, etc.</t>
  </si>
  <si>
    <t>Cooling Vats</t>
  </si>
  <si>
    <t>Dairy Pails, Utility Pails</t>
  </si>
  <si>
    <t>Ice Cream Containers: Paper and Metal</t>
  </si>
  <si>
    <t>Ice Cream Shipping Jackets</t>
  </si>
  <si>
    <t>Milk Bottle Caps: Metallic and Paper</t>
  </si>
  <si>
    <t>Milk Bottles, Glass</t>
  </si>
  <si>
    <t>Milk Cans, All Types</t>
  </si>
  <si>
    <t>Milk Cartons: Paper and Plastic, Including Liners</t>
  </si>
  <si>
    <t>Milk Crates</t>
  </si>
  <si>
    <t>Milk Dispenser Can Tubes</t>
  </si>
  <si>
    <t>Milk Filling Machines, Accessories and Supplies, Dispenser Bags, etc.</t>
  </si>
  <si>
    <t>Milk Filters</t>
  </si>
  <si>
    <t>Milking Machines, Accessories, and Parts: Compressors, Pulsators, etc.</t>
  </si>
  <si>
    <t>Milk Processing Equipment, Homogenizers, Pasteurizers, etc., Including Parts and Accessories</t>
  </si>
  <si>
    <t>Refurbished Dairy Equipment and Supplies</t>
  </si>
  <si>
    <t>Stanchions, Milk Parlor</t>
  </si>
  <si>
    <t>Teat Sanitizing Equipment and Supplies</t>
  </si>
  <si>
    <t>Thermometers, Dairy, For Milk Vats, etc.</t>
  </si>
  <si>
    <t>Wraps, Cheese: Circles, Bandages, Wax, etc.</t>
  </si>
  <si>
    <t>DATA PROCESSING CARDS AND PAPER</t>
  </si>
  <si>
    <t>Cards, Tabulating, Special, Automatic and Manual Data Processing Systems</t>
  </si>
  <si>
    <t>Cards, Tabulating, Standard, EDP Systems</t>
  </si>
  <si>
    <t>Paper, Tabulating Stock</t>
  </si>
  <si>
    <t>Recycled Data Processing Cards and Paper</t>
  </si>
  <si>
    <t>Roll Paper, Bond, EDP Portable Terminals</t>
  </si>
  <si>
    <t>Roll Paper, Thermal, EDP Portable Terminals</t>
  </si>
  <si>
    <t>Tests, Answer Sheets, Scoring Keys, etc., Electronic Data Processing (EDP) Systems</t>
  </si>
  <si>
    <t>DATA PROCESSING CARDS AND PAPER, ENVIRONMENTALLY CERTIFIED BY AN AGENCY ACCEPTED CERTIFICATION ENTITY</t>
  </si>
  <si>
    <t>Cards, Tabulating, Special, Automatic and Manual Data Processing Systems, Environmentally Certified Products</t>
  </si>
  <si>
    <t>Cards, Tabulating, Standard,  EDP Systems, Environmentally Certified Products</t>
  </si>
  <si>
    <t>Paper, Tabulating Stock, Environmentally Certified Products</t>
  </si>
  <si>
    <t>Recycled Data Processing Cards and Paper, Environmentally Certified Products</t>
  </si>
  <si>
    <t>Roll Paper, Bond, EDP Portable Terminals, Environmentally Certified Products</t>
  </si>
  <si>
    <t>Roll Paper, Thermal, EDP Portable Terminals, Environmentally Certified Products</t>
  </si>
  <si>
    <t>Tests, Answer Sheets, Scoring Keys, etc., EDP Systems, Environmentally Certified Products</t>
  </si>
  <si>
    <t>DECALS AND STAMPS</t>
  </si>
  <si>
    <t>Bar Code Decals</t>
  </si>
  <si>
    <t>Bedding Stamps</t>
  </si>
  <si>
    <t>Cigarette Stamp, Numbered</t>
  </si>
  <si>
    <t>Decals, All Other Types of Transfer (See 255-28 For Screen Printed)</t>
  </si>
  <si>
    <t>Decals, Heat Transfer</t>
  </si>
  <si>
    <t>Decals, Pressure Sensitive Adhesive</t>
  </si>
  <si>
    <t>Decals, Screen Printed</t>
  </si>
  <si>
    <t>Decals, Water Transfer Type, Cigarette Machines, Doors, Equipment, Vehicles, Windows, etc.</t>
  </si>
  <si>
    <t>Inventory and Other Small Decals</t>
  </si>
  <si>
    <t>License Plate Decals</t>
  </si>
  <si>
    <t>Liquor Stamps, Numbered</t>
  </si>
  <si>
    <t>Recycled Decals and Stamps</t>
  </si>
  <si>
    <t>Tax Stamps, Other Than Cigarette and Liquor, Numbered and Un-Numbered</t>
  </si>
  <si>
    <t>Windshield Decals, Not Numbered</t>
  </si>
  <si>
    <t>Windshield Decals, Numbered</t>
  </si>
  <si>
    <t>DEFENSE SYSTEM AND HOMELAND SECURITY EQUIPMENT, WEAPONS AND ACCESSORIES</t>
  </si>
  <si>
    <t>Aircraft, Military, Fighter Bombers, Attack Aircraft, etc.</t>
  </si>
  <si>
    <t>Aviation Equipment, CBRNE</t>
  </si>
  <si>
    <t>Aviation Equipment, Defense and Homeland Security</t>
  </si>
  <si>
    <t>*Bomb Detection Equipment and Supplies</t>
  </si>
  <si>
    <t>Bomb Protection Devices and Supplies</t>
  </si>
  <si>
    <t>Medical Supplies and Pharmaceuticals (Not Otherwise Classified), CBRNE</t>
  </si>
  <si>
    <t>*Chemical, Biological, Radiological and Nuclear Explosive Weapons and Cyber Attacks</t>
  </si>
  <si>
    <t>*Communications Equipment, Interoperable, CBRNE</t>
  </si>
  <si>
    <t>*Communications Equipment, Defense and Homeland Security</t>
  </si>
  <si>
    <t>*Detection Equipment, CBRNE</t>
  </si>
  <si>
    <t>Decontamination Equipment, CBRNE</t>
  </si>
  <si>
    <t>Disaster Survival Equipment, Kits, and Supplies</t>
  </si>
  <si>
    <t>*Explosive Device Mitigation and Remediation Equipment</t>
  </si>
  <si>
    <t>Hazardous Control Materials, Hazmat, Green Material, etc., (Not Otherwise Classified)</t>
  </si>
  <si>
    <t>*Homeland Security Equipment and Accessories (Not Otherwise Classified)</t>
  </si>
  <si>
    <t>Intervention Equipment, CBRNE</t>
  </si>
  <si>
    <t>Logistical Support Equipment, CBRNE</t>
  </si>
  <si>
    <t>Military Explosives: Bombs, Mines, etc.</t>
  </si>
  <si>
    <t>Military Watercraft, Submarines, Aircraft Carriers, Cruisers, etc.</t>
  </si>
  <si>
    <t>Missiles, Guided, Air to Air</t>
  </si>
  <si>
    <t>Missiles, Guided, Air to Surface</t>
  </si>
  <si>
    <t>Missiles, Guided, Antiballistic</t>
  </si>
  <si>
    <t>Missiles, Guided, Antiaircraft</t>
  </si>
  <si>
    <t>Missiles, Guided, Antimissile</t>
  </si>
  <si>
    <t>Missiles, Guided, Antiship</t>
  </si>
  <si>
    <t>Missiles, Guided, Antitank</t>
  </si>
  <si>
    <t>Missiles, Guided, Ballistic</t>
  </si>
  <si>
    <t>Missiles, Guided, Cruise</t>
  </si>
  <si>
    <t>Missiles, Guided, Surface to Surface</t>
  </si>
  <si>
    <t>Missiles, Guided, Training</t>
  </si>
  <si>
    <t>Missile Subsystems, Including Boosters, Warheads, Pin Pullers, Jet Reaction Control Assy</t>
  </si>
  <si>
    <t>Recycled Defense System Equipment and Accessories</t>
  </si>
  <si>
    <t>Rescue and Search Equipment, CBRNE</t>
  </si>
  <si>
    <t>Rockets and Launch Vehicles, Including Boosters</t>
  </si>
  <si>
    <t>Satellites, Military (See 804-74 for all other types)</t>
  </si>
  <si>
    <t>*Sensors, Infrared (IR)</t>
  </si>
  <si>
    <t>Science and Research Services, Military</t>
  </si>
  <si>
    <t>*Security Enhancement Equipment, Cyber</t>
  </si>
  <si>
    <t>Security Enhancement Equipment, Physical, Including Blast Curtains</t>
  </si>
  <si>
    <t>*Security Equipment, Defense and Homeland Security</t>
  </si>
  <si>
    <t>*Terrorism Incident Prevention Equipment</t>
  </si>
  <si>
    <t>Terrorism Prevention, Response and Mitigation Equipment for Agriculture</t>
  </si>
  <si>
    <t>Vehicles, Incident Response, CBRNE</t>
  </si>
  <si>
    <t>Vehicles, War, Armored, Tanks, etc.</t>
  </si>
  <si>
    <t>Watercraft, Response, CBRNE</t>
  </si>
  <si>
    <t>Weapons, Naval , Torpedoes etc.</t>
  </si>
  <si>
    <t>Weapons, Bladed, Including Parts and Accessories</t>
  </si>
  <si>
    <t>DENTAL EQUIPMENT AND SUPPLIES</t>
  </si>
  <si>
    <t>Anesthetics, Dental, General</t>
  </si>
  <si>
    <t>Abrasives, Dental</t>
  </si>
  <si>
    <t>Amalgams and Mercury</t>
  </si>
  <si>
    <t>Cabinets, Furniture, Sinks, etc., Dental</t>
  </si>
  <si>
    <t>Casting, Filling, and Molding Materials: Artificial Stone, Clay, Gypsum Plaster, Investments, Bonded and Solder, Molding Resins, Porcelain, etc.</t>
  </si>
  <si>
    <t>Cements, Cavity Lining, etc.: Glass Ionometer, Polymeric, Zinc Compounds, etc.</t>
  </si>
  <si>
    <t>Ceramic Items: Jacket Crowns, Porcelain Inlays, Porcelain Teeth, etc.</t>
  </si>
  <si>
    <t>Chemicals, Cleaners, Lubricants, etc., Dental</t>
  </si>
  <si>
    <t>Containers, Dispensers, Trays, etc., Dental</t>
  </si>
  <si>
    <t>Cosmetic Dentistry Equipment and Supplies</t>
  </si>
  <si>
    <t>Crowns and Teeth, Acrylic</t>
  </si>
  <si>
    <t>Crowns, Metal</t>
  </si>
  <si>
    <t>Crowns and Teeth, Plastic</t>
  </si>
  <si>
    <t>Dental Units and Components: Chairs, Compressed Air and Aspiration Devices, Consoles, Handpieces, etc.</t>
  </si>
  <si>
    <t>Dies, Forms, Molds, Patterns, etc., Dental</t>
  </si>
  <si>
    <t>Electrosurgery Units, Dental</t>
  </si>
  <si>
    <t>Evacuation Equipment and Supplies, Dental</t>
  </si>
  <si>
    <t>Grinding and Polishing Implements: Burs, Cones, Cups, Discs, Wheels, etc., Dental</t>
  </si>
  <si>
    <t>Heaters, Ovens, and Water Baths, Dental</t>
  </si>
  <si>
    <t>Implants, Dental, All Types</t>
  </si>
  <si>
    <t>Impression Materials: Agar, Alginates, Plasters, Zinc Oxide, etc., Dental</t>
  </si>
  <si>
    <t>Infection Control Equipment and Supplies, Dental</t>
  </si>
  <si>
    <t>Instruments and Devices, Endodontic, Orthodontic, Periodontal, and General Dental: Arches, Bands, Brackets, Curets, Files, Forceps, Mirrors, Points, Rasps, Reamers, Scalers (Hand), etc.</t>
  </si>
  <si>
    <t>Lamps and Lights, Dental: Operating, Ultraviolet, etc.</t>
  </si>
  <si>
    <t>Matrix Materials, Dental</t>
  </si>
  <si>
    <t>Metallic Supplies: Alloys, Precious Metals, Tubes, Wires, etc., Dental</t>
  </si>
  <si>
    <t>Miscellaneous Dental Equipment and Supplies (Not Otherwise Classified)</t>
  </si>
  <si>
    <t>Models, Manikins, and Instructional Aids, Dental</t>
  </si>
  <si>
    <t>Pharmaceuticals, Dental: Anesthetics, Antiseptics, Plaque Disclosing Liquids and Tablets, etc.</t>
  </si>
  <si>
    <t>Power Tools and Appliances, Dental: Drills, Grinders, Lathes, Vibrators, etc.</t>
  </si>
  <si>
    <t>Prosthodontic Equipment: Articulators, Casting Units, Frames, Impression Trays, Soldering Units, etc., Dental</t>
  </si>
  <si>
    <t>Pulp Testers (Inactive, effective January 1, 2016)</t>
  </si>
  <si>
    <t>Recycled Dental Equipment and Supplies</t>
  </si>
  <si>
    <t>Resins (For Repair and Restoration): Acrylic, Epoxy, etc., Dental</t>
  </si>
  <si>
    <t>Retraction Materials, Dental</t>
  </si>
  <si>
    <t>Scalers, Periodontal: Rotary, Sonic, and Ultrasonic</t>
  </si>
  <si>
    <t>Solders, Fluxes, and Antifluxes, Dental</t>
  </si>
  <si>
    <t>Sterilization Systems, Dental: Autoclaves, etc.</t>
  </si>
  <si>
    <t>Sundries, Dental: Articulating Paper and Tape, Cotton, Dental Care Kits, Denture Adhesives and Creams, Floss, Gauze Pads, Paper and Plastic Items, Sutures, Tubing, etc.</t>
  </si>
  <si>
    <t>Syringes and Needles, Dental</t>
  </si>
  <si>
    <t>Ultrasonic Cleaning Units, Dental Laboratory</t>
  </si>
  <si>
    <t>Waxes, All Types, Dental</t>
  </si>
  <si>
    <t>X-Ray Equipment, Dental, (See Class 898 For Chemicals and Film): Film Mounts, Film Processors, Intensifying Screens, X-Ray Machines and Accessories</t>
  </si>
  <si>
    <t>DRAPERIES, CURTAINS, AND UPHOLSTERY MATERIAL, INCLUDING AUTOMOBILE UPHOLSTERY</t>
  </si>
  <si>
    <t>Curtains, Draperies, and Scarves</t>
  </si>
  <si>
    <t>Curtain and Drapery Hardware: Hooks, Rods, etc.</t>
  </si>
  <si>
    <t>Foam, Upholstery, Rubber, Urethane, etc.</t>
  </si>
  <si>
    <t>Material, Drapery</t>
  </si>
  <si>
    <t>Material, Upholstery, Fabric, Furniture and Auto</t>
  </si>
  <si>
    <t>Material, Upholstery, Vinyl, Furniture and Auto</t>
  </si>
  <si>
    <t>Recycled Drapes, Curtains, and Upholstery Material</t>
  </si>
  <si>
    <t>Upholstery Supplies: Beading, Burlap, Buttons, Padding, Springs, Tacks, Thread, Welt Cord, etc.</t>
  </si>
  <si>
    <t>Valances and Cornices</t>
  </si>
  <si>
    <t>DRUGS AND PHARMACEUTICALS</t>
  </si>
  <si>
    <t>Anesthetics, General</t>
  </si>
  <si>
    <t>Anesthetics, Local</t>
  </si>
  <si>
    <t>Antagonists, Heavy Metal</t>
  </si>
  <si>
    <t>Antihistamine Drugs</t>
  </si>
  <si>
    <t>Anti-infective Agents</t>
  </si>
  <si>
    <t>Antineoplastic Agents</t>
  </si>
  <si>
    <t>Antiseptics</t>
  </si>
  <si>
    <t>Autonomic Drugs</t>
  </si>
  <si>
    <t>Blood Derivatives</t>
  </si>
  <si>
    <t>Blood Formation and Coagulation</t>
  </si>
  <si>
    <t>Cardiovascular Drugs</t>
  </si>
  <si>
    <t>Central Nervous System Agents: Analegsic, Anticonvulsant, Antidepressant, Antihistamine, Antipsychotic and Sedative</t>
  </si>
  <si>
    <t>Contraceptives</t>
  </si>
  <si>
    <t>Diagnostic Agents</t>
  </si>
  <si>
    <t>Electrolytic, Caloric, and Water Balance</t>
  </si>
  <si>
    <t>Enzymes</t>
  </si>
  <si>
    <t>Expectorants, Antitussives, and Mucolytic Agents</t>
  </si>
  <si>
    <t>Eye, Ear, Nose, and Throat Preparations</t>
  </si>
  <si>
    <t>Gastrointestinal Drugs</t>
  </si>
  <si>
    <t>Gold Compounds</t>
  </si>
  <si>
    <t>Herbal Drugs</t>
  </si>
  <si>
    <t>Hormones and Synthetic Substitutes</t>
  </si>
  <si>
    <t>Miscellaneous Drugs and Pharmaceuticals (Not Otherwise Classified)</t>
  </si>
  <si>
    <t>Muscle Relaxants, Smooth, Including Respiratory Drugs</t>
  </si>
  <si>
    <t>Pharmaceutical Drug Precursors</t>
  </si>
  <si>
    <t>Ointments, Analgesic, Antibiotic</t>
  </si>
  <si>
    <t>Oxytocics</t>
  </si>
  <si>
    <t>Nootropics, Smart Drugs</t>
  </si>
  <si>
    <t>Radioactive Pharmaceuticals</t>
  </si>
  <si>
    <t>Recycled Drugs and Pharmaceuticals</t>
  </si>
  <si>
    <t>Serums, Toxoids, and Vaccines</t>
  </si>
  <si>
    <t>Skin and Mucous Membrane Agents</t>
  </si>
  <si>
    <t>Supplements, With Vitamins</t>
  </si>
  <si>
    <t>Supplements, Without Vitamins</t>
  </si>
  <si>
    <t>Therapeutic Agents, Unclassified</t>
  </si>
  <si>
    <t>Vitamins</t>
  </si>
  <si>
    <t>DRUG AND FEEDING ADMINISTRATION, INFUSION, AND IRRIGATION EQUIPMENT AND SUPPLIES</t>
  </si>
  <si>
    <t>Administration Sets and IV Additive Accessories</t>
  </si>
  <si>
    <t>Administration Sets, Special Use: Controlled Flow, Solution Transfer, etc.</t>
  </si>
  <si>
    <t>Anesthesia Sets, Specialized</t>
  </si>
  <si>
    <t>Blood Administration Sets</t>
  </si>
  <si>
    <t>Blood Bank and Blood Transfusion Equipment: Collection Units, Dielectric Sealer, Freezing Bags, Pooling Bags, Transfer Units, etc.</t>
  </si>
  <si>
    <t>Blood Cell Processing and Storage Solutions</t>
  </si>
  <si>
    <t>Blood Plasma Extenders: Dextrans, etc.</t>
  </si>
  <si>
    <t>Blood, Whole; and Blood Fraction, (For Transfusions: Plasma, Serum Albumin, etc.</t>
  </si>
  <si>
    <t>Cell Processing Sets and Supplies</t>
  </si>
  <si>
    <t>Dextrose Solutions, High Strength, For IV Additive Use</t>
  </si>
  <si>
    <t>Dialysis Concentrates and Solutions, Hemo and Peritoneal</t>
  </si>
  <si>
    <t>Diets, Supplements, Powder</t>
  </si>
  <si>
    <t>Diets, Complete, Liquid; and Liquid Food Supplements, Oral and Tube Fed</t>
  </si>
  <si>
    <t>Diets, Liquid, Thickened, Ready to Serve</t>
  </si>
  <si>
    <t>Enteral Administration Systems, Tube Feeding, etc.</t>
  </si>
  <si>
    <t>Extension Sets</t>
  </si>
  <si>
    <t>Feeding Equipment and Accessories, Other Than Tube Feeding</t>
  </si>
  <si>
    <t>Filter Sets and In-Line Filters</t>
  </si>
  <si>
    <t>IV Additive Equipment and Supplies: Bands, Caps, Dispensing Syringes, etc.</t>
  </si>
  <si>
    <t>IV Drop Counters, Flowmeters and Regulators</t>
  </si>
  <si>
    <t>Infusion Solutions, Organ Preservation, Such as Kidneys, etc.</t>
  </si>
  <si>
    <t>Irrigation Solutions and Sets</t>
  </si>
  <si>
    <t>Mannitol Solutions</t>
  </si>
  <si>
    <t>Nutritional Product IV Solutions: Amino Acids, Fat Emulsions, Protein Hydrolysate, etc.</t>
  </si>
  <si>
    <t>Premixed Pharmaceutical Solutions</t>
  </si>
  <si>
    <t>Recycled Pharmaceutical Sets and Supplies</t>
  </si>
  <si>
    <t>Respiratory Therapy Solutions and Sets</t>
  </si>
  <si>
    <t>Sets (For IV Pumps): Peristaltic, Metering, etc.</t>
  </si>
  <si>
    <t>Specialty and Custom-Made Sets and Equipment (Not Otherwise Classified)</t>
  </si>
  <si>
    <t>Specialty Solutions (Not Otherwise Classified)</t>
  </si>
  <si>
    <t>Standard IV and Injectable Solutions: Dextrose, Electrolytes, Ringer's, Saline, etc.</t>
  </si>
  <si>
    <t>EIGHTEENTH (18TH) CENTURY REPRODUCTION GOODS</t>
  </si>
  <si>
    <t>Anvils, 18th Century Reproduction</t>
  </si>
  <si>
    <t>Artillery, 18th Century Reproduction</t>
  </si>
  <si>
    <t>Blanks, Belt, 18th Century Reproduction</t>
  </si>
  <si>
    <t>Buckles, 18th Century Reproduction</t>
  </si>
  <si>
    <t>Clothing, Custom, 18th Century Reproduction</t>
  </si>
  <si>
    <t>Horse Equipage, 18th Century Reproduction</t>
  </si>
  <si>
    <t>Leather Goods, 18th Century Reproduction</t>
  </si>
  <si>
    <t>Leather Work, Custom</t>
  </si>
  <si>
    <t>Miscellaneous 18th Century Reproduction Goods</t>
  </si>
  <si>
    <t>Pottery, 18th Century Reproduction</t>
  </si>
  <si>
    <t>Pots, Iron, 18th Century Reproduction</t>
  </si>
  <si>
    <t>Refurbished 18th Century Reproduction Goods</t>
  </si>
  <si>
    <t>ELECTRICAL CABLE AND WIRE, NOT ELECTRONIC</t>
  </si>
  <si>
    <t>Appliance, Fixture, and Portable Cable and Wire, (Up to 600V: Types S, SJ, SJO, SO, SPT, TF, TFF, etc.</t>
  </si>
  <si>
    <t>Bare Cable and Wire: Type ACSR, Bare Copper, Bare Aluminum, etc.</t>
  </si>
  <si>
    <t>Building Cable and Wire, Single and Multiconductor: Types NM, THWN, TW, THW, THHN, XHHW, RHW, RR, ROMEX, etc.</t>
  </si>
  <si>
    <t>Cable Accessories: Clamps, Clasps, Clips, Closures, Reels, Splices, Wrappings, etc.(Inactive, please see commodity code 285-10 effective January 1, 2016)</t>
  </si>
  <si>
    <t>*Cathodic Cable, Protection</t>
  </si>
  <si>
    <t>*Communication and Telecommunication Cable and Wire, Including Fiber Cable</t>
  </si>
  <si>
    <t>Control Cable and Wire: Solid and Stranded, Single and Multiconductor, Up to 600V, for use in Boiler Controls, Fire Alarms, Motors, etc.</t>
  </si>
  <si>
    <t>Guy Wire and Cable: Guy Strand, SM, HS, EHS, etc.</t>
  </si>
  <si>
    <t>Heating Cable and Wire, Up to 277V: Lead Covered, Neoprene Jacket, etc.</t>
  </si>
  <si>
    <t>High Voltage Cable and Wire, 601-15,000V: Solid and Stranded, Single and Multiconductor</t>
  </si>
  <si>
    <t>Recycled Cable and Wire</t>
  </si>
  <si>
    <t>Submarine Wire and Cable</t>
  </si>
  <si>
    <t>*Telephone Cable and Wire: Single and Multiconductor, Clad Steel and Copper</t>
  </si>
  <si>
    <t>Ties and Anchors, Cable and Wire</t>
  </si>
  <si>
    <t>*Underground Cable and Wire: Solid and Stranded, Single and Multiconductor, Aluminum and Copper: Types UF, URD, USE, XLP, etc.</t>
  </si>
  <si>
    <t>*Weatherproof Cable and Wire: Solid and Stranded, Single and Multiconductor, Aluminum and Copper: Types RR, WP, etc.</t>
  </si>
  <si>
    <t>*Wire and Cable (Not Otherwise Classified)</t>
  </si>
  <si>
    <t>ELECTRICAL EQUIPMENT AND SUPPLIES, EXCEPT CABLE AND WIRE</t>
  </si>
  <si>
    <t>Automated Meter Reading Systems (AMR)</t>
  </si>
  <si>
    <t>Analyzer, Electric Power Demand</t>
  </si>
  <si>
    <t>Arresters, Lightning</t>
  </si>
  <si>
    <t>*Back-up Systems, Battery Operated, Emergency</t>
  </si>
  <si>
    <t>Beacon Light Systems Complete For Buildings, Roadside, etc. (See Class 120 for Marine Beacons)</t>
  </si>
  <si>
    <t>Ballasts, All Kinds</t>
  </si>
  <si>
    <t>Bulb and Fixture, Changer and Remover</t>
  </si>
  <si>
    <t>Bus Bars, Duct, and Accessories</t>
  </si>
  <si>
    <t>Cabinets, Electrical Service Entrance</t>
  </si>
  <si>
    <t>*Cable Accessories: Clamps, Clasps, Clips, Closures, Reels, Splices, Wrappings, etc.</t>
  </si>
  <si>
    <t>Capacitors, Motor Starting and Running</t>
  </si>
  <si>
    <t>Compound, Explosion Proof Sealing</t>
  </si>
  <si>
    <t>Circuit Breakers, Load Centers, Boxes, and Panel Boards</t>
  </si>
  <si>
    <t>Coatings, Protective, Electrical</t>
  </si>
  <si>
    <t>Commutators, Resurfacers, Stone</t>
  </si>
  <si>
    <t>Conduit and Fittings, EMT (Electrical Metallic, Tubing)</t>
  </si>
  <si>
    <t>Conduit and Fittings, IMC (Intermediate Metallic Conduit)</t>
  </si>
  <si>
    <t>Conduit and Fittings, Rigid</t>
  </si>
  <si>
    <t>Conduit and Fittings, Liquidtite</t>
  </si>
  <si>
    <t>Conduit and Fittings, Flexible Metal Conduit</t>
  </si>
  <si>
    <t>Conduit and Fittings, Not Otherwise Classified</t>
  </si>
  <si>
    <t>Conduit Fittings, Steel: Boxes, Bushings, Clamps, Connectors, Covers, Locknuts, Straps, etc.</t>
  </si>
  <si>
    <t>Conduit and Fittings, Brass, Bronze, and Copper</t>
  </si>
  <si>
    <t>Current Collection Equipment and Accessories, Electrical</t>
  </si>
  <si>
    <t>Conduit, Steel</t>
  </si>
  <si>
    <t>Control Devices, Lighting, Including Photocells, Multiple Relays, Lighting Contactors</t>
  </si>
  <si>
    <t>Cutouts, Pole Line Type  (Inactive, please see commodity code 285-74 effective January 1, 2016)</t>
  </si>
  <si>
    <t>Dimmers, Light (See Class 855 for Theatre Dimmers)</t>
  </si>
  <si>
    <t>Dielectric Tools, Tool Handles, Hydraulic Hose and Fittings (High ANSI Rated)</t>
  </si>
  <si>
    <t>Fluorescent Tube Crushers and Disposers</t>
  </si>
  <si>
    <t>Fluorescent and HID Lamp Energy Saving Devices</t>
  </si>
  <si>
    <t>Fog Light Systems, Not Automotive</t>
  </si>
  <si>
    <t>Fuses, Fuse Blocks and Holders, Links, etc.</t>
  </si>
  <si>
    <t>Gaskets, Meter</t>
  </si>
  <si>
    <t>*Gates, Electric, Including Card Readers, etc.</t>
  </si>
  <si>
    <t>Generators, Portable, Engine Driven, Including Fog and Mist Types</t>
  </si>
  <si>
    <t>Generators, Stationary Type, Not Automotive</t>
  </si>
  <si>
    <t>Grounding Rods and Fittings</t>
  </si>
  <si>
    <t>Hose, Protective Line</t>
  </si>
  <si>
    <t>Insulation Materials and Insulators: Compounds, Varnish, etc.</t>
  </si>
  <si>
    <t>Induction Heating Equipment, Including Parts and Accessories</t>
  </si>
  <si>
    <t>*Isolation System, For Computer Center</t>
  </si>
  <si>
    <t>Lamps, Projector</t>
  </si>
  <si>
    <t>Lamps, Construction Equipment, Portable, Shop and Work Site and Miniature</t>
  </si>
  <si>
    <t>Lamps, Decorative, Household (Inactive, please see commodity code 285-48 effective January 1, 2016)</t>
  </si>
  <si>
    <t>Lamps, Desk, Floor, Table, Decorative, Household</t>
  </si>
  <si>
    <t>Lamps, Miscellaneous (Not Otherwise Classified)</t>
  </si>
  <si>
    <t>Lamps, Fluorescent, Incandescent, Mercury Vapor, Quartz, Sodium Vapor. LED and Compact (CFL)</t>
  </si>
  <si>
    <t>Lamps, Scientific Instrument: Microscope, Oscilloscope, etc.</t>
  </si>
  <si>
    <t>Lamps, Portable, Shop, and Work Site (Inactive, please see commodity code 285-46 effective January 1, 2016)</t>
  </si>
  <si>
    <t>Lens and Reflectors, Replacement, Including Holders</t>
  </si>
  <si>
    <t>Lighting Fixtures, Indoor: All Kinds and Parts, Including Lamp Holders and Recycled Types</t>
  </si>
  <si>
    <t>Lighting, Area, Pole or Standard Mounted, Parking Lots, etc.</t>
  </si>
  <si>
    <t>Lighting Fixtures, Outdoor: Floodlights, Spotlights, Yard Lights, and all other Weatherproof Fixtures, Except Streetlights, Including Recycled Types</t>
  </si>
  <si>
    <t>Lighting, Solar Powered</t>
  </si>
  <si>
    <t>Lighting Units, Emergency, Battery Operated; and Batteries</t>
  </si>
  <si>
    <t>Light Meters and Reflectometers, Office Illumination Measurement, Reflectivity, etc., Not Photographic or Lab</t>
  </si>
  <si>
    <t>Locators, Cable</t>
  </si>
  <si>
    <t>Meters, Indicating and Recording of Power Consumption, Hand Held, Voltage, Amperage, etc.</t>
  </si>
  <si>
    <t>Meters, Indicating and Recording, Power line Fluctuations, Voltage or Amperage. Not Hand Tool Type</t>
  </si>
  <si>
    <t>Meters, Hand Held: Voltage, Amperage, Multi-Hand Held, Phase Indicators, etc.  (Inactive, please see commodity code 285-61 effective January 1, 2016)</t>
  </si>
  <si>
    <t>Motor Controllers, Contactors, Push Button Stations, Relays, Safety Switches, Starters, Coils and Brushes</t>
  </si>
  <si>
    <t>Ignition, Starting Aid, High Pressure Sodium, All Types</t>
  </si>
  <si>
    <t>Monitors and Related Equipment, Power Line</t>
  </si>
  <si>
    <t>Power Systems Switchgears and Related Accessories</t>
  </si>
  <si>
    <t>Motors and Parts, Fractional H.P. Electric, Including Remanufactured</t>
  </si>
  <si>
    <t>Misc. Electrical Equipment and Supplies (Not Otherwise Classified)</t>
  </si>
  <si>
    <t>Motors and Parts, Integral H.P., Single Phase, Electric, Including Remanufactured</t>
  </si>
  <si>
    <t>Motors and Parts, Integral H.P., Three Phase, Electric, Including Remanufactured</t>
  </si>
  <si>
    <t>Resistors, Non-Electronic</t>
  </si>
  <si>
    <t>Relays, Non-Electronic</t>
  </si>
  <si>
    <t>*Pole Line Hardware: Anchors, Arms, Bolts, Braces, Brackets, Clevises, Connections, Cutouts, Insulators, Plates, Pole Steps, Racks, Rods, Shackles, Straps, Thimbles, Washers, etc. (See 765-95 for Wire Rope Accessories)</t>
  </si>
  <si>
    <t>Repair Kits (For Contactors)</t>
  </si>
  <si>
    <t>Street and Highway Lighting Luminaires, Accessories and Parts</t>
  </si>
  <si>
    <t>Square Duct and Fittings</t>
  </si>
  <si>
    <t>*Structural Supports and Racks, Mechanical Type: Angles, Braces, Brackets, Channels, Clips, Fittings, Spring-Nuts, etc.</t>
  </si>
  <si>
    <t>Switches, Parts and Accessories, Miscellaneous</t>
  </si>
  <si>
    <t>Street Light Poles and Standards</t>
  </si>
  <si>
    <t>*Tools and Accessories, Electricians' and Lineman's, Including Cable Fault Locators, Cable Pullers, Press Boosters and Heads, Hotsticks, Testing Equip. Wire Crimping Tools, etc., (See 285-30 for Dielectric Tools)</t>
  </si>
  <si>
    <t>Transformer Equipment, Type 1 KVA and less  (Inactive, please see commodity code 285-86 effective January 1, 2016)</t>
  </si>
  <si>
    <t>Towers, Light</t>
  </si>
  <si>
    <t>Transformers, Transmission Line Type  (Inactive, please see commodity code 285-86 effective January 1, 2016)</t>
  </si>
  <si>
    <t>Transformers, Dry Type, For Indoor or Outdoor Applications  (Inactive, please see commodity code 285-86 effective January 1, 2016)</t>
  </si>
  <si>
    <t>Transformers, Power Distribution, Including Fluid Filled, Pad and Pole Mount</t>
  </si>
  <si>
    <t>Transformers, Power, Electric Sub-Station (Inactive, please see commodity code 285-86 effective January 1, 2016)</t>
  </si>
  <si>
    <t>Tube Guard and Safety Sleeves, For Fluorescent Fixtures (Inactive, please see commodity code 285-54 effective January 1, 2016)</t>
  </si>
  <si>
    <t>Unilets</t>
  </si>
  <si>
    <t>Voltage Line Thermostats, Inverters, Converters, Spike and Surge Controllers</t>
  </si>
  <si>
    <t>Valves, Electro Pneumatic</t>
  </si>
  <si>
    <t>*Wire and Cable Markers and Marker Ties</t>
  </si>
  <si>
    <t>Wire Molding, Raceways, Accessories, and Fittings</t>
  </si>
  <si>
    <t>Voltage Regulators</t>
  </si>
  <si>
    <t>Wiring Devices: Adapters, Caps, Connectors, Extension Cords, Fluorescent and HP Starters, Outlets, Plates and Covers, Plugs, Receptacles, Safety Cord Lock, Switches, Terminals, etc. (Incl. Recycled Electrical Products, Supplies)</t>
  </si>
  <si>
    <t>*Uninterruptible Power Supplies (Inactive, please see commodity code 207-67 effective January 1, 2016)</t>
  </si>
  <si>
    <t>ELECTRONIC EQUIPMENT, COMPONENTS, PARTS, AND ACCESSORIES (SEE CLASS 730 FOR TESTING OR ANALYZING TYPE)</t>
  </si>
  <si>
    <t>Amplifiers and Preamplifiers, Digital and Analog, Not for Sound Systems or TV Antennas</t>
  </si>
  <si>
    <t>*Batteries and Hardware For Electronic Equipment, Including Recycled Types</t>
  </si>
  <si>
    <t>Chemicals for Electronics Use: Antistatic, Cleaning, Degreasing, Etching, Metal Stripping, Solvent, etc.</t>
  </si>
  <si>
    <t>Circuit Boards: Modular, Printed (PCB), and Proto</t>
  </si>
  <si>
    <t>Circuit Board Production Equipment, Etching, Cleaning, Drilling, etc.</t>
  </si>
  <si>
    <t>*Circuit Cards</t>
  </si>
  <si>
    <t>Custom Electronics, Integrated Solutions for Residential and Commercial Building Controls</t>
  </si>
  <si>
    <t>Detectors (Electron, Photon) and Detector Arrays</t>
  </si>
  <si>
    <t>Metal Items: Boxes, Cabinets, Chassis, Panels, Racks, etc.</t>
  </si>
  <si>
    <t>*Microprocessors and Core Processors, CPU Chips, etc.</t>
  </si>
  <si>
    <t>*Microwave Equipment and Accessories: Band Pass Filters, Coaxial Attenuators, Couplers, Switchers, Tellurometers, Tuners, Wave Guides, Not Communication Type</t>
  </si>
  <si>
    <t>*Power Supplies, Computer Room</t>
  </si>
  <si>
    <t>*Power Supplies, Not Computer Room</t>
  </si>
  <si>
    <t>Protective Devices, Electronic, Anti-Static, Wrist and Ankle Bands, Work Mats, etc. for the Protection of Electronic Equipment</t>
  </si>
  <si>
    <t>*Electronic Tablets and Reading Devices, Kindle, Nook, etc.</t>
  </si>
  <si>
    <t>Recycled Electronic Components, Accessories and Supplies</t>
  </si>
  <si>
    <t>Repair Equipment, Electronic: Cleaning, Desoldering, Soldering, etc.</t>
  </si>
  <si>
    <t>Replacement and Component Parts: Capacitors, Chokes, Coils, Panel Meters, Potentiometers, Relays, Resistors, Solenoids, Transistors, Transformers, etc.</t>
  </si>
  <si>
    <t>*Semiconductors, Parts, and Accessories</t>
  </si>
  <si>
    <t>*Shelf Hardware, Electronic: Adapters, Clips, Connectors, Dielectrics, Jacks, Lugs, Plugs, Sockets, Solder, Switches, Terminals, etc.</t>
  </si>
  <si>
    <t>Teaching and Demonstration Units: Electronic Kits, etc.</t>
  </si>
  <si>
    <t>Testing Equipment and Systems, Electronic Meter</t>
  </si>
  <si>
    <t>*Transmitters, Emergency Alarm Type, Including Equipment Operation Status Reporting</t>
  </si>
  <si>
    <t>Tubes, Electron Multiplier and Photomultiplier, Including Part and Accessories</t>
  </si>
  <si>
    <t>Tubes, Electronic: Cathode Ray, Power, Receiving, Thyratron, Transmitting, etc.</t>
  </si>
  <si>
    <t>*Wire and Cable, Electronic: Audio, Coaxial, Hook-Up, Lead-In, etc.</t>
  </si>
  <si>
    <t>ENERGY COLLECTING EQUIPMENT AND ACCESSORIES: SOLAR AND WIND</t>
  </si>
  <si>
    <t>Cells, Solar, Photovoltaic Cells, Unmounted</t>
  </si>
  <si>
    <t>Recycled Energy Collection Equipment and Supplies</t>
  </si>
  <si>
    <t>Solar Air Conditioning Systems and Accessories: Absorption Type, etc.</t>
  </si>
  <si>
    <t>Solar Space Heating Systems and Accessories</t>
  </si>
  <si>
    <t>Solar Heat Collector Systems and Accessories</t>
  </si>
  <si>
    <t>Solar Heat Collector Tracking Systems and Accessories</t>
  </si>
  <si>
    <t>Solar Heat Collectors, Concentrating Type</t>
  </si>
  <si>
    <t>Solar Heat Collectors, Evacuated Tube Type</t>
  </si>
  <si>
    <t>Solar Heat Collectors, Flat Plate Type</t>
  </si>
  <si>
    <t>Solar Powered Electrical Systems, Battery Charging, etc.</t>
  </si>
  <si>
    <t>Solar Energy Systems, Complete</t>
  </si>
  <si>
    <t>Solar Radiant Flux Measuring Instruments (See also 220-33)</t>
  </si>
  <si>
    <t>Solar Water Heating Systems and Accessories</t>
  </si>
  <si>
    <t>Wind Electrical Generating Systems and Accessories</t>
  </si>
  <si>
    <t>ELEVATORS, ESCALATORS, AND MOVING WALKS, BUILDING TYPE</t>
  </si>
  <si>
    <t>Elevators, Dumbwaiter</t>
  </si>
  <si>
    <t>Escalators</t>
  </si>
  <si>
    <t>Elevators, Freight</t>
  </si>
  <si>
    <t>Monitors, Elevator and Escalator</t>
  </si>
  <si>
    <t>Moving Walks and Parts</t>
  </si>
  <si>
    <t>Elevators, Passenger</t>
  </si>
  <si>
    <t>Recycled Elevator Equipment, Accessories and Supplies</t>
  </si>
  <si>
    <t>ENGINEERING AND ARCHITECTURAL EQUIPMENT, SURVEYING EQUIPMENT, DRAWING INSTRUMENTS, AND SUPPLIES</t>
  </si>
  <si>
    <t>Blades, Gouges, Knives, Needle Files, Routers, etc.</t>
  </si>
  <si>
    <t>Calculators, Programmed for Surveying Systems, See Class 600 For Office Type)</t>
  </si>
  <si>
    <t>Cloths, Films, and Papers, Special: Cross-Section, Graph, Log, Profile, Tracing, etc. (Inactive, please see commodity code 305-10 effective January 1, 2016)</t>
  </si>
  <si>
    <t>Cloths, Films, and Papers: Cross-Section, Graph, Log, Profile, Tracing, etc.</t>
  </si>
  <si>
    <t>Cloths, Films, and Papers, Reproduction Types</t>
  </si>
  <si>
    <t>Covers, Drafting and Drawing Boards</t>
  </si>
  <si>
    <t>Data Books and Tables, Engineering and Surveying</t>
  </si>
  <si>
    <t>*Direct Print Supplies, Dry Process</t>
  </si>
  <si>
    <t>Direct Print Supplies, Wet Process</t>
  </si>
  <si>
    <t>Distance Measuring Equipment, Including Measuring Wheels (Inactive, please see commodity code 305-60 effective January 1, 2016)</t>
  </si>
  <si>
    <t>Drafting and Drawing Instruments (See 204-71 for Graphic Plotters and 305-75 for Straightedges)</t>
  </si>
  <si>
    <t>Drafting/Technical Pens, Pencils, Sets, Refills and Parts (Inactive, please see commodity code 305-28 effective January 1, 2016)</t>
  </si>
  <si>
    <t>Drafting Machines and Scales</t>
  </si>
  <si>
    <t>Drafting Supplies: Brushes, Dust and Wash, Cleaning Pads and Power, Paper Shears, Paper Weights, Steel Erasers, Transparent Protective Film and Tape, etc.</t>
  </si>
  <si>
    <t>Drawing Boards, Curves, Protractors, Templates, Triangles, T-Squares, etc.  (Inactive, please see commodity code 305-28 effective January 1, 2016)</t>
  </si>
  <si>
    <t>Drafting Paper  (Inactive, please see commodity code 305-28 effective January 1, 2016)</t>
  </si>
  <si>
    <t>Duplicator Paper: Blue Print, Brown Print, and White Print</t>
  </si>
  <si>
    <t>Duplicator Paper, Chemicals, and Supplies, Diazo Process Copying Machines, (See Class 015 for Coated/Treated Paper Type, Diffusion Transfer Type, Dual Spectrum Process and Thermal Process Copiers)</t>
  </si>
  <si>
    <t>Duplicators: Blue Print, Brown Print, Diazo Process, White Print, etc.</t>
  </si>
  <si>
    <t>Engineering Supplies, Miscellaneous</t>
  </si>
  <si>
    <t>Erasers and Erasing Machines, Electric</t>
  </si>
  <si>
    <t>Field Books, Engineers'  (Inactive, please see commodity code 305-18 effective January 1, 2016)</t>
  </si>
  <si>
    <t>Field Equipment: Arrows, Bush Knives, Flags and Flagging, Hand Levels, Leveling Rods, Machetes, Plumb Bobs, Pocket Transits, Range Poles, etc.</t>
  </si>
  <si>
    <t>Graphic Art Type Supplies</t>
  </si>
  <si>
    <t>Lettering Equipment, Automatic Letter or Character Generating Devices</t>
  </si>
  <si>
    <t>Lettering Equipment, Hand Manipulated: Guides, Pens, Sets, etc.</t>
  </si>
  <si>
    <t>Magnifying Glasses, Angle Mirrors, Prisms, Stereoscopes, etc.</t>
  </si>
  <si>
    <t>*Maps, Engineer and Topographical</t>
  </si>
  <si>
    <t>*Measuring Equipment: Chains, Maps, Optical Tapes, Tapes, Wheels, etc., Including Photogrammetry and Laser Equipment</t>
  </si>
  <si>
    <t>Measuring Equipment, Area, Large Scale (Inactive, please see commodity code 305-60 effective January 1, 2016)</t>
  </si>
  <si>
    <t>Opaquing and Transparentizing Liquids, Erasing Fluids, and Pastes</t>
  </si>
  <si>
    <t>Planimeters  (AKA Platometer)</t>
  </si>
  <si>
    <t>Recycled Engineering Equipment, Accessories and Supplies</t>
  </si>
  <si>
    <t>Signage and Logos, Architectural, Glass, Photographic, Stone, Tile</t>
  </si>
  <si>
    <t>Slide Rules</t>
  </si>
  <si>
    <t>Straightedge Tool</t>
  </si>
  <si>
    <t>Surveying Instruments and Accessories: Alidades, Compasses, Levels, Theodolites, Transits, Tripods, etc. (See 305-60 for Surveyor's Measuring Equipment)</t>
  </si>
  <si>
    <t>*Surveying Systems, GPS</t>
  </si>
  <si>
    <t>Tables, Tracing and Light</t>
  </si>
  <si>
    <t>Technical Pens and Sets, Points and Refills, etc.  (Inactive, please see commodity code 305-30 effective January 1, 2016)</t>
  </si>
  <si>
    <t>ENGINEERING AND ARCHITECTURAL EQUIPMENT, SURVEYING EQUIPMENT, DRAWING INSTRUMENTS, AND SUPPLIES, ENVIRONMENTALLY CERTIFIED BY AN AGENCY ACCEPTED CERTIFICATION ENTITY</t>
  </si>
  <si>
    <t>Blades, Gouges, Knives, Needle Files, Routers, etc., Environmentally Certified Products</t>
  </si>
  <si>
    <t>Calculators, Programmed for Surveying Systems, (See Class 600 For Office Type), Environmentally Certified Products</t>
  </si>
  <si>
    <t>Cloths, Films, and Papers, Special: Cross-Section, Graph, Log, Profile, Tracing, etc., Environmentally Certified Products</t>
  </si>
  <si>
    <t>Cloths, Films, and Papers, Stock: Cross-Section, Graph, Log, Profile, Tracing, etc., Environmentally Certified Products</t>
  </si>
  <si>
    <t>Cloths, Films, and Papers, Reproduction Types, Environmentally Certified Products</t>
  </si>
  <si>
    <t>Covers, Drafting and Drawing Boards, Environmentally Certified Products</t>
  </si>
  <si>
    <t>Data Books and Tables, Engineering and Surveying, Environmentally Certified Products</t>
  </si>
  <si>
    <t>Direct Print Supplies, Dry Process, Environmentally Certified Products</t>
  </si>
  <si>
    <t>Direct Print Supplies, Wet Process, Environmentally Certified Products</t>
  </si>
  <si>
    <t>Distance Measuring Equipment, Including Measuring Wheels, Environmentally Certified Products</t>
  </si>
  <si>
    <t>Drafting and Drawing Instruments (See 204-71 for Graphic Plotters and 305-75 for Straightedges), Environmentally Certified Products</t>
  </si>
  <si>
    <t>Drafting and Drawing Pencils, Pens, Leads, Lead Holders, etc., Environmentally Certified Products</t>
  </si>
  <si>
    <t>Drafting Machines and Scales, Environmentally Certified Products</t>
  </si>
  <si>
    <t>Drafting Supplies: Brushes, Dust and Was), Cleaning Pads and Power, Paper Shears, Paper Weights, Steel Erasers, Transparent Protective Film and Tape, etc., Environmentally Certified Products</t>
  </si>
  <si>
    <t>Drawing Boards, Curves, Protractors, Templates, Triangles, T-Squares, etc., Environmentally Certified Products</t>
  </si>
  <si>
    <t>Drafting Paper, Environmentally Certified Products</t>
  </si>
  <si>
    <t>Duplicator Paper: Blue Print, Brown Print, and White Print, Environmentally Certified Products</t>
  </si>
  <si>
    <t>Duplicator Paper, Chemicals, and Supplies, Diazo Process Copying Machines, (See Class 015 for Coated and Treated Paper Type, Diffusion Transfer Type, Dual Spectrum Process and Thermal Process Copiers), Environmentally Certified Products</t>
  </si>
  <si>
    <t>Duplicators: Blue Print, Brown Print, Diazo Process, White Print, etc., Environmentally Certified Products</t>
  </si>
  <si>
    <t>Engineering Supplies, Miscellaneous, Environmentally Certified Products</t>
  </si>
  <si>
    <t>Erasers and Erasing Machines, Electric, Environmentally Certified Products</t>
  </si>
  <si>
    <t>Field Books, Engineers', Environmentally Certified Products</t>
  </si>
  <si>
    <t>Field Equipment: Arrows, Bush Knives, Flags and Flagging, Hand Levels, Leveling Rods, Machetes, Plumb Bobs, Pocket Transits, Range Poles, etc., Environmentally Certified Products</t>
  </si>
  <si>
    <t>Graphic Art Type Supplies, Environmentally Certified Products</t>
  </si>
  <si>
    <t>Lettering Equipment, Automatic Letter or Character Generating Devices, Environmentally Certified Products</t>
  </si>
  <si>
    <t>Lettering Equipment, Hand Manipulated: Guides, Pens, Sets, etc., Environmentally Certified Products</t>
  </si>
  <si>
    <t>Magnifying Glasses, Angle Mirrors, Prisms, Stereoscopes, etc., Environmentally Certified Products</t>
  </si>
  <si>
    <t>*Maps, Engineer and Topographical, Environmentally Certified Products</t>
  </si>
  <si>
    <t>*Measuring Equipment: Chains, Maps, Optical Tapes, Tapes, Wheels, etc., Including Photogrammetry and Laser Equipment), Environmentally Certified Products</t>
  </si>
  <si>
    <t>Measuring Equipment, Area, Large Scale, Environmentally Certified Products</t>
  </si>
  <si>
    <t>Opaquing and Transparentizing Liquids, Erasing Fluids, and Pastes, Environmentally Certified Products</t>
  </si>
  <si>
    <t>Planimeters, Environmentally Certified Products</t>
  </si>
  <si>
    <t>Recycled Engineering Equipment, Accessories and Supplies, Environmentally Certified Products</t>
  </si>
  <si>
    <t>Signage and Logos, Architectural, Glass, Photographic, Stone, Tile, Environmentally Certified Products</t>
  </si>
  <si>
    <t>Slide Rules, Environmentally Certified Products</t>
  </si>
  <si>
    <t>Straightedges, Environmentally Certified Products</t>
  </si>
  <si>
    <t>Surveying Instruments and Accessories: Alidades, Compasses, Levels, Theodolites, Transits, Tripods, etc. (See 305-60 for Surveyor's Measuring Equipment), Environmentally Certified Products</t>
  </si>
  <si>
    <t>Surveying Systems, Geo Satellite Navigation Type, Environmentally Certified Products</t>
  </si>
  <si>
    <t>Tables, Tracing and Light, Environmentally Certified Products</t>
  </si>
  <si>
    <t>Technical Pens and Sets, Points and Refills, etc., Environmentally Certified Products</t>
  </si>
  <si>
    <t>ENVELOPES, PLAIN (SEE CLASSES 525, 615, 640, 655, 665, AND 966 FOR OTHER TYPES)</t>
  </si>
  <si>
    <t>Envelopes: Clasp, String, etc.</t>
  </si>
  <si>
    <t>Envelopes, Plain, Special, Colored wove, White wove</t>
  </si>
  <si>
    <t>Envelopes, Plain, Stock Sizes</t>
  </si>
  <si>
    <t>Envelopes, Plastic and Poly.</t>
  </si>
  <si>
    <t>Envelopes, Recycled Paper</t>
  </si>
  <si>
    <t>Envelopes: Seed, Metal or Plastic Closure</t>
  </si>
  <si>
    <t>Envelopes, Shipping and Mailing</t>
  </si>
  <si>
    <t>Envelopes, X-Ray Film Filing</t>
  </si>
  <si>
    <t>ENVIRONMENTAL PROTECTIVE EQUIPMENT, INSIDE AND OUTSIDE</t>
  </si>
  <si>
    <t>Air Filtration Equipment for Aircraft, Boat and Ship, Cargo Containers and Vehicles</t>
  </si>
  <si>
    <t>Air Filtration Equipment for Soft and Hard Shelters</t>
  </si>
  <si>
    <t>Environmental Control Systems, Aircraft</t>
  </si>
  <si>
    <t>Environmental Control Systems for Automobiles, Emergency Vehicles, Trucks</t>
  </si>
  <si>
    <t>Environmental Control Systems for Boats, Ships, Marine</t>
  </si>
  <si>
    <t>Environmental Control Systems for Cargo Containers, etc.</t>
  </si>
  <si>
    <t>Environmental Control Systems, Spacecraft</t>
  </si>
  <si>
    <t>Environmental Remote Control Systems</t>
  </si>
  <si>
    <t>Environmental Test Chambers and Rooms, Controlled Temperature, Humidity, etc.</t>
  </si>
  <si>
    <t>Tent Systems, Field, Ground Zero Environment</t>
  </si>
  <si>
    <t>Tent Units, Contaminated Patient Isolation, Negative Pressure</t>
  </si>
  <si>
    <t>EPOXY BASED FORMULATIONS FOR ADHESIVES, COATINGS, AND RELATED AGENTS</t>
  </si>
  <si>
    <t>Adhesives, For Concrete: Cured-to-Cured, Fresh-to-Cured, and Steel-to-Concrete</t>
  </si>
  <si>
    <t>Adhesive, General Purpose</t>
  </si>
  <si>
    <t>Casting, Encapsulating, and Potting Systems</t>
  </si>
  <si>
    <t>Coatings, Protective, For Masonry Including Concrete Floor)</t>
  </si>
  <si>
    <t>Coatings, Protective, For Metal</t>
  </si>
  <si>
    <t>Coatings, Protective, For Wood</t>
  </si>
  <si>
    <t>Coatings, Special, Abrasion and Chemical Resistant</t>
  </si>
  <si>
    <t>Hardening Agents: Amines, Anhydrides, Polyamide Solutions, etc.</t>
  </si>
  <si>
    <t>Mortars</t>
  </si>
  <si>
    <t>Recycled Epoxy Based Formulations</t>
  </si>
  <si>
    <t>Resins, Epoxy Only</t>
  </si>
  <si>
    <t>FARE COLLECTION EQUIPMENT AND SUPPLIES</t>
  </si>
  <si>
    <t>Encoding Equipment</t>
  </si>
  <si>
    <t>Fare Box</t>
  </si>
  <si>
    <t>Fare Box Vault</t>
  </si>
  <si>
    <t>Locks and Keys</t>
  </si>
  <si>
    <t>Money Changers</t>
  </si>
  <si>
    <t>Portable Safe and Money Cart</t>
  </si>
  <si>
    <t>Receiver Bin and Terminal</t>
  </si>
  <si>
    <t>Recycled Fare Collection Equipment and Supplies</t>
  </si>
  <si>
    <t>Testing and Verifying Equipment</t>
  </si>
  <si>
    <t>Tickets, Non-Magnetic</t>
  </si>
  <si>
    <t>Tickets, Pre-Encoded</t>
  </si>
  <si>
    <t>Tickets, Not Encoded</t>
  </si>
  <si>
    <t>Ticket Vending Machine</t>
  </si>
  <si>
    <t>Tokens</t>
  </si>
  <si>
    <t>Transfer Machines</t>
  </si>
  <si>
    <t>Turnstiles</t>
  </si>
  <si>
    <t>FASTENERS: BOLTS, NUTS, PINS, RIVETS, SCREWS, ETC., INCLUDING PACKAGING, STRAPPING AND TYING EQUIPMENT AND SUPPLIES</t>
  </si>
  <si>
    <t>Anchors, Expansion Shields, Molly Bolts, Plugs, Toggle Bolts, U-Bolts, etc.</t>
  </si>
  <si>
    <t>Bolts, Steel</t>
  </si>
  <si>
    <t>Bolts, Metal or Other Material, Not Steel</t>
  </si>
  <si>
    <t>Box Stitching Machines, Wire, and Parts</t>
  </si>
  <si>
    <t>Cotter Pins, Clevis Pins, Dowel Pins, Spring Pins, Taper Pins, and Woodruff Keys and Snaps</t>
  </si>
  <si>
    <t>Fasteners (Not Otherwise Classified)</t>
  </si>
  <si>
    <t>Grommets (See 590-16 for Sewing Type)</t>
  </si>
  <si>
    <t>Mono-Bolts, Power Locking</t>
  </si>
  <si>
    <t>Nuts, Steel, Including Nutserts</t>
  </si>
  <si>
    <t>Nuts, Metal or Other Material, Not Steel</t>
  </si>
  <si>
    <t>Package Tying Machines and Parts</t>
  </si>
  <si>
    <t>Powder Actuated, Explosive Tools and Supplies</t>
  </si>
  <si>
    <t>Recycled Fastening, Packaging, Strapping and Tying Equipment and Supplies</t>
  </si>
  <si>
    <t>Retainers and Keepers</t>
  </si>
  <si>
    <t>Rings, Retaining</t>
  </si>
  <si>
    <t>Rivets, All Types, Except Brake Lining Rivets</t>
  </si>
  <si>
    <t>Rivet Guns</t>
  </si>
  <si>
    <t>Screws, All Kinds (Not Otherwise Classified)</t>
  </si>
  <si>
    <t>Screws, Cap</t>
  </si>
  <si>
    <t>Screws: Coach, Drywall, Eye, Lag, Phillips, Set, Thumb, etc.</t>
  </si>
  <si>
    <t>Screws, Machine</t>
  </si>
  <si>
    <t>Screws, Sheet Metal</t>
  </si>
  <si>
    <t>Screws, Wood</t>
  </si>
  <si>
    <t>Strapping, Seals, Banding and Tools and Equipment</t>
  </si>
  <si>
    <t>Threaded Rods, Studs, and Fittings</t>
  </si>
  <si>
    <t>Ties: Bar, Form, etc.</t>
  </si>
  <si>
    <t>Washers, Steel</t>
  </si>
  <si>
    <t>Washers, Metal or Other Material, Not Steel</t>
  </si>
  <si>
    <t>FEED, BEDDING, VITAMINS AND SUPPLEMENTS FOR ANIMALS (SEE CLASS 875 FOR DRUGS AND PHARMACEUTICALS FOR ANIMALS)</t>
  </si>
  <si>
    <t>Animal By-Products</t>
  </si>
  <si>
    <t>Animal Food for Zoo and Farm Animals</t>
  </si>
  <si>
    <t>Bedding, All Types</t>
  </si>
  <si>
    <t>Bird Food, All Types</t>
  </si>
  <si>
    <t>Calcium Carbonate</t>
  </si>
  <si>
    <t>Citrus Pulp, Dried</t>
  </si>
  <si>
    <t>Cottonseed Products</t>
  </si>
  <si>
    <t>Dehydrated Feed</t>
  </si>
  <si>
    <t>Distiller's Dried Solubles</t>
  </si>
  <si>
    <t>Dog and Cat Food</t>
  </si>
  <si>
    <t>Fat, Feed Grade</t>
  </si>
  <si>
    <t>Feeders, All Types, Birds, Pets, Squirrels, etc.</t>
  </si>
  <si>
    <t>Fish Food, Including Live</t>
  </si>
  <si>
    <t>Grain, Chopped or Whole, Unmixed</t>
  </si>
  <si>
    <t>Guar Products</t>
  </si>
  <si>
    <t>Hay and Straw</t>
  </si>
  <si>
    <t>Marine Products</t>
  </si>
  <si>
    <t>Milk Products</t>
  </si>
  <si>
    <t>Mixed Feed, All Types, Including Feed for Poultry, Deer, etc.</t>
  </si>
  <si>
    <t>Molasses, Stock Feed</t>
  </si>
  <si>
    <t>Peanut Products</t>
  </si>
  <si>
    <t>Phosphate, Defluorinated</t>
  </si>
  <si>
    <t>Potassium Carbonate, Feed Grade</t>
  </si>
  <si>
    <t>Rations, Small Animal</t>
  </si>
  <si>
    <t>Recycled Feed, Bedding, Vitamins and Supplements for Animals</t>
  </si>
  <si>
    <t>Reptile Food, Including Live</t>
  </si>
  <si>
    <t>Rice Products</t>
  </si>
  <si>
    <t>Shell, Ground</t>
  </si>
  <si>
    <t>Soybean Products</t>
  </si>
  <si>
    <t>Supplement, Feed, Dry</t>
  </si>
  <si>
    <t>Supplement, Liquid Feed</t>
  </si>
  <si>
    <t>Urea, Feed Grade</t>
  </si>
  <si>
    <t>Vitamins and Supplements</t>
  </si>
  <si>
    <t>FENCING</t>
  </si>
  <si>
    <t>Fencing, Adobe, Cinderblock and Sand</t>
  </si>
  <si>
    <t>Fencing, Concrete or Rock</t>
  </si>
  <si>
    <t>Fencing, Chain Link, Including Fabric, Gates, Panels, Posts and Fittings</t>
  </si>
  <si>
    <t>Fencing, Electrified</t>
  </si>
  <si>
    <t>Fencing, Wrought Iron, Including Components</t>
  </si>
  <si>
    <t>Fencing, Metal Slat and Tubular, Including Components</t>
  </si>
  <si>
    <t>Fencing, Plastic, Polyethelene, and Composite Materials</t>
  </si>
  <si>
    <t>Fencing, Ornamental</t>
  </si>
  <si>
    <t>Fencing, Snow</t>
  </si>
  <si>
    <t>Fencing, Split Rail</t>
  </si>
  <si>
    <t>Fencing, Temporary Construction and Other Industrial or Safety Uses</t>
  </si>
  <si>
    <t>Fencing, Wire</t>
  </si>
  <si>
    <t>Fencing, Wood, Including Components</t>
  </si>
  <si>
    <t>Windscreens and Accessories for Fencing</t>
  </si>
  <si>
    <t>Wire, Barbed</t>
  </si>
  <si>
    <t>Wire, Obstacle: Concertina, Including Razor Ribbon and Barbed Tape</t>
  </si>
  <si>
    <t>Wire, Plain</t>
  </si>
  <si>
    <t>Wire, Woven</t>
  </si>
  <si>
    <t>Recycled Fencing and Supplies</t>
  </si>
  <si>
    <t>FERTILIZERS AND SOIL CONDITIONERS</t>
  </si>
  <si>
    <t>Additives and Supplements, Fertilizer</t>
  </si>
  <si>
    <t>Fertilizer, Ammonium Nitrate</t>
  </si>
  <si>
    <t>Fertilizer, Ammonium Phosphate</t>
  </si>
  <si>
    <t>Fertilizer, Ammonium Sulfate</t>
  </si>
  <si>
    <t>Fertilizer, Anhydrous Ammonia</t>
  </si>
  <si>
    <t>Fertilizer, Animal and Marine Content</t>
  </si>
  <si>
    <t>Fertilizer, Blended or Dry Mix, Commercial</t>
  </si>
  <si>
    <t>Soil Conditioner, Chemical Root Stimulators</t>
  </si>
  <si>
    <t>Fertilizer, Ferrous Sulfate and Chelates of Iron and Zinc</t>
  </si>
  <si>
    <t>Fertilizer, Combined with Fungicide and/or Insecticide</t>
  </si>
  <si>
    <t>Fertilizer, Tree and Shrub, Spikes, Tablets, etc.</t>
  </si>
  <si>
    <t>Fertilizer, Liquid, All Types, Except Anhydrous Ammonia</t>
  </si>
  <si>
    <t>Fertilizer, Formulations and Components, (Not Otherwise Classified)</t>
  </si>
  <si>
    <t>Fertilizer, Granulated or Pelletized, Commercial</t>
  </si>
  <si>
    <t>Hydromulch</t>
  </si>
  <si>
    <t>Limestone, Agricultural</t>
  </si>
  <si>
    <t>Muriate of Potash, Potassium Chloride)</t>
  </si>
  <si>
    <t>Organic Base, Including Manure and Guano</t>
  </si>
  <si>
    <t>Phosphate, Agricultural, Including Triple Superphosphate</t>
  </si>
  <si>
    <t>Recycled Fertilizer and Soil Conditioners</t>
  </si>
  <si>
    <t>Soil Conditioners: Compost, Marine Humus, Sulfur, Synthetic Polymers, Mulch, etc.</t>
  </si>
  <si>
    <t>Soil Stabilizers and Penetrants: Liquid and Solid</t>
  </si>
  <si>
    <t>Urea, Fertilizer Grade</t>
  </si>
  <si>
    <t>Wetting Agents</t>
  </si>
  <si>
    <t>FIRE PROTECTION EQUIPMENT AND SUPPLIES</t>
  </si>
  <si>
    <t>Backfiring and Burning Equipment: Firing Torches, Flame Guns, etc.</t>
  </si>
  <si>
    <t>Brackets, Clamps and Holders For Fire Fighting Equipment</t>
  </si>
  <si>
    <t>Breathing Equipment for Firemen, Including Mobile Air Filler Stations</t>
  </si>
  <si>
    <t>Cabinets and Covers, For Fire Extinguishers, Fire Hose and Racks, Valves, etc.</t>
  </si>
  <si>
    <t>Chemicals, Fire Retardant, Used to Make Various Materials Fire Retardant</t>
  </si>
  <si>
    <t>Couplings, Fire Hose</t>
  </si>
  <si>
    <t>Ejectors, Smoke</t>
  </si>
  <si>
    <t>Fire and Medical Alert Systems</t>
  </si>
  <si>
    <t>Fire Alarm Systems, Power Sirens, and Controls</t>
  </si>
  <si>
    <t>Fire Blankets</t>
  </si>
  <si>
    <t>Fire Detecting Equipment</t>
  </si>
  <si>
    <t>Fire Emergency Access and Rapid Entry Equipment</t>
  </si>
  <si>
    <t>Fire Escapes and Fire Exit Devices</t>
  </si>
  <si>
    <t>Fire Extinguishers, Rechargers, and Parts</t>
  </si>
  <si>
    <t>Fire Extinguisher Systems, Complete, All Types (See Item 28 for Individual Extinguishers)</t>
  </si>
  <si>
    <t>Fire Hose Carts, Dryers, Racks, Reels, Rollers, and Winders, etc.</t>
  </si>
  <si>
    <t>Fire Protection Clothing: Turnout Coats, Bunker Pants, Hoods, Gloves, etc., (See 345-56 for Fire Helmets)</t>
  </si>
  <si>
    <t>Fire Pump, Back Carrying Type</t>
  </si>
  <si>
    <t>Fire-Stop Equipment, Materials, Including Parts and Accessories</t>
  </si>
  <si>
    <t>Fire Suppression Hand Tools: Fire Axe, Fire Rack, Fire Swatter, etc.</t>
  </si>
  <si>
    <t>Fire Suppression Foam and Other Suppression Compounds</t>
  </si>
  <si>
    <t>Fire Finder, Forest</t>
  </si>
  <si>
    <t>Fireman Training and Instructional Aids and Materials</t>
  </si>
  <si>
    <t>Flail Trencher</t>
  </si>
  <si>
    <t>Foam Dispensing Equipment, Compressed Air, For Fires</t>
  </si>
  <si>
    <t>Foam Generators, Truck or Trailer Mounted</t>
  </si>
  <si>
    <t>Fusible Links, For Fire Doors</t>
  </si>
  <si>
    <t>Gas Detection and Monitoring Equipment, Firemen</t>
  </si>
  <si>
    <t>Hose, Fire, and Fittings, Coupled and Uncoupled (See 340-12 for Couplings)</t>
  </si>
  <si>
    <t>Hydrants, Fire, Including Parts and Accessories</t>
  </si>
  <si>
    <t>Ladders, Fire</t>
  </si>
  <si>
    <t>Lockers, Turnout Gear</t>
  </si>
  <si>
    <t>Nozzles and Parts, Fire Hose</t>
  </si>
  <si>
    <t>Poles and Stanchions</t>
  </si>
  <si>
    <t>Refurbished Fire Protection Equipment and Supplies</t>
  </si>
  <si>
    <t>Rescue Equipment, Supplies and Accessories Including Confined Space Hard Line Communications Systems, Rescue Nets, Power Extractors (Jaws of Life), Rope and Life Harnesses, etc.</t>
  </si>
  <si>
    <t>Smoke Bombs and Candles, Forestry</t>
  </si>
  <si>
    <t>Smoke Detecting Equipment, Including Smoke Alarms</t>
  </si>
  <si>
    <t>Sprinkler Heads and Systems</t>
  </si>
  <si>
    <t>Swivels and Swivel Joints</t>
  </si>
  <si>
    <t>Training Equipment and Supplies, Fire and Safety</t>
  </si>
  <si>
    <t>Valves, Fire Hose</t>
  </si>
  <si>
    <t>Vise, Fire Extinguisher, Pneumatic Belt</t>
  </si>
  <si>
    <t>Washing Equipment for Face Masks, etc.</t>
  </si>
  <si>
    <t>Water Clean-up Vacuums</t>
  </si>
  <si>
    <t>FIRST AID AND SAFETY EQUIPMENT AND SUPPLIES, EXCEPT NUCLEAR AND WELDING</t>
  </si>
  <si>
    <t>Air Bags, Rescue Lifting Systems</t>
  </si>
  <si>
    <t>Asbestos Abatement Equipment and Supplies</t>
  </si>
  <si>
    <t>Chemical Light, Emergency</t>
  </si>
  <si>
    <t>Clothing and Belts, Safety, Not Automotive, (See 345-79 for Reflective Type)</t>
  </si>
  <si>
    <t>C.P.R. Equipment and Supplies (See 345-68 For Models)</t>
  </si>
  <si>
    <t>Detectors and Parts, Dust, Gas, Voltage</t>
  </si>
  <si>
    <t>Emergency Showers and Wash Stations</t>
  </si>
  <si>
    <t>Extraction Equipment for the Removal of Exhaust Gases and Other Vapors from Buildings (OSHA)</t>
  </si>
  <si>
    <t>Fall Protection Equipment and Accessories (For the Climber's Protection from Falls (See 445-83 for Pole and Tree Climbing Equipment)</t>
  </si>
  <si>
    <t>Fireproof Curtains</t>
  </si>
  <si>
    <t>First Aid Blankets, Stretchers, etc.</t>
  </si>
  <si>
    <t>First Aid Cabinets, Kits, and Refills</t>
  </si>
  <si>
    <t>First Aid and Safety Teaching Equipment and Supplies: Charts, Manuals, Posters, Safety Placards, Safety Training Videos, etc.</t>
  </si>
  <si>
    <t>Gloves, Safety: Electrician's, Lineman's, etc., Including Sleeves</t>
  </si>
  <si>
    <t>Gloves, Therapeutic</t>
  </si>
  <si>
    <t>Hats and Helmets, Safety, Including Fire Helmets</t>
  </si>
  <si>
    <t>Head, Ear, Eye and Face Protection</t>
  </si>
  <si>
    <t>Labels, Warning</t>
  </si>
  <si>
    <t>Lockout and Tagout Safety Kits and Supplies</t>
  </si>
  <si>
    <t>Manikins and Models, First Aid and Safety Teaching</t>
  </si>
  <si>
    <t>Masks, Filters, and Parts: Dust and Gas</t>
  </si>
  <si>
    <t>Personal Distress Warning Devices</t>
  </si>
  <si>
    <t>Personal Protective Equipment (PPE), Blood Borne Pathogen Protection, (Not Otherwise Classified)</t>
  </si>
  <si>
    <t>Recycled First Aid and Safety Equipment and Supplies</t>
  </si>
  <si>
    <t>Reflective Safety Apparel and Accessories (See 345-08 for Non-Reflective Type)</t>
  </si>
  <si>
    <t>Respiratory Protection Equipment and Parts, Including CPAP Equipment and Parts</t>
  </si>
  <si>
    <t>Resuscitators and Parts, Including Portable Rescue Units</t>
  </si>
  <si>
    <t>Scissors, First Aid and Paramedic</t>
  </si>
  <si>
    <t>Shoe Chain, For Icy and Slippery Surfaces</t>
  </si>
  <si>
    <t>Vests, Life</t>
  </si>
  <si>
    <t>Vests, Safety</t>
  </si>
  <si>
    <t>Wipes, Decontamination, Personnel, Equipment</t>
  </si>
  <si>
    <t>Wipes for Safety Equipment</t>
  </si>
  <si>
    <t>FLAGS, FLAG POLES, BANNERS, AND ACCESSORIES</t>
  </si>
  <si>
    <t>Banners, Pennants, and Decorative Fans, Drapes, and Pull Downs</t>
  </si>
  <si>
    <t>Flag Accessories: Belts, Brackets, Covers, Crosses, Eagles, Holders, Sockets, Spears, Staffs, Stands, and Tassels</t>
  </si>
  <si>
    <t>Flag Poles, All Types</t>
  </si>
  <si>
    <t>Flags, County</t>
  </si>
  <si>
    <t>Flags, International and Special Occasion</t>
  </si>
  <si>
    <t>Flags: Municipal, School, Departmental, Agency, etc.</t>
  </si>
  <si>
    <t>Flags, Safety and Warning, Any Color</t>
  </si>
  <si>
    <t>Flags: State and U.S.: Cotton, Nylon, Polyester, and Wool</t>
  </si>
  <si>
    <t>Flags: State and U.S., Presentation: Nylon, Rayon, and Taffeta</t>
  </si>
  <si>
    <t>Recycled Flags, Banners, and Accessories</t>
  </si>
  <si>
    <t>FLOOR COVERING, FLOOR COVERING INSTALLATION AND REMOVAL EQUIPMENT, AND SUPPLIES</t>
  </si>
  <si>
    <t>Adhesive, Cement and Mastic</t>
  </si>
  <si>
    <t>Base, Resilient, Cove and Straight</t>
  </si>
  <si>
    <t>Carpets and Rugs: Cotton, Synthetic, Wool, etc.</t>
  </si>
  <si>
    <t>Carpet and Rug Mills (Inactive, effective January 1, 2016)</t>
  </si>
  <si>
    <t>Duckboards and Boardwalks</t>
  </si>
  <si>
    <t>Felt and Paper</t>
  </si>
  <si>
    <t>Floor Covering Accessories (Not Otherwise Classified)</t>
  </si>
  <si>
    <t>Floor Covering, Seamless, All Types</t>
  </si>
  <si>
    <t>Hardwood Flooring</t>
  </si>
  <si>
    <t>Installation Supplies: Adhesive Edge Strip, Seam Tape, Tack Strips, etc.</t>
  </si>
  <si>
    <t>Linoleum</t>
  </si>
  <si>
    <t>Mats, All Kinds (Not Otherwise Classified)</t>
  </si>
  <si>
    <t>Non-slip Floor Coverings: Mats, Rolls, Strips, etc.</t>
  </si>
  <si>
    <t>Padding and Cushioning, Carpet</t>
  </si>
  <si>
    <t>Recycled Floor Covering Products</t>
  </si>
  <si>
    <t>Rugs, Cut and Bound Sizes: Cotton, Synthetic, Wool, etc.</t>
  </si>
  <si>
    <t>Runners, Carpet and Fabric</t>
  </si>
  <si>
    <t>Runners, Rubber and Synthetic</t>
  </si>
  <si>
    <t>Sheet Rubber, Floor</t>
  </si>
  <si>
    <t>Sheet Vinyl, Cushioned</t>
  </si>
  <si>
    <t>Sheet Vinyl, Non-Cushioned</t>
  </si>
  <si>
    <t>Special Flooring, Industrial: Resinous, Elastomeric Liquid, etc.</t>
  </si>
  <si>
    <t>Stair Treads, Metal, Rubber and Vinyl</t>
  </si>
  <si>
    <t>Stair Treads, Rubber  (Inactive, please see commodity code 360-65 effective January 1, 2016)</t>
  </si>
  <si>
    <t>Stair Treads, Vinyl (Inactive, please see commodity code 360-65 effective January 1, 2016)</t>
  </si>
  <si>
    <t>Steel Flooring</t>
  </si>
  <si>
    <t>Steel Mats, Flexible</t>
  </si>
  <si>
    <t>Tile, Asphalt</t>
  </si>
  <si>
    <t>Tile, Carpet</t>
  </si>
  <si>
    <t>Tile, Composition Asbestos-Vinyl</t>
  </si>
  <si>
    <t>Tile, Coping Double Slant</t>
  </si>
  <si>
    <t>Tile, Cork</t>
  </si>
  <si>
    <t>Tile, Parquet</t>
  </si>
  <si>
    <t>Tile, Rubber</t>
  </si>
  <si>
    <t>Tile, Stone</t>
  </si>
  <si>
    <t>Tile, Vinyl</t>
  </si>
  <si>
    <t>Tools and Equipment, Floor Installation</t>
  </si>
  <si>
    <t>Turf, Artificial, Indoor and Outdoor</t>
  </si>
  <si>
    <t>FLOOR MAINTENANCE MACHINES, PARTS, AND ACCESSORIES</t>
  </si>
  <si>
    <t>Brushes and Pads, Floor Machine Type</t>
  </si>
  <si>
    <t>Carpet Cleaning Machines, Foam, Hot Water, Steam, etc., Including Parts and Accessories</t>
  </si>
  <si>
    <t>Edgers and Sanders, Floor Type, Including Parts and Accessories</t>
  </si>
  <si>
    <t>Floor Covering Stripping Machines, For Removing Glued Down Floor Covering, Including Parts and Accessories</t>
  </si>
  <si>
    <t>Polishing and Scrubbing Machines, Commercial Type, Including Parts and Accessories</t>
  </si>
  <si>
    <t>Power Sweepers and Brooms, Warehouse Type, Not Road and Street, Including Parts and Accessories</t>
  </si>
  <si>
    <t>Recycled Floor Maintenance Machines, Accessories and Supplies</t>
  </si>
  <si>
    <t>Scrubbing Machines, With Vacuum Pickup, Including Parts and Accessories</t>
  </si>
  <si>
    <t>Shampoo and Spray Buffing Machines, Including Parts and Accessories</t>
  </si>
  <si>
    <t>Vacuum Cleaners, Commercial, Wet or Dry, Including Parts and Accessories</t>
  </si>
  <si>
    <t>FOOD PROCESSING AND CANNING EQUIPMENT AND SUPPLIES</t>
  </si>
  <si>
    <t>Blanchers, Fruit and Vegetable</t>
  </si>
  <si>
    <t>Bottles: Wine, Juice, etc.</t>
  </si>
  <si>
    <t>Reusable Water Bottle (Screw On Top, Flip Top Spout)</t>
  </si>
  <si>
    <t>Closing and Labeling Machines</t>
  </si>
  <si>
    <t>Cooker, Canning</t>
  </si>
  <si>
    <t>Corn Machinery</t>
  </si>
  <si>
    <t>Crushers, Food</t>
  </si>
  <si>
    <t>Cutters and Shredders</t>
  </si>
  <si>
    <t>Dehydrating Equipment, Food, Including Parts and Accessories</t>
  </si>
  <si>
    <t>Drying Equipment, Freeze</t>
  </si>
  <si>
    <t>Elevators, Continuous Bucket Type</t>
  </si>
  <si>
    <t>Filling Machine</t>
  </si>
  <si>
    <t>Food Conveyer Dryer and Cooler</t>
  </si>
  <si>
    <t>Grease, USDA Approved for Food Processing</t>
  </si>
  <si>
    <t>Hullers, Pea and Bean</t>
  </si>
  <si>
    <t>Jars and Lids</t>
  </si>
  <si>
    <t>Jars, Glass; and Lids</t>
  </si>
  <si>
    <t>Juice Extractor</t>
  </si>
  <si>
    <t>Juice Heating Equipment</t>
  </si>
  <si>
    <t>Kettle, Heavy Duty</t>
  </si>
  <si>
    <t>Milling Machines, Food</t>
  </si>
  <si>
    <t>Oil, USDA Approved for Food Processing</t>
  </si>
  <si>
    <t>Peelers, Slicers, and Dicers</t>
  </si>
  <si>
    <t>Processing and Canning Equipment and Supplies, Food</t>
  </si>
  <si>
    <t>Pulper</t>
  </si>
  <si>
    <t>Pump, Stainless Steel,  For Wine Must, Juice or Pulp</t>
  </si>
  <si>
    <t>Refurbished Food Processing and Canning Equipment and Supplies</t>
  </si>
  <si>
    <t>Scalder</t>
  </si>
  <si>
    <t>Sealer, Canning</t>
  </si>
  <si>
    <t>Seed Extractors</t>
  </si>
  <si>
    <t>Sorters: Seed, Grain, Dried Vegetables, etc.</t>
  </si>
  <si>
    <t>Spice Bucket</t>
  </si>
  <si>
    <t>Table, Grading</t>
  </si>
  <si>
    <t>Table, Peeling</t>
  </si>
  <si>
    <t>Table, Picking</t>
  </si>
  <si>
    <t>Table, Sorting</t>
  </si>
  <si>
    <t>Thermometers, Industrial, Including Recording Thermometers</t>
  </si>
  <si>
    <t>Tin Cans and Lids, All Types</t>
  </si>
  <si>
    <t>Tinning Equipment</t>
  </si>
  <si>
    <t>Vacuum Pan</t>
  </si>
  <si>
    <t>Vacuum Still</t>
  </si>
  <si>
    <t>Washing Machine, Fruit and Vegetable</t>
  </si>
  <si>
    <t>Washer, Can and Tins</t>
  </si>
  <si>
    <t>FOODS: BAKERY PRODUCTS, FRESH</t>
  </si>
  <si>
    <t>Bread, Rolls, etc., Including Brown and Serve Items</t>
  </si>
  <si>
    <t>Cakes, Cookies, and Pastries</t>
  </si>
  <si>
    <t>Doughnuts, Fried Pies, Bagels, etc.</t>
  </si>
  <si>
    <t>Pastry Shells</t>
  </si>
  <si>
    <t>Pies</t>
  </si>
  <si>
    <t>Pizzas</t>
  </si>
  <si>
    <t>Taco Shells and Tortillas</t>
  </si>
  <si>
    <t>FOODS: DAIRY PRODUCTS, FRESH</t>
  </si>
  <si>
    <t>Butter, (See 390-56 for Margarine)</t>
  </si>
  <si>
    <t>Cottage Cheese</t>
  </si>
  <si>
    <t>Cream, All Types (Including Sour Cream)</t>
  </si>
  <si>
    <t>Desserts, Milk Based (Not Otherwise Classified)</t>
  </si>
  <si>
    <t>Eggnog and Mix</t>
  </si>
  <si>
    <t>Ice Cream</t>
  </si>
  <si>
    <t>Ice Milk and Mellorine</t>
  </si>
  <si>
    <t>Mellorine</t>
  </si>
  <si>
    <t>Milk, All Types</t>
  </si>
  <si>
    <t>Sherbet</t>
  </si>
  <si>
    <t>Toppings, Whipped, Refrigerated</t>
  </si>
  <si>
    <t>Yogurt</t>
  </si>
  <si>
    <t>FOODS, FROZEN</t>
  </si>
  <si>
    <t>Bread, Biscuits, Bagels, etc.</t>
  </si>
  <si>
    <t>Cakes, Cookies, Dough, Pastries, etc.</t>
  </si>
  <si>
    <t>Coffee</t>
  </si>
  <si>
    <t>Dairy Products, Frozen (Not Otherwise Classified)</t>
  </si>
  <si>
    <t>Desserts, Except Cake and Pastry</t>
  </si>
  <si>
    <t>Eggs and Egg Mixes</t>
  </si>
  <si>
    <t>Eggs and Egg Mixes, Freeze Dried</t>
  </si>
  <si>
    <t>Entrees, Freeze Dried: Meat, Poultry and Seafood</t>
  </si>
  <si>
    <t>Entrees, Meat, Including Beef and Pork</t>
  </si>
  <si>
    <t>Entrees, Poultry</t>
  </si>
  <si>
    <t>Entrees, Seafood</t>
  </si>
  <si>
    <t>Entrees, Specialty, Including Corn Dogs, Lasagna, Macaroni/Cheese, Mexican Food, Pasta, etc.</t>
  </si>
  <si>
    <t>Fruits, Frozen</t>
  </si>
  <si>
    <t>Fruits, Frozen: Organic and Non GMO (Genetically Modified Organism)</t>
  </si>
  <si>
    <t>Juices</t>
  </si>
  <si>
    <t>Meat and Poultry Products, Processed and Minimally Processed, Organic and Non GMO</t>
  </si>
  <si>
    <t>Pancakes, Waffles and French Toast</t>
  </si>
  <si>
    <t>Pretzels, Soft Frozen</t>
  </si>
  <si>
    <t>Salad Mixes, Frozen</t>
  </si>
  <si>
    <t>Sandwiches, Ready-Made</t>
  </si>
  <si>
    <t>Seafood, Freeze Dried, Not Entrees)</t>
  </si>
  <si>
    <t>Seafood, Frozen, Not Entrees</t>
  </si>
  <si>
    <t>Seafood, Wild and Farm Raised, Fish and Shellfish</t>
  </si>
  <si>
    <t>Shakes, Frozen</t>
  </si>
  <si>
    <t>Soups and Sauces, Frozen</t>
  </si>
  <si>
    <t>Spices, Herbs, Seasonings, Starches, Including Seasoned Salt and Pepper, Frozen</t>
  </si>
  <si>
    <t>Vegetables, Freeze Dried</t>
  </si>
  <si>
    <t>Vegetables, Frozen</t>
  </si>
  <si>
    <t>Vegetables, Frozen: Organic and Non GMO (Genetically Modified Organism)</t>
  </si>
  <si>
    <t>FOODS: PERISHABLE</t>
  </si>
  <si>
    <t>Aquatic Invertebrates, Octopus, Squid, Anemones, Sea Cucumbers</t>
  </si>
  <si>
    <t>Bread, Refrigerated Dough</t>
  </si>
  <si>
    <t>Casings, Meat, All Types</t>
  </si>
  <si>
    <t>Cheese</t>
  </si>
  <si>
    <t>Dips, Food</t>
  </si>
  <si>
    <t>Eggs, Fresh</t>
  </si>
  <si>
    <t>Fruits, Fresh</t>
  </si>
  <si>
    <t>Fruits, Fresh, Organic and Non GMO (Genetically Modified Organism)</t>
  </si>
  <si>
    <t>Hors d'oeuvres, Meat Trays, Vegetable Trays, Dessert Trays, etc. For Meetings and Parties</t>
  </si>
  <si>
    <t>Ice</t>
  </si>
  <si>
    <t>Ice, Dry</t>
  </si>
  <si>
    <t>Meat: Cured, Fresh, and Frozen</t>
  </si>
  <si>
    <t>Margarine (See 380-10 for Butter)</t>
  </si>
  <si>
    <t>Poultry, Dressed</t>
  </si>
  <si>
    <t>Salad Mix, Fresh</t>
  </si>
  <si>
    <t>Salted or Smoked Foods, Fruit, Meat, Seafood, Nuts, etc.</t>
  </si>
  <si>
    <t>Seafood, Fresh</t>
  </si>
  <si>
    <t>Sandwiches, Ready Made, Deli, Fresh</t>
  </si>
  <si>
    <t>Shellfish, Fresh</t>
  </si>
  <si>
    <t>Shortening, Except Vegetable and Lard</t>
  </si>
  <si>
    <t>Tamales, Fresh</t>
  </si>
  <si>
    <t>Vegetables, Fresh</t>
  </si>
  <si>
    <t>Vegetables, Fresh, Organic and Non GMO (Genetically Modified Organism)</t>
  </si>
  <si>
    <t>Water, Bottled, Drinking, Including  Distilled, Mineral, Sparkling and Spring</t>
  </si>
  <si>
    <t>FOODS: STAPLE GROCERY AND GROCER'S MISCELLANEOUS ITEMS</t>
  </si>
  <si>
    <t>Breading</t>
  </si>
  <si>
    <t>Bread Mixes, All Types</t>
  </si>
  <si>
    <t>Cones, Ice Cream</t>
  </si>
  <si>
    <t>Combination Meals and Entrees, Shelf Stable, Including Ready to Eat Prepared Meals (MRE)</t>
  </si>
  <si>
    <t>Combination Food Gift Packs</t>
  </si>
  <si>
    <t>Chips, All Types</t>
  </si>
  <si>
    <t>Beverages, Thirst Quenching, With Electrolyte</t>
  </si>
  <si>
    <t>Baby Food</t>
  </si>
  <si>
    <t>Baking Powder and Baking Soda</t>
  </si>
  <si>
    <t>Beverage Base, Not Fountain</t>
  </si>
  <si>
    <t>Candy, Confectionery and Marshmallows, Including After Dinner Mints or Savories</t>
  </si>
  <si>
    <t>Cereals, Ready-to-Eat</t>
  </si>
  <si>
    <t>Cereals, Uncooked</t>
  </si>
  <si>
    <t>Cocoa and Chocolate</t>
  </si>
  <si>
    <t>Coconut</t>
  </si>
  <si>
    <t>Coffee Extender</t>
  </si>
  <si>
    <t>Coffee, Instant, Regular and Decaffeinated</t>
  </si>
  <si>
    <t>Coffee, Whole Bean and Ground</t>
  </si>
  <si>
    <t>Cornstarch, Cooking</t>
  </si>
  <si>
    <t>Crackers and Cookies, Packaged</t>
  </si>
  <si>
    <t>Creamer, Cream Substitutes and Other Non-Dairy Items</t>
  </si>
  <si>
    <t>Curing Compounds, Meat</t>
  </si>
  <si>
    <t>Desserts: Packaged, Canned, and Mixes, Including Cake Mixes, Gelatins, Icings, Pie Fillings, etc.)</t>
  </si>
  <si>
    <t>Diet Foods, All Types (See Class 271-28)</t>
  </si>
  <si>
    <t>Dressings, Condiments, Sauces, and Gravies</t>
  </si>
  <si>
    <t>Eggs and Meringue, Powdered</t>
  </si>
  <si>
    <t>Extracts, Flavoring, and Food Coloring</t>
  </si>
  <si>
    <t>Flour and Flour Binder</t>
  </si>
  <si>
    <t>Flour, Binder</t>
  </si>
  <si>
    <t>Fruits, Vegetables, and Full Meal Entrees, Dehydrated</t>
  </si>
  <si>
    <t>Fruits, Canned, Processed and Preserved, Including Fruit Sauces and Puree and Non GMO</t>
  </si>
  <si>
    <t>Fruits, Dried</t>
  </si>
  <si>
    <t>Grocers' Items: Cake Decorations, Candles, Canned Fuel, Food Preservatives, Matches, Meal Kits, Toothpicks, Meal Preparation Items, etc.</t>
  </si>
  <si>
    <t>Honey</t>
  </si>
  <si>
    <t>Ice Cream Mix, Emulsifiers, Stabilizers, and Toppings</t>
  </si>
  <si>
    <t>Jams, Jellies, and Preserves</t>
  </si>
  <si>
    <t>Juices, Fruit and Vegetable, Not Frozen</t>
  </si>
  <si>
    <t>Pasta, Including Macaroni, Noodles, and Spaghetti</t>
  </si>
  <si>
    <t>Meal, Corn</t>
  </si>
  <si>
    <t>Meat and Meat Products, Canned, Including Meat Substitutes</t>
  </si>
  <si>
    <t>Milk, Evaporated and Condensed</t>
  </si>
  <si>
    <t>Milk, Powdered</t>
  </si>
  <si>
    <t>Mincemeat</t>
  </si>
  <si>
    <t>Nuts, Edible, Including Sunflower Seeds</t>
  </si>
  <si>
    <t>Peanut Butter and Other Nut Butter</t>
  </si>
  <si>
    <t>Pickles, Relishes, and Olives, Including Pickled Foods</t>
  </si>
  <si>
    <t>Protein Food Supplement</t>
  </si>
  <si>
    <t>Popcorn</t>
  </si>
  <si>
    <t>Salt, Table</t>
  </si>
  <si>
    <t>Seafood, Canned</t>
  </si>
  <si>
    <t>Shortening and Oil, Vegetable, Cooking Oil, Including Shortening Filter Powder</t>
  </si>
  <si>
    <t>Soda, Baking</t>
  </si>
  <si>
    <t>Soft Drinks</t>
  </si>
  <si>
    <t>Soup, Soup Base, and Entree Mixes, Canned and Dehydrated  (Incl. Bouillon)</t>
  </si>
  <si>
    <t>Soy Products: Extender, Flour, Grits, Meatless Products, Milk, etc.</t>
  </si>
  <si>
    <t>Spices, Herbs, Seasonings, Starches, Including Seasoned Salt and Pepper</t>
  </si>
  <si>
    <t>Sugar and Sweeteners</t>
  </si>
  <si>
    <t>Syrups and Molasses, Except Fountain</t>
  </si>
  <si>
    <t>Syrups, Fountain</t>
  </si>
  <si>
    <t>Tea (Not Instant)</t>
  </si>
  <si>
    <t>Tea, Instant</t>
  </si>
  <si>
    <t>Vegetables, Canned, Processed and Preserved, Including Canned Salads, Sauces and Puree</t>
  </si>
  <si>
    <t>Vegetables, Dried, Beans, Peas, etc.</t>
  </si>
  <si>
    <t>Vinegar</t>
  </si>
  <si>
    <t>Wheat Germ</t>
  </si>
  <si>
    <t>Yeast</t>
  </si>
  <si>
    <t>Sanitizer, Liquid, (For Elimination of Bacteria, Viruses and Fungi Caused by Contact With Food</t>
  </si>
  <si>
    <t>Recycled Grocer's Miscellaneous Products</t>
  </si>
  <si>
    <t>Food Products, Scrap or Waste</t>
  </si>
  <si>
    <t>FORMS, CONTINUOUS: COMPUTER PAPER, FORM LABELS, SNAP-OUT FORMS, AND FOLDERS FOR FORMS</t>
  </si>
  <si>
    <t>Binders and Documentation Folders For Continuous Forms, Including Self-Mailers</t>
  </si>
  <si>
    <t>Continuous Form Labels, Pressure Sensitive, Custom</t>
  </si>
  <si>
    <t>Continuous Form Labels, Pressure Sensitive, Stock</t>
  </si>
  <si>
    <t>Continuous Forms, Carbon Interleaved</t>
  </si>
  <si>
    <t>Continuous Forms, Custom</t>
  </si>
  <si>
    <t>Continuous Forms, Carbonless Paper, Chemical Transfer</t>
  </si>
  <si>
    <t>Continuous Forms (Computer Paper), Stock (Including Blank, Ruled, and Tinted Types -See Class 525 for Library Stock Continuous Forms)</t>
  </si>
  <si>
    <t>Recycled Computer Paper, Continuous Forms, Form Labels, Snap-Out Forms, Binders, Folders, etc.</t>
  </si>
  <si>
    <t>Snap-Out Forms, Carbon Interleaved</t>
  </si>
  <si>
    <t>Snap-Out Forms, Carbonless Paper (Chemical Transfer)</t>
  </si>
  <si>
    <t>Snap-Out Forms, Tab Card Set</t>
  </si>
  <si>
    <t>FOUNDRY CASTINGS, EQUIPMENT, AND SUPPLIES</t>
  </si>
  <si>
    <t>Castings, Aluminum</t>
  </si>
  <si>
    <t>Castings, Beryllium</t>
  </si>
  <si>
    <t>Castings, Brass and Bronze</t>
  </si>
  <si>
    <t>Castings, Copper</t>
  </si>
  <si>
    <t>Castings, Ductile Iron</t>
  </si>
  <si>
    <t>Castings, Ferrous and Non-Ferrous Alloy</t>
  </si>
  <si>
    <t>Castings, Gray Iron</t>
  </si>
  <si>
    <t>Castings, Lead</t>
  </si>
  <si>
    <t>Castings, Magnesium</t>
  </si>
  <si>
    <t>Castings, Malleable Iron</t>
  </si>
  <si>
    <t>Castings, Mold: Permanent, Shell, Investment, Centrifugal, Ceramic, Graphite, Plaster, V-Process</t>
  </si>
  <si>
    <t>Castings, Steel</t>
  </si>
  <si>
    <t>Castings, Stainless Steel</t>
  </si>
  <si>
    <t>Castings, Stone and Mortar, etc.</t>
  </si>
  <si>
    <t>Castings, Tin</t>
  </si>
  <si>
    <t>Castings, Titanium</t>
  </si>
  <si>
    <t>Castings, Precious Metal</t>
  </si>
  <si>
    <t>Castings, Zinc</t>
  </si>
  <si>
    <t>Foundry Equipment and Supplies: Anvils, Bellows, Clays, Flasks, Fluxes, Ladles, Molds, Sand, Shovels, etc.</t>
  </si>
  <si>
    <t>Forgings</t>
  </si>
  <si>
    <t>Ovens, Annealing</t>
  </si>
  <si>
    <t>Recycled Foundry Castings and Supplies</t>
  </si>
  <si>
    <t>FUEL, OIL, GREASE AND LUBRICANTS</t>
  </si>
  <si>
    <t>Alternative Fuels (Not Otherwise Classified)</t>
  </si>
  <si>
    <t>Butane and Propane, Including Liquefied Petroleum Gas</t>
  </si>
  <si>
    <t>Charcoal  (Inactive, please see commodity code 405-06 effective January 1, 2016)</t>
  </si>
  <si>
    <t>Coal, Coke, Lignite, Peat and Charcoal</t>
  </si>
  <si>
    <t>Fuel Additives, Extenders, Octane Enhancers, etc.</t>
  </si>
  <si>
    <t>Distillates, Petroleum (Not Otherwise Classified)</t>
  </si>
  <si>
    <t>Fuel Oil, Diesel (Use 405-02 for Biodiesel)</t>
  </si>
  <si>
    <t>Fuel Oil, Heating (Use 405-02 for Biodiesel)</t>
  </si>
  <si>
    <t>Gas, Natural, Including Compressed Natural Gas (CNG)</t>
  </si>
  <si>
    <t>Gasohol</t>
  </si>
  <si>
    <t>Gasoline, Automotive</t>
  </si>
  <si>
    <t>Gasoline, Aviation, Including Jet Fuel</t>
  </si>
  <si>
    <t>Gasoline, Marine White</t>
  </si>
  <si>
    <t>Graphite Lubricant  (Inactive, please see commodity code 405-31 effective January 1, 2016)</t>
  </si>
  <si>
    <t>Grease, Lubrication Type</t>
  </si>
  <si>
    <t>Grease, Protective Coating Type</t>
  </si>
  <si>
    <t>Kerosene</t>
  </si>
  <si>
    <t>Lubricants, Industrial Type, Including Biodegradable Type and Graphite</t>
  </si>
  <si>
    <t>Methanol, Fuel</t>
  </si>
  <si>
    <t>Naphtha</t>
  </si>
  <si>
    <t>Oil, Automotive Transmission</t>
  </si>
  <si>
    <t>Oil, Crude</t>
  </si>
  <si>
    <t>Oil and Grease Additives</t>
  </si>
  <si>
    <t>Oil, Automotive Engine</t>
  </si>
  <si>
    <t>Oil, Aviation Engine</t>
  </si>
  <si>
    <t>Oil, Chain Saw</t>
  </si>
  <si>
    <t>Oil, Compressor</t>
  </si>
  <si>
    <t>Oil, Cutting</t>
  </si>
  <si>
    <t>Oil, Gear</t>
  </si>
  <si>
    <t>Oil, Heat Transfer Fluid, Fire-Resistant</t>
  </si>
  <si>
    <t>Oil and Fluid, Hydraulic</t>
  </si>
  <si>
    <t>Oil, Instrument</t>
  </si>
  <si>
    <t>Oil, Lubricating: Household, General Purpose, etc.</t>
  </si>
  <si>
    <t>Oil, Lubricating: Differential and Gear Lubricant</t>
  </si>
  <si>
    <t>Oil, Marine Engine</t>
  </si>
  <si>
    <t>Oil, Outboard Motor</t>
  </si>
  <si>
    <t>Oil, Penetrating, Special Use, May Contain Graphite</t>
  </si>
  <si>
    <t>Oil, Pump, Vacuum</t>
  </si>
  <si>
    <t>Oil, Refrigeration</t>
  </si>
  <si>
    <t>Oils and Lubricants for Special/Severe Service</t>
  </si>
  <si>
    <t>Oil, Steam Cylinder</t>
  </si>
  <si>
    <t>Oil, Transformer</t>
  </si>
  <si>
    <t>Oil, Turbine</t>
  </si>
  <si>
    <t>Oil, Two-Cycle Engine</t>
  </si>
  <si>
    <t>Oil, Wax, Paraffin</t>
  </si>
  <si>
    <t>Power Steering Fluid</t>
  </si>
  <si>
    <t>Propellant Fuels and Oxidizers, Chemical and Petroleum Based</t>
  </si>
  <si>
    <t>Recycled Petroleum Products</t>
  </si>
  <si>
    <t>Synthetic Petroleum Products</t>
  </si>
  <si>
    <t>Petroleum Products, Scrap or Waste</t>
  </si>
  <si>
    <t>FURNITURE: HEALTH CARE, HOSPITAL AND DOCTOR'S OFFICE</t>
  </si>
  <si>
    <t>Beds and Mattresses, Hospital Specialized: Air Beds, Intensive Care, Orthopedic, Waterbeds, etc.</t>
  </si>
  <si>
    <t>Cabinets, Instrument and Treatment</t>
  </si>
  <si>
    <t>Cabinets, Narcotics</t>
  </si>
  <si>
    <t>Carts: Dressing, Laboratory, Medication, Patient Tray, Resuscitation and Utility</t>
  </si>
  <si>
    <t>Chairs and Modules, Blood Collecting</t>
  </si>
  <si>
    <t>Chart Cabinets, Carts, and Holders</t>
  </si>
  <si>
    <t>Cubicle Curtains and Privacy Screens</t>
  </si>
  <si>
    <t>Examining Room Suites, Not Optical or Auditory</t>
  </si>
  <si>
    <t>Furniture, Health Care, Custom Made</t>
  </si>
  <si>
    <t>Furniture, Hospital, Not Specialized</t>
  </si>
  <si>
    <t>Incubators, Infant</t>
  </si>
  <si>
    <t>Mortuary Furniture: Autopsy Tables, Cadaver Tables, Refrigerators, etc.</t>
  </si>
  <si>
    <t>Nurses' Desks and Accessories</t>
  </si>
  <si>
    <t>Nursery Equipment and Furniture, Infant (See 420-13 for Household Types)</t>
  </si>
  <si>
    <t>Operating and Examination Room Furniture: Instrument Tables and Stands, IV Stands, Stools, Work Tables, etc.</t>
  </si>
  <si>
    <t>Recovery and Treatment Room Furniture: Reclining Chairs, etc.</t>
  </si>
  <si>
    <t>Recycled Health Care and Hospital Furniture</t>
  </si>
  <si>
    <t>Tables, Examination, Including Parts and Accessories</t>
  </si>
  <si>
    <t>Tables, Operating, Including Parts and Accessories</t>
  </si>
  <si>
    <t>Tables, Treatment, Including Parts and Accessories</t>
  </si>
  <si>
    <t>(CTE) Health Science Equipment &gt; $750 &amp; &lt; $5000</t>
  </si>
  <si>
    <t>FURNITURE: LABORATORY</t>
  </si>
  <si>
    <t>Cabinets, Storage, Floor and Wall</t>
  </si>
  <si>
    <t>Cases: Laboratory, Specimen Storage, etc.</t>
  </si>
  <si>
    <t>Casework, Metal</t>
  </si>
  <si>
    <t>Casework, Wood</t>
  </si>
  <si>
    <t>Fume Hoods, Laminar Flow Hoods, Biological Cabinets and Isolators, etc.</t>
  </si>
  <si>
    <t>Furniture, Laboratory, Custom Made</t>
  </si>
  <si>
    <t>Recycled Laboratory Furniture, All Types</t>
  </si>
  <si>
    <t>Refrigerators and Cooling Equipment, Laboratory, Specialized: Explosion-Proof, Ultra-Low Temperature, etc.</t>
  </si>
  <si>
    <t>Service Fixtures: Cocks, Connectors, Sink Traps, Valves, etc.</t>
  </si>
  <si>
    <t>Sinks, Laboratory Type</t>
  </si>
  <si>
    <t>Stools, Laboratory</t>
  </si>
  <si>
    <t>Tables, Laboratory Type</t>
  </si>
  <si>
    <t>FURNITURE: CAFETERIA, CHAPEL, COURTROOM, DORMITORY, HOUSEHOLD, LIBRARY, LOUNGE, SCHOOL</t>
  </si>
  <si>
    <t>Arts and Crafts Furniture, Tables, etc.</t>
  </si>
  <si>
    <t>Auditorium, Stadium, Team Seating Furniture and Bleachers</t>
  </si>
  <si>
    <t>Cafeteria Furniture: Chairs and Tables, Including Stacking Types</t>
  </si>
  <si>
    <t>Cafeteria Furniture, Booths</t>
  </si>
  <si>
    <t>Casework and Cabinets, Custom, All Types</t>
  </si>
  <si>
    <t>Chapel Furnishings: Pews, Pulpits, etc.</t>
  </si>
  <si>
    <t>Children's Furniture, Including Stackable Types, (See 41054 for Hospital Types)</t>
  </si>
  <si>
    <t>Counters, Sales and Store</t>
  </si>
  <si>
    <t>Courtroom Furniture: Chairs, Tables, etc.</t>
  </si>
  <si>
    <t>Dormitory Furniture, Metal: Wardrobes, Beds, Bunkbeds, Desks, etc.</t>
  </si>
  <si>
    <t>Dormitory Furniture, Plastic: Wardrobes, Beds, Bunkbeds, Desks, etc.</t>
  </si>
  <si>
    <t>Dormitory Furniture, Wood: Wardrobes, Beds, Bunkbeds, Desks, etc.</t>
  </si>
  <si>
    <t>Folding Chairs, Tables, and Chair Trucks, Metal</t>
  </si>
  <si>
    <t>Folding Chairs and Tables, Plastic or Resin</t>
  </si>
  <si>
    <t>Folding Chairs and Tables, Wood</t>
  </si>
  <si>
    <t>Furniture, General, Custom Made</t>
  </si>
  <si>
    <t>Furnishings (Not Otherwise Classified)</t>
  </si>
  <si>
    <t>Household Furniture, General Line</t>
  </si>
  <si>
    <t>Institutional Furniture, All Types</t>
  </si>
  <si>
    <t>Library Shelving, Metal</t>
  </si>
  <si>
    <t>Library Shelving, Wood</t>
  </si>
  <si>
    <t>Library Furniture: Book Trucks, Card Cabinets, Carrels, Chairs, Curb-Side Book Returns, Dictionary Stands, Step Stools, Tables, etc.</t>
  </si>
  <si>
    <t>Lounge Furniture, Upholstered</t>
  </si>
  <si>
    <t>Lounge Furniture, Steel, Indoor</t>
  </si>
  <si>
    <t>Lounge Furniture, Steel, Outdoor</t>
  </si>
  <si>
    <t>Lounge Furniture, Indoor: Fiberglass, Plastic, etc., Including Stacking Types</t>
  </si>
  <si>
    <t>Lounge Furniture, Outdoor: Fiberglass, Plastic, Aluminum, etc., Including Stacking Types</t>
  </si>
  <si>
    <t>Lounge Furniture, Indoor, Wood</t>
  </si>
  <si>
    <t>Lounge Furniture, Outdoor, Wood, Including Outdoor Household Swings</t>
  </si>
  <si>
    <t>Mailroom Furniture: Bins, Boxes, Carts, Consoles, Including Wrapping Consoles, Mail Systems, Sorters, Tables, etc.</t>
  </si>
  <si>
    <t>Mattresses and Bedsprings, Including Fillers, (See Class 410 for Hospital Type)</t>
  </si>
  <si>
    <t>Mirrors, Glass, Not Auto, Barber, Safety, Security, or Telescope, Including Parts and Accessories</t>
  </si>
  <si>
    <t>Mirrors, Safety and Security, Non-Glass, Flat Type, Correctional Facilities or High Risk Areas, Including Parts and Accessories</t>
  </si>
  <si>
    <t>Mirrors, Safety and Security, For Blind Corners in Hallways, etc.: Parabolic, Convex, Hemispherical, etc., Including Parts and Accessories</t>
  </si>
  <si>
    <t>Recycled Furniture: Cafeteria, Chapel, Dormitory, Household, Library, Lounge and School, All Types</t>
  </si>
  <si>
    <t>Schoolroom Furniture, Metal: Cabinets, Chairs, Desks, etc.</t>
  </si>
  <si>
    <t>Schoolroom Furniture; Plastic, Polypropylene, Fiberglass Type: Cabinets, Chairs, Desks, etc., Including Stacking Types</t>
  </si>
  <si>
    <t>Schoolroom Furniture, Wood: Cabinets, Chairs, Desks, etc.</t>
  </si>
  <si>
    <t>Showcase, Trophy Cases and Exhibit Cases</t>
  </si>
  <si>
    <t>Stools, Household</t>
  </si>
  <si>
    <t>Work Benches, Shop Desks and Tables</t>
  </si>
  <si>
    <t>FURNITURE: OFFICE</t>
  </si>
  <si>
    <t>Bookcases and Bookshelves, Metal and Wood</t>
  </si>
  <si>
    <t>Chairs, Metal</t>
  </si>
  <si>
    <t>Chairs, Wood</t>
  </si>
  <si>
    <t>Costumers, Racks, Stands and Trees: Clothes, Coat, Hat, etc.</t>
  </si>
  <si>
    <t>Counter, Work</t>
  </si>
  <si>
    <t>Credenza Unit, Metal</t>
  </si>
  <si>
    <t>Credenza Unit, Wood</t>
  </si>
  <si>
    <t>Data Processing Furniture, Metal and Plastic (See 425-87 For Storage Cabinets)</t>
  </si>
  <si>
    <t>Data Processing Office Furniture, Wood, (See Item 87 For Not Storage Cabinets)</t>
  </si>
  <si>
    <t>Desks and Tables, Metal</t>
  </si>
  <si>
    <t>Desks and Tables, Wood</t>
  </si>
  <si>
    <t>Drafting Chairs and Stools, Metal and Wood</t>
  </si>
  <si>
    <t>Drafting Plan and Map Files, Metal</t>
  </si>
  <si>
    <t>Drafting Plan and Map Files, Wood</t>
  </si>
  <si>
    <t>Drafting Tables, Metal and Wood</t>
  </si>
  <si>
    <t>Filing Cabinets, Metal: Card, Jumbo, Lateral, Legal, and Letter</t>
  </si>
  <si>
    <t>Filing Cabinets, Wood: Card, Lateral, Legal, and Letter</t>
  </si>
  <si>
    <t>Filing Systems, Mobile, High Density, Electrical and Mechanical</t>
  </si>
  <si>
    <t>Fire Files</t>
  </si>
  <si>
    <t>Floors, Raised Access Type, For Data Processing Equipment</t>
  </si>
  <si>
    <t>Furniture, Office, Custom Made</t>
  </si>
  <si>
    <t>Hutches for Desks, Credenzas, etc.</t>
  </si>
  <si>
    <t>Key Storage Cabinets and Files</t>
  </si>
  <si>
    <t>Lockers, Storage: Coats, Hats and Baggage (Includes Foot Locker Type)</t>
  </si>
  <si>
    <t>Modular Panel Systems, With Metal Connecting Mechanism</t>
  </si>
  <si>
    <t>Modular Panel Systems, With Synthetic Connecting Mechanism</t>
  </si>
  <si>
    <t>Partitions, Free Standing, All Types, Custom and Stock Sizes</t>
  </si>
  <si>
    <t>Partitions, Hardware</t>
  </si>
  <si>
    <t>Plastic, Polypropylene, Fiberglass Office Furniture: Chairs, Desks, Tables, etc.</t>
  </si>
  <si>
    <t>Posting Stands and Trays</t>
  </si>
  <si>
    <t>Posture Chairs, Ergonomic</t>
  </si>
  <si>
    <t>Racks, Metal, Stationary and Mobile</t>
  </si>
  <si>
    <t>Recycled Office Furniture: Bookshelves, Chairs, Credenzas, Computer Furniture, Desks, Tables, Hutches, Workstations</t>
  </si>
  <si>
    <t>Recycled Office Furniture: File Cabinets, Storage Cabinets and Lockers, Partitions, Modular Furniture, Racks, Shelving</t>
  </si>
  <si>
    <t>Filing Systems, Rotary</t>
  </si>
  <si>
    <t>Safe Files (Inactive, please see commodity code 425-74 effective January 1, 2016)</t>
  </si>
  <si>
    <t>Safes, Safe Files, Vaults, and Night Depository Boxes, Including Parts and Accessories</t>
  </si>
  <si>
    <t>Stepladders, Safety, Office Use</t>
  </si>
  <si>
    <t>Shelving, Wood, Not Library or Shop</t>
  </si>
  <si>
    <t>Shelving, Metal, Not Library or Shop</t>
  </si>
  <si>
    <t>Shelving, Mobile, Track or Trackless Type</t>
  </si>
  <si>
    <t>Shims, Leveling, For Furniture</t>
  </si>
  <si>
    <t>Stands, Office Equipment and Machines</t>
  </si>
  <si>
    <t>Storage Cabinets, Data Processing</t>
  </si>
  <si>
    <t>Storage Cabinets, Metal</t>
  </si>
  <si>
    <t>Storage Cabinets, Non-Metal</t>
  </si>
  <si>
    <t>Filing Systems, Visual</t>
  </si>
  <si>
    <t>Work Stations, Modular, Systems Furniture</t>
  </si>
  <si>
    <t>GASES, CONTAINERS, EQUIPMENT: LABORATORY, MEDICAL, AND WELDING</t>
  </si>
  <si>
    <t>Containers, Liquefied Gases, Large Dewars (See Class 175 For Laboratory Sizes)</t>
  </si>
  <si>
    <t>Filters, Natural and LPG Gas</t>
  </si>
  <si>
    <t>Gas Cylinder Carts, Clamps, and Stands, Hospital and Laboratory Type</t>
  </si>
  <si>
    <t>Gas Cylinders, Empty, Commercial Sizes</t>
  </si>
  <si>
    <t>Gases, Radioactive Counting: Methane, PR-Gas, Q-Gas, etc.</t>
  </si>
  <si>
    <t>Gas Distribution Equipment, Components and Fittings</t>
  </si>
  <si>
    <t>Gas Mixtures, Special Purpose</t>
  </si>
  <si>
    <t>Gas Regulators, Gauges, Fittings, and Parts</t>
  </si>
  <si>
    <t>Laboratory Gases: Argon, Carbon Dioxide, Helium, Hydrogen, Nitrogen, etc.</t>
  </si>
  <si>
    <t>Medical Gases, Anesthesia and Respiration Therapy: Carbon Dioxide, Cyclopropane, Nitrous Oxide, Pure Oxygen, etc.</t>
  </si>
  <si>
    <t>Noble (Inert) Gases: Argon, Helium, Krypton, Neon, Radon, Xenon</t>
  </si>
  <si>
    <t>Pure (Elemental) Gases (Not Otherwise Classified)</t>
  </si>
  <si>
    <t>Purifiers, For Gases: Soda Lime, etc.</t>
  </si>
  <si>
    <t>Rare or Highly Purified Gases, For Research Uses, etc.</t>
  </si>
  <si>
    <t>Recycled Gases and Containers</t>
  </si>
  <si>
    <t>Sterilizing Gases: Ethylene Oxide, etc.</t>
  </si>
  <si>
    <t>Welding and Industrial Gases: Acetylene, Argon, Carbon Dioxide, Oxygen, etc.</t>
  </si>
  <si>
    <t>GERMICIDES, CLEANERS, AND RELATED SANITATION PRODUCTS FOR HEALTH CARE PERSONNEL</t>
  </si>
  <si>
    <t>Antimicrobial Solutions, Topical: Surgical Prep, etc.</t>
  </si>
  <si>
    <t>Antimicrobial Protectant Solutions, Aqueous Based</t>
  </si>
  <si>
    <t>Benzalkonium Chloride, USP, Aqueous Solution</t>
  </si>
  <si>
    <t>Detergent, Surgical Scrub, All Types</t>
  </si>
  <si>
    <t>Detergent-Disinfectant, Phenolic Type, Liquid</t>
  </si>
  <si>
    <t>Disinfectant, Germicidal</t>
  </si>
  <si>
    <t>Detergent-Disinfectant, Iodophor Type</t>
  </si>
  <si>
    <t>Detergent-Disinfectant, Quaternary Ammonium Type</t>
  </si>
  <si>
    <t>Disinfestation Equipment and Supplies, Ambulances, Hospital Rooms, etc.</t>
  </si>
  <si>
    <t>Instrument Sterilizing Solution, Hospital</t>
  </si>
  <si>
    <t>Recycled Detergents, Disinfectants and Cleaners for Health Care Personnel</t>
  </si>
  <si>
    <t>Sanitizing and Disinfecting Supplies, Health Care Personnel</t>
  </si>
  <si>
    <t>Skin Cleansers: Emollient, Nonalkaline, etc.</t>
  </si>
  <si>
    <t>Skin Cleaners, Antimicrobial: Emollient, Nonalkaline, etc. (See Class 485 for Janitorial Hand and Skin Cleaners)</t>
  </si>
  <si>
    <t>Skin Cleaners, Topical Lotions, Non-Alcohol, Long Term Killing Activity</t>
  </si>
  <si>
    <t>Soap, Surgical Scrub (See 485-85 for Janitorial Type Scrubbing Soap)</t>
  </si>
  <si>
    <t>Soap, Surgical Scrub, Hand Sanitizer, Alcohol Based, Long Term Killing Activity</t>
  </si>
  <si>
    <t>Whirlpool Additives, Antimicrobial</t>
  </si>
  <si>
    <t>GERMICIDES, CLEANERS, AND RELATED SANITATION PRODUCTS FOR HEALTH CARE PERSONNEL, ENVIRONMENTALLY CERTIFIED BY AN AGENCY ACCEPTED CERTIFICATION ENTITY</t>
  </si>
  <si>
    <t>Antimicrobial Solutions, Topical: Surgical Prep, etc., Environmentally Certified Products</t>
  </si>
  <si>
    <t>Antimicrobial Protectant Solutions, Aqueous Based, Environmentally Certified Products</t>
  </si>
  <si>
    <t>Benzalkonium Chloride, USP, Aqueous Solution, Environmentally Certified Products</t>
  </si>
  <si>
    <t>Detergent, Surgical Scrub, All Types, Environmentally Certified Products</t>
  </si>
  <si>
    <t>Detergent-Disinfectant, Phenolic Type, Liquid, Environmentally Certified Products</t>
  </si>
  <si>
    <t>Disinfectant, Germicidal, Environmentally Certified Products</t>
  </si>
  <si>
    <t>Detergent-Disinfectant, Iodophor Type, Environmentally Certified Products</t>
  </si>
  <si>
    <t>Detergent-Disinfectant, Quaternary Ammonium Type, Environmentally Certified Products</t>
  </si>
  <si>
    <t>Disinfestation Equipment and Supplies, Ambulances, Hospital Rooms, etc., Environmentally Certified Products</t>
  </si>
  <si>
    <t>Instrument Sterilizing Solution, Hospital, Environmentally Certified Products</t>
  </si>
  <si>
    <t>Recycled Detergents, Disinfectants and Cleaners for Health Care Personnel, Environmentally Certified Products</t>
  </si>
  <si>
    <t>Sanitizing and Disinfecting Supplies, Health Care Personnel, Environmentally Certified Products</t>
  </si>
  <si>
    <t>Skin Cleansers: Emollient, Nonalkaline, etc., Environmentally Certified Products</t>
  </si>
  <si>
    <t>Skin Cleaners, Antimicrobial: Emollient, Nonalkaline, etc. (See Class 485 for Janitorial Hand and Skin Cleaners), Environmentally Certified Products</t>
  </si>
  <si>
    <t>Skin Cleaners, Topical Lotions, Non-Alcohol, Long Term Killing Activity, Environmentally Certified Products</t>
  </si>
  <si>
    <t>Soap, Surgical Scrub (See 485-85 for Janitorial Type Scrubbing Soap), Environmentally Certified Products</t>
  </si>
  <si>
    <t>Soap, Surgical Scrub, Hand Sanitizer, Alcohol Based, Long Term Killing Activity, Environmentally Certified Products</t>
  </si>
  <si>
    <t>Whirlpool Additives, Antimicrobial, Environmentally Certified Products</t>
  </si>
  <si>
    <t>GLASS AND GLAZING SUPPLIES</t>
  </si>
  <si>
    <t>Glass, Beveled</t>
  </si>
  <si>
    <t>Glass, Blocks</t>
  </si>
  <si>
    <t>Glass, Bullet Resistant</t>
  </si>
  <si>
    <t>Felts and Pads, Desk</t>
  </si>
  <si>
    <t>Glass, Crystal</t>
  </si>
  <si>
    <t>Glass, Factrolite</t>
  </si>
  <si>
    <t>Glass, Florentine</t>
  </si>
  <si>
    <t>Glass Cutting Machines</t>
  </si>
  <si>
    <t>Glass Cutting Tables</t>
  </si>
  <si>
    <t>Glass Handling Tools and Equipment</t>
  </si>
  <si>
    <t>Glass Tinting Film and Supplies, Including Glazing Compounds</t>
  </si>
  <si>
    <t>Glass and Glass Products, Scrap or Waste</t>
  </si>
  <si>
    <t>Glaziers' Clips and Points</t>
  </si>
  <si>
    <t>Glass, Hammered or Bubble</t>
  </si>
  <si>
    <t>Glass, Heat-Tempered Safety, Fully Tempered</t>
  </si>
  <si>
    <t>Glass, Heat-Tempered, Partially Tempered</t>
  </si>
  <si>
    <t>Glass, Mirror</t>
  </si>
  <si>
    <t>Glass, Obscure, Not Florentine</t>
  </si>
  <si>
    <t>Glass, Lead</t>
  </si>
  <si>
    <t>Glass, Annealed</t>
  </si>
  <si>
    <t>Glass, Pyrex</t>
  </si>
  <si>
    <t>Recycled Glass Products</t>
  </si>
  <si>
    <t>Glass, Safety, Laminated</t>
  </si>
  <si>
    <t>Stripping, Desk Top Glass</t>
  </si>
  <si>
    <t>Glass, Thermo, Insulated</t>
  </si>
  <si>
    <t>Tile, Field Glass, Including Borders and Medallions</t>
  </si>
  <si>
    <t>Glass, Window</t>
  </si>
  <si>
    <t>Glass, Wire</t>
  </si>
  <si>
    <t>HAND TOOLS, POWERED AND NON-POWERED, INCLUDING ACCESSORIES AND SUPPLIES</t>
  </si>
  <si>
    <t>Air Pumps: Sporting Goods, Toys, etc. (See 075-83 for Tire Pumps)</t>
  </si>
  <si>
    <t>Axes, Adzes, Bush Hooks, Hatchets, Mattocks, Picks, etc.</t>
  </si>
  <si>
    <t>Balancers, Tool, Industrial</t>
  </si>
  <si>
    <t>Bits, Dies, Drivers, Reamers, Taps, etc., Hand Tools, Powered and Non-Powered</t>
  </si>
  <si>
    <t>Blades, Hand Saw, Non-Powered</t>
  </si>
  <si>
    <t>Blades: Handsaw, Powered, Circular, and Reciprocating, For Powered and Non-Powered Portable Saws</t>
  </si>
  <si>
    <t>Bricklaying Tools</t>
  </si>
  <si>
    <t>Caulking Guns, Putty Knives, Scrapers, etc.</t>
  </si>
  <si>
    <t>Carpet Laying Tools, Including Knee Pads</t>
  </si>
  <si>
    <t>Chisels, Drawknives, Planes, etc.</t>
  </si>
  <si>
    <t>Clamps: Bar, "C", Carriage, Hand, Spring, etc.; and Clamp Fixtures</t>
  </si>
  <si>
    <t>Concrete Tools and Accessories (Not Otherwise Classified)</t>
  </si>
  <si>
    <t>Copper and Tinsmith Tools and Equipment</t>
  </si>
  <si>
    <t>Cutters and Knives: Bolt, Burrs, Glass, Nippers, Pinchers, etc.</t>
  </si>
  <si>
    <t>Drills, Hand, Non-Powered: Braces, etc.</t>
  </si>
  <si>
    <t>Drills, Hand, Portable, Powered, Automatic</t>
  </si>
  <si>
    <t>Extractors, Pullers, and Inserters</t>
  </si>
  <si>
    <t>Fastening Tools: Nailing Machines, Staplers, Tackers, etc.</t>
  </si>
  <si>
    <t>Files and Rasps</t>
  </si>
  <si>
    <t>Fireplace Components: Flues, Grates, Tools, Stokers, etc. (Inactive, please see commodity code 150-32 effective January 1, 2016)</t>
  </si>
  <si>
    <t>Gauges: Feeler, Sheet Metal, Spark Plugs, Wire Size, etc.</t>
  </si>
  <si>
    <t>Guns, Heat</t>
  </si>
  <si>
    <t>Hammers, Mallets, Crow Bars, Pinch Bars, Pry Bars, Ripping Bars, Sledges, Wrecking Bars, All Types</t>
  </si>
  <si>
    <t>Hand Tools (Not Otherwise Classified)</t>
  </si>
  <si>
    <t>Handles, Tool, All Kinds (See 285-30 for Dielectric Handles)</t>
  </si>
  <si>
    <t>Hazardous Material Equipment, Tools and Supplies</t>
  </si>
  <si>
    <t>Knives, Utility and Pen, All Types and Accessories</t>
  </si>
  <si>
    <t>Hoes, Leaf Loaders, Rakes, Weed Cutters, etc.</t>
  </si>
  <si>
    <t>Hooks</t>
  </si>
  <si>
    <t>Leather and Canvas Aprons and Tool Pouches, Carpenter's and Electrician's</t>
  </si>
  <si>
    <t>Levels, Chalk Lines, Chalk Line Refills, etc.</t>
  </si>
  <si>
    <t>Mitre Boxes</t>
  </si>
  <si>
    <t>Mirrors, Inspection Type</t>
  </si>
  <si>
    <t>Punches, Etchers, Marking Tools, Nail Sets, Scratch Awls, etc.</t>
  </si>
  <si>
    <t>Presses, Hand Type</t>
  </si>
  <si>
    <t>Pick-up Tools, Magnetic</t>
  </si>
  <si>
    <t>Pliers, All Kinds, Except Stock Tagging)</t>
  </si>
  <si>
    <t>Planers, Wood</t>
  </si>
  <si>
    <t>Posthole Diggers, Earth Augers, etc., Including Utility Probes for Testing Digging Sites</t>
  </si>
  <si>
    <t>Re-Toothing Machines, Hand Saw</t>
  </si>
  <si>
    <t>Rules, Squares, and Tapes, Carpenter, etc.)</t>
  </si>
  <si>
    <t>Saws (Non-Powered): Hack, Keyhole, Pruning, Pole, etc.</t>
  </si>
  <si>
    <t>Saws, Hand, Portable, Powered</t>
  </si>
  <si>
    <t>Scoops, Shovels, Spades, Spading Forks, etc., Including Entrenching Tools</t>
  </si>
  <si>
    <t>Scrapers, Chipping and Sealing</t>
  </si>
  <si>
    <t>Scrapers, Ice and Snow (See Class 765 For Motorized Type)</t>
  </si>
  <si>
    <t>Screwdrivers, All Kinds</t>
  </si>
  <si>
    <t>Shaft Machines, Flexible, Powered</t>
  </si>
  <si>
    <t>Snips: Metal, Tin, etc.</t>
  </si>
  <si>
    <t>Soldering Coppers, Guns, Irons, etc.</t>
  </si>
  <si>
    <t>Stud Finder Tool</t>
  </si>
  <si>
    <t>Steel Figures and Letters, Stamping</t>
  </si>
  <si>
    <t>Thread Cutters (See 670-15 for Pipe Threader)</t>
  </si>
  <si>
    <t>Tool Lathe, Quick-Change Type</t>
  </si>
  <si>
    <t>Tool Boxes, Cabinets, and Chests (See Class 065 For Truck Tool Compartment Boxes)</t>
  </si>
  <si>
    <t>Tools, Machinist</t>
  </si>
  <si>
    <t>Tool Holders, Collets, etc., (See 445-45 for Tool Pouches)</t>
  </si>
  <si>
    <t>Tool Sets, All Kinds</t>
  </si>
  <si>
    <t>Tree and Pole Climbing Equipment</t>
  </si>
  <si>
    <t>Trowels and Floats, All Kinds</t>
  </si>
  <si>
    <t>Upholstery Tools (Inactive, effective January 1, 2016)</t>
  </si>
  <si>
    <t>Vises, All Kinds</t>
  </si>
  <si>
    <t>Winches, (Not Otherwise Classified)</t>
  </si>
  <si>
    <t>Wrenches, All Kinds, Including Sockets</t>
  </si>
  <si>
    <t>Recycled Hand Tools</t>
  </si>
  <si>
    <t>HARDWARE AND RELATED ITEMS</t>
  </si>
  <si>
    <t>Adhesives and Sealants (Not Otherwise Classified)</t>
  </si>
  <si>
    <t>Adhesives, Rubber and Silicone</t>
  </si>
  <si>
    <t>Adhesives: Glue and Glue Guns, Gum, Paste, etc.</t>
  </si>
  <si>
    <t>Baling Wire and Ties</t>
  </si>
  <si>
    <t>Barrel or Drum Stands</t>
  </si>
  <si>
    <t>*Batteries, Dry Cell, Except Communications Radio and Electronic</t>
  </si>
  <si>
    <t>Battery Chargers</t>
  </si>
  <si>
    <t>Bins, Cabinets, and Shelves, Metal, Not Office Type</t>
  </si>
  <si>
    <t>Bins, Cabinets, and Shelves, Wood, Not Office Type</t>
  </si>
  <si>
    <t>Bins, Cabinets, and Shelves, Other than Metal or Wood, Not Office Type</t>
  </si>
  <si>
    <t>Blocks: Snatch, Tackle, etc.</t>
  </si>
  <si>
    <t>Blow Torches, Furnaces, Ladles, Melting Pots, etc.</t>
  </si>
  <si>
    <t>Cabinets, Safety, Flammable Liquids, etc.</t>
  </si>
  <si>
    <t>Camping and Outdoor Equipment: Camp Stoves, Cots, Lanterns (See 450-32 for Battery Types), Mantles, Sleeping Bags, Stools, Tarpaulins and Tents</t>
  </si>
  <si>
    <t>Casters, All Types</t>
  </si>
  <si>
    <t>Cans, Safety: Gasoline, Kerosene, Oil, etc.</t>
  </si>
  <si>
    <t>Cans, Buckets, and Lids, General Purpose, Including Paint Cans and Buckets</t>
  </si>
  <si>
    <t>Chain Hooks, Links, Cold Shuts, Shackles, Slips, etc.</t>
  </si>
  <si>
    <t>Cans, Food and Beverage Packaging</t>
  </si>
  <si>
    <t>Chain, All Types: Coil, Link, Machine, Sash, Tow, Weldless, etc.</t>
  </si>
  <si>
    <t>Cloth, Hardware</t>
  </si>
  <si>
    <t>Coasters and Cups, Furniture</t>
  </si>
  <si>
    <t>Cords and Ropes Including Accessories: Cotton, Manila, Nylon, Sisal, etc.</t>
  </si>
  <si>
    <t>Cords, Power, Electrical</t>
  </si>
  <si>
    <t>Door Closers, Escutcheons, Eyes, Hangers, Holders, Overhead and Sliding Door Hardware, Panic Hardware, Thresholds, etc.</t>
  </si>
  <si>
    <t>Drawer Glides, Rollers, Tracks, etc.</t>
  </si>
  <si>
    <t>Electric Fence Controllers and Accessories</t>
  </si>
  <si>
    <t>Flashlights and Spotlights, Security Type</t>
  </si>
  <si>
    <t>Flashlights and Lanterns, Battery Type, (See 450-15 for Fuel Types)</t>
  </si>
  <si>
    <t>Funnels and Spouts, All Types, Except Glass</t>
  </si>
  <si>
    <t>Garbage Cans, Containers and Racks</t>
  </si>
  <si>
    <t>Glides, Furniture  (Inactive, please see commodity code 450-36 effective January 1, 2016)</t>
  </si>
  <si>
    <t>Hasps, Hinges, Hooks, Knobs, Latches, Pulls, Shelf Brackets, Swivels, Furniture Glides, 070etc.</t>
  </si>
  <si>
    <t>Hardware Accessories: Mounts, Patches, Plates, Seats, Shoes, Stays, etc.</t>
  </si>
  <si>
    <t>Heaters, Salamander Type</t>
  </si>
  <si>
    <t>Holders, Broom and Mop</t>
  </si>
  <si>
    <t>Horseshoes, Horseshoe Nails, Farrier Tools, and Blacksmith Tools</t>
  </si>
  <si>
    <t>Hardware and Related Items (Not Otherwise Classified)</t>
  </si>
  <si>
    <t>House and Building Numbers and Letters, All Kinds</t>
  </si>
  <si>
    <t>Ice Chests, Portable, Thermos Bottles, etc.</t>
  </si>
  <si>
    <t>Incinerators, Industrial</t>
  </si>
  <si>
    <t>Knives, Pocket</t>
  </si>
  <si>
    <t>Ladders, Fiberglass, All Types (See Class 340 for Fire Ladders)</t>
  </si>
  <si>
    <t>Ladders, Metal, All Types (See Class 340 for Fire Ladders)</t>
  </si>
  <si>
    <t>Ladders, Wood, All Types (See Class 340 for Fire Ladders)</t>
  </si>
  <si>
    <t>Ladders, Extension, (See Class 340 for Fire Ladders)</t>
  </si>
  <si>
    <t>Loadbinders and Tie Downs</t>
  </si>
  <si>
    <t>Levelers and Jacks for Ladders</t>
  </si>
  <si>
    <t>Locks, Key Blanks, and Locksmith Tools, Including Time Locks</t>
  </si>
  <si>
    <t>Machine Finishing Compounds, Layout Fluids, etc., For Metals</t>
  </si>
  <si>
    <t>Mailboxes and Supports</t>
  </si>
  <si>
    <t>Nails, Brads, Concrete Nails, Masonry Nails, Spikes, Staples, Tacks, etc. (See 559-79 for Railroad Track Spikes)</t>
  </si>
  <si>
    <t>Measuring Devices for Cable, Hose, Rope, etc.</t>
  </si>
  <si>
    <t>Oilers, Hand</t>
  </si>
  <si>
    <t>Pails, Buckets, Tubs, etc. (See 450-34 and 450-87 for Other Types)</t>
  </si>
  <si>
    <t>Pads, Equipment Foundation, All Types, Including Recycled Type</t>
  </si>
  <si>
    <t>Pulleys and Sheaves</t>
  </si>
  <si>
    <t>Recycled Hardware and Rubber Products</t>
  </si>
  <si>
    <t>Refuse Carts, Chutes, Containers, and Holders (Commercial)</t>
  </si>
  <si>
    <t>Rope Slings, Halyards and Lanyards (See 765-93 for Wire Rope)</t>
  </si>
  <si>
    <t>Rubbish Burners</t>
  </si>
  <si>
    <t>Rubber, Not Recapping or Tire, Including Structural Rubber Shapes</t>
  </si>
  <si>
    <t>Rubber, Scrap or Waste</t>
  </si>
  <si>
    <t>Sash and Window Hardware, (See Class 150 For Casement Type)</t>
  </si>
  <si>
    <t>Scaffolding, Sectional, Including Work Platforms</t>
  </si>
  <si>
    <t>Security Seals</t>
  </si>
  <si>
    <t>Shaft Couplings, Flexible and Rigid</t>
  </si>
  <si>
    <t>Shutters, Inside and Outside Types (Inactive, please see commodity code 870-35 effective January 1, 2016)</t>
  </si>
  <si>
    <t>Solder and Babbitt Metals</t>
  </si>
  <si>
    <t>Tarpaulins and Tents, Commercial Weight (See 450-15 For Recreational Type), (See 065-84For Truck Body Type)</t>
  </si>
  <si>
    <t>Traps and Snares, Animal</t>
  </si>
  <si>
    <t>Steps, Portable</t>
  </si>
  <si>
    <t>Trench Braces and Column Clamps</t>
  </si>
  <si>
    <t>Tarpaulins, Large Scale Projects, Includes Installation</t>
  </si>
  <si>
    <t>Trunnions</t>
  </si>
  <si>
    <t>Water Repellents</t>
  </si>
  <si>
    <t>Water Bags, Cans, Jugs, and Kegs</t>
  </si>
  <si>
    <t>Wire and Accessories, Clothesline</t>
  </si>
  <si>
    <t>Wheelbarrows</t>
  </si>
  <si>
    <t>Wire Cloth, Screen, All Metals</t>
  </si>
  <si>
    <t>Wire, General Purpose Tying and Wrapping, Including Parts and Accessories</t>
  </si>
  <si>
    <t>Wire and Cable, Mechanical</t>
  </si>
  <si>
    <t>Wire Stretchers</t>
  </si>
  <si>
    <t>Wire, Non Electric, Iron, Steel, Nonferrous Metal</t>
  </si>
  <si>
    <t>HOSE, ACCESSORIES, AND SUPPLIES: INDUSTRIAL, COMMERCIAL, AND GARDEN</t>
  </si>
  <si>
    <t>Accessories, Hose, Hangers, Reels, etc.</t>
  </si>
  <si>
    <t>Acid/Chemical Hoses and Fittings</t>
  </si>
  <si>
    <t>Air Hoses and Fittings</t>
  </si>
  <si>
    <t>Fittings, Hose, Miscellaneous</t>
  </si>
  <si>
    <t>Fuel Hoses: Diesel, Gasoline, etc., Including Fittings</t>
  </si>
  <si>
    <t>Garden (Water) Hoses: Plastic and Rubber, Including Soaker Hose)</t>
  </si>
  <si>
    <t>Garden Hose Accessories: Bands, Couplings, Nozzles, Splicers, etc.</t>
  </si>
  <si>
    <t>Hoses, General Purpose</t>
  </si>
  <si>
    <t>Gaskets, Hose and Coupling</t>
  </si>
  <si>
    <t>Hose Fitting Machine</t>
  </si>
  <si>
    <t>Hot Water Hoses</t>
  </si>
  <si>
    <t>Hydraulic Hoses and Fittings (See 285-30 for Dielectric Hose and Fittings)</t>
  </si>
  <si>
    <t>Menders, Hose</t>
  </si>
  <si>
    <t>Linen Hoses</t>
  </si>
  <si>
    <t>Metallic Hoses and Fittings</t>
  </si>
  <si>
    <t>Mud Jack Hoses</t>
  </si>
  <si>
    <t>Recycled Hoses and Accessories</t>
  </si>
  <si>
    <t>Sand Blasting Hoses and Fittings</t>
  </si>
  <si>
    <t>Sewage and Sludge Pump Hoses</t>
  </si>
  <si>
    <t>Silicone Hoses</t>
  </si>
  <si>
    <t>Steam Hoses and Fittings</t>
  </si>
  <si>
    <t>Suction and Discharge Hoses and Fittings</t>
  </si>
  <si>
    <t>Water Hoses and Fittings, High Pressure</t>
  </si>
  <si>
    <t>Wire Reinforced Hoses</t>
  </si>
  <si>
    <t>HOSPITAL AND SURGICAL EQUIPMENT, INSTRUMENTS, AND SUPPLIES</t>
  </si>
  <si>
    <t>*Analyzer Equipment, Medical (Not Otherwise Classified)</t>
  </si>
  <si>
    <t>Anesthesia and Respiration Equipment, Hospital: Controls, Gauges, Outlets, Tents, Valves, Ventilators, etc.</t>
  </si>
  <si>
    <t>Angiocardiography, Angiography and Angioplasty Equipment and Supplies</t>
  </si>
  <si>
    <t>Biofeedback Equipment and Supplies</t>
  </si>
  <si>
    <t>Blood Cell Counters, Processors, Separators, and Accessories: IV Sets, etc.</t>
  </si>
  <si>
    <t>*Blood Chemistry Equipment, For Clotting Time, Blood Glucose, etc.</t>
  </si>
  <si>
    <t>Blood Oxygenators and Heat Exchangers</t>
  </si>
  <si>
    <t>Blood Pressure and Blood Flow Detection Equipment: Dopplers, Sphygmomanometers, Stethoscopes, etc.</t>
  </si>
  <si>
    <t>Cancer Equipment and Supplies, Including Chemotherapy and Radiation Equipment</t>
  </si>
  <si>
    <t>Cardiac Pacemakers, Heart Valves, Stents, etc.</t>
  </si>
  <si>
    <t>Cardiovascular Instrumentation: Defibrillators, Heart Pumps, Monitoring Equipment, etc.</t>
  </si>
  <si>
    <t>Clinical Forensic and Postmortem Equipment and Supplies (Not Otherwise Classified)</t>
  </si>
  <si>
    <t>Clinical Chemical Analysis Systems, Automatic: Colorimetric, Ion Electrode, Titrating, etc.</t>
  </si>
  <si>
    <t>Clinical Chemical Analysis Accessories: Clinical Centrifuges and Rotators, Fraction Collectors, Multiple Sample Dispensers, Spotters, etc.</t>
  </si>
  <si>
    <t>Cryosurgical Equipment</t>
  </si>
  <si>
    <t>*Diagnostic Equipment, Computerized: Plethysmographs, Spirometers, etc.</t>
  </si>
  <si>
    <t>Diagnostic Equipment, Minor: Headlights, Penlights, Percussion Hammers, Specula, Tourniquets (Blood Pressure), Tuning Forks, etc.</t>
  </si>
  <si>
    <t>Diagnostic and Surgical Equipment, Optical and Fiber Optics: Arthroscopes, Bronchoscopes, Colonoscopes, Endoscopes, Proctoscopes, etc.</t>
  </si>
  <si>
    <t>Diagnostic Equipment, Electronic (Not Otherwise Classified)</t>
  </si>
  <si>
    <t>Diathermy and Ultrasonic Equipment, For Diagnostic and Therapeutic Services)</t>
  </si>
  <si>
    <t>Electrical Safety Analyzers, For Current Leakage Detection)</t>
  </si>
  <si>
    <t>Electrocardiographs (EKG) and Supplies</t>
  </si>
  <si>
    <t>Electroencephalographs (EEG) and Supplies</t>
  </si>
  <si>
    <t>Electrosurgical and Laser Surgery Instruments and Accessories</t>
  </si>
  <si>
    <t>Eye, Ear, Nose, and Throat Equipment, Hand Held: Laryngoscopes, Ophthalmoscopes, Otoscopes, Retinoscopes, etc.</t>
  </si>
  <si>
    <t>Fertility, Sterility, and Impotence Equipment and Supplies</t>
  </si>
  <si>
    <t>Freezers and Refrigerators, Blood Bank Type</t>
  </si>
  <si>
    <t>Hemodialysis Equipment and Accessories</t>
  </si>
  <si>
    <t xml:space="preserve"> Hospital and Surgical Equipment and Accessories (Not Otherwise Classified)                                                                                                                                                                               </t>
  </si>
  <si>
    <t>Housekeeping Equipment and Supplies, Specialized, Hospitals, Including Chemicals</t>
  </si>
  <si>
    <t>Hypothermia Systems Equipment and Supplies</t>
  </si>
  <si>
    <t>Injection Guns, Jet Injectors, Including Parts and Accessories</t>
  </si>
  <si>
    <t>Intravenous and Arterial Infusion Equipment and Supplies (Not Otherwise Classified)</t>
  </si>
  <si>
    <t>Lavage Systems and Accessories for Treatment of Wounds</t>
  </si>
  <si>
    <t>Lithotripters, For Breaking Kidney and Other Stones</t>
  </si>
  <si>
    <t>Lamps, Examining and Surgical (See Item 23 For Headlights)</t>
  </si>
  <si>
    <t>Monitoring Systems, All Types, Hospital and Patient</t>
  </si>
  <si>
    <t>Mortuary and Morgue Equipment and Supplies: Embalming Fluid, Embalming Pumps, Injectors, etc. (See 410-42 for Furniture; 475-73 for Cadaver Bags and Shrouds; 495-82 for Scales)</t>
  </si>
  <si>
    <t>Nursery Supplies: Infant Measuring Devices, etc. (See Class 410 For Incubators)</t>
  </si>
  <si>
    <t>Operating Room Equipment, Not Furniture</t>
  </si>
  <si>
    <t>Obstetrical and Gynecological Equipment and Supplies</t>
  </si>
  <si>
    <t>Organ Preservation Equipment: Perfusion Chambers, etc.</t>
  </si>
  <si>
    <t>Orthopedic Equipment: Bone Plates, Bone Saws, Cast Cutters, Drills, Nails, Pins, Prosthetic Bones and Joints, Screws, etc.</t>
  </si>
  <si>
    <t>Pads and Pumping Systems, Alternating Pressure Point</t>
  </si>
  <si>
    <t>Pads and Systems, Fluid Circulating, Cooling and Warming</t>
  </si>
  <si>
    <t>Pads, Heating, Standard Type</t>
  </si>
  <si>
    <t>Plastic or Reconstructive Surgery Equipment and Supplies</t>
  </si>
  <si>
    <t>Pharmacy Equipment, Dispensers and Accessories</t>
  </si>
  <si>
    <t>Physical Therapy Equipment and Supplies</t>
  </si>
  <si>
    <t>Pulmonary Equipment and Supplies</t>
  </si>
  <si>
    <t>Pumps, Hospital: Breast, Enteral and IV Feeding, Infusion, Pressure, Suction (Aspirators), and Vacuum</t>
  </si>
  <si>
    <t>Psychologist and Psychiatrist Equipment and Supplies</t>
  </si>
  <si>
    <t>Robotics, Surgical</t>
  </si>
  <si>
    <t>Recycled Hospital and Surgical Equipment</t>
  </si>
  <si>
    <t>Rehabilitation Equipment and Supplies, For Hydrotherapy, Physiotherapy, Phototherapy, etc.</t>
  </si>
  <si>
    <t>Repair Kits, Hospital and Medical Equipment</t>
  </si>
  <si>
    <t>Shield, Protective, Surgical</t>
  </si>
  <si>
    <t>Shock Treatment Units and Accessories</t>
  </si>
  <si>
    <t>Splints and Tourniquets</t>
  </si>
  <si>
    <t>Sterilizing Equipment, Hospital and Research: Autoclaves and Sterilizers, Chemical, Dry Heat, Gas, Steam, etc.</t>
  </si>
  <si>
    <t>Stress Relief and Test Equipment</t>
  </si>
  <si>
    <t>Surgical Instruments, Floor Grade</t>
  </si>
  <si>
    <t>Surgical Instruments, Operating Room Grade</t>
  </si>
  <si>
    <t>Medical Valves</t>
  </si>
  <si>
    <t>Vaporizers, Humidifiers, and Nebulizers (Including Room Size)</t>
  </si>
  <si>
    <t>Warming Cabinets, For Blood, IV Solutions, etc.</t>
  </si>
  <si>
    <t>HOSPITAL, NURSING HOME OR RESIDENTIAL SPECIALIZED EQUIPMENT FOR THE DISABLED</t>
  </si>
  <si>
    <t>*Alarm and Warning Devices, Hospitals or Nursing Homes</t>
  </si>
  <si>
    <t>Ambulance Cots and Stretchers, Including, Shifting Boards</t>
  </si>
  <si>
    <t>Anatomical Braces and Supports: Arm Slings, Back Supports, Torso Supports, Neck Braces, Trusses, etc.</t>
  </si>
  <si>
    <t>Canes, Crutches, Gait Trainers, Walkers, etc.</t>
  </si>
  <si>
    <t>Commode Chairs and Shower Chairs</t>
  </si>
  <si>
    <t>*Communications Systems, For the Speech Impaired, Display Scanning Type</t>
  </si>
  <si>
    <t>Fracture Frames, Traction Apparatus, Trapeze Bars, etc.</t>
  </si>
  <si>
    <t>Hospital and Surgical Equipment and Accessories (Not Otherwise Classified)</t>
  </si>
  <si>
    <t>Lifting Devices, Patient</t>
  </si>
  <si>
    <t>Orientation or Navigational Aids for the Disabled</t>
  </si>
  <si>
    <t>Page Turners</t>
  </si>
  <si>
    <t>Personal Care Devices for the Disabled (Not Otherwise Classified)</t>
  </si>
  <si>
    <t>Recycled Mobility, Speech Impaired and Restraint Items</t>
  </si>
  <si>
    <t>Restraint and Protection Items: Crib Nets, Foam Helmets, Jackets, Mittens, Wristlets, etc.</t>
  </si>
  <si>
    <t>*Robots for Assisting Disabled Persons</t>
  </si>
  <si>
    <t>Specialized Cooking and Housekeeping Aids for the Disabled</t>
  </si>
  <si>
    <t>Specialized Mobility Items: Gridlock or Other Devices for Wheelchair Mobility in Sand, Tricycles, etc. (See 470-80 For Wheelchairs)</t>
  </si>
  <si>
    <t>*Speech Synthesizers</t>
  </si>
  <si>
    <t>Training and Recreational Aids for the Disabled</t>
  </si>
  <si>
    <t>Vision Impaired Mobility Devices and Equipment</t>
  </si>
  <si>
    <t>Wheelchairs, Including Mobile Treatment Chairs</t>
  </si>
  <si>
    <t>Wheelchair Lifting Devices and Accessories, Other than Vehicle Type</t>
  </si>
  <si>
    <t>Wheeled Stretchers</t>
  </si>
  <si>
    <t>HOSPITAL, SURGICAL, AND MEDICAL RELATED ACCESSORIES AND SUNDRY ITEMS</t>
  </si>
  <si>
    <t>Apnea Equipment and Supplies, Sleep</t>
  </si>
  <si>
    <t>Atomizers and Nebulizers, Pocket Size</t>
  </si>
  <si>
    <t>Bags, Physician and Nurse</t>
  </si>
  <si>
    <t>Bandages (All Types): Adhesive Tapes, Dressings, Plaster of Paris, and Surgical Gauze (Including Casts)</t>
  </si>
  <si>
    <t>Bath Systems Complete, Patient</t>
  </si>
  <si>
    <t>Blades and Handles, Surgeons'</t>
  </si>
  <si>
    <t>Body Parts for Transplanting, Artificial and Human</t>
  </si>
  <si>
    <t>Brush-Sponges, Scrub Brushes, and Dispensers</t>
  </si>
  <si>
    <t>Brushes, Specialized, Instrument Cleaning: Tracheal Tube, etc.</t>
  </si>
  <si>
    <t>Catheters, IV: Around Needle, Inside Needle, and Winged Vein Sets</t>
  </si>
  <si>
    <t>Catheters and Urinary Drainage Systems, Plastic and Rubber</t>
  </si>
  <si>
    <t>Catheters, Specialized and Guide Wires</t>
  </si>
  <si>
    <t>Cement and Tape Remover, Surgical</t>
  </si>
  <si>
    <t>Cleaning Equipment and Supplies, For Infectious Body Fluid</t>
  </si>
  <si>
    <t>Care Supplies, Patient (Not Otherwise Classified)</t>
  </si>
  <si>
    <t>Clips, Wound, Not for Use in Automatic Suturing Instruments</t>
  </si>
  <si>
    <t>Collection Systems, Suction, Disposable</t>
  </si>
  <si>
    <t>Crushers and Cutters, Tablet</t>
  </si>
  <si>
    <t>Cotton and Rayon, Surgical, Dry or Impregnated With Germicide)Applicators, Balls, Padding, Swabs, etc.</t>
  </si>
  <si>
    <t>Debridement Products and Supplies</t>
  </si>
  <si>
    <t>*Diabetes Test Kits, Including Syringes</t>
  </si>
  <si>
    <t>Decubitus Pads: Sheepskin Shearlings, Synthetics, etc.</t>
  </si>
  <si>
    <t>Dispensers, Hospital (Not Otherwise Classified)</t>
  </si>
  <si>
    <t>Disposals, Sanitary Napkin</t>
  </si>
  <si>
    <t>Dermatome Blades, Cement, and Tape</t>
  </si>
  <si>
    <t>Disposal Systems, Non-reusable: Blades, Hospital Waste Containers, Needles, Syringes, etc.</t>
  </si>
  <si>
    <t>Electrodes, Grounding Pads, Lead Wires, and Electrode Gel, For Monitoring Devices, Disposable</t>
  </si>
  <si>
    <t>Glassware: Bottles, Prescription and Nursing; Glasses, Medicine; Jars, Ointment and Dressing; Vials, Medicine, Specimen, etc.</t>
  </si>
  <si>
    <t>Emergency Medical Services (EMS) Equipment and Supplies: Response Kits, Life Support Kits, Trauma Kits, etc.</t>
  </si>
  <si>
    <t>Glove Powder and Detergents</t>
  </si>
  <si>
    <t>Grafts and Implants, External</t>
  </si>
  <si>
    <t>Gloves and Finger Cots, Medical Type</t>
  </si>
  <si>
    <t>Grafts and Implants, Internal</t>
  </si>
  <si>
    <t>Height Measurement Devices</t>
  </si>
  <si>
    <t>Hosiery, Orthopedic and Surgical</t>
  </si>
  <si>
    <t>Hospital Tubing and Accessories, All Types</t>
  </si>
  <si>
    <t>Identification Supplies, Patient</t>
  </si>
  <si>
    <t>Instrument Cleaners: Instrument Milk, Detergents, Lubricants, Rust Inhibitors, etc.</t>
  </si>
  <si>
    <t>Instructional Aids and Training Programs, Medical (See Class 345 and/or Class 785 for Manikins and Models)</t>
  </si>
  <si>
    <t>Lancets, Blood</t>
  </si>
  <si>
    <t>Lymphatic Equipment and Supplies, Mapping, Navigator, etc.</t>
  </si>
  <si>
    <t>Medical Ergonomic Instruments and Equipment</t>
  </si>
  <si>
    <t>Medical I.D. Bracelets, Tags, etc., for Hospital Patients and Medical Emergency</t>
  </si>
  <si>
    <t>Medical Documentation Forms, Charts, Labels, etc.</t>
  </si>
  <si>
    <t>Medical Examination Equipment and Supplies (Not Otherwise Classified)</t>
  </si>
  <si>
    <t>Needles, Specialized: Amniocentesis Type, Biopsy, Spinal, Surgical, etc.</t>
  </si>
  <si>
    <t>Operating and Examining Apparel, Disposable: Capes, Caps, Examination Paper, Gowns, Masks, etc.</t>
  </si>
  <si>
    <t>Ostomy Care Products</t>
  </si>
  <si>
    <t>Paper Goods: Diapers, Medication Blister Cards, Pillow Cases, Sheets, Wiping Tissues, etc.</t>
  </si>
  <si>
    <t>Pads, Sterile, Impregnated, For Topical Applications</t>
  </si>
  <si>
    <t>Packs, Pads, and Drapes, Surgical: Lap Sponges, OB Pads, etc.</t>
  </si>
  <si>
    <t>Personal Items: Applicators, Corn Plasters, Safety Pins, Suspensories, Tongue Blades, etc.</t>
  </si>
  <si>
    <t>Paramedic Equipment and Supplies (Not Otherwise Classified)</t>
  </si>
  <si>
    <t>Pharmaceutical Equipment and Supplies (Not Otherwise Classified)</t>
  </si>
  <si>
    <t>Plastic Ware: Bottles; Prescription and Nursing; Cups, Medicine; Jars, Ointment and Dressing; Vials, Medicine; Specimen, Sickness Bags, etc.</t>
  </si>
  <si>
    <t>Protective Wall and Corner Guards Installed in Health and Nursing Facilities, For Patients Safety and Protection</t>
  </si>
  <si>
    <t>Recycled Hospital Accessories and Sundry Equipment and Supplies</t>
  </si>
  <si>
    <t>Rubber, Fabric, and Plastic Goods: Cadaver Bags and Shrouds, Ice Bags, Sheeting, Tubing, Water Bottles, etc.</t>
  </si>
  <si>
    <t>Sets, Procedural, Disposable: Catheter Care, Enema, Irrigation, Surgical Prep, Surgical Scrub, Suture Removal, Urine and Stool Collection Kits, etc.</t>
  </si>
  <si>
    <t>Stopcocks and Adapters, Reusable</t>
  </si>
  <si>
    <t>Stopcocks, Disposable</t>
  </si>
  <si>
    <t>Sterilizing, Sanitizing and Disinfecting Supplies: Biohazard Bags, Indicators, Sterilizing Tapes, Tubes, Wraps, etc.</t>
  </si>
  <si>
    <t>Sutures and Suturing Needles, Disposable, Including Skin Staplers, Skin Closures and Supplies</t>
  </si>
  <si>
    <t>Surgical Bougies, Sounds, Obturators, etc.</t>
  </si>
  <si>
    <t>Syringes and Needles, Hypodermic, Reusable</t>
  </si>
  <si>
    <t>Surgical Support Supplies Including Post-Surgery (Not Otherwise Classified)</t>
  </si>
  <si>
    <t>Syringes, Hypodermic and Irrigation, Disposable, and Hypodermic Needles</t>
  </si>
  <si>
    <t>Tissues, Body</t>
  </si>
  <si>
    <t>Trauma Packs and Kits</t>
  </si>
  <si>
    <t>Thermometers, Clinical; Sheaths and Dispensers, Including Electronic</t>
  </si>
  <si>
    <t>Trays, Preparation</t>
  </si>
  <si>
    <t>Tracheotomy Equipment and Accessories, Including Tracheal Tubes, Masks, etc.</t>
  </si>
  <si>
    <t>Utensils, Sickroom: Aluminum, Enamelware, Stainless Steel, etc., Bed Pans, etc.) (Inactive, please see commodity code 475-90 effective January 1, 2016)</t>
  </si>
  <si>
    <t>Utensils, Sickroom, Fiber: Bed Pans, Preparation Trays, Pill Bottles, etc.(Inactive, please see commodity code 475-90 effective January 1, 2016)</t>
  </si>
  <si>
    <t>Utensils, Sickroom, Aluminum, Enamelware, Fiber, Stainless Steel, Plastic, Bed Pans, etc.</t>
  </si>
  <si>
    <t>Vaccination Needles and Devices, Including Immunology Equipment</t>
  </si>
  <si>
    <t>Vacuum Blood-Collecting Sets, Tubes, Tube-Holders and Needles</t>
  </si>
  <si>
    <t>Vaginal Speculums and Dilators, Disposable</t>
  </si>
  <si>
    <t>JANITORIAL SUPPLIES, GENERAL LINE</t>
  </si>
  <si>
    <t>Ammonia and Other Chemicals, Household, Plain or Sudsing</t>
  </si>
  <si>
    <t>Animal Cage Cleaning Compound</t>
  </si>
  <si>
    <t>Adhesive Removers</t>
  </si>
  <si>
    <t>Applicators, Floor Finish, All Types, Except Brushes</t>
  </si>
  <si>
    <t>Bags and Liners, Plastic: Garbage Can Liners, Janitor Cart Liners, Linen Hamper Liners, Litter Bags, Polyethylene Bags, etc., Including Biodegradable</t>
  </si>
  <si>
    <t>Bottles, Glass, (For Cleaners, Detergents, and Janitorial Supplies</t>
  </si>
  <si>
    <t>Bottles, Plastic, For Cleaners, Detergents, and Janitorial Supplies</t>
  </si>
  <si>
    <t>Brush Cleaner</t>
  </si>
  <si>
    <t>Brooms, Brushes, and Handles</t>
  </si>
  <si>
    <t>Cleaner and Detergent, Paste and Tablets</t>
  </si>
  <si>
    <t>Cleaner and Polish, Metal, Brass, Stainless Steel, etc.</t>
  </si>
  <si>
    <t>Cleaner, Hand and Skin, Synthetic Detergent Type (See 435-68, 70 for Skin Cleaners for Health Care Personnel</t>
  </si>
  <si>
    <t>Cleaner, Hand, Mechanics' Waterless</t>
  </si>
  <si>
    <t>Cleaner and Polish, Plastic</t>
  </si>
  <si>
    <t>Cleaner, Hard Products, General Purpose, Liquid, Including Graffiti Cleaners</t>
  </si>
  <si>
    <t>Cleaner and Polish, Wood</t>
  </si>
  <si>
    <t>Cleaner, Heavy Duty Degreaser, Including Oven Cleaners</t>
  </si>
  <si>
    <t>Cleaner/Remover, Lead-Based Debris</t>
  </si>
  <si>
    <t>Cleaner and Polish for Marble, Masonry, Porcelain, etc.</t>
  </si>
  <si>
    <t>Cleaner, Spray</t>
  </si>
  <si>
    <t>Cleaner, Sewer, Septic Tank, and Waste Pipe, Acid and Caustic Types, Including  Drain Openers</t>
  </si>
  <si>
    <t>Cleaner, Sewer, Septic Tank, and Waste Pipe, Aerobic Bacteria and Fungi Type</t>
  </si>
  <si>
    <t>Cleaner, Tile and Grout</t>
  </si>
  <si>
    <t>Cleaner, Toilet Bowl, Granular and Liquid</t>
  </si>
  <si>
    <t>Cleaner, Vinyl, Upholstery</t>
  </si>
  <si>
    <t>Cleaner and Wax: Window, Mirror, and Glass</t>
  </si>
  <si>
    <t>Cleanser, Powdered, Chlorinated</t>
  </si>
  <si>
    <t>Deodorant Blocks, All Types</t>
  </si>
  <si>
    <t>Deodorants for Portable Toilets, Including Ozone Air Freshener Type</t>
  </si>
  <si>
    <t>Deodorants, Room, All Types</t>
  </si>
  <si>
    <t>Deodorants, Industrial</t>
  </si>
  <si>
    <t>Detergent, Steam and Hot Water Spray Cleaning</t>
  </si>
  <si>
    <t>Detergent, Car Washing, Cold Water Type</t>
  </si>
  <si>
    <t>Detergent-Disinfectant, Washroom Type, Liquid and Aerosol (See Class 435 for Health Care and 505 for Laundry Type)</t>
  </si>
  <si>
    <t>Dishwashing Compounds, Hand and Machine Type, Including Rinse Solutions</t>
  </si>
  <si>
    <t>Disinfectants, Spray and Powdered</t>
  </si>
  <si>
    <t>Disinfectants, Pine Oil</t>
  </si>
  <si>
    <t>Dispensers, Lotion and Soap, Including Waterless Soap Dispenser</t>
  </si>
  <si>
    <t>Dispensers, For Metered Aerosol Deodorants, Air Sanitizers, and Insecticides, AC and DC Models</t>
  </si>
  <si>
    <t>Dispensers and Holders, For Cleaning Rags, Paper Towels, Toilet Tissue, and Toilet Seat Covers</t>
  </si>
  <si>
    <t>Dispensers, For Sanitary Napkins and Tampons</t>
  </si>
  <si>
    <t>Door Mats, All Types</t>
  </si>
  <si>
    <t>Dry Powder Processing Machine, For the Production and Packaging of Powder Soap</t>
  </si>
  <si>
    <t>Dusting Cloths, Treated</t>
  </si>
  <si>
    <t>Dusters: Feather, Lambs Wool, Split, etc.</t>
  </si>
  <si>
    <t>Floor Polishes and Waxes, Floor Sealer, and Dust Mop Treating Compound</t>
  </si>
  <si>
    <t>Floor Stripper and Cleaners</t>
  </si>
  <si>
    <t>Floor Sweeping Compound and Oil</t>
  </si>
  <si>
    <t>Fly-Swatters</t>
  </si>
  <si>
    <t>Furniture Polish</t>
  </si>
  <si>
    <t>Insect Control Units, Chemical or Electric, Lures and Traps</t>
  </si>
  <si>
    <t>Insecticides and Repellents, Household</t>
  </si>
  <si>
    <t>Insecticide Spraying Equipment, Household</t>
  </si>
  <si>
    <t>Janitor Carts and Bags</t>
  </si>
  <si>
    <t>Janitorial Equipment and Supplies (Not Otherwise Classified)</t>
  </si>
  <si>
    <t>Linen Hampers and Bags</t>
  </si>
  <si>
    <t>Litter Pickup Devices</t>
  </si>
  <si>
    <t>Mop Buckets, Wringers, Bucket Trucks, and Attachments</t>
  </si>
  <si>
    <t>Mops, Heads, and Handles, Dry and Treated Types</t>
  </si>
  <si>
    <t>Mops, Heads, and Handles, Wet Types</t>
  </si>
  <si>
    <t>Protectant, For Furniture, Carpet, Fabrics, etc.</t>
  </si>
  <si>
    <t>Oil, Chemical, and Hazardous Material Spill Absorbents, Cleaners, Neutralizers, and Pads, Including Microorganisms, Live; Peat Moss</t>
  </si>
  <si>
    <t>Receptacle Liners: Vinyl and Steel (See 665-24 For Plastic Type), Including Biodegradable</t>
  </si>
  <si>
    <t>Recycled Janitorial Supplies</t>
  </si>
  <si>
    <t>Rubber Cleaner</t>
  </si>
  <si>
    <t>Rug and Carpet Shampoo and Spot Remover, Including Deodorizes</t>
  </si>
  <si>
    <t>Dispensing Equipment, Chemical, Automatic</t>
  </si>
  <si>
    <t>Sand Urns, Filling Materials, Smoking Stands, Wall Mounted Ashtrays, and Cuspidors</t>
  </si>
  <si>
    <t>Sanitary Napkins and Tampons, Dispensable Type</t>
  </si>
  <si>
    <t>Sanitizing and Disinfecting Supplies, Janitorial</t>
  </si>
  <si>
    <t>Scale Remover, Acid Type Cleaners For Dishwashers, Steam Tables, etc.)</t>
  </si>
  <si>
    <t>Soap, Scrubbing Type (See 435-72 for Surgical Scrub)</t>
  </si>
  <si>
    <t>Soap, Hand: Bar, Liquid, and Powdered</t>
  </si>
  <si>
    <t>Soil Retardant, For Carpets, Rugs, etc.)</t>
  </si>
  <si>
    <t>Squeegees, Sponges, and Scrubbing Pad, For Manual Hard Surface Cleaning</t>
  </si>
  <si>
    <t>Stain Remover, Active Chlorine or Oxygen Type, For Coffee Urns, Plastic Dishes, etc.</t>
  </si>
  <si>
    <t>Stain Remover, Pet</t>
  </si>
  <si>
    <t>Waste Receptacles and Dust Pans</t>
  </si>
  <si>
    <t>JANITORIAL SUPPLIES, GENERAL LINE, ENVIRONMENTALLY CERTIFIED BY AN AGENCY ACCEPTED CERTIFICATION ENTITY</t>
  </si>
  <si>
    <t>Ammonia and Other Chemicals, Household, Plain or Sudsing, Environmentally Certified Products</t>
  </si>
  <si>
    <t>Animal Cage Cleaning Compound, Environmentally Certified Products</t>
  </si>
  <si>
    <t>Adhesive Removers, Environmentally Certified Products</t>
  </si>
  <si>
    <t>Applicators, Floor Finish, All Types, Except Brushes, Environmentally Certified Products</t>
  </si>
  <si>
    <t>Bottles, Glass, For Cleaners, Detergents, and Janitorial Supplies, Environmentally Certified Products</t>
  </si>
  <si>
    <t>Bottles, Plastic, For Cleaners, Detergents, and Janitorial Supplies, Environmentally Certified Products</t>
  </si>
  <si>
    <t>Brush Cleaner, Environmentally Certified Products</t>
  </si>
  <si>
    <t>Brooms, Brushes, and Handles, Environmentally Certified Products</t>
  </si>
  <si>
    <t>Cleaner and Detergent, Paste and Tablets, Environmentally Certified Products</t>
  </si>
  <si>
    <t>Cleaner and Polish, Metal, Brass, Stainless Steel, etc., Environmentally Certified Products</t>
  </si>
  <si>
    <t>Cleaner, Hand and Skin, Synthetic Detergent Type (See 435-68, 70 for Skin Cleaners for Health Care Personnel, Environmentally Certified Products</t>
  </si>
  <si>
    <t>Cleaner, Hand, Mechanics' Waterless, Environmentally Certified Products</t>
  </si>
  <si>
    <t>Cleaner and Polish, Plastic, Environmentally Certified Products</t>
  </si>
  <si>
    <t>Cleaner, Hard Products, General Purpose, Liquid, Including Graffiti Cleaners, Environmentally Certified Products</t>
  </si>
  <si>
    <t>Cleaner and Polish, Wood, Environmentally Certified Products</t>
  </si>
  <si>
    <t>Cleaner, Heavy Duty Degreaser, Including Oven Cleaners, Environmentally Certified Products</t>
  </si>
  <si>
    <t>Cleaner/Remover, Lead-Based Debris, Environmentally Certified Products</t>
  </si>
  <si>
    <t>Cleaner and Polish for Marble, Masonry, Porcelain, etc., Environmentally Certified Products</t>
  </si>
  <si>
    <t>Cleaner, Spray, Environmentally Certified Products</t>
  </si>
  <si>
    <t>Cleaner, Sewer, Septic Tank, and Waste Pipe, Acid and Caustic Types, Including Drain Openers, Environmentally Certified Products</t>
  </si>
  <si>
    <t>Cleaner, Sewer, Septic Tank, and Waste Pipe, Aerobic Bacteria and Fungi Type, Environmentally Certified Products</t>
  </si>
  <si>
    <t>Cleaner, Tile, Grout, and Concrete, Environmentally Certified Products</t>
  </si>
  <si>
    <t>Cleaner, Toilet Bowl, Granular and Liquid, Environmentally Certified Products</t>
  </si>
  <si>
    <t>Cleaner, Vinyl, Upholstery, Environmentally Certified Products</t>
  </si>
  <si>
    <t>Cleaner and Wax: Window, Mirror, and Glass, Environmentally Certified Products</t>
  </si>
  <si>
    <t>Cleanser, Powdered, Chlorinated, Environmentally Certified Products</t>
  </si>
  <si>
    <t>Deodorant Blocks, All Types, Environmentally Certified Products</t>
  </si>
  <si>
    <t>Deodorants for Portable Toilet, (Including Ozone Air Freshener Type, Environmentally Certified Products</t>
  </si>
  <si>
    <t>Deodorants, Room, All Types, Environmentally Certified Products</t>
  </si>
  <si>
    <t>Detergent, Steam and Hot Water Spray Cleaning, Environmentally Certified Product</t>
  </si>
  <si>
    <t>Detergent, Car Washing, Cold Water Type, Environmentally Certified Products</t>
  </si>
  <si>
    <t>Detergent-Disinfectant, Washroom Type, Liquid and Aerosol (See Class 435 for Health Care and 505 for Laundry Type), Environmentally Certified Products</t>
  </si>
  <si>
    <t>Dishwashing Compounds, Hand and Machine Type, Including Rinse Solutions, Environmentally Certified Products</t>
  </si>
  <si>
    <t>Disinfectants, Spray and Powdered, Environmentally Certified Products</t>
  </si>
  <si>
    <t>Disinfectants, Pine Oil, Environmentally Certified Products</t>
  </si>
  <si>
    <t>Dispensers, Lotion and Soap, Including Waterless Soap Dispenser, Environmentally Certified Products</t>
  </si>
  <si>
    <t>Dispensers (For Metered Aerosol Deodorants, Air Sanitizers, and Insecticides), AC and DC Models, Environmentally Certified Products</t>
  </si>
  <si>
    <t>Dispensers and Holders, For Cleaning Rags, Paper Towels, Toilet Tissue, and Toilet Seat Covers, Environmentally Certified Products</t>
  </si>
  <si>
    <t>Dispensers, For Sanitary Napkins and Tampons, Environmentally Certified Products</t>
  </si>
  <si>
    <t>Door Mats, All Types, Environmentally Certified Products</t>
  </si>
  <si>
    <t>Dry Powder Processing Machine, For the Production and Packaging of Powder Soap, Environmentally Certified Products</t>
  </si>
  <si>
    <t>Dusting Cloths, Treated, Environmentally Certified Products</t>
  </si>
  <si>
    <t>Dusters: Feather, Lambs Wool, Split, etc., Environmentally Certified Products</t>
  </si>
  <si>
    <t>Floor Polishes and Waxes, Floor Sealer, and Dust Mop Treating Compound, Environmentally Certified Products</t>
  </si>
  <si>
    <t>Floor Stripper and Cleaners, Environmentally Certified Products</t>
  </si>
  <si>
    <t>Floor Sweeping Compound and Oil, Environmentally Certified Products</t>
  </si>
  <si>
    <t>Fly-Swatters, Environmentally Certified Products</t>
  </si>
  <si>
    <t>Furniture Polish, Environmentally Certified Products</t>
  </si>
  <si>
    <t>Insect Control Units, Chemical or Electric, Lures and Traps, Environmentally Certified Products</t>
  </si>
  <si>
    <t>Insecticides and Repellents, Household, Environmentally Certified Products</t>
  </si>
  <si>
    <t>Insecticide Spraying Equipment, Household, Environmentally Certified Products</t>
  </si>
  <si>
    <t>Janitor Carts and Bags, Environmentally Certified Products</t>
  </si>
  <si>
    <t>Janitorial Equipment and Supplies (Not Otherwise Classified), Environmentally Certified Products</t>
  </si>
  <si>
    <t>Linen Hampers and Bags, Environmentally Certified Products</t>
  </si>
  <si>
    <t>Litter Pickup Devices, Environmentally Certified Products</t>
  </si>
  <si>
    <t>Mop Buckets, Wringers, Bucket Trucks, and Attachments, Environmentally Certified Products</t>
  </si>
  <si>
    <t>Mops, Heads, and Handles, Dry and Treated Types, Environmentally Certified Products</t>
  </si>
  <si>
    <t>Mops, Heads, and Handles, Wet Types, Environmentally Certified Products</t>
  </si>
  <si>
    <t>Protectant (For Furniture, Carpet, Fabrics, etc.), Environmentally Certified Products</t>
  </si>
  <si>
    <t>Oil, Chemical, and Hazardous Material Spill Absorbents, Cleaners, Neutralizers, and Pads (Including Microorganisms, Live; Peat Moss)), Environmentally Certified Products</t>
  </si>
  <si>
    <t>Receptacle Liners: Vinyl and Steel (See 665-24 For Plastic Type), Including Biodegradable, Environmentally Certified Products</t>
  </si>
  <si>
    <t>Recycled Janitorial Supplies, Environmentally Certified Products</t>
  </si>
  <si>
    <t>Rubber Cleaner, Environmentally Certified Products</t>
  </si>
  <si>
    <t>Rug and Carpet Shampoo and Spot Remover Including Deodorizers, Environmentally Certified Products</t>
  </si>
  <si>
    <t>Sand Urns, Filling Materials, Smoking Stands, Wall Mounted Ashtrays, and Cuspidors, Environmentally Certified Products</t>
  </si>
  <si>
    <t>Sanitary Napkins and Tampons, Dispensable Type, Environmentally Certified Products</t>
  </si>
  <si>
    <t>Sanitizing and Disinfecting Supplies, Janitorial, Environmentally Certified Products</t>
  </si>
  <si>
    <t>Scale Remover, Acid Type Cleaners For Dishwashers, Steam Tables, etc., Environmentally Certified Products</t>
  </si>
  <si>
    <t>Soap, Scrubbing Type (See 435-72 for Surgical Scrub), Environmentally Certified Products</t>
  </si>
  <si>
    <t>Soap, Hand: Bar, Liquid, and Powdered, Environmentally Certified Products</t>
  </si>
  <si>
    <t>Soil Retardant, For Carpets, Rugs, etc., Environmentally Certified Products</t>
  </si>
  <si>
    <t>Squeegees, Sponges, and Scrubbing Pads, For Manual Hard Surface Cleaning, Environmentally Certified Products</t>
  </si>
  <si>
    <t>Stain Remover, Active Chlorine or Oxygen Type, For Coffee Urns, Plastic Dishes, etc., Environmentally Certified Products</t>
  </si>
  <si>
    <t>Stain Remover, Pet, Environmentally Certified Products</t>
  </si>
  <si>
    <t>Waste Receptacles and Dust Pans, Environmentally Certified Products</t>
  </si>
  <si>
    <t>LABORATORY EQUIPMENT, ACCESSORIES AND SUPPLIES: GENERAL ANALYTICAL AND RESEARCH FOR NUCLEAR, OPTICAL, AND PHYSICAL</t>
  </si>
  <si>
    <t>Barometers and Manometers, Laboratory</t>
  </si>
  <si>
    <t>Cabinets, Safety, Laboratory</t>
  </si>
  <si>
    <t>Calorimeters and Accessories, Laboratory</t>
  </si>
  <si>
    <t>Centrifuges, Desk Top and Free Standing, Laboratory</t>
  </si>
  <si>
    <t>Cleaners, Ultrasonic, Laboratory ,</t>
  </si>
  <si>
    <t>Colorimeters, Reflectance, Laboratory</t>
  </si>
  <si>
    <t>Colorimeters, Optical, Comparators, Laboratory, (See Class 493 for Photoelectric Colorimeters)</t>
  </si>
  <si>
    <t>Crystallography Equipment and Supplies, Laboratory, (Not Otherwise Classified)</t>
  </si>
  <si>
    <t>Density Gradient Equipment, Laboratory: Fractionators, Mixers, etc.</t>
  </si>
  <si>
    <t>Dry Boxes and Glove Boxes, Laboratory</t>
  </si>
  <si>
    <t>Dynamometers, Laboratory, (See 075 For Automotive)</t>
  </si>
  <si>
    <t>Electron Microscopy Equipment, Laboratory: Electron Microscopes, Vacuum Sputtering Systems, etc.</t>
  </si>
  <si>
    <t>Electron Guns, Laboratory</t>
  </si>
  <si>
    <t>Environmental Test Chambers and Rooms, Laboratory</t>
  </si>
  <si>
    <t>Filters, Optical: IR Interference, etc., Laboratory</t>
  </si>
  <si>
    <t>Glassware Washing Apparatus, Laboratory</t>
  </si>
  <si>
    <t>High-Pressure Equipment and Accessories, Laboratory</t>
  </si>
  <si>
    <t>High Vacuum Fittings, Valves, Supplies, etc., Laboratory .</t>
  </si>
  <si>
    <t>Laboratory and Scientific Equipment and Supplies (Not Otherwise Classified)</t>
  </si>
  <si>
    <t>Lamps and Other Radiation Sources, Specialized, Laboratory, Cathode, Infrared, and Ultraviolet Lamps, etc.</t>
  </si>
  <si>
    <t>Liquid Scintillation Counting Systems, Laboratory</t>
  </si>
  <si>
    <t>Lasers, Masers, and Accessories, Laboratory</t>
  </si>
  <si>
    <t>Leak Detectors, Vacuum: Helium, Ultrasonic, etc., Laboratory</t>
  </si>
  <si>
    <t>Magnetic Equipment, Laboratory: Demagnetizers, Electromagnets, Fluxmeters, Gaussmeters, Magnetometers, etc.</t>
  </si>
  <si>
    <t>Mass Spectrometers and Accessories, Laboratory</t>
  </si>
  <si>
    <t>Micromanipulator, Laboratory ,</t>
  </si>
  <si>
    <t>Microscope Accessories: Adapters, Condensers, Filters, Illuminators, Lenses, etc., Laboratory</t>
  </si>
  <si>
    <t>Microscopes, All Types, (See 490-29 For Electron and See 465 For Operating Room)</t>
  </si>
  <si>
    <t>Natural Science Equipment and Supplies, Laboratory</t>
  </si>
  <si>
    <t>Nuclear Equipment and Accessories, Laboratory: Magnetic Shielding, Particle Accelerators, Counters (Research Type), Scintillating Crystals, etc.</t>
  </si>
  <si>
    <t>Nuclear Magnetic Resonance (NMR) Apparatus, Laboratory</t>
  </si>
  <si>
    <t>Nuclear Radiation Sources, Laboratory, Not for Medical Use</t>
  </si>
  <si>
    <t>Nuclear Safety Equipment and Supplies, Laboratory: Dosimeters, Film Badges, Lead Shielding, Radiation Monitors, Survey Meters, (See Class 832 For Warning Tape)</t>
  </si>
  <si>
    <t>Optical Laboratory Equipment: Beam Splitters, Choppers, Diffraction Gratings, Interferometers, Monochromators, Optical Benches and Tables, etc.</t>
  </si>
  <si>
    <t>Photometers, Reflectance, Laboratory</t>
  </si>
  <si>
    <t>Physics Equipment, Laboratory, (Not Otherwise Classified)</t>
  </si>
  <si>
    <t>Plasma Generators, Laboratory</t>
  </si>
  <si>
    <t>Plasticizers, Laboratory: Agriculture Oils, Glutarates, Phthalates, Polymerics, Sulfonamides, Etc.</t>
  </si>
  <si>
    <t>Pumps, Liquid, Laboratory: Metering, Peristaltic, Syringe, etc.</t>
  </si>
  <si>
    <t>Pumps, Vacuum and Pressure Vacuum, Laboratory</t>
  </si>
  <si>
    <t>Radioactive Waste Disposal Systems and Accessories, Laboratory</t>
  </si>
  <si>
    <t>Sorption Measurement Systems, Laboratory, For Surface Area of Fine Particles, etc.</t>
  </si>
  <si>
    <t>Semiconductor Devices, Laboratory</t>
  </si>
  <si>
    <t>Separators, Laboratory</t>
  </si>
  <si>
    <t>Spectrographs, Laboratory</t>
  </si>
  <si>
    <t>Spectrometers, Laboratory: Auger, Electron Energy Loss, X-Ray Frequency, etc. (See 490-55 For Mass Spectrometers)</t>
  </si>
  <si>
    <t>Spectroscopes, Direct Reading, Laboratory</t>
  </si>
  <si>
    <t>Testing Instruments, Laboratory, (Not Otherwise Classified)</t>
  </si>
  <si>
    <t>Thermal Analysis, Thermogravimetry, and Thermal Conductivity Apparatus, Laboratory</t>
  </si>
  <si>
    <t>Ultrasonic Equipment, Laboratory, Research: Ultrasound Interferometers, Pulse Generators, etc.</t>
  </si>
  <si>
    <t>Vibration Isolation Supports, Laboratory</t>
  </si>
  <si>
    <t>Vacuum Equipment, Laboratory, (Not Otherwise Classified)</t>
  </si>
  <si>
    <t>X-Ray Diffraction and Electron Diffraction Equipment, Laboratory</t>
  </si>
  <si>
    <t>Recycled Nuclear, Optical and Physical Laboratory Equipment and Supplies</t>
  </si>
  <si>
    <t>LABORATORY EQUIPMENT, ACCESSORIES, AND SUPPLIES: BIOCHEMISTRY, CHEMISTRY, ENVIRONMENTAL SCIENCE, ETC.</t>
  </si>
  <si>
    <t>*Air Quality Monitoring Equipment and Accessories, Laboratory, Including Ozone Type</t>
  </si>
  <si>
    <t>Airborne Bacteria and Virus Inactivation Equipment, Laboratory, Ozone Type</t>
  </si>
  <si>
    <t>Baths, Constant Temperature, Hot or Cold , Laboratory, Recirculating, Shaking, etc.</t>
  </si>
  <si>
    <t>Biochemical Research Equipment, Laboratory: DNA Synthesizers, Enzyme Analyzers, Respirometers, etc.</t>
  </si>
  <si>
    <t>Chemical Analysis Systems, Automated, Laboratory: Ion-Sensing Electrode, Micro-Kjeldahl, Titration, etc.</t>
  </si>
  <si>
    <t>Chemical Reactors, Laboratory: High Pressure, Autoclaves, Catalytic, Fluid-Bed, Photochemical, etc.</t>
  </si>
  <si>
    <t>*Chromatographs, Laboratory, Gas</t>
  </si>
  <si>
    <t>Chromatographs, Laboratory, Liquid: High-Performance (HPLC), Preparative, etc., and Major Accessories: Absorbance/Fluorescence Detectors and Monitors, etc.</t>
  </si>
  <si>
    <t>Colloids, Laboratory: Aerosols, Emulsions, Gels, Suspensions, etc.</t>
  </si>
  <si>
    <t>Combustion Analysis Equipment, Laboratory, Automatic, For Carbon, Nitrogen, Sulfur, etc.</t>
  </si>
  <si>
    <t>Densitometers, Laboratory, Scanning, Gel or Plate Scanners</t>
  </si>
  <si>
    <t>Deodorizers, Laboratory, Convection Type</t>
  </si>
  <si>
    <t>Deodorizers and Room Air Fresheners, Laboratory, Ozone. Portable</t>
  </si>
  <si>
    <t>Electrophoresis Equipment, Laboratory: Electrofocussing Cells, Gel Driers and Slicers, Power Supplies, etc.</t>
  </si>
  <si>
    <t>Entomological Equipment and Accessories, Laboratory, Insect Science</t>
  </si>
  <si>
    <t>Evaporators, Laboratory, Analytical, Air or Nitrogen Jet</t>
  </si>
  <si>
    <t>Evaporators, Laboratory, Vacuum: Flash, Rotating, etc.</t>
  </si>
  <si>
    <t>Fluorometers and Spectrofluorometers, Laboratory</t>
  </si>
  <si>
    <t>Freeze-Drying and Critical-Point Drying Apparatus, Laboratory</t>
  </si>
  <si>
    <t>Gas Analysis and Monitoring Equipment, Laboratory, For CO2 Oxygen, etc., in Gas Mixtures</t>
  </si>
  <si>
    <t>Gas Generating and Purifying Equipment, Laboratory: Hydrogen, Oxygen, Ozone, Pure Air, etc.</t>
  </si>
  <si>
    <t>Incubators, Laboratory, Bacteriological</t>
  </si>
  <si>
    <t>Ion Chromatographs, Laboratory, Including Parts and Accessories</t>
  </si>
  <si>
    <t>Odor Control Equipment, Laboratory, Duct Mount Ozonators</t>
  </si>
  <si>
    <t>Osmometers, Laboratory</t>
  </si>
  <si>
    <t>Photometers, Laboratory, Flame</t>
  </si>
  <si>
    <t>Photometers, Laboratory, Photoelectric, Colorimeters, Transmittance</t>
  </si>
  <si>
    <t>Polarimeters, Laboratory</t>
  </si>
  <si>
    <t>Polarographs, Laboratory</t>
  </si>
  <si>
    <t>Sample Collecting, Diluting and Multiple Dispensing Apparatus, Laboratory, Automatic: Pipetting Machines, etc.</t>
  </si>
  <si>
    <t>Sample Concentrators, Laboratory, For Multiple Samples, Vacuum Type</t>
  </si>
  <si>
    <t>Sample Preparation Systems, Laboratory</t>
  </si>
  <si>
    <t>Spectrometers, Laboratory, Emission, Argon Plasma and Conventional</t>
  </si>
  <si>
    <t>Spectrophotometers, Laboratory, Atomic Absorption</t>
  </si>
  <si>
    <t>Spectrophotometers, Laboratory, Infrared</t>
  </si>
  <si>
    <t>Spectrophotometers, Laboratory, Ultraviolet and Visible</t>
  </si>
  <si>
    <t>Tensiometers, Laboratory, For Surface Tension Measurements</t>
  </si>
  <si>
    <t>Tissue Disrupting, Grinding, and Homogenizing Equipment, Laboratory: Frozen Tissue Pulverizers, Ultrasonic Cell Disrupters, etc.</t>
  </si>
  <si>
    <t>Vacuum Still, Laboratory: Short Path, Spinning Band, etc.</t>
  </si>
  <si>
    <t>Water Quality Monitoring Equipment, Laboratory: BOD Analyzers, Turbidimeters, Well Samplers, etc.</t>
  </si>
  <si>
    <t>Recycled Biochemistry, Chemistry, and Environmental Science Equipment and Supplies, Laboratory</t>
  </si>
  <si>
    <t>LABORATORY AND FIELD EQUIPMENT AND SUPPLIES: BIOLOGY, BOTANY, GEOLOGY, MICROBIOLOGY, ZOOLOGY, ETC.</t>
  </si>
  <si>
    <t>Activity Cages, Mazes, and Other Animal Psychology Equipment</t>
  </si>
  <si>
    <t>Agricultural Science Equipment: Diffusive Resistance Meters, Leaf Porometers and Water Potential Measuring Equipment, Seed Counters and Germinators, Soil Sterilizers, etc.</t>
  </si>
  <si>
    <t>Amphibia For Laboratory Research, Preserved)</t>
  </si>
  <si>
    <t>Animal Cage and Rack Washing Equipment</t>
  </si>
  <si>
    <t>Animal Cages and Supplies, Including Litter, Laboratory</t>
  </si>
  <si>
    <t>Animals, Experimental, Not Specially Bred</t>
  </si>
  <si>
    <t>Animals, Experimental, Specially Bred or Selected (e.g., Albino Mice and Rats)</t>
  </si>
  <si>
    <t>Aquariums and Supplies</t>
  </si>
  <si>
    <t>Biology Equipment and Supplies (Not Otherwise Classified)</t>
  </si>
  <si>
    <t>Biology Specimens and Cultures, Except Microbial</t>
  </si>
  <si>
    <t>Biology Specimens and Cultures, Including Microbial: Complete Ecosystems, etc.</t>
  </si>
  <si>
    <t>Biotechnology and Clinical Equipment and Supplies</t>
  </si>
  <si>
    <t>Botanical Laboratory Equipment and Accessories</t>
  </si>
  <si>
    <t>Botany Specimens</t>
  </si>
  <si>
    <t>Breeding and Other Insect Equipment, Laboratory</t>
  </si>
  <si>
    <t>Cabinets and Cases, Storage, For Slides and Specimens</t>
  </si>
  <si>
    <t>Charts, Anatomical and Life Sciences</t>
  </si>
  <si>
    <t>Counters and Counting Chambers, For Bacterial Colonies, Blood Cells, etc.: Hemacytometers, etc.</t>
  </si>
  <si>
    <t>Cultures, Microbial, Living Organism</t>
  </si>
  <si>
    <t>Fermentation Equipment: Chemostats, Chemotaxis Chambers, Fermenters, etc.</t>
  </si>
  <si>
    <t>Geology, Earth Science</t>
  </si>
  <si>
    <t>Geology Equipment and Supplies</t>
  </si>
  <si>
    <t>Geology Specimens and Collections</t>
  </si>
  <si>
    <t>Incubators: Convection, CO2, Anaerobic Chambers, etc., and Plant Growth Chambers</t>
  </si>
  <si>
    <t>Invertebrates and Vertebrates, Preserved</t>
  </si>
  <si>
    <t>Herbarium Equipment and Supplies: Drying Cases, etc.</t>
  </si>
  <si>
    <t>Insects for Laboratory Research</t>
  </si>
  <si>
    <t>Instruments, Dissecting</t>
  </si>
  <si>
    <t>Microbiology Equipment and Accessories (Not Otherwise Classified)</t>
  </si>
  <si>
    <t>Microscope Slide Preparation Equipment: Staining Racks and Trays, Slide Warmers, etc.</t>
  </si>
  <si>
    <t>Microscopy Supplies: Cement, Immersion Oil, Slide Holders, Dispensers and Mailers, etc.</t>
  </si>
  <si>
    <t>Mounts and Models</t>
  </si>
  <si>
    <t>Museum Preparations and Supplies: Labels, etc.</t>
  </si>
  <si>
    <t>Neuropsychological Testing Equipment: Reaction Time, Rotary Pursuit, etc.</t>
  </si>
  <si>
    <t>Oceanography and Limnology Equipment: Dredges, Thermographs, etc.</t>
  </si>
  <si>
    <t>Physiological Testing and Recording Equipment, Single and Multichannel, and Accessories: Electrodes, Monitors, Stimulators, etc.</t>
  </si>
  <si>
    <t>Prepared Slides, Microscope</t>
  </si>
  <si>
    <t>Reptiles, Preserved</t>
  </si>
  <si>
    <t>Scales, Laboratory, Animal and Human: Autopsy Scales, Underwater Scales, etc.</t>
  </si>
  <si>
    <t>Slide Stainer Equipment and Accessories (Not Otherwise Classified)</t>
  </si>
  <si>
    <t>Skeletons: Mounted, Unmounted, and Partial</t>
  </si>
  <si>
    <t>Tissue and Organ Culture Equipment: Cell Harvesters, Roller Drums, etc.</t>
  </si>
  <si>
    <t>Tissue-Processing Equipment and Supplies, For Histology: Cryostats, Flotation Baths, Microtomes, Paraffin Embedment Systems, etc.</t>
  </si>
  <si>
    <t>Zoology Specimens, Live and Injected</t>
  </si>
  <si>
    <t>Recycled Biology, Botany, Geology, Microbiology and Zoology Equipment and Supplies</t>
  </si>
  <si>
    <t>LAUNDRY AND DRY CLEANING EQUIPMENT, ACCESSORIES AND SUPPLIES, COMMERCIAL</t>
  </si>
  <si>
    <t>Conditioning and Finishing Equipment: Chambers, Tunnels, etc.</t>
  </si>
  <si>
    <t>Dry Cleaning Plants, Petroleum Solvent</t>
  </si>
  <si>
    <t>Dry Cleaning Plants, Synthetic Solvent</t>
  </si>
  <si>
    <t>Drying Tumblers: Steam, Electric and Gas Fired</t>
  </si>
  <si>
    <t>Drying Tumblers: Steam, Electric and Gas Fired, Up to Fifty Pounds</t>
  </si>
  <si>
    <t>Extractors, Centrifugal</t>
  </si>
  <si>
    <t>Extractors, Hydraulic</t>
  </si>
  <si>
    <t>Folders and Folder-Stackers, Flatwork</t>
  </si>
  <si>
    <t>Ironers and Accessories, Flatwork</t>
  </si>
  <si>
    <t>Ironing Tables and Spray Guns</t>
  </si>
  <si>
    <t>Lint Disposal and Removal Systems</t>
  </si>
  <si>
    <t>Marking Machines</t>
  </si>
  <si>
    <t>Patching Machines, Electric</t>
  </si>
  <si>
    <t>Presses</t>
  </si>
  <si>
    <t>Refurbished Laundry and Dry Cleaning Equipment and Supplies</t>
  </si>
  <si>
    <t>Soap Tanks and Automatic Supply Injection Systems</t>
  </si>
  <si>
    <t>Stands, Laundry Equipment</t>
  </si>
  <si>
    <t>Starch Cookers</t>
  </si>
  <si>
    <t>Tables, Shirt Finishing and Folding</t>
  </si>
  <si>
    <t>Washer Extractors, Rated Under 100 Pound</t>
  </si>
  <si>
    <t>Washer Extractors, Rated at 100 Pounds and Over</t>
  </si>
  <si>
    <t>Washing Machines, Commercial</t>
  </si>
  <si>
    <t>Washers and Dryers, Coin-Operated Type</t>
  </si>
  <si>
    <t>Water Recovery System, Laundry</t>
  </si>
  <si>
    <t>LAUNDRY AND DRY CLEANING COMPOUNDS, DETERGENTS, AND SUPPLIES</t>
  </si>
  <si>
    <t>Additives, Rinse</t>
  </si>
  <si>
    <t>Bluing, Inks, and Vat Dyes</t>
  </si>
  <si>
    <t>Boron Compounds: Granulated Borax, Sodium Perborate, etc.</t>
  </si>
  <si>
    <t>Bleach, Chlorine and Peroxide</t>
  </si>
  <si>
    <t>Chemicals, Laundry (Not Otherwise Classified)</t>
  </si>
  <si>
    <t>Detergents, Special Formula, For Removing Proteins, Tannin, and Other Soils</t>
  </si>
  <si>
    <t>Detergents, Synthetic</t>
  </si>
  <si>
    <t>Detergents, Synthetic, Germicidal</t>
  </si>
  <si>
    <t>Dry Cleaning Materials: Detergents, Naphtha and Other Solvents, etc.</t>
  </si>
  <si>
    <t>Dry Cleaning Solvent Regeneration Materials: Activated Carbon, Absorbent Powder, Diatomite, Filter Powder, etc.</t>
  </si>
  <si>
    <t>Dry Cleaning Supplies: Bone Scrapers, Spotting Brushes, Spotting Tools, etc.</t>
  </si>
  <si>
    <t>Fabric Softeners and Refreshers, Germicidal and Nongermicidal</t>
  </si>
  <si>
    <t>Laundry Alkalis: Sodium Hydroxide, Caustic Soda, Sodium Metasilicate, Sodium Orthosilicate, etc.</t>
  </si>
  <si>
    <t>Paper Goods: Shirt Bands and Boards, etc.</t>
  </si>
  <si>
    <t>Paraffin Wax</t>
  </si>
  <si>
    <t>Recycled Laundry and Dry Cleaning Compounds, Detergents, Solvents and Soaps, Environmentally Certified</t>
  </si>
  <si>
    <t>Sizing, Textile Finishing</t>
  </si>
  <si>
    <t>Soaps: Bar, Chip, Flake, and Granular</t>
  </si>
  <si>
    <t>Soaps, Germicidal: Bar, Chip, Flake, and Granular</t>
  </si>
  <si>
    <t>Sours, Laundry</t>
  </si>
  <si>
    <t>Stain and Spot Remover, Fabric and Sours</t>
  </si>
  <si>
    <t>Starches</t>
  </si>
  <si>
    <t>Waxes and Cleaners, For Ironers, Presses, etc.</t>
  </si>
  <si>
    <t>LAUNDRY TEXTILES AND SUPPLIES</t>
  </si>
  <si>
    <t>Aprons, Flatwork Ironer</t>
  </si>
  <si>
    <t>Asbestos Covers and Pads</t>
  </si>
  <si>
    <t>Bag Holders, Baskets, Carts, and Trucks</t>
  </si>
  <si>
    <t>Bags, Laundry, Cloth</t>
  </si>
  <si>
    <t>Bags, Laundry, Water Soluble</t>
  </si>
  <si>
    <t>Bags and Liners, For Bag Holders, Baskets, and Trucks</t>
  </si>
  <si>
    <t>Belts and Feed Ribbons</t>
  </si>
  <si>
    <t>Covers and Cover Cloths</t>
  </si>
  <si>
    <t>Identification Pins, Tags, etc.</t>
  </si>
  <si>
    <t>Net Pins</t>
  </si>
  <si>
    <t>Nets, Laundry</t>
  </si>
  <si>
    <t>Pads and Padding, Textile</t>
  </si>
  <si>
    <t>Press Pads, Metal</t>
  </si>
  <si>
    <t>Recycled Laundry Textiles and Supplies</t>
  </si>
  <si>
    <t>Slings, Laundry, For Conveyor Systems</t>
  </si>
  <si>
    <t>LAWN MAINTENANCE EQUIPMENT AND ACCESSORIES (SEE CLASS 020 FOR AGRICULTURAL TYPES)</t>
  </si>
  <si>
    <t>Aerators, Pluggers, and Spikers</t>
  </si>
  <si>
    <t>Baggers and Catchers, Grass, Lawn Mower</t>
  </si>
  <si>
    <t>Blowers, Lawn, Power</t>
  </si>
  <si>
    <t>Carts, Lawn</t>
  </si>
  <si>
    <t>Edgers, Trimmers, and Weed Cutters</t>
  </si>
  <si>
    <t>Engines, Motors, and Parts, For Lawn Equipment</t>
  </si>
  <si>
    <t>Feeders, Root</t>
  </si>
  <si>
    <t>Fertilizer Distributors, Lawn Type (See Class 020 for Commercial Distributors)</t>
  </si>
  <si>
    <t>Gang Mowers for Lawns and Grounds, All Types</t>
  </si>
  <si>
    <t>Garden Hand Tools, Including Sickles, (Not Otherwise Classified)</t>
  </si>
  <si>
    <t>Irrigation Systems, Supplies, Parts, and Accessories</t>
  </si>
  <si>
    <t>Lawn and Grounds Equipment Rollover Protection (ROPS)</t>
  </si>
  <si>
    <t>Lawn Mowers, Hand, Reel Type, Manual</t>
  </si>
  <si>
    <t>Lawn Mowers, Power, Heavy Duty, Flail Type (See Class 020 For Highway Type)</t>
  </si>
  <si>
    <t>Lawn Mowers, Power, Heavy Duty, Reel Type (See Class 020 For Highway Type)</t>
  </si>
  <si>
    <t>Lawn Mowers, Power, Heavy Duty, Rotary Type, Including Self-Propelled Types, (See Class 020 For Highway Type)</t>
  </si>
  <si>
    <t>Lawn Mowers, Power, Light Duty, Reel Type, Yard Use</t>
  </si>
  <si>
    <t>Lawn Mowers, Power, Light Duty, Rotary Type, Yard Use</t>
  </si>
  <si>
    <t>Lawn Mowers, Riding Type, Including Parts and Accessories</t>
  </si>
  <si>
    <t>Pads, Kneeling, Lawn and Garden</t>
  </si>
  <si>
    <t>Pruners and Grass Clippers, Hand Type</t>
  </si>
  <si>
    <t>Recycled Lawn Equipment, Including Parts and  Accessories</t>
  </si>
  <si>
    <t>Rollers, Lawn, Including Parts and Accessories</t>
  </si>
  <si>
    <t>Rakers and Combers, Lawn, Power</t>
  </si>
  <si>
    <t>Shears: Grass, Hedge, Lopping, Pruning, etc.</t>
  </si>
  <si>
    <t>Shredders and Screeners, For Conditioning Soil</t>
  </si>
  <si>
    <t>Snowblowers and Snowthrowers, Tractor Mounted, Lawns and Grounds</t>
  </si>
  <si>
    <t>Snowblowers and Snowthrowers, Walk Behind, Lawns and Grounds</t>
  </si>
  <si>
    <t>Sod Cutters and Lifters</t>
  </si>
  <si>
    <t>Spreaders: Broadcast, Fertilizer and Seed</t>
  </si>
  <si>
    <t>Sprinklers, Portable</t>
  </si>
  <si>
    <t>Sprinkler Systems, Lawn and Turf, Including Parts and Accessories</t>
  </si>
  <si>
    <t>Tree Trimming and Pruning Equipment: Portable, Power Operated, Not Saws</t>
  </si>
  <si>
    <t>Vacuum Cleaners and Other Litter Pickup Devices: Lawn, Parking Area, Sidewalk, etc.</t>
  </si>
  <si>
    <t>LEATHER AND SHOE ACCESSORIES, EQUIPMENT, AND SUPPLIES</t>
  </si>
  <si>
    <t>Beeswax</t>
  </si>
  <si>
    <t>Blankets, Bags, Cinches, and Pads, Saddle</t>
  </si>
  <si>
    <t>Bottom fillers and Bottom Filler (See Class 010 For Cork) Materials For Shoe Manufacturing</t>
  </si>
  <si>
    <t>Box Toes</t>
  </si>
  <si>
    <t>Brushes, Shoe</t>
  </si>
  <si>
    <t>Cement, Adhesives, and Thinner, For Leather and Rubber</t>
  </si>
  <si>
    <t>Hand Tools, Leather Working</t>
  </si>
  <si>
    <t>Hardware, Harness</t>
  </si>
  <si>
    <t>Harness, Leather</t>
  </si>
  <si>
    <t>Heel and Toe Plates</t>
  </si>
  <si>
    <t>Heel Braces</t>
  </si>
  <si>
    <t>Heel Fillers, Grippers, Liners, Scaphoid Pads, etc.</t>
  </si>
  <si>
    <t>Heels, Leather and Wood</t>
  </si>
  <si>
    <t>Heels, Soles, and Strips</t>
  </si>
  <si>
    <t>Heels, Soles, and Strips, Composition</t>
  </si>
  <si>
    <t>Heels, Soles, and Strips, Rubber</t>
  </si>
  <si>
    <t>Heels, Soles, and Strips, Leather</t>
  </si>
  <si>
    <t>Horse Collars, Harnesses, Reins, All Types, Including Hardware</t>
  </si>
  <si>
    <t>Ink and Brushes, Leather Working</t>
  </si>
  <si>
    <t>Insoles and Counters, Shoe</t>
  </si>
  <si>
    <t>Leather, Belt</t>
  </si>
  <si>
    <t>Leather, Harness</t>
  </si>
  <si>
    <t>Leggings and Chaps, Leather</t>
  </si>
  <si>
    <t>Leather, Shoe: Sole Bends, Split, and Upper</t>
  </si>
  <si>
    <t>Leather Tanning and Finishing Equipment and Supplies</t>
  </si>
  <si>
    <t>Leather Preparation, Repairing and Working Equipment</t>
  </si>
  <si>
    <t>Lining, Base, Used in Shoe Manufacturing</t>
  </si>
  <si>
    <t>Lining, Shoe Tongue</t>
  </si>
  <si>
    <t>Measurement Devices, Foot</t>
  </si>
  <si>
    <t>Metal Eyelets, For Leather</t>
  </si>
  <si>
    <t>Nails, Tacks, and Wire, Shoe</t>
  </si>
  <si>
    <t>Neat's Foot Oil</t>
  </si>
  <si>
    <t>Needles and Awls, Shoe Machine</t>
  </si>
  <si>
    <t>Patching and Upper Shoe Machine</t>
  </si>
  <si>
    <t>Pellets, Shoe Sole</t>
  </si>
  <si>
    <t>Polishes and Conditioners: Leather, Shoe, Boot, etc. (Incl. Dyes)</t>
  </si>
  <si>
    <t>Recycled Leather Products</t>
  </si>
  <si>
    <t>Saddles and Accessories</t>
  </si>
  <si>
    <t>Saddle Trees</t>
  </si>
  <si>
    <t>Shanks, Shoe, Steel and Fiber</t>
  </si>
  <si>
    <t>Shoe Accessories (Not otherwise classified)</t>
  </si>
  <si>
    <t>Shoe Lasts: Iron, Wood, and Plastic</t>
  </si>
  <si>
    <t>Shoe Repair Supplies: Beading, Belting, Cleats, Elastic, Pads, Piping, etc.</t>
  </si>
  <si>
    <t>Shoe Shine Brushes and Cloths</t>
  </si>
  <si>
    <t>Shoe Shine Machines, Electric</t>
  </si>
  <si>
    <t>Shoelaces, All Types</t>
  </si>
  <si>
    <t>Skins, Skivers, and Pelts, For Shoe Manufacturing</t>
  </si>
  <si>
    <t>Soap, Saddle</t>
  </si>
  <si>
    <t>Stretchers, Shoe/Boot</t>
  </si>
  <si>
    <t>Stirrups, Saddle</t>
  </si>
  <si>
    <t>Taps, Shoe</t>
  </si>
  <si>
    <t>Thread, Shoe Stitching</t>
  </si>
  <si>
    <t>Wax, Stitching</t>
  </si>
  <si>
    <t>Welting, Shoe</t>
  </si>
  <si>
    <t>Wheel Covers, Cloth, Shoe Manufacturing, (See Class 005 For Abrasives)</t>
  </si>
  <si>
    <t>LIBRARY AND ARCHIVAL EQUIPMENT, MACHINES, AND SUPPLIES</t>
  </si>
  <si>
    <t>Archival Storage Materials, Acid Free: Document Cases, Envelopes, File Folders, etc.</t>
  </si>
  <si>
    <t>Automation Equipment, Used to Process or Transport Lending Materials</t>
  </si>
  <si>
    <t>Binders, Covers, Jackets, Protectors, Sticks, etc.: Books, Magazines, Newspapers, Pamphlets, Photographs, etc.</t>
  </si>
  <si>
    <t>Book Cards, Date Slips, Pockets, Protectors, etc.</t>
  </si>
  <si>
    <t>Book Ends, Holders, Supports, etc.</t>
  </si>
  <si>
    <t>Book Mending, Rebinding, and Repairing Supplies (See 590-68 for Binding Tape for Sewing Purposes)</t>
  </si>
  <si>
    <t>Book Security Systems, Equipment, and Supplies</t>
  </si>
  <si>
    <t>Books, Accession</t>
  </si>
  <si>
    <t>Boxes, Drop, Library</t>
  </si>
  <si>
    <t>Daters, Pencil and Band Type; and Supplies</t>
  </si>
  <si>
    <t>Library Catalog Cards and Accessories, Cards, Guides, Protectors, Sorters, Trays, etc.</t>
  </si>
  <si>
    <t>Library Forms, All Kinds: Circulation Record, Continuous, Strip, etc.</t>
  </si>
  <si>
    <t>Library Labeling Supplies: Labels, Letters, Signals, etc.</t>
  </si>
  <si>
    <t>Library Machines: Card Duplicators, Card Master Machines, Charging Machines, Pasting Machines, etc.</t>
  </si>
  <si>
    <t>Library Supplies, Miscellaneous</t>
  </si>
  <si>
    <t>Recycled Library Books, Equipment and Supplies</t>
  </si>
  <si>
    <t>LUGGAGE, BRIEF CASES, PURSES, TABLET CASES, MP3 CASES AND RELATED ITEMS</t>
  </si>
  <si>
    <t>Attache Cases</t>
  </si>
  <si>
    <t>Back and Fanny Packs</t>
  </si>
  <si>
    <t>Brief Cases, Brief Bags, and Portfolios</t>
  </si>
  <si>
    <t>Business and Credit Card Holders, Binders, Folders, etc.</t>
  </si>
  <si>
    <t>Cases, Catalog, ID Card, Salesman's and Special</t>
  </si>
  <si>
    <t>Cases, Computer, Tablets, Notebooks, MP3 Players etc.</t>
  </si>
  <si>
    <t>Duffle and Tote Bags</t>
  </si>
  <si>
    <t>Luggage and Trunks</t>
  </si>
  <si>
    <t>Purses, Wallets, Key Cases, etc.</t>
  </si>
  <si>
    <t>Recycled Luggage, Brief Cases, and Purses</t>
  </si>
  <si>
    <t>Travel Kits and Accessories</t>
  </si>
  <si>
    <t>LUMBER, SIDING, AND RELATED PRODUCTS</t>
  </si>
  <si>
    <t>Asbestos Sheets, All Types, Except Insulation and Roofing</t>
  </si>
  <si>
    <t>Asbestos Siding, Flat</t>
  </si>
  <si>
    <t>Blocking Wood</t>
  </si>
  <si>
    <t>Bridge Timbers and Railroad Ties, Treated</t>
  </si>
  <si>
    <t>Fiberboard, Medium Density (MDF)</t>
  </si>
  <si>
    <t>Forms, Wood (See 210-13 and 755-73 for Concrete Forms)</t>
  </si>
  <si>
    <t>Lumber, Cedar</t>
  </si>
  <si>
    <t>Lumber, Cypress</t>
  </si>
  <si>
    <t>Lumber, Fir</t>
  </si>
  <si>
    <t>Lumber, Hardwood, All Kinds</t>
  </si>
  <si>
    <t>Lumber, Parana Pine</t>
  </si>
  <si>
    <t>Lumber, Poplar and Willow</t>
  </si>
  <si>
    <t>Lumber, Redwood</t>
  </si>
  <si>
    <t>Lumber, Softwood (SPF)</t>
  </si>
  <si>
    <t>Lumber, Southern Pine, Laminated Structural Type</t>
  </si>
  <si>
    <t>Lumber, Treated: Creosote, Penta, Wolmanized, etc.</t>
  </si>
  <si>
    <t>Lumber, Treated: Fire Retardant</t>
  </si>
  <si>
    <t>Lumber, Walnut</t>
  </si>
  <si>
    <t>Lumber, White Pine, Including Ponderosa Pine</t>
  </si>
  <si>
    <t>Lumber, Yellow Pine</t>
  </si>
  <si>
    <t>Oriented Strand Board (OSB, Wafer Board)</t>
  </si>
  <si>
    <t>Particleboard, All Types</t>
  </si>
  <si>
    <t>Lumber, Plastic, and Related Products</t>
  </si>
  <si>
    <t>Pressed Paper Sheets</t>
  </si>
  <si>
    <t>Pressed Wood Sheets: Masonite, etc.</t>
  </si>
  <si>
    <t>Pilings, Treated</t>
  </si>
  <si>
    <t>Pipe Sticks, Wooden</t>
  </si>
  <si>
    <t>Plywood, Softwood (SPF)</t>
  </si>
  <si>
    <t>Plywood, Hardwood Type, Except Decorative and Plastic Faced</t>
  </si>
  <si>
    <t>Plywood Panels, Decorative, Prefinished</t>
  </si>
  <si>
    <t>Plywood Panels, Decorative, Unfinished</t>
  </si>
  <si>
    <t>Plywood Panels, Plastic Faced, For Highway Signs, etc.</t>
  </si>
  <si>
    <t>Poles, Treated and Untreated</t>
  </si>
  <si>
    <t>Posts, Cedar</t>
  </si>
  <si>
    <t>Posts, Treated and Untreated, Including Wooden Guard Rail Posts, (See 570-28 for Metal Posts)</t>
  </si>
  <si>
    <t>Railings  (Inactive, please see commodity code 150-34 effective January 1, 2016)</t>
  </si>
  <si>
    <t>Recycled Lumber</t>
  </si>
  <si>
    <t>Sawdust and Shavings</t>
  </si>
  <si>
    <t>Wood and Lumber Products, Scrap or Waste</t>
  </si>
  <si>
    <t>Sheetrock and Accessories: Cement, Corners, Floating Compound, etc. (See Class 832 For Tape, Including Recycled Type</t>
  </si>
  <si>
    <t>Shakes and Shims, Wood</t>
  </si>
  <si>
    <t>Siding, Prefinished Particleboard</t>
  </si>
  <si>
    <t>Siding, Vinyl Clad, Including Recycled Types</t>
  </si>
  <si>
    <t>Siding, Wood, All Types</t>
  </si>
  <si>
    <t>Stakes: Engineers', Agricultural, etc.</t>
  </si>
  <si>
    <t>Structural Wood Products (Not Otherwise Classified): Beams, Framing Lumber, Planks, Joists, etc.</t>
  </si>
  <si>
    <t>Timbers, Construction Type, Laminated, Treated and Untreated</t>
  </si>
  <si>
    <t>Underlayment</t>
  </si>
  <si>
    <t>Veneers, All Kinds</t>
  </si>
  <si>
    <t>Wood Bi-Products (Not Otherwise Classified)</t>
  </si>
  <si>
    <t>Wood, Fire</t>
  </si>
  <si>
    <t>MACHINERY AND HARDWARE, INDUSTRIAL</t>
  </si>
  <si>
    <t>Bits, Dies, Reamers, Taps, etc., For Stationary Power Tools</t>
  </si>
  <si>
    <t>Broaching Machines and Tools</t>
  </si>
  <si>
    <t>Blades, Power Saw, Stationary: Circular and Reciprocating</t>
  </si>
  <si>
    <t>Bushings, Machinery, (Not Otherwise Classified)</t>
  </si>
  <si>
    <t>Chain Hoists and Cable Lifts</t>
  </si>
  <si>
    <t>Can Crusher, Industrial: Paint, etc.</t>
  </si>
  <si>
    <t>Can Puncturing and Biofiltration Unit, Aerosol</t>
  </si>
  <si>
    <t>Chain Saws</t>
  </si>
  <si>
    <t>Coating Machines, All Types</t>
  </si>
  <si>
    <t>Compactors, Trash, Industrial, Stationary to Include Sanitary Landfill Type (See 045 and 165 for Other Types)</t>
  </si>
  <si>
    <t>Compressors, Gas, All Types</t>
  </si>
  <si>
    <t>Contaminated Air and Vapor Treatment Equipment</t>
  </si>
  <si>
    <t>Contaminated Soil Treatment Equipment</t>
  </si>
  <si>
    <t>Drills, Stationary, Air Powered: Arbor, Press, etc.</t>
  </si>
  <si>
    <t>Drills, Stationary, Electric Powered: Arbor, Press, etc.</t>
  </si>
  <si>
    <t>Drills, Stationary, Hydraulic Powered: Arbor, Press, etc.</t>
  </si>
  <si>
    <t>Gin Machinery</t>
  </si>
  <si>
    <t>Exploration Equipment, (Not Otherwise Classified)</t>
  </si>
  <si>
    <t>Filtering Equipment and Machinery</t>
  </si>
  <si>
    <t>Grinders and Buffers: Bench, Portable, and Stand</t>
  </si>
  <si>
    <t>Heat Treating and Tracing Equipment, Electric, Including Parts and Accessories</t>
  </si>
  <si>
    <t>Impact Tools, Air Powered, Not Road Building</t>
  </si>
  <si>
    <t>Impact Tools, Electric Powered, Not Road Building</t>
  </si>
  <si>
    <t>Impact Tools, Hydraulic Powered, Not Road Building</t>
  </si>
  <si>
    <t>Industrial Type Steam and High Pressure Water Cleaning Equipment, Including Parts and Accessories</t>
  </si>
  <si>
    <t>Jacks, Industrial: Hydraulic, Screw, and Track</t>
  </si>
  <si>
    <t>Industrial Compressors, All Types.(Not Otherwise Classified)</t>
  </si>
  <si>
    <t>Industrial Commercial and Professional Equipment and Supplies, (Not Otherwise Classified)</t>
  </si>
  <si>
    <t>Key Duplicating Machines, Including Parts and Accessories</t>
  </si>
  <si>
    <t>Industrial and Construction Machinery, Equipment, Components and Parts (Not Otherwise Classified)</t>
  </si>
  <si>
    <t>Drilling and Boring Equipment, Horizontal Directional (HDD and HDB)</t>
  </si>
  <si>
    <t>Lathe, Metalworking, Accessories and Supplies</t>
  </si>
  <si>
    <t>Lathe, Woodworking</t>
  </si>
  <si>
    <t>Lumber Equipment, Including Mills, Processing Machines, etc., (Not Otherwise Classified)</t>
  </si>
  <si>
    <t>Lifts, Platform: Telescoping and Laterally Powered, Including Capstones</t>
  </si>
  <si>
    <t>Machines, Roofing: Roof Scratchers, Rotary Spudders, etc.</t>
  </si>
  <si>
    <t>Machine Work Station Center and Components: Tool Changing, Transfer, and Way-Type Machines</t>
  </si>
  <si>
    <t>Masonry Saws and Blades (See Class 755 for Road and Highway Concrete Saws)</t>
  </si>
  <si>
    <t>Metal Electroplating Machine, Including Parts and Accessories</t>
  </si>
  <si>
    <t>*Manufacturing and Processing Equipment, (Not Otherwise Classified)</t>
  </si>
  <si>
    <t>Metalworking Machines and Tools: Portable and Stationary, (Not Otherwise Classified)</t>
  </si>
  <si>
    <t>Mills, Iron and Steel</t>
  </si>
  <si>
    <t>Mining Machinery and Equipment (See 545-51 for Oil and Gas Equip.)</t>
  </si>
  <si>
    <t>Milling Machines</t>
  </si>
  <si>
    <t>Motors and Engines, Industrial, All Types, Not Automotive, Lawn or Marine, Including Parts and Accessories</t>
  </si>
  <si>
    <t>Pulp and Paper Industries Machinery</t>
  </si>
  <si>
    <t>Oil and Gas Machinery and Equipment: Drilling Rigs, etc.</t>
  </si>
  <si>
    <t>Oil Spillage Containment, Purification, and Recovery Equipment</t>
  </si>
  <si>
    <t>Ovens, Industrial Process and Heat Cleaning</t>
  </si>
  <si>
    <t>Planers, Electric</t>
  </si>
  <si>
    <t>Pollution Detection and Control Equipment, Other Than Oil Spill</t>
  </si>
  <si>
    <t>Post Straighteners and Pullers, Hydraulic</t>
  </si>
  <si>
    <t>Posthole Diggers and Earth Drills, Powered, Portable</t>
  </si>
  <si>
    <t>Presses, All Capacities (Not Wastepaper or Other Paper Material)</t>
  </si>
  <si>
    <t>Production Type Impregnation Equipment, Not for Clothing Impregnation</t>
  </si>
  <si>
    <t>Presses: Wastepaper or Other Material, Not Automotive or Printing</t>
  </si>
  <si>
    <t>Refuse and Garbage Burning Equipment</t>
  </si>
  <si>
    <t>Routers, Air and Pneumatic</t>
  </si>
  <si>
    <t>Routers, Electric</t>
  </si>
  <si>
    <t>Rubber Processing and Working Equipment</t>
  </si>
  <si>
    <t>Salt Brine Production Equipment</t>
  </si>
  <si>
    <t>Sandblasting Equipment, Including Parts and Accessories</t>
  </si>
  <si>
    <t>Sanders, Bench or Portable: Belt, Disc, and Finishing</t>
  </si>
  <si>
    <t>Saws, Stationary, Powered: Band, Bench, Electric, Scroll, Radial Arm, Table, Veneer, etc. (See 755-65 for Concrete Saws)</t>
  </si>
  <si>
    <t>Soil Measuring Equipment, (Not Otherwise Classified)</t>
  </si>
  <si>
    <t>Spindle Centering Machine, Single</t>
  </si>
  <si>
    <t>Shapers, Jointers, and Banders: Wood</t>
  </si>
  <si>
    <t>Springs: Coil and Leaf. Industrial</t>
  </si>
  <si>
    <t>Shield, Trench, Worker Protection</t>
  </si>
  <si>
    <t>Sharpeners: Lawn Mower, Saw, etc.</t>
  </si>
  <si>
    <t>Shredders: Metal, Wood</t>
  </si>
  <si>
    <t>Shredders, Aerators, and Composters: Sludge</t>
  </si>
  <si>
    <t>Shears, Metal</t>
  </si>
  <si>
    <t>Tire Shredders</t>
  </si>
  <si>
    <t>Trowlers, Concrete, Engine Driven</t>
  </si>
  <si>
    <t>Windmills Including Parts and Accessories</t>
  </si>
  <si>
    <t>Vacuum Cleaners and Dust Collectors for Hazardous Material</t>
  </si>
  <si>
    <t>Vapor Extraction Equipment, Soil</t>
  </si>
  <si>
    <t>Woodworking Machines and Tools: Portable and Stationary, (Not Otherwise Classified)</t>
  </si>
  <si>
    <t>Wash System, Three-Stage, Industrial, Stainless Steel</t>
  </si>
  <si>
    <t>Water Distillation Equipment: Marine and Industrial</t>
  </si>
  <si>
    <t>Wire Dispenser Fabrication Equipment, Communication</t>
  </si>
  <si>
    <t>Tunneling Equipment</t>
  </si>
  <si>
    <t>Recycled Machinery and Hardware, Industrial</t>
  </si>
  <si>
    <t>Water Well Drilling Equipment</t>
  </si>
  <si>
    <t>Water, Potable (See 390-91 for Bottled Water)</t>
  </si>
  <si>
    <t>MARKERS, PLAQUES AND TRAFFIC CONTROL DEVICES</t>
  </si>
  <si>
    <t>Beads, Glass, Sign and Stripe</t>
  </si>
  <si>
    <t>Beam and Barrier Handling Equipment</t>
  </si>
  <si>
    <t>Gates, Bridge and Railroad Crossing</t>
  </si>
  <si>
    <t>Buttons, Delineators, Reflectors, etc., Reflectorized</t>
  </si>
  <si>
    <t>Cameras, Red Light (See Class 655 for other types)</t>
  </si>
  <si>
    <t>Cement and Adhesives for Traffic Control Markers</t>
  </si>
  <si>
    <t>Clamps and Bolts, U-Type, Large, For Highway Signs</t>
  </si>
  <si>
    <t>Early Warning System, Engine Powered, Trailer Mounted Or for Truck Mounting</t>
  </si>
  <si>
    <t>Encapsulate, Traffic Loop Detector</t>
  </si>
  <si>
    <t>Flares and Fuses</t>
  </si>
  <si>
    <t>Gaskets, Traffic Markers and Dividers</t>
  </si>
  <si>
    <t>Highway Pass and No-Pass Zone Determination Devices and Equipment</t>
  </si>
  <si>
    <t>Markers, Plaques, Placards and Tablets: Dedicational, Historical, Informational, etc.</t>
  </si>
  <si>
    <t>Markers, Survey and Right-Of-Way</t>
  </si>
  <si>
    <t>Markers, Traffic, Ceramic: Jiggle Bars, etc.</t>
  </si>
  <si>
    <t>Markers, Traffic, Concrete</t>
  </si>
  <si>
    <t>Markers, Traffic, Metal</t>
  </si>
  <si>
    <t>Markers, Traffic, Fiberglass</t>
  </si>
  <si>
    <t>Markers, Traffic, Plastic and Rubber</t>
  </si>
  <si>
    <t>Marking Compound, Thermoplastic and Marking Powder</t>
  </si>
  <si>
    <t>Parking Meters and Area Control Equipment</t>
  </si>
  <si>
    <t>Posts, Flexible, For Delineator Markers</t>
  </si>
  <si>
    <t>Safety Barriers, Traffic, Mobile: Energy Absorption Systems, Impact Attenuators, Crash Barriers, etc.</t>
  </si>
  <si>
    <t>Safety Barriers, Traffic, Stationary: Energy Absorption Systems, Impact Attenuators, Crash Barriers, etc.</t>
  </si>
  <si>
    <t>Sheeting, Reflectorized, For License Plates</t>
  </si>
  <si>
    <t>Sheeting, Reflectorized, General, (See 801-49 for Reflective Sign Material)</t>
  </si>
  <si>
    <t>Signal Torches, Kerosene</t>
  </si>
  <si>
    <t>Stripes and Legends, Plastic, Prefabricated, Reflective, Including Pavement Marking Tape, (See 832-48 for Marking Tape other than for Pavement)</t>
  </si>
  <si>
    <t>Traffic Cones, Lane Markers, and Barricades, Portable</t>
  </si>
  <si>
    <t>Traffic Control Devices, Non-Electric. Including Rumble Strips, etc.</t>
  </si>
  <si>
    <t>Traffic Controls and Equipment, Electric Systems</t>
  </si>
  <si>
    <t>Traffic Controls and Equipment, Electric Parts</t>
  </si>
  <si>
    <t>Traffic Counters, Monitors, and Accessories</t>
  </si>
  <si>
    <t>Traffic Devices, Markers, Plaques, etc. Recycled</t>
  </si>
  <si>
    <t>Traffic Signal Poles, Standards, and Brackets</t>
  </si>
  <si>
    <t>Traffic Signals and Equipment, Electric Systems</t>
  </si>
  <si>
    <t>Traffic Signals and Equipment, Electric Parts</t>
  </si>
  <si>
    <t>*Transportation Systems, Intelligent (An automated information system which provides traffic management, communications, and analysis of data as a minimum)</t>
  </si>
  <si>
    <t>Vehicle Detectors</t>
  </si>
  <si>
    <t>Vehicle Identification Systems, Automated</t>
  </si>
  <si>
    <t>Warning Devices, Telescoping or Fold Up Type; and Accessories</t>
  </si>
  <si>
    <t>Warning Lights, Flashers, and Flashing Arrow Boards (See Class 285-76 for Streetlights and Standards)</t>
  </si>
  <si>
    <t>MANUFACTURING COMPONENTS AND SUPPLIES</t>
  </si>
  <si>
    <t>Components, Manufacturing, Stamped, Formed, Welded</t>
  </si>
  <si>
    <t>Extrusions, Cold, Impact, Profile</t>
  </si>
  <si>
    <t>Forgings, Closed Die, Drop, Impression Die, Open Die, Rolled Ring</t>
  </si>
  <si>
    <t>Hardware and Components, for Furniture Manufacturing</t>
  </si>
  <si>
    <t>Hardware, Manufacturing (Not Otherwise Classified)</t>
  </si>
  <si>
    <t>Machine-made Parts, Metal, Non-Metal, Screw, etc.</t>
  </si>
  <si>
    <t>Metal Components, Ferrous and Non-Ferrous</t>
  </si>
  <si>
    <t>Moldings, Blow, Injection, Reaction, Vacuum</t>
  </si>
  <si>
    <t>Process Heating, Cooling and Drying</t>
  </si>
  <si>
    <t>Raw Materials</t>
  </si>
  <si>
    <t>Shells and Casings, Plastic, Metal, Steel</t>
  </si>
  <si>
    <t>Recycled Manufacturing Components and Supplies</t>
  </si>
  <si>
    <t>(CTE) Manufacturing Equipment &lt; $750</t>
  </si>
  <si>
    <t>METAL, PAPER, AND PLASTIC STENCILS AND STENCILING DEVICES</t>
  </si>
  <si>
    <t>Stencil Board and Paper, Precut</t>
  </si>
  <si>
    <t>Stencil Board and Paper, Rolls and Sheets</t>
  </si>
  <si>
    <t>Stencil Cutting Machine</t>
  </si>
  <si>
    <t>Stenciling Supplies: Brushes, Inks, etc.</t>
  </si>
  <si>
    <t>Stenciling Rollers</t>
  </si>
  <si>
    <t>Stencils, Metal Adjustable, Stock</t>
  </si>
  <si>
    <t>Stencils, Metal, Not Cut</t>
  </si>
  <si>
    <t>Stencils, Metal, Precut</t>
  </si>
  <si>
    <t>Stencils, Plastic</t>
  </si>
  <si>
    <t>Recycled Stencils and Stenciling Devices</t>
  </si>
  <si>
    <t>MASS TRANSPORTATION, TRANSIT BUS</t>
  </si>
  <si>
    <t>Coach, Transit, Articulated</t>
  </si>
  <si>
    <t>Coach, Transit, Double Door</t>
  </si>
  <si>
    <t>Coach, Transit, Electric</t>
  </si>
  <si>
    <t>Coach, Transit, Mini, Conventional</t>
  </si>
  <si>
    <t>Coach, Transit, Mini, Handicapped</t>
  </si>
  <si>
    <t>Coach, Transit, Single Door, under 35 feet</t>
  </si>
  <si>
    <t>Coach, Transit, Touring, Conventional</t>
  </si>
  <si>
    <t>Coach, Transit, Touring, Custom</t>
  </si>
  <si>
    <t>Trolley, Transit, Rubber Tired, Compressed Natural Gas</t>
  </si>
  <si>
    <t>Trolley, Transit, Rubber Tired, Diesel Powered</t>
  </si>
  <si>
    <t>Trolley, Transit, Rubber Tired, Electric</t>
  </si>
  <si>
    <t>MASS TRANSPORTATION, TRANSIT BUS ACCESSORIES AND PARTS</t>
  </si>
  <si>
    <t>Air Conditioning, Heating and Ventilation</t>
  </si>
  <si>
    <t>Axles, Including Suspension, Springs, Shocks, Struts, etc.</t>
  </si>
  <si>
    <t>Bicycle Racks for Transit Buses</t>
  </si>
  <si>
    <t>Body Panels, Frames, Trim, and Parts</t>
  </si>
  <si>
    <t>Brake Parts/Linings</t>
  </si>
  <si>
    <t>Communications Equipment and Accessories, Transit Bus</t>
  </si>
  <si>
    <t>Cooling System Parts and Accessories</t>
  </si>
  <si>
    <t>Electrical Accessories and Parts, Not Lighting</t>
  </si>
  <si>
    <t>Engines, Complete</t>
  </si>
  <si>
    <t>Exhaust System Parts and Accessories</t>
  </si>
  <si>
    <t>Engine Parts</t>
  </si>
  <si>
    <t>Filters: Air, Fuel, Oil, etc.</t>
  </si>
  <si>
    <t>Floors, Matting</t>
  </si>
  <si>
    <t>Fuel System Parts and Accessories</t>
  </si>
  <si>
    <t>Gauges and Meters, Including Speedometers</t>
  </si>
  <si>
    <t>Hubodometers</t>
  </si>
  <si>
    <t>Glazing and Mirrors: Window, Door and Windshield Glass</t>
  </si>
  <si>
    <t>Insulation, Transit Bus</t>
  </si>
  <si>
    <t>Lamps, Lighting, Lens, and Signals, Interior and Exterior</t>
  </si>
  <si>
    <t>Lubricating Systems and Parts (See 557-34 for Filters)</t>
  </si>
  <si>
    <t>Power and Drive Train Components and Parts, Transit Bus</t>
  </si>
  <si>
    <t>Radiators, Heater Cores, etc.</t>
  </si>
  <si>
    <t>Reflectors</t>
  </si>
  <si>
    <t>Recycled Transit Bus Parts and Accessories</t>
  </si>
  <si>
    <t>Seating and Upholstery</t>
  </si>
  <si>
    <t>Signage, Advertising Type, Interior and Exterior</t>
  </si>
  <si>
    <t>Signage, Destination and Route</t>
  </si>
  <si>
    <t>Stanchions and Grab Rails</t>
  </si>
  <si>
    <t>Tanks: Air, Fuel, Water</t>
  </si>
  <si>
    <t>Transmissions, Complete</t>
  </si>
  <si>
    <t>Transmission Parts</t>
  </si>
  <si>
    <t>Undercarriage and Frame, Including Alignment Parts</t>
  </si>
  <si>
    <t>Wheels, Parts, and Accessories</t>
  </si>
  <si>
    <t>Wheelchair Lifts and Accessories</t>
  </si>
  <si>
    <t>Windows and Doors Including Parts and Accessories</t>
  </si>
  <si>
    <t>Windshield Wipers, Washers, Parts and Accessories</t>
  </si>
  <si>
    <t>MASS TRANSPORTATION - RAIL VEHICLES AND SYSTEMS</t>
  </si>
  <si>
    <t>Car Dumper System Including Electronics and Controls</t>
  </si>
  <si>
    <t>Freight Cars</t>
  </si>
  <si>
    <t>Locomotives, Diesel</t>
  </si>
  <si>
    <t>Locomotives, Electric</t>
  </si>
  <si>
    <t>Monorail System, Including Parts and Accessories</t>
  </si>
  <si>
    <t>Passenger Cars, Light, Self-Propelled</t>
  </si>
  <si>
    <t>Passenger Cars, Light, Non-Powered</t>
  </si>
  <si>
    <t>Passenger Cars, Heavy, Self-Propelled</t>
  </si>
  <si>
    <t>Passenger Cars, Heavy, Non-Powered</t>
  </si>
  <si>
    <t>Specialized Vehicles, Self-Propelled, Rail Car Movers, etc.</t>
  </si>
  <si>
    <t>Specialized Vehicles, Non-Powered</t>
  </si>
  <si>
    <t>Trolleys, Including Parts and Accessories</t>
  </si>
  <si>
    <t>MASS TRANSPORTATION, RAIL VEHICLE PARTS AND ACCESSORIES</t>
  </si>
  <si>
    <t>Air Conditioning, Heating and Ventilation, Including Defrosters and Defoggers</t>
  </si>
  <si>
    <t>Body Panels, Frames, and Parts</t>
  </si>
  <si>
    <t>Bogie Assemblies</t>
  </si>
  <si>
    <t>Brake Systems</t>
  </si>
  <si>
    <t>Brushes, Carbon</t>
  </si>
  <si>
    <t>Communications Equipment, Automated People Movers, Including Parts and Accessories</t>
  </si>
  <si>
    <t>Communications Equipment, Train, Including Parts and Accessories</t>
  </si>
  <si>
    <t>Couplers, Including Parts and Accessories</t>
  </si>
  <si>
    <t>Crossing Equipment, Railroad, Including Crossing Signs, Including Parts and Accessories</t>
  </si>
  <si>
    <t>Current Collecting Systems</t>
  </si>
  <si>
    <t>Door Operators</t>
  </si>
  <si>
    <t>Doors and Windows</t>
  </si>
  <si>
    <t>Drive Motors and Accessories</t>
  </si>
  <si>
    <t>Governors and Speed Regulators</t>
  </si>
  <si>
    <t>Heaters, Train Track</t>
  </si>
  <si>
    <t>Hubodometers, Rail Car</t>
  </si>
  <si>
    <t>Hydraulic Systems, Rail Car</t>
  </si>
  <si>
    <t>Insulation, Train</t>
  </si>
  <si>
    <t>Lamps and Lighting, Interior and Exterior</t>
  </si>
  <si>
    <t>Lubricators, Train Track</t>
  </si>
  <si>
    <t>Recycled Rail Vehicle Accessories and Parts</t>
  </si>
  <si>
    <t>Shock Absorbers, Rail Vehicles</t>
  </si>
  <si>
    <t>Signage: Destination, Routing and Advertising</t>
  </si>
  <si>
    <t>Signals and Accessories, Train</t>
  </si>
  <si>
    <t>Special Parts (Not Otherwise Classified)</t>
  </si>
  <si>
    <t>Switch Stands</t>
  </si>
  <si>
    <t>Tools, Railroad, Power</t>
  </si>
  <si>
    <t>Tools, Railroad, Non Powered</t>
  </si>
  <si>
    <t>Track Hardware: Plates, Joint Bars, Spikes, Clips, Bolts, Nuts, etc., (See Class 570 For Rails)</t>
  </si>
  <si>
    <t>Traction Power</t>
  </si>
  <si>
    <t>Wheel and Axle Assemblies</t>
  </si>
  <si>
    <t>Wheel Truing Equipment, Including Parts and Accessories</t>
  </si>
  <si>
    <t>Windshield Wipers, Including Parts and Accessories</t>
  </si>
  <si>
    <t>MATERIAL HANDLING, CONVEYORS, STORAGE EQUIPMENT AND ACCESSORIES</t>
  </si>
  <si>
    <t>Cargo Handling Equipment</t>
  </si>
  <si>
    <t>Carts, Industrial, All Kinds, Except Gas and Hospital</t>
  </si>
  <si>
    <t>Conveying Systems, Food Processing</t>
  </si>
  <si>
    <t>Conveyor Line Boosters, Powered</t>
  </si>
  <si>
    <t>Conveyor Systems, Overhead</t>
  </si>
  <si>
    <t>Conveyors and Hoists, Laundry Handling</t>
  </si>
  <si>
    <t>Conveyors, Belt Type: Canvas, Metal, and Rubber</t>
  </si>
  <si>
    <t>Conveyors, Bucket Type, Not Road Building</t>
  </si>
  <si>
    <t>Conveyors, Gravity, Roller Type, Aluminum and Steel Frames</t>
  </si>
  <si>
    <t>Conveyors, Gravity, Wheel Type, Aluminum and Steel Frames</t>
  </si>
  <si>
    <t>Conveyors, Pneumatic</t>
  </si>
  <si>
    <t>Conveyors, Powered, Roller Type</t>
  </si>
  <si>
    <t>Conveyors, Screw Type</t>
  </si>
  <si>
    <t>Conveyors, Vibrating</t>
  </si>
  <si>
    <t>Conveyor, Vertical Reciprocating</t>
  </si>
  <si>
    <t>Cranes, All Kinds, Except Automotive and Road and Bridge Building</t>
  </si>
  <si>
    <t>Dock boards and Ramps, All Types</t>
  </si>
  <si>
    <t>Drums and Other Container Handling Equipment (Not Otherwise Classified)</t>
  </si>
  <si>
    <t>Fuel and Fuel Oil Handling Equipment</t>
  </si>
  <si>
    <t>Lifters and Stackers: Hydraulic and Powered</t>
  </si>
  <si>
    <t>Lifting and Loading Equipment, Including Parts and Accessories, (Not Otherwise Classified)</t>
  </si>
  <si>
    <t>Liquid Mixing Equipment</t>
  </si>
  <si>
    <t>Material Handling Equipment Batteries and Chargers</t>
  </si>
  <si>
    <t>Pallet Storage Racks</t>
  </si>
  <si>
    <t>Pallets and Skids: Metal, Plastic, Wood</t>
  </si>
  <si>
    <t>Tow, Battery Powered</t>
  </si>
  <si>
    <t>Tie-Downs, Straps, Bungee Cods, Protective Netting, etc.</t>
  </si>
  <si>
    <t>Tractors, Warehouse</t>
  </si>
  <si>
    <t>Trucks: Barrel, Cylinder, and Drum</t>
  </si>
  <si>
    <t>Moving Devices, Equipment</t>
  </si>
  <si>
    <t>Trucks, Dolly</t>
  </si>
  <si>
    <t>Trucks, Hand, Shelf</t>
  </si>
  <si>
    <t>Trucks, Hand, Two-Wheeled</t>
  </si>
  <si>
    <t>Trucks, Lift, Hand Operated</t>
  </si>
  <si>
    <t>Trucks, Lift, Powered: Forklifts, etc.</t>
  </si>
  <si>
    <t>Trucks, Pallet, Hand Operated and Powered</t>
  </si>
  <si>
    <t>Trucks, Platform</t>
  </si>
  <si>
    <t>Storage, Shelving, Including Parts and Accessories, (Not Otherwise Classified)</t>
  </si>
  <si>
    <t>Warehouse Equipment, Including Parts and Accessories, (Not Otherwise Classified)</t>
  </si>
  <si>
    <t>Wheels, Industrial: Steel, Pneumatic, Rubber Tired Molded-on</t>
  </si>
  <si>
    <t>Recycled Material Handling and Storage Equipment, Including Parts and Accessories</t>
  </si>
  <si>
    <t>MATTRESS AND PILLOW MANUFACTURING MACHINERY AND SUPPLIES</t>
  </si>
  <si>
    <t>Border Backing, Cotton</t>
  </si>
  <si>
    <t>Box Spring Units</t>
  </si>
  <si>
    <t>Cores, Convoluted Foam, For Pillows</t>
  </si>
  <si>
    <t>Cores, Neoprene</t>
  </si>
  <si>
    <t>Cores, Polyurethane Foam</t>
  </si>
  <si>
    <t>Cores, Polyurethane  and Vonar</t>
  </si>
  <si>
    <t>Cores, Rubber, Foam</t>
  </si>
  <si>
    <t>Foam, Shredded, For Pillows</t>
  </si>
  <si>
    <t>Handles, Cord, Steel-Backed</t>
  </si>
  <si>
    <t>Hog Rings</t>
  </si>
  <si>
    <t>Innerspring Units</t>
  </si>
  <si>
    <t>Mattress Manufacturing Machinery, Including Parts and Accessories</t>
  </si>
  <si>
    <t>Mattress Manufacturing Tools</t>
  </si>
  <si>
    <t>Needles, Mattress</t>
  </si>
  <si>
    <t>Pillow Manufacturing Machinery, Including Parts and Accessories</t>
  </si>
  <si>
    <t>Recycled Mattress and Pillow Manufacturing Equipment, Including Parts and Accessories</t>
  </si>
  <si>
    <t>Sisal Padding, Loomed, Latex Coated</t>
  </si>
  <si>
    <t>Sisal Padding, Loomed, Plain</t>
  </si>
  <si>
    <t>Spring Covers, Wire and Paper Cord Mat</t>
  </si>
  <si>
    <t>Tape, Border</t>
  </si>
  <si>
    <t>Tufts, Button, Mattress</t>
  </si>
  <si>
    <t>Twine, Mattress</t>
  </si>
  <si>
    <t>Ventilators, Screened</t>
  </si>
  <si>
    <t>METAL: BARS, PLATES, RODS, SHEETS, STRIPS, STRUCTURAL SHAPES, TUBING, AND FABRICATED ITEMS</t>
  </si>
  <si>
    <t>Alloy Coatings and Sealers for the Repair of Metal Shafts, Journals, Spindles, etc.</t>
  </si>
  <si>
    <t>Alloy Metal: Angles, Sheets, etc. (Not Otherwise Classified)</t>
  </si>
  <si>
    <t>Aluminum: Bars, Plates, Posts, Rods, Sheets, Siding, Strips, Structural Shapes, Tubes, etc.</t>
  </si>
  <si>
    <t>Aluminum, Brass and Bronze Ingots</t>
  </si>
  <si>
    <t>Bar Stock, All Kinds (Not Otherwise Classified)</t>
  </si>
  <si>
    <t>Bolt and Stud Stock, Steel</t>
  </si>
  <si>
    <t>Brass and Bronze: Bars, Plates, Rods, Sheets, Strips, etc.</t>
  </si>
  <si>
    <t>Brass Ingots  (Inactive, please see commodity code 570-06 effective January 1, 2016)</t>
  </si>
  <si>
    <t>Bronze Ingots</t>
  </si>
  <si>
    <t>Bushing Stock, Brass and Bronze</t>
  </si>
  <si>
    <t>Cast Iron, Primary and Semi-Finished</t>
  </si>
  <si>
    <t>Crayons, Metal Worker's</t>
  </si>
  <si>
    <t>Coil Stock</t>
  </si>
  <si>
    <t>Copper: Bars, Plates, Rods, Sheets, Strips, etc.</t>
  </si>
  <si>
    <t>Cutting Rod</t>
  </si>
  <si>
    <t>Decking, Steel</t>
  </si>
  <si>
    <t>Earth's Metals, (Not Otherwise Classified)</t>
  </si>
  <si>
    <t>Expanded Metal, Not Stainless</t>
  </si>
  <si>
    <t>Expanded Metal, Stainless</t>
  </si>
  <si>
    <t>Forms, Metal: Concrete Curbs, Columns, and Gutters</t>
  </si>
  <si>
    <t>Foil Stock</t>
  </si>
  <si>
    <t>Ferrous and Non-Ferrous Metals</t>
  </si>
  <si>
    <t>Guard Rails and Accessories: Bolts, Posts, Terminal Ends, Washers, etc. (See 540-73 for Wood Posts)</t>
  </si>
  <si>
    <t>Iron: Angles, Bands, Plate, Sheets, etc.</t>
  </si>
  <si>
    <t>Ingots, (Not Otherwise Classified)</t>
  </si>
  <si>
    <t>Lead: Bulk, Granulated, Strips, etc., Not Plumbing or Paint</t>
  </si>
  <si>
    <t>Key stock, All Sizes</t>
  </si>
  <si>
    <t>License Plate and Blanks (Inactive, please see commodity code 570-34 effective January 1, 2016)</t>
  </si>
  <si>
    <t>License Plates Complete, Purchased Through Bid Process</t>
  </si>
  <si>
    <t>Magnesium Alloy: Bars, Ingots, Plates, Rods, Sheets, Strips, etc.</t>
  </si>
  <si>
    <t>Metal, Perforated</t>
  </si>
  <si>
    <t>Magnesium Alloy Ingots (Inactive, please see commodity code 570-11 effective January 1, 2016)</t>
  </si>
  <si>
    <t>Metals, Alkali (Not Otherwise Classified)</t>
  </si>
  <si>
    <t>Nickel</t>
  </si>
  <si>
    <t>Ornamental Ironwork</t>
  </si>
  <si>
    <t>Pig Iron Ingots</t>
  </si>
  <si>
    <t>Posts, Steel: Delineator Markers, Mile Markers, etc.</t>
  </si>
  <si>
    <t>Posts, Metal, Other Than Steel</t>
  </si>
  <si>
    <t>Post-Tensioned Type Reinforcing System, For Concrete Slabs</t>
  </si>
  <si>
    <t>Precious Metals: Gold, Silver, etc. (See 175-19 and 260-52 for other uses)</t>
  </si>
  <si>
    <t>Rails, Railroad, Steel</t>
  </si>
  <si>
    <t>Scrap Metals, All Kinds</t>
  </si>
  <si>
    <t>Shafting: Bronze, Monel, Stainless Steel, Steel, etc.</t>
  </si>
  <si>
    <t>Sheet Metal, Fabricated, Custom-Made Sheet Metal Items</t>
  </si>
  <si>
    <t>Sheet Piling, Steel</t>
  </si>
  <si>
    <t>Shim Stock</t>
  </si>
  <si>
    <t>Spring Steel</t>
  </si>
  <si>
    <t>Stainless Steel: Bars, Plates, Rods, Sheets, Strips, Tubes, etc.</t>
  </si>
  <si>
    <t>Steel Bridge Truss, Overhead</t>
  </si>
  <si>
    <t>Steel, Cold Rolled: Bars, Plates, Rods, Sheets, and Strips</t>
  </si>
  <si>
    <t>Steel, Fabricated: Beams, Gabions, Gratings, Walkways, Window Bars, and Custom-Made Steel Items</t>
  </si>
  <si>
    <t>Steel, Galvanized: Bars, Pipes, Not Plumbing, Plates, Rods, Sheets, Strips, etc.</t>
  </si>
  <si>
    <t>Steel, Mild: Bars, Plates, Rods, Sheets, Strips, Tubes, etc.</t>
  </si>
  <si>
    <t>Steel, Reinforcing, Bars and Rods</t>
  </si>
  <si>
    <t>Steel, Reinforcing, Mesh</t>
  </si>
  <si>
    <t>Steel, Reinforcing, Fabricated</t>
  </si>
  <si>
    <t>Steel Siding</t>
  </si>
  <si>
    <t>Steel Sheets, High Carbon, For License Plates, etc.</t>
  </si>
  <si>
    <t>Steel Studs, Dry Wall</t>
  </si>
  <si>
    <t>Steel Wire Panels: Partitions, Window Guards, etc.</t>
  </si>
  <si>
    <t>Structural Shapes, Other Than Steel: Angles, Channels, I-Beams, etc.</t>
  </si>
  <si>
    <t>Structural Shapes, Steel: Angles, Channels, I-Beams, etc.</t>
  </si>
  <si>
    <t>Tin</t>
  </si>
  <si>
    <t>Titanium</t>
  </si>
  <si>
    <t>Tool Steel: Bars, Drill Rod, Flat Stock, etc.</t>
  </si>
  <si>
    <t>Tile, Metal (Inactive, please see commodity code 135-81 effective January 1, 2016)</t>
  </si>
  <si>
    <t>Transition Metals (Not Otherwise Classified)</t>
  </si>
  <si>
    <t>Tubing, Mechanical, Steel: Rectangular, Round, Square, etc. (See 570-91 for Structural Tubing)</t>
  </si>
  <si>
    <t>Tubing, Structural Grade</t>
  </si>
  <si>
    <t>Zinc: Anodes, Sheets, etc.</t>
  </si>
  <si>
    <t>Recycled Metals and Related Items</t>
  </si>
  <si>
    <t>MICROFICHE AND MICROFILM EQUIPMENT, ACCESSORIES, AND SUPPLIES</t>
  </si>
  <si>
    <t>*Computer Output Microfilm and Microfiche (COM) Units: COM Recorders, COM Cameras, COM Tape/Recorder, etc.</t>
  </si>
  <si>
    <t>Jacket Loaders, Microfilm</t>
  </si>
  <si>
    <t>Microfilm Cameras and Accessories</t>
  </si>
  <si>
    <t>Cabinets and Filing Boxes, Microfilm</t>
  </si>
  <si>
    <t>*Microfiche and Microfilm Duplicators</t>
  </si>
  <si>
    <t>Microfilm Splicer and Supplies</t>
  </si>
  <si>
    <t>Microfilm Process Chemicals</t>
  </si>
  <si>
    <t>Microfiche/Microfilm Reader Printer Supplies: Paper, Toner, etc.</t>
  </si>
  <si>
    <t>Microfiche/Microfilm Supplies (Not Otherwise Classified): Jackets, Leaders, Mailers, Reels, Spools, Trailers, Aperture Cards, etc.</t>
  </si>
  <si>
    <t>Opaque Viewers, For Microprints and Other Opaque Microforms</t>
  </si>
  <si>
    <t>*Microfiche and Microfilm Equipment (Not Otherwise Classified)</t>
  </si>
  <si>
    <t>Processors, Microfilm</t>
  </si>
  <si>
    <t>Raw Microfilm</t>
  </si>
  <si>
    <t>*Reader, Microfiche and Microfilm</t>
  </si>
  <si>
    <t>*Reader and Printer, Microfiche and Microfilm, Including Parts and Accessories)</t>
  </si>
  <si>
    <t>Recycled Microfiche and Microfilm Equipment, Accessories and Supplies</t>
  </si>
  <si>
    <t>MISCELLANEOUS PRODUCTS (NOT OTHERWISE CLASSIFIED)</t>
  </si>
  <si>
    <t>Assembly Lines, Complete (Inactive, effective January 1, 2016)</t>
  </si>
  <si>
    <t>Avalanche Devices, Equipment, Accessories and Parts  (Inactive, please see commodity code 220-05 effective January 1, 2016)</t>
  </si>
  <si>
    <t>*Biometric Card Reader (Inactive, please see commodity code 220-52 effective January 1, 2016)</t>
  </si>
  <si>
    <t>Boxes, Suggestion Type (Inactive, please see commodity code 615-13 effective January 1, 2016)</t>
  </si>
  <si>
    <t>*Cards, Biometric Reader (Inactive, please see commodity code 220-52 effective January 1, 2016)</t>
  </si>
  <si>
    <t>Caskets, Funeral (See Classes 410 and 465 for Mortuary Equipment)  (Inactive, please see commodity code 578-19 effective January 1, 2016)</t>
  </si>
  <si>
    <t>Caskets, Pet  (Inactive, please see commodity code 578-19 effective January 1, 2016)</t>
  </si>
  <si>
    <t>Cemetery Equipment and Supplies, Including Lots and Vaults</t>
  </si>
  <si>
    <t>Counters, Mechanical: Tally, etc. (Inactive, please see commodity code 780-27 effective January 1, 2016)</t>
  </si>
  <si>
    <t>Counting Machines, Electronic, Not Ticometers, See Class 600: Tally, etc. (Inactive, please see commodity code 780-27 effective January 1, 2016)</t>
  </si>
  <si>
    <t>Dehydrating Machines and Parts  (Inactive, please see commodity code  effective January 1, 2016)</t>
  </si>
  <si>
    <t>Deodorants, Industrial (Inactive, please see commodity code 485-33 effective January 1, 2016)</t>
  </si>
  <si>
    <t>Disaster Survival Equipment, Kits, and Supplies  (Inactive, please see commodity code 257-35 effective January 1, 2016)</t>
  </si>
  <si>
    <t>Display and Showroom Equipment and Supplies, Including Exhibit Booths, Convention and Trade Shows (Inactive, please see commodity code 578-83 effective January 1, 2016)</t>
  </si>
  <si>
    <t>Distilling and Processing Machinery and Equipment, Petroleum (Inactive, effective January 1, 2016)</t>
  </si>
  <si>
    <t>Energy Generating Devices; Modular Fuel Cells w/24, 48 or 125 vdc (Inactive, effective January 1, 2016)</t>
  </si>
  <si>
    <t>*Election and Voter Equipment and Supplies, Electronic (Inactive, please see commodity code 600-58 effective January 1, 2016)</t>
  </si>
  <si>
    <t>Election Equipment and Supplies, Non-Electronic (Inactive, please see commodity code 578-34 effective January 1, 2016)</t>
  </si>
  <si>
    <t>Fireworks and Pyrotechnics (See 680-74 for Police Pyrotechnics)</t>
  </si>
  <si>
    <t>Flood Control Devices, Equipment, Including Parts and Accessories (Inactive, please see commodity code 220-17 effective January 1, 2016)</t>
  </si>
  <si>
    <t>Forestry Equipment and Supplies (Inactive, effective January 1, 2016)</t>
  </si>
  <si>
    <t>Gaming Equipment and Accessories  (Inactive, please see commodity code 578-53 effective January 1, 2016)</t>
  </si>
  <si>
    <t>Gavels (Inactive, effective January 1, 2016)</t>
  </si>
  <si>
    <t>Hazardous Control Materials, Hazmat, Green Material, etc., (Not Otherwise Classified) (Inactive, please see commodity code 257-38 effective January 1, 2016)</t>
  </si>
  <si>
    <t>Holography Apparatus and Accessories, Excluding Laser (Inactive, effective January 1, 2016)</t>
  </si>
  <si>
    <t>Honeycomb Core Materials, All Kinds: Metal, Foam, Plastic, Wood (Inactive, effective January 1, 2016)</t>
  </si>
  <si>
    <t>Holders, Metal: Card, Door Name Card, Label, etc. (Inactive, please see commodity code 080-40 effective January 1, 2016)</t>
  </si>
  <si>
    <t>Ink, License Plate  (Inactive, please see commodity code 570-33 effective January 1, 2016)</t>
  </si>
  <si>
    <t>Lots and Vaults, Cemetery (Inactive, please see commodity code 570-19  effective January 1, 2016)</t>
  </si>
  <si>
    <t>Lottery and Gaming Equipment and Supplies</t>
  </si>
  <si>
    <t>Mannequins, Clothing Display (Inactive, please see commodity code 578-83 effective January 1, 2016)</t>
  </si>
  <si>
    <t>Mats, All Kinds (Not Otherwise Classified)  (Inactive, please see commodity code 360-27 effective January 1, 2016)</t>
  </si>
  <si>
    <t>Minerals and Ores</t>
  </si>
  <si>
    <t>Non-Metallic Structural Shapes (Not Otherwise Classified) (Inactive, effective January 1, 2016)</t>
  </si>
  <si>
    <t>Numbering Machines and Equipment, Take-A-Number (Inactive, please see commodity code 605-50 effective January 1, 2016)</t>
  </si>
  <si>
    <t>Pneumatic Tube Equipment, Accessories, and Supplies</t>
  </si>
  <si>
    <t>Recycled or Refurbished Miscellaneous Products (Inactive, effective January 1, 2016)</t>
  </si>
  <si>
    <t>Real Estate: Land and Improvements  (Inactive, please see commodity code 971-63 effective January 1, 2016)</t>
  </si>
  <si>
    <t>Recycling and Refurbishing Equipment, Machines, and Supplies</t>
  </si>
  <si>
    <t>Religious Goods: Altar Sets, Collection Plates, Ecclesiastical Metal ware, Pulpit Scarves, etc.</t>
  </si>
  <si>
    <t>*Robots, Manufacturing Applications, etc. (Inactive, please see commodity code 578-76 effective January 1, 2016)</t>
  </si>
  <si>
    <t>*Robots, Educational, Scientific Applications, Manufacturing Applications, etc.</t>
  </si>
  <si>
    <t>Scrap and Waste Products, Non-Metallic (See 570-50 for Scrap Metal)</t>
  </si>
  <si>
    <t>Store Fixtures and Display Hardware, Retail</t>
  </si>
  <si>
    <t>Table Skirts, Skirting (Inactive, please see commodity code 578-83 effective January 1, 2016)</t>
  </si>
  <si>
    <t>Tachistoscopic Devices, Used in the Study of Learning, Attention and Perception (Inactive, effective January 1, 2016)</t>
  </si>
  <si>
    <t>Tags, Key, All Kinds (Inactive, please see commodity code 615-86 effective January 1, 2016)</t>
  </si>
  <si>
    <t>Taxidermy Equipment and Supplies</t>
  </si>
  <si>
    <t>*Testing Machines, Driver, Automated (Including Driver Simulating Machine)</t>
  </si>
  <si>
    <t>Toll Collection Equipment and Supplies</t>
  </si>
  <si>
    <t>Tools for Scientific Use, Anthropological, etc.) (Inactive, effective January 1, 2016)</t>
  </si>
  <si>
    <t>Turf, Artificial, Indoor and Outdoor  (Inactive, please see commodity code 360-90 effective January 1, 2016)</t>
  </si>
  <si>
    <t>Water, Potable and Non-Potable, (See 390-91 for Bottled Water)</t>
  </si>
  <si>
    <t>Water, Non-Potable  (Inactive, please see commodity code 578-95 effective January 1, 2016)</t>
  </si>
  <si>
    <t>MUSICAL INSTRUMENTS, ACCESSORIES, AND SUPPLIES</t>
  </si>
  <si>
    <t>Accordions and Accessories</t>
  </si>
  <si>
    <t>Amplified Instruments, Guitars, etc. and Amplifiers</t>
  </si>
  <si>
    <t>Band and Choral Risers</t>
  </si>
  <si>
    <t>Band Instruments and Accessories</t>
  </si>
  <si>
    <t>Band Room Equipment: Music Cabinets, Stands, etc.</t>
  </si>
  <si>
    <t>Batons, Conductor</t>
  </si>
  <si>
    <t>Electronic Musical Instruments: Electronic Organs, Synthesizers, Visualizers, etc.</t>
  </si>
  <si>
    <t>Metronomes and Tuners, Conventional or Electronic</t>
  </si>
  <si>
    <t>Music Boxes</t>
  </si>
  <si>
    <t>Music, Sheet and Folio</t>
  </si>
  <si>
    <t>Musical Instrument Repair Parts and Supplies, Except Organ and Piano)</t>
  </si>
  <si>
    <t>Musical Supplies: Music Holders, Strings, Reeds, Rhythm Sticks, etc.</t>
  </si>
  <si>
    <t>Orchestra Instruments and Accessories, (Not Otherwise Classified)</t>
  </si>
  <si>
    <t>Organs, Conventional, Accessories, Parts and Supplies</t>
  </si>
  <si>
    <t>Pianos, Accessories, Tuning Instruments, Parts and Supplies</t>
  </si>
  <si>
    <t>Recycled Musical Instruments, Accessories and Supplies</t>
  </si>
  <si>
    <t>Stringed Instruments, Conventional and Accessories: Banjos, Guitars, Violins, Violas, etc.</t>
  </si>
  <si>
    <t>Tower Chimes, Including Parts and Accessories</t>
  </si>
  <si>
    <t>NOTIONS AND RELATED SEWING ACCESSORIES AND SUPPLIES</t>
  </si>
  <si>
    <t>Bra Backs, Replacement</t>
  </si>
  <si>
    <t>Buckles, Belt and Clothing</t>
  </si>
  <si>
    <t>Buttons, All Kinds</t>
  </si>
  <si>
    <t>Crochet Hooks, Embroidery Hoops, Embroidery Needles, Knitting Needles, etc.</t>
  </si>
  <si>
    <t>Dress Forms</t>
  </si>
  <si>
    <t>Eyelets and Grommets</t>
  </si>
  <si>
    <t>Fabrics, Heat Adhesive, For Marking, Patching, etc.</t>
  </si>
  <si>
    <t>Fasteners, Self-Gripping</t>
  </si>
  <si>
    <t>Fasteners, Snap</t>
  </si>
  <si>
    <t>Hangers, Garment, Including Compostable</t>
  </si>
  <si>
    <t>Hatters' Supplies: Bands, Blocks, Linings, etc.</t>
  </si>
  <si>
    <t>Hooks and Eyes</t>
  </si>
  <si>
    <t>Interlining, Fusible</t>
  </si>
  <si>
    <t>Knitted Cuffs and Collars</t>
  </si>
  <si>
    <t>Labeling Machines, Fabric</t>
  </si>
  <si>
    <t>Labels, Fabric, All Kinds</t>
  </si>
  <si>
    <t>Measuring Devices: Pattern Curves, Sewing Gauges, Tapes, Thread Counters, Yardsticks, etc.</t>
  </si>
  <si>
    <t>Needles, Pins, Thimbles, etc.</t>
  </si>
  <si>
    <t>Paper, Tracing</t>
  </si>
  <si>
    <t>Patterns, Clothing</t>
  </si>
  <si>
    <t>Pressing Aids: Cloths, Seam Rolls, Tailor's Boards, Tailor's Hams, etc.</t>
  </si>
  <si>
    <t>Rick Rack, Flat Braid</t>
  </si>
  <si>
    <t>Scissors: Household, Pinking, Sewing</t>
  </si>
  <si>
    <t>Sewing Accessories: Bound Buttonhole Makers, Palms, Seam Rippers, Sewing Baskets, etc.</t>
  </si>
  <si>
    <t>Sewing Kits, All Kinds</t>
  </si>
  <si>
    <t>Slide Fasteners, Zippers</t>
  </si>
  <si>
    <t>Stays, All Types</t>
  </si>
  <si>
    <t>Tape and Webbing, Elastic</t>
  </si>
  <si>
    <t>Tape, Binding (See 525-30 for Library Binder Tape)</t>
  </si>
  <si>
    <t>Tape, Velcro Type (See 615-89 for Office Type)</t>
  </si>
  <si>
    <t>Thread, Embroidery, Crewel</t>
  </si>
  <si>
    <t>Thread, Sewing, Commercial, Not Shoe Stitching)</t>
  </si>
  <si>
    <t>Thread, Sewing, Domestic</t>
  </si>
  <si>
    <t>Webbing, Not Elastic</t>
  </si>
  <si>
    <t>Yarn, Knitting</t>
  </si>
  <si>
    <t>Recycled Notions and Related Sewing Accessories and Supplies</t>
  </si>
  <si>
    <t>NUCLEAR EQUIPMENT COMPONENTS, ACCESSORIES AND SUPPLIES</t>
  </si>
  <si>
    <t>Fuel, Fission</t>
  </si>
  <si>
    <t>Fuel Equipment, Nuclear</t>
  </si>
  <si>
    <t>Fuel, Reactors: Uranium, Iridium, Plutonium</t>
  </si>
  <si>
    <t>Industrial Nucleonic Instruments</t>
  </si>
  <si>
    <t>Irradiation Equipment, Atomic or Nuclear Energy</t>
  </si>
  <si>
    <t>Nuclear Energy Machinery and Equipment: Subcritical Assy., Dosimetry Equipment, Hot Cell Devices,  etc.</t>
  </si>
  <si>
    <t>Reactor Equipment, Nuclear</t>
  </si>
  <si>
    <t>Refurbished  Nuclear Equipment, Components, Accessories, and Supplies</t>
  </si>
  <si>
    <t>Shielding Equipment, Radiation</t>
  </si>
  <si>
    <t>Waste Collection Equipment, Radioactive</t>
  </si>
  <si>
    <t>NURSERY (PLANTS) STOCK, EQUIPMENT, AND SUPPLIES</t>
  </si>
  <si>
    <t>Bamboo, Cane, Rattan, Reed, etc.</t>
  </si>
  <si>
    <t>Aquatic Plants</t>
  </si>
  <si>
    <t>Bedding Plants and Cuttings</t>
  </si>
  <si>
    <t>Bulbs and Seeds, Including Flower Seeds</t>
  </si>
  <si>
    <t>Edging, Lawn</t>
  </si>
  <si>
    <t>Flowers, Fresh</t>
  </si>
  <si>
    <t>Fountains, Statues and Other Decorative Lawn and Garden Items</t>
  </si>
  <si>
    <t>Grates, Guards, and Other Protective Devices For Trees and Shrubs</t>
  </si>
  <si>
    <t>Groundcovers and Vines</t>
  </si>
  <si>
    <t>Horticultural Specialties, Including Ornamental Floriculture Products</t>
  </si>
  <si>
    <t>Mulch, Pine Straw</t>
  </si>
  <si>
    <t>Nursery, Greenhouse and Floral Supplies: Labels, Planters, Pots, Tags, Trellises, etc.</t>
  </si>
  <si>
    <t>Peat Moss</t>
  </si>
  <si>
    <t>Perennials</t>
  </si>
  <si>
    <t>Plant Foods, Not Fertilizer</t>
  </si>
  <si>
    <t>Plants, Non-Flowering</t>
  </si>
  <si>
    <t>Plant Shine</t>
  </si>
  <si>
    <t>Plants, Herb</t>
  </si>
  <si>
    <t>Plant Sprayers and Respirators, Plant Propagation Mats, etc., Including Parts and Accessories</t>
  </si>
  <si>
    <t>Plants, Indoor</t>
  </si>
  <si>
    <t>Recycled Nursery Equipment, Including Parts and Accessories</t>
  </si>
  <si>
    <t>Rocks, Ornamental and Decorative</t>
  </si>
  <si>
    <t>Shrubbery, Evergreen</t>
  </si>
  <si>
    <t>Shrubbery, Flowering</t>
  </si>
  <si>
    <t>Terrariums</t>
  </si>
  <si>
    <t>Trays and Pots: Germination and Seeding, Fiber</t>
  </si>
  <si>
    <t>Trees, Fruit and Nut</t>
  </si>
  <si>
    <t>Trees, Ornamental and Shade</t>
  </si>
  <si>
    <t>Tropicals</t>
  </si>
  <si>
    <t>Turf Blankets, Seeded, Including Recycled</t>
  </si>
  <si>
    <t>Turf Blankets, Non-Seeded, Including Recycled</t>
  </si>
  <si>
    <t>Vases, Flower Pots, Pottery, etc.</t>
  </si>
  <si>
    <t>Vermiculite and Perlite</t>
  </si>
  <si>
    <t>Wood Chips and Bark: Composted, Shredded, etc.</t>
  </si>
  <si>
    <t>OFFICE MACHINES, EQUIPMENT, AND ACCESSORIES</t>
  </si>
  <si>
    <t>Accessories, Calculators, Electronic</t>
  </si>
  <si>
    <t>Accounting and Bookkeeping Machines, Not Data Processing</t>
  </si>
  <si>
    <t>Adding Machines</t>
  </si>
  <si>
    <t>Addressing Machines, Computer Driven Only, Direct Print Type Only and Accessories (See Class 015 for Supplies)</t>
  </si>
  <si>
    <t>Addressing Machines, Embossed Plate Type and Embossing and Imprinting Machines, and Accessories (See Class 015 for Supplies)</t>
  </si>
  <si>
    <t>*Braille Writers and Printers</t>
  </si>
  <si>
    <t>*Calculators, Electronic, Display and Printing Type, Programmable (See 305-06 for Surveying Type)</t>
  </si>
  <si>
    <t>*Calculators, Electronic, Display and Printing Type, Non-Programmable</t>
  </si>
  <si>
    <t>Calculators, Electronic, Display Type, Non-Programmable</t>
  </si>
  <si>
    <t>Calculators, Electronic, Display Type, Programmable</t>
  </si>
  <si>
    <t>Calculators, Electronic, Printing Type, Non-Programmable</t>
  </si>
  <si>
    <t>Calculators, Electronic, Printing Type, Programmable</t>
  </si>
  <si>
    <t>Calculators, Mechanical</t>
  </si>
  <si>
    <t>Cases, Typewriter</t>
  </si>
  <si>
    <t>*Cash Registers and Cash Drawers</t>
  </si>
  <si>
    <t>Change Makers, Coin and Bill Counters, Money Handling Machines, etc.</t>
  </si>
  <si>
    <t>Check Writing Guide for the Writing Disabled, Including Writing, Endorsing, and Depositing plus Traveler Check Capabilities</t>
  </si>
  <si>
    <t>Check Machines: Protection, Signing, Writing, etc.</t>
  </si>
  <si>
    <t>Copy boards, Electronic</t>
  </si>
  <si>
    <t>Copy Machines, Bond, Plain Paper Type Including Parts and Accessories</t>
  </si>
  <si>
    <t>Copy Machines, Analog</t>
  </si>
  <si>
    <t>Copy Machines, Coated or Treated Paper Type, Including Parts and Accessories</t>
  </si>
  <si>
    <t>*Copy Machines, Engineering, for Reproduction and Design Production</t>
  </si>
  <si>
    <t>Copy Machines, Including Parts and Accessories</t>
  </si>
  <si>
    <t>*Copy Machines, Digital-Networked</t>
  </si>
  <si>
    <t>Copier Vending Machines, Accessories and Supplies</t>
  </si>
  <si>
    <t>Copy Machines, Thermal Type, Including Parts and Accessories</t>
  </si>
  <si>
    <t>*Copy Machines, Digital</t>
  </si>
  <si>
    <t>*Copy Machine Add-On Accessories</t>
  </si>
  <si>
    <t>Counterfeit Scanning Devices (Including Detector Pens)</t>
  </si>
  <si>
    <t>Court Reporter Equipment, Accessories and Supplies</t>
  </si>
  <si>
    <t>Counting Devices: Ticometers, etc., Paper, Tickets, etc. (See 600-33 For Coins)</t>
  </si>
  <si>
    <t>Detacher, Forms</t>
  </si>
  <si>
    <t>Dictating Machines; Transcription Machines</t>
  </si>
  <si>
    <t>Dictating Machine Accessories and Supplies</t>
  </si>
  <si>
    <t>*Duplicators, Digital</t>
  </si>
  <si>
    <t>Duplicating Machines and Accessories, Mimeograph Type</t>
  </si>
  <si>
    <t>*Election and Voter Equipment and Supplies, Electronic and Non-Electronic</t>
  </si>
  <si>
    <t>Duplicating Machines and Accessories, Spirit Type</t>
  </si>
  <si>
    <t>Electronic Reference Equipment, Organizers, etc.</t>
  </si>
  <si>
    <t>*Fax Machines, Parts and Supplies (See Class 726 for Industrial Type and Class 645 for Paper)</t>
  </si>
  <si>
    <t>Folding Machines</t>
  </si>
  <si>
    <t>Folding/Inserting/Sealing Machines</t>
  </si>
  <si>
    <t>Ink Rollers, Office Machines</t>
  </si>
  <si>
    <t>Inserting Machines</t>
  </si>
  <si>
    <t>Label Dispensing Machines and Accessories, For Continuous Form Labels</t>
  </si>
  <si>
    <t>Letter Extraction and Insertion Machines, Mailroom</t>
  </si>
  <si>
    <t>Letter Openers, Electric</t>
  </si>
  <si>
    <t>*Micrographics Equipment and Supplies</t>
  </si>
  <si>
    <t>Machine Repair Tools, Office</t>
  </si>
  <si>
    <t>Mailing, Packaging, and Shipping Machines, Including Packaging Material Dispensing Machines</t>
  </si>
  <si>
    <t>*Multi-Function Office Machines, Combination of Fax-Copier-Scanner-Printer, etc.</t>
  </si>
  <si>
    <t>Office Machines, Equipment, Accessories, and Supplies, Recycled</t>
  </si>
  <si>
    <t>Perforating Machines</t>
  </si>
  <si>
    <t>Postage Meters</t>
  </si>
  <si>
    <t>Poster Making Machines and Equipment</t>
  </si>
  <si>
    <t>Postage Meter Supplies</t>
  </si>
  <si>
    <t>Postage Stamp Vending Machines, Accessories, and Supplies</t>
  </si>
  <si>
    <t>Shredders, Paper and Media</t>
  </si>
  <si>
    <t>Stenographic and Stenotype Machines, Accessories, and Supplies</t>
  </si>
  <si>
    <t>Teletype Machines and Parts</t>
  </si>
  <si>
    <t>Telegraph Equipment, Parts and Supplies</t>
  </si>
  <si>
    <t>Typewriters, Including Parts and Accessories</t>
  </si>
  <si>
    <t>Typewriters, Electronic, Accessories and Parts</t>
  </si>
  <si>
    <t>Typewriters, Manual, Accessories and Parts</t>
  </si>
  <si>
    <t>Typewriters, Memory: Typewriters with Memory for Data Storage and Retrieval, Not Microcomputer System Style</t>
  </si>
  <si>
    <t>Typewriters, Portable, Accessories and Parts</t>
  </si>
  <si>
    <t>Typewriters, Specialized: One-Handed, Large Type, Accessories and Parts, etc.</t>
  </si>
  <si>
    <t>Validating Machines</t>
  </si>
  <si>
    <t>Vacuum Machines (Specifically Designed for Office Equipment)</t>
  </si>
  <si>
    <t>OFFICE MECHANICAL AIDS, SMALL MACHINES, AND APPARATUSES</t>
  </si>
  <si>
    <t>Bells, Call</t>
  </si>
  <si>
    <t>Collators, Mechanical, Table Top Type; and Accessories</t>
  </si>
  <si>
    <t>Copyholders, Mechanical, Adjustable</t>
  </si>
  <si>
    <t>Copyholders, Nonmechanical, Non-Adjustable</t>
  </si>
  <si>
    <t>Cutter, Wrapping Paper</t>
  </si>
  <si>
    <t>Date and Time Machines and Parts</t>
  </si>
  <si>
    <t>Embossing Machines and Labeling Machines and Tapes, Including Credit Card Embossers</t>
  </si>
  <si>
    <t>Eyelet Machines and Eyelets</t>
  </si>
  <si>
    <t>Footrests</t>
  </si>
  <si>
    <t>Magnets</t>
  </si>
  <si>
    <t>Magnifying Glasses and Magnifiers</t>
  </si>
  <si>
    <t>Moisteners, Sanitary; and Rubber Finger Tips, Including Sheet Lifters</t>
  </si>
  <si>
    <t>Numbering Machines and Supplies: Ink, Pads, etc.</t>
  </si>
  <si>
    <t>Paper Trimmers, Hand, Blade Type</t>
  </si>
  <si>
    <t>Paper Trimmers, Hand, Rotary Type</t>
  </si>
  <si>
    <t>Pencil Sharpeners, Electric and Battery Operated</t>
  </si>
  <si>
    <t>Pencil Sharpeners, Manual; and Parts</t>
  </si>
  <si>
    <t>Punches, Paper</t>
  </si>
  <si>
    <t>Punches, Paper, Manual</t>
  </si>
  <si>
    <t>Recycled Office Mechanical Aids, Small Machines and Apparatuses</t>
  </si>
  <si>
    <t>Scissors and Shears, Office</t>
  </si>
  <si>
    <t>Sealing and Tape Machines, Mail Room</t>
  </si>
  <si>
    <t>Seal, Notary and Departmental</t>
  </si>
  <si>
    <t>Staple Removers</t>
  </si>
  <si>
    <t>Stapling Machines, Including Parts and Accessories</t>
  </si>
  <si>
    <t>Stapling Machines and Parts, Manual</t>
  </si>
  <si>
    <t>OFFICE SUPPLIES: CARBON PAPER AND RIBBONS, ALL TYPES</t>
  </si>
  <si>
    <t>Carbon Paper, One-Time</t>
  </si>
  <si>
    <t>Carbon Paper, Pencil</t>
  </si>
  <si>
    <t>Carbon Paper, Register Machines</t>
  </si>
  <si>
    <t>Carbon Paper, Typewriter</t>
  </si>
  <si>
    <t>Carbon Paper, Solvent Carbon Type</t>
  </si>
  <si>
    <t>Recycled Carbon Paper</t>
  </si>
  <si>
    <t>Recycled Ribbons</t>
  </si>
  <si>
    <t>Ribbons, Adding Machine and Calculator, All Types</t>
  </si>
  <si>
    <t>Ribbons, Addressing Machine, All Types</t>
  </si>
  <si>
    <t>Ribbons, Bookkeeping and Posting Machine, All Types</t>
  </si>
  <si>
    <t>Ribbons, Cash Register</t>
  </si>
  <si>
    <t>*Ribbons, Computer and Data Processing, All Types (See 610-73 For Tab)</t>
  </si>
  <si>
    <t>*Ribbons, Teleprinter and Teletype, All Types</t>
  </si>
  <si>
    <t>Ribbons: Check Machine, Time Clock, Time Machine, and Recorder</t>
  </si>
  <si>
    <t>Ribbons, Tab</t>
  </si>
  <si>
    <t>Ribbons, Typewriter and Word Processing, Fabric</t>
  </si>
  <si>
    <t>Ribbons, Typewriter and Word Processing, Film</t>
  </si>
  <si>
    <t>Ribbons, Typesetting, All Types</t>
  </si>
  <si>
    <t>Tape, Correcting, For Use with Correctable Typewriters)</t>
  </si>
  <si>
    <t>OFFICE SUPPLIES, GENERAL</t>
  </si>
  <si>
    <t>Adding Machine and Calculator Paper, Rolls</t>
  </si>
  <si>
    <t>Adding Machine and Calculator Paper, Rolls, Thermal Type Treated Paper and Carbonless Type</t>
  </si>
  <si>
    <t>Adhesives and Applicators: Glue, Mucilage, Paste, etc.</t>
  </si>
  <si>
    <t>Ashtrays, Desk Type</t>
  </si>
  <si>
    <t>Binders: Chain, Post, Prong, Ring, etc.</t>
  </si>
  <si>
    <t>Binder Sheets: Accounting, Columnar, Index, Journal, Ledger, etc.</t>
  </si>
  <si>
    <t>Blotters and Pads, Suggestion Boxes, Desk</t>
  </si>
  <si>
    <t>Boards: Calendar, Schedule, Dispatch, Manning, etc.</t>
  </si>
  <si>
    <t>Books, Office: Accounting, Address, Columnar, Composition, Memo, Minute, Receipt, Steno, Time, etc.</t>
  </si>
  <si>
    <t>Box Files</t>
  </si>
  <si>
    <t>Braille Labeling Material: Plastic Sheets, etc.</t>
  </si>
  <si>
    <t>Calendars, Calendar Pads and Stands</t>
  </si>
  <si>
    <t>Cash Register Paper</t>
  </si>
  <si>
    <t>Chair Cushions, All Types</t>
  </si>
  <si>
    <t>Chair Mats, Carpet Protectors, All Types</t>
  </si>
  <si>
    <t>Cleaners, Hand, Pre-moistened Towelettes, etc.</t>
  </si>
  <si>
    <t>Clipboards, Arch Boards, etc.</t>
  </si>
  <si>
    <t>Coin Wrappers, Bill Straps, Bank Deposit Bags, etc.</t>
  </si>
  <si>
    <t>Correction Fluid, Sheets and Tape, Including Thinners (See 610-96 For Typewriter Correction Tape)</t>
  </si>
  <si>
    <t>Covers: Brief, Manuscript, Pressboard, Report, etc.</t>
  </si>
  <si>
    <t>Covers, Sleeve, Cuffettes</t>
  </si>
  <si>
    <t>Desk Accessories: Alphabetizers, Cash Boxes, Desk Files, File Card Cabinets, Letter Sorters, Message Racks, etc. (See 620-10 for Desk Sets)</t>
  </si>
  <si>
    <t>File Cards, Blank and Ruled</t>
  </si>
  <si>
    <t>File Cases: Jackets, Binder, Storage, Transfer, etc.</t>
  </si>
  <si>
    <t>File Dividers: Labels, Tabs, etc.</t>
  </si>
  <si>
    <t>File Folders: Expanding Envelopes, Wallets, etc.</t>
  </si>
  <si>
    <t>File Folders, Hanging Type; and Accessories</t>
  </si>
  <si>
    <t>File Folders, Regular, Legal and Letter Sizes</t>
  </si>
  <si>
    <t>File Guides</t>
  </si>
  <si>
    <t>Holders, Form and Memo, Including Spindles</t>
  </si>
  <si>
    <t>Index Tabs: Celluloid, Cloth, etc.</t>
  </si>
  <si>
    <t>Key Rings, All Types</t>
  </si>
  <si>
    <t>Labels, Reinforcements, Seals, etc., Not Printed); and Sealing Wax</t>
  </si>
  <si>
    <t>Label Remover Equipment</t>
  </si>
  <si>
    <t>Letter Folders and Openers</t>
  </si>
  <si>
    <t>Letter and Card Trays, All Types</t>
  </si>
  <si>
    <t>List Finders, Rolodex, Telephone Strips, and Accessories</t>
  </si>
  <si>
    <t>Office Supplies, General (Not Otherwise Classified)</t>
  </si>
  <si>
    <t>Pads and Tablets: Analysis, Columnar, Figure, Memo, Note, Ruled, Post-It Notes, Telephone Message, etc.</t>
  </si>
  <si>
    <t>Pads and Covers, Office Machine, All Types</t>
  </si>
  <si>
    <t>Paper Clips, Ball Bearing</t>
  </si>
  <si>
    <t>Paper Clips, Clamps, Fasteners, Round and Flat Head, Dispensers, etc.</t>
  </si>
  <si>
    <t>Paper Fasteners, Prong Type</t>
  </si>
  <si>
    <t>Planners, Organizers</t>
  </si>
  <si>
    <t>Recycled Office Supplies</t>
  </si>
  <si>
    <t>Rubber Bands, All Sizes</t>
  </si>
  <si>
    <t>Rubber Stamps, Stamp Pads, Stamp Pad Ink and Stamp Racks</t>
  </si>
  <si>
    <t>Rulers, All Types (See 305-35 For Drafting)</t>
  </si>
  <si>
    <t>Sheet Protectors, All Types</t>
  </si>
  <si>
    <t>Staples</t>
  </si>
  <si>
    <t>Stock Forms and Labels: Copy Sets, Receiving Forms, Speed Letters, etc.</t>
  </si>
  <si>
    <t>Tacks (Office Use): Map, Thumb, etc., Including Push and T Pins</t>
  </si>
  <si>
    <t>Tags, Key, Marking and Shipping, Stock</t>
  </si>
  <si>
    <t>Tape and Dispensers, Office Type</t>
  </si>
  <si>
    <t>Tape, Velcro Type (See 590-69 for Clothing Type)</t>
  </si>
  <si>
    <t>Typewriter Cleaners and Oils</t>
  </si>
  <si>
    <t>Visible Record Supplies: Cards, Flags, Folders, Hinges, Signal, Strips, Tabs, etc.</t>
  </si>
  <si>
    <t>Wastebaskets, Office, All Types</t>
  </si>
  <si>
    <t>OFFICE SUPPLIES, GENERAL, ENVIRONMENTALLY CERTIFIED BY AN AGENCY ACCEPTED CERTIFICATION ENTITY</t>
  </si>
  <si>
    <t>Adding Machine and Calculator Paper, Rolls, Environmentally Certified Products</t>
  </si>
  <si>
    <t>Adding Machine and Calculator Paper, Rolls, Thermal Type, Treated Paper and Carbonless Type, Environmentally Certified Products</t>
  </si>
  <si>
    <t>Adhesives and Applicators: Glue, Mucilage, Paste, etc., Environmentally Certified Products</t>
  </si>
  <si>
    <t>Ashtrays, Desk Type, Environmentally Certified Products</t>
  </si>
  <si>
    <t>Binders: Chain, Post, Prong, Ring, etc., Environmentally Certified Products</t>
  </si>
  <si>
    <t>Binder Sheets: Accounting, Columnar, Index, Journal, Ledger, etc., Environmentally Certified Products</t>
  </si>
  <si>
    <t>Blotters and Pads, Desk, Environmentally Certified Products</t>
  </si>
  <si>
    <t>Boards: Calendar, Schedule, Dispatch, Manning, etc., Environmentally Certified Products</t>
  </si>
  <si>
    <t>Books, Office: Accounting, Address, Columnar, Composition, Memo, Minute, Receipt, Steno, Time, etc., Environmentally Certified Products</t>
  </si>
  <si>
    <t>Box Files, Environmentally Certified Products</t>
  </si>
  <si>
    <t>Braille Labeling Material: Plastic Sheets, etc., Environmentally Certified Products</t>
  </si>
  <si>
    <t>Calendars, Calendar Pads and Stands, Environmentally Certified Products</t>
  </si>
  <si>
    <t>Cash Register Paper, Environmentally Certified Products</t>
  </si>
  <si>
    <t>Chair Cushions, All Types, Environmentally Certified Products</t>
  </si>
  <si>
    <t>Chair Mats, Carpet Protectors, All Types, Environmentally Certified Products</t>
  </si>
  <si>
    <t>Cleaners, Hand, Pre-moistened Towelettes, etc., Environmentally Certified Products</t>
  </si>
  <si>
    <t>Clipboards, Arch Boards, etc., Environmentally Certified Products</t>
  </si>
  <si>
    <t>Coin Wrappers, Bill Straps, Bank Deposit Bags, etc., Environmentally Certified Products</t>
  </si>
  <si>
    <t>Correction Fluid, Sheets and Tape, Including Thinners (See 610-96 For Typewriter Correction Tape), Environmentally Certified Products</t>
  </si>
  <si>
    <t>Covers: Brief, Manuscript, Pressboard, Report, etc., Environmentally Certified Products</t>
  </si>
  <si>
    <t>Covers, Sleeve, Cuffettes, Environmentally Certified Products</t>
  </si>
  <si>
    <t>Desk Accessories: Alphabetizers, Cash Boxes, Desk Files, File Card Cabinets, Letter Sorters, Message Racks, etc. (See 620-10 for Desk Sets), Environmentally Certified Products</t>
  </si>
  <si>
    <t>File Cards, Blank and Ruled, Environmentally Certified Products</t>
  </si>
  <si>
    <t>File Cases: Jackets, Binder, Storage, Transfer, etc., Environmentally Certified Products</t>
  </si>
  <si>
    <t>File Dividers, Labels, Tabs, etc., Environmentally Certified Products</t>
  </si>
  <si>
    <t>File Folders: Expanding Envelopes, Wallets, etc., Environmentally Certified Products</t>
  </si>
  <si>
    <t>File Folders, Hanging Type; and Accessories, Environmentally Certified Products</t>
  </si>
  <si>
    <t>File Folders, Regular, Legal and Letter Sizes, Environmentally Certified Products</t>
  </si>
  <si>
    <t>File Guides, Environmentally Certified Products</t>
  </si>
  <si>
    <t>Holders, Form and Memo, Including Spindles, Environmentally Certified Products</t>
  </si>
  <si>
    <t>Index Tabs: Celluloid, Cloth, etc., Environmentally Certified Products</t>
  </si>
  <si>
    <t>Key Rings, All Types, Environmentally Certified Products</t>
  </si>
  <si>
    <t>Labels, Reinforcements, Seals, etc., Not Printed and Sealing Wax, Environmentally Certified Products</t>
  </si>
  <si>
    <t>Label Remover Equipment, Environmentally Certified Products</t>
  </si>
  <si>
    <t>Letter Folders and Openers, Environmentally Certified Products</t>
  </si>
  <si>
    <t>Letter and Card Trays, All Types, Environmentally Certified Products</t>
  </si>
  <si>
    <t>List Finders, Rolodex, Telephone Strips, and Accessories, Environmentally Certified Products</t>
  </si>
  <si>
    <t>Office Supplies, General (Not Otherwise Classified), Environmentally Certified Products</t>
  </si>
  <si>
    <t>Pads and Tablets: Analysis, Columnar, Figure, Memo, Note, Ruled, Post-It Notes, Telephone Message, etc., Environmentally Certified Products</t>
  </si>
  <si>
    <t>Pads and Covers, Office Machine, All Types, Environmentally Certified Products</t>
  </si>
  <si>
    <t>Paper Clips, Ball Bearing, Environmentally Certified Products</t>
  </si>
  <si>
    <t>Paper Clips, Clamps, Fasteners, Round and Flat Head, Dispensers, etc., Environmentally Certified Products</t>
  </si>
  <si>
    <t>Paper Fasteners, Prong Type, Environmentally Certified Products</t>
  </si>
  <si>
    <t>Planners, Organizers, Environmentally Certified Products</t>
  </si>
  <si>
    <t>Recycled Office Supplies, Environmentally Certified Products</t>
  </si>
  <si>
    <t>Rubber Bands, All Sizes, Environmentally Certified Products</t>
  </si>
  <si>
    <t>Rubber Stamps, Stamp Pads, Stamp Pad Ink and Stamp Racks, Environmentally Certified Products</t>
  </si>
  <si>
    <t>Rulers, All Types (See 305-35 For Drafting), Environmentally Certified Products</t>
  </si>
  <si>
    <t>Sheet Protectors, All Types, Environmentally Certified Products</t>
  </si>
  <si>
    <t>Staples, Environmentally Certified Products</t>
  </si>
  <si>
    <t>Stock Forms and Labels: Copy Sets, Receiving Forms, Speed Letters, etc., Environmentally Certified Products</t>
  </si>
  <si>
    <t>Tacks, Office Use: Map, Thumb, etc., Including Push and T Pins, Environmentally Certified Products</t>
  </si>
  <si>
    <t>Tags, Marking and Shipping, Stock, Environmentally Certified Products</t>
  </si>
  <si>
    <t>Tape and Dispensers, Office Type, Environmentally Certified Products</t>
  </si>
  <si>
    <t>Tape, Velcro Type (See 590-69 for Clothing Type), Environmentally Certified Products</t>
  </si>
  <si>
    <t>Typewriter Cleaners and Oils, Environmentally Certified Products</t>
  </si>
  <si>
    <t>Visible Record Supplies: Cards, Flags, Folders, Hinges, Signal, Strips, Tabs, etc., Environmentally Certified Products</t>
  </si>
  <si>
    <t>Wastebaskets, Office, All Types, Environmentally Certified Products</t>
  </si>
  <si>
    <t>OFFICE SUPPLIES: ERASERS, INKS, LEADS, PENS, PENCILS, ETC.</t>
  </si>
  <si>
    <t>Desk Sets, Inkstands, Penholders, Pen Points, etc. (See 615-33 for Desk Accessories)</t>
  </si>
  <si>
    <t>Erasers: Pencil Types, etc., (See 785-57 for Blackboard and Dry Erase Types)</t>
  </si>
  <si>
    <t>Ink: Drawing, Marking, and Writing</t>
  </si>
  <si>
    <t>Ink Eradicators</t>
  </si>
  <si>
    <t>Ink Refills, Not Ballpoint, Drawing and Writing</t>
  </si>
  <si>
    <t>Lumber Marking Crayons</t>
  </si>
  <si>
    <t>Pencils, Lead; Including Pencil Leads and Pencil Lengtheners</t>
  </si>
  <si>
    <t>Pencils, Marking, Including Mechanical Types and Refills: Grease or China Types, etc.</t>
  </si>
  <si>
    <t>Pencils, Marking, Not Grease or China Types</t>
  </si>
  <si>
    <t>Pens, Fountain</t>
  </si>
  <si>
    <t>Pens, General Writing Types: Ball Point, Nylon Tip, Plastic Tip, Roller Ball, etc.</t>
  </si>
  <si>
    <t>Pen Refills, General Writing Types: Ball Point, Nylon Tip, Plastic Tip, Roller Ball, etc.</t>
  </si>
  <si>
    <t>Pen and Pencil Sets, Including Combo Type</t>
  </si>
  <si>
    <t>Pens Erasable Markers</t>
  </si>
  <si>
    <t>Pens, Marker Types, Including Highlighter Types</t>
  </si>
  <si>
    <t>Recycled Pens and Pencils</t>
  </si>
  <si>
    <t>OPTICAL EQUIPMENT, ACCESSORIES, AND SUPPLIES, INCLUDING TELESCOPES</t>
  </si>
  <si>
    <t>Binoculars</t>
  </si>
  <si>
    <t>Calibration Equipment, Optical</t>
  </si>
  <si>
    <t>Cleaners and Wipes, Eye Glass</t>
  </si>
  <si>
    <t>Contact Lenses and Supplies</t>
  </si>
  <si>
    <t>Eye Glasses Including Sunglasses, Including Frames, Cases, Parts, etc.</t>
  </si>
  <si>
    <t>Eye Testing Equipment, For Intraocular Pressure, Refraction, etc., (See item 97 for Vision Testers)</t>
  </si>
  <si>
    <t>Eyesight Testing Charts</t>
  </si>
  <si>
    <t>Laser Safety Goggles</t>
  </si>
  <si>
    <t>Laser Systems Instruments and Equipment, Including Lens and Laser Windows</t>
  </si>
  <si>
    <t>Lens Cutting and Grinding Machines, Ophthalmic</t>
  </si>
  <si>
    <t>Lens Measuring and Polishing Equipment, Ophthalmic</t>
  </si>
  <si>
    <t>Optical Components: Blanks, Domes,, Filters, Lenses, Mirrors, Prisms, etc. (See Class 490 for Microscopes</t>
  </si>
  <si>
    <t>Opticians' Furniture: Cabinets, Chairs, etc.</t>
  </si>
  <si>
    <t>Opticians' Tools and Supplies</t>
  </si>
  <si>
    <t>Magnifiers (See Class 605 For Office Use)</t>
  </si>
  <si>
    <t>*Night Vision Devices</t>
  </si>
  <si>
    <t>Telescope Accessories, Stands, etc.</t>
  </si>
  <si>
    <t>Telescopes, Astronomical, Amateur Sizes</t>
  </si>
  <si>
    <t>Telescopes, Astronomical, Observatory Sizes, and Guide Telescopes, Schmidt Cameras, etc.</t>
  </si>
  <si>
    <t>Telescopes, Surgical</t>
  </si>
  <si>
    <t>Telescopes, Terrestrial: Alignment, Spotting, etc. (See Class 680 For Rifle and Range)</t>
  </si>
  <si>
    <t>Testing and Measuring Equipment, For Optical Components: Spherometers, etc.</t>
  </si>
  <si>
    <t>Recycled Optical Equipment and Telescopes, Including Parts and Accessories</t>
  </si>
  <si>
    <t>Vision Testers (See 625-39 For Ophthalmology)</t>
  </si>
  <si>
    <t>PAINT, PROTECTIVE COATINGS, VARNISH, WALLPAPER, AND RELATED PRODUCTS</t>
  </si>
  <si>
    <t>Additives and Miscellaneous Paint Ingredients: Driers, Fungicides, Latexes, Pigments, Surfactants, etc.</t>
  </si>
  <si>
    <t>Bleach, Wood</t>
  </si>
  <si>
    <t>Caulking Compounds, Bulk or Cartridge Type</t>
  </si>
  <si>
    <t>Coatings, Masonry: Brick, Cinder Block, Concrete, Silicate Protective Coatings and Products</t>
  </si>
  <si>
    <t>Coatings, Protective, Polyurethane, etc.</t>
  </si>
  <si>
    <t>Coatings, Protective, High Performance, Polyureas and Polyaspartics</t>
  </si>
  <si>
    <t>Coatings, Protective, Asphalt Based (Also See Class 770-26)</t>
  </si>
  <si>
    <t>Coatings, Protective, Zinc-Rich, Cold Galvanizing Compound</t>
  </si>
  <si>
    <t>Colors, Tinting: Oil, Mineral Silicate, or Universal Type and Lettering</t>
  </si>
  <si>
    <t>Fillers and Sealers, Masonry: Block Fillers, Water Repellent Solutions, etc.</t>
  </si>
  <si>
    <t>Fillers and Sealers, Wallboard</t>
  </si>
  <si>
    <t>Fillers and Sealers, Metal</t>
  </si>
  <si>
    <t>Fillers and Sealers, Wood: Paste, Plastic Wood, Sanding Sealers, etc.</t>
  </si>
  <si>
    <t>Fillers and Sealers, Fiberglass</t>
  </si>
  <si>
    <t>Fire-Retardant and Heat-Resistant Coatings, Not Aluminum Paint</t>
  </si>
  <si>
    <t>Lacquer and Shellac, Clear and Colored</t>
  </si>
  <si>
    <t>Linseed Oil  (Inactive, please see commodity code 630-97 effective January 1, 2016)</t>
  </si>
  <si>
    <t>Mix, Paint Water</t>
  </si>
  <si>
    <t>Paint and Varnish Removers, Including Painted Graffiti Remover, (See 485-16 for Other Types of Graffiti Removers)</t>
  </si>
  <si>
    <t>Paint, Aluminum, Not Roof Coating</t>
  </si>
  <si>
    <t>Paint, Automotive and Machinery</t>
  </si>
  <si>
    <t>Paint, Deck and Floor</t>
  </si>
  <si>
    <t>Paint, Freezer and Wet Surface</t>
  </si>
  <si>
    <t>Paint, House and Trim</t>
  </si>
  <si>
    <t>Paint, Miscellaneous: Blockout, Bronzing Liquid, Environmentally Safe, Epoxy, Fluorescent, License Plate, Oil Paste, Reflective, Tint Base, Tree Pruning, USDA Approved, etc.</t>
  </si>
  <si>
    <t>Paint, Marine</t>
  </si>
  <si>
    <t>Paint, Masonry, Including Silicate Paints</t>
  </si>
  <si>
    <t>Paint, Rust Preventative</t>
  </si>
  <si>
    <t>Paint, Sports Court Outdoor</t>
  </si>
  <si>
    <t>Paint, Spray, Aerosol</t>
  </si>
  <si>
    <t>Paint, Swimming Pool</t>
  </si>
  <si>
    <t>Paints, Traffic</t>
  </si>
  <si>
    <t>Paint Sticks, Annealing</t>
  </si>
  <si>
    <t>Primers, Rust Inhibiting: Red Oxide, Zinc Chromate, etc.</t>
  </si>
  <si>
    <t>Putty, Glazing, Metal and Wood Sash</t>
  </si>
  <si>
    <t>Putty: Lacquer, Plumbers, Tape</t>
  </si>
  <si>
    <t>Recycled Paints; Lacquers, Shellacs, Varnish, Primers, Coatings, Sealers</t>
  </si>
  <si>
    <t>Samples, Paint Colors, Fan Decks and Liquid</t>
  </si>
  <si>
    <t>Sealers and Primers, Paint</t>
  </si>
  <si>
    <t>Stains and Varnishes</t>
  </si>
  <si>
    <t>Textured Coatings, All Kinds</t>
  </si>
  <si>
    <t>Thinners, Reducers: Alcohols, Aromatic Solvents, Esters, Ketones, Mineral Spirits, Turpentine, V M and P Naphtha, etc.</t>
  </si>
  <si>
    <t>Wall Coverings, Fabric and Plastic; and Accessories, Including Recycled Types</t>
  </si>
  <si>
    <t>Wallpaper, Paste, and Canvas, Including Paper Hanger Tools and Recycled Types</t>
  </si>
  <si>
    <t>Wood Preservative and/or Water-Repellent Finishes</t>
  </si>
  <si>
    <t>PAINT, PROTECTIVE COATINGS, VARNISH, WALLPAPER, AND RELATED PRODUCTS, ENVIRONMENTALLY CERTIFIED BY AN AGENCY ACCEPTED CERTIFICATION ENTITY</t>
  </si>
  <si>
    <t>Additives and Miscellaneous Paint Ingredients: Driers, Fungicides, Latexes, Pigments, Surfactants, etc., Environmentally Certified Products</t>
  </si>
  <si>
    <t>Bleach, Wood, Environmentally Certified Products</t>
  </si>
  <si>
    <t>Caulking Compounds, Bulk or Cartridge Type, Environmentally Certified Products</t>
  </si>
  <si>
    <t>Coatings, Masonry, Brick, Cinder Block, Concrete, etc., Including Silicate Protective Coatings and Products, Environmentally Certified Products</t>
  </si>
  <si>
    <t>Coatings, Protective, Polyurethane, etc., Environmentally Certified Products</t>
  </si>
  <si>
    <t>Coatings, Protective, Asphalt Based (Also See Class 770-26), Environmentally Certified Products</t>
  </si>
  <si>
    <t>Coatings, Protective, Zinc-Rich, Cold Galvanizing Compound, Environmentally Certified Products</t>
  </si>
  <si>
    <t>Colors, Tinting (Oil, Mineral Silicate, or Universal Type) and Lettering, Environmentally Certified Products</t>
  </si>
  <si>
    <t>Fillers and Sealers, Masonry: Block Fillers, Water Repellent Solutions, etc., Environmentally Certified Products</t>
  </si>
  <si>
    <t>Fillers and Sealers, Wallboard, Environmentally Certified Products</t>
  </si>
  <si>
    <t>Fillers and Sealers, Metal, Environmentally Certified Products</t>
  </si>
  <si>
    <t>Fillers and Sealers, Wood: Paste, Plastic Wood, Sanding Sealers, etc., Environmentally Certified Products</t>
  </si>
  <si>
    <t>Fillers and Sealers, Fiberglass, Environmentally Certified Products</t>
  </si>
  <si>
    <t>Fire-Retardant and Heat-Resistant Coatings, Not Aluminum Paint, Environmentally Certified Products</t>
  </si>
  <si>
    <t>Lacquer and Shellac, Clear and Colored, Environmentally Certified Products</t>
  </si>
  <si>
    <t>Linseed Oil, Environmentally Certified Products</t>
  </si>
  <si>
    <t>Mix, Paint Water, Environmentally Certified Products</t>
  </si>
  <si>
    <t>Paint and Varnish Removers (Includes Painted Graffiti Removers) (See 485-16 for Other Types of Graffiti Removers), Environmentally Certified Products</t>
  </si>
  <si>
    <t>Paint, Aluminum, Not Roof Coating, Environmentally Certified Products</t>
  </si>
  <si>
    <t>Paint, Automotive and Machinery, Environmentally Certified Products</t>
  </si>
  <si>
    <t>Paint, Deck and Floor, Environmentally Certified Products</t>
  </si>
  <si>
    <t>Paint, Freezer and Wet Surface, Environmentally Certified Products</t>
  </si>
  <si>
    <t>Paint, House and Trim, Environmentally Certified Products</t>
  </si>
  <si>
    <t>Paint, Miscellaneous: Blockout, Bronzing Liquid, Environmentally Safe, Epoxy, Fluorescent, License Plate, Oil Paste, Reflective, Tint Base, Tree Pruning, USDA Approved, etc., Environmentally Certified Products</t>
  </si>
  <si>
    <t>Paint, Marine, Environmentally Certified Products</t>
  </si>
  <si>
    <t>Paint, Masonry, Including Silicate Paints, Environmentally Certified Products</t>
  </si>
  <si>
    <t>Paint, Rust Preventative, Environmentally Certified Products</t>
  </si>
  <si>
    <t>Paint, Sports Court, Outdoor, Environmentally Certified Products</t>
  </si>
  <si>
    <t>Paint, Spray, Aerosol, Environmentally Certified Products</t>
  </si>
  <si>
    <t>Paint, Swimming Pool, Environmentally Certified Products</t>
  </si>
  <si>
    <t>Paints, Traffic, Environmentally Certified Products</t>
  </si>
  <si>
    <t>Paint Sticks, Annealing, Environmentally Certified Products</t>
  </si>
  <si>
    <t>Primers, Rust Inhibiting: Red Oxide, Zinc Chromate, etc., Environmentally Certified Products</t>
  </si>
  <si>
    <t>Putty, Glazing, Metal and Wood Sash, Environmentally Certified Products</t>
  </si>
  <si>
    <t>Putty: Lacquer, Plumbers, Tape, Environmentally Certified Products</t>
  </si>
  <si>
    <t>Recycled Paints, Lacquers, Shellacs, Varnish, Primers, Coatings, Sealers, Environmentally Certified Products</t>
  </si>
  <si>
    <t>Sealers and Primers, Paint, Environmentally Certified Products</t>
  </si>
  <si>
    <t>Stains and Varnishes, Environmentally Certified Products</t>
  </si>
  <si>
    <t>Textured Coatings, All Kinds, Environmentally Certified Products</t>
  </si>
  <si>
    <t>Thinners (Reducers): Alcohols, Aromatic Solvents, Esters, Ketones, Mineral Spirits, Turpentine, V M and P Naphtha, etc., Environmentally Certified Products</t>
  </si>
  <si>
    <t>Wall Coverings, Fabric and Plastic; and Accessories, Including Recycled Types, Environmentally Certified Products</t>
  </si>
  <si>
    <t>Wallpaper, Paste, and Canvas, Including Paper Hanger Tools and Recycled Types, Environmentally Certified Products</t>
  </si>
  <si>
    <t>Wood Preservative and/or Water-Repellent Finishes, Environmentally Certified Products</t>
  </si>
  <si>
    <t>PAINTING EQUIPMENT AND ACCESSORIES</t>
  </si>
  <si>
    <t>Can Opener, Paint, Pneumatic</t>
  </si>
  <si>
    <t>Cleaner and Conditioner, Paint Brush</t>
  </si>
  <si>
    <t>Compressors, Portable Paint Sprayer, Electric Motor or Engine Driven (Up to 25 CFM @ 100 PSI)</t>
  </si>
  <si>
    <t>Drop Cloths, Hoods and Mitts, Painter's</t>
  </si>
  <si>
    <t>Filter Pads, Paint Arrester</t>
  </si>
  <si>
    <t>Masking Film, Spray Booth Lining, Masking Paper, etc.</t>
  </si>
  <si>
    <t>Paint Conditioners, Mixers, Shakers, and Tinting Machines</t>
  </si>
  <si>
    <t>Paint Equipment, Accessories and Supplies (Not Otherwise Classified)</t>
  </si>
  <si>
    <t>Paint and Varnish Removing Equipment</t>
  </si>
  <si>
    <t>Rollers, Paint Can Holders, Trays and Accessories</t>
  </si>
  <si>
    <t>Screens and Strainers</t>
  </si>
  <si>
    <t>Spray Booths and Accessories, Paint</t>
  </si>
  <si>
    <t>Spray Booths and Accessories, Water Wash</t>
  </si>
  <si>
    <t>Sprayer Components and Accessories: Guns, Hoses, Pots, Regulators, Tanks, etc.</t>
  </si>
  <si>
    <t>Sprayers and Spray Systems, Industrial, Heavy Duty</t>
  </si>
  <si>
    <t>Spraying Outfits, Portable, Light Duty</t>
  </si>
  <si>
    <t>Recycled Painting Equipment and Accessories</t>
  </si>
  <si>
    <t>PAPER AND PLASTIC PRODUCTS, DISPOSABLE</t>
  </si>
  <si>
    <t>Bags and Boxes: Pollinating, Seed, and Soil Sampling; and Seed Germination Paper</t>
  </si>
  <si>
    <t>Bags, Food Storage, Including Freezer Type</t>
  </si>
  <si>
    <t>Bags, Glassine</t>
  </si>
  <si>
    <t>Bags, Padded: Book Mailing, Shipping, etc., Including Biodegradable</t>
  </si>
  <si>
    <t>Bags, Paper: Regular Weight, Heavy Weight, Nail, etc.</t>
  </si>
  <si>
    <t>Boxes and Retention Packaging (Not Otherwise Classified)</t>
  </si>
  <si>
    <t>Chipboard, Pasteboard, and Telescoping Boxes</t>
  </si>
  <si>
    <t>Compostable Food Service Products, Including Biodegradable: Bowls, Covers, Hot/Cold Cups, Cutlery, Dinnerware, Servers, Trays, Napkins and Straws</t>
  </si>
  <si>
    <t>Containers, Paper and Plastic</t>
  </si>
  <si>
    <t>Containers, Cylindrical, Cardboard, Not Mailing Type)</t>
  </si>
  <si>
    <t>Corrugated Boxes and Sheets, Including Fillers</t>
  </si>
  <si>
    <t>Fiber Type Dishes, Trays, Oil Pans, Parts Trays, etc., Disposable</t>
  </si>
  <si>
    <t>Foil Containers and Bags</t>
  </si>
  <si>
    <t>Gift Wrap Paper Including Tissue Paper and Ribbons</t>
  </si>
  <si>
    <t>Mailing Tubes and Storage Tubes</t>
  </si>
  <si>
    <t>Multiwall Paper Bags</t>
  </si>
  <si>
    <t>Multiwall Wrapping Paper, Rolls or Sheets</t>
  </si>
  <si>
    <t>Packing Materials for Mailing and Shipping, Not Containers</t>
  </si>
  <si>
    <t>Packing List Envelopes, Plastic and Paper, Self Adhesive</t>
  </si>
  <si>
    <t>Paper, Food Processing, Fresh and Frozen: Butcher Paper, Butter Paper, Freezer Paper, Vegetable Paper, etc.</t>
  </si>
  <si>
    <t>Paper Products: Cups, Doilies, Napkins, Plates, Straws, Facial Tissues, Other Than Hospital</t>
  </si>
  <si>
    <t>Plastic and Styrofoam Products: Cups, Forks, Plastic Coated Dishes, Plastic Food Wrap, Cooking Bags, Sandwich Bags, Spoons, Straws, Doilies, etc.</t>
  </si>
  <si>
    <t>Recycled Paper, Plastic, and Styrofoam Products, Disposable Type ,Including Wax Paper, Aluminum Foil and Cellophane</t>
  </si>
  <si>
    <t>Sheeting, Slip, Paper</t>
  </si>
  <si>
    <t>Shelf Paper</t>
  </si>
  <si>
    <t>Toilet Tissues, Paper Towels, and Toilet Seat Covers</t>
  </si>
  <si>
    <t>Waxed Paper, Aluminum Foil and Cellophane</t>
  </si>
  <si>
    <t>Wipers, Shop and Food Service Use</t>
  </si>
  <si>
    <t>Wrapping Paper, Brown Kraft Paper, etc.</t>
  </si>
  <si>
    <t>PAPER AND PLASTIC PRODUCTS, DISPOSABLE, ENVIRONMENTALLY CERTIFIED BY AN AGENCY ACCEPTED CERTIFICATION ENTITY</t>
  </si>
  <si>
    <t>Bags and Boxes: Pollinating, Seed, and Soil Sampling; and Seed Germination Paper, Environmentally Certified Products</t>
  </si>
  <si>
    <t>Bags, Food Storage, Including Freezer Type, Environmentally Certified Products</t>
  </si>
  <si>
    <t>Bags, Glassine, Environmentally Certified Products</t>
  </si>
  <si>
    <t>Bags, Padded: Book Mailing, Shipping, etc., Including Biodegradable, Environmentally Certified Products</t>
  </si>
  <si>
    <t>Bags, Paper: Regular Weight, Heavy Weight, Nail, etc., Environmentally Certified Products</t>
  </si>
  <si>
    <t>Boxes and Retention Packaging (Not Otherwise Classified), Environmentally Certified Products</t>
  </si>
  <si>
    <t>Chipboard, Pasteboard, and Telescoping Boxes, Environmentally Certified Products</t>
  </si>
  <si>
    <t>Containers, Paper and Plastic, Environmentally Certified Products</t>
  </si>
  <si>
    <t>Containers, Cylindrical, Cardboard, Not Mailing Type, Environmentally Certified Products</t>
  </si>
  <si>
    <t>Corrugated Boxes and Sheets, Including Fillers, Environmentally Certified Products</t>
  </si>
  <si>
    <t>Fiber Type Dishes, Trays, etc., Disposable, Environmentally Certified Products</t>
  </si>
  <si>
    <t>Foil Containers and Bags, Environmentally Certified Products</t>
  </si>
  <si>
    <t>Gift Wrap Paper Including Tissue Paper and Ribbons, Environmentally Certified Products</t>
  </si>
  <si>
    <t>Mailing Tubes and Storage Tubes, Environmentally Certified Products</t>
  </si>
  <si>
    <t>Multiwall Paper Bags, Environmentally Certified Products</t>
  </si>
  <si>
    <t>Multiwall Wrapping Paper, Rolls or Sheets, Environmentally Certified Products</t>
  </si>
  <si>
    <t>Packing Materials for Mailing and Shipping, Not Containers, Environmentally Certified Products</t>
  </si>
  <si>
    <t>Packing List Envelopes, Plastic and Paper, Self Adhesive, Environmentally Certified Products</t>
  </si>
  <si>
    <t>Paper, Food Processing, Fresh and Frozen: Butcher Paper, Butter Paper, Freezer Paper, Vegetable Paper, etc., Environmentally Certified Products</t>
  </si>
  <si>
    <t>Paper Products: Cups, Doilies, Napkins, Plates, Straws, Facial Tissues, Other Than Hospital, Environmentally Certified Products</t>
  </si>
  <si>
    <t>Plastic and Styrofoam Products: Cups, Forks, Plastic Coated Dishes, Plastic Food Wrap, Cooking Bags, Sandwich Bags, Spoons, Straws, Doilies, etc., Environmentally Certified Products</t>
  </si>
  <si>
    <t>Recycled Paper, Plastic, and Styrofoam Products, Disposable Type, Including Wax Paper, Aluminum Foil and Cellophane, Environmentally Certified Products</t>
  </si>
  <si>
    <t>Sheeting, Slip, Paper, Environmentally Certified Products</t>
  </si>
  <si>
    <t>Shelf Paper, Environmentally Certified Products</t>
  </si>
  <si>
    <t>Toilet Tissues, Paper Towels, and Toilet Seat Covers, Environmentally Certified Products</t>
  </si>
  <si>
    <t>Waxed Paper, Aluminum Foil and Cellophane, Environmentally Certified Products</t>
  </si>
  <si>
    <t>Wipers, Shop and Food Service Use, Environmentally Certified Products</t>
  </si>
  <si>
    <t>Wrapping Paper, Brown Kraft Paper, etc., Environmentally Certified Products</t>
  </si>
  <si>
    <t>PAPER, FOR OFFICE AND PRINT SHOP USE</t>
  </si>
  <si>
    <t>Announcement Stock, Including Recycled</t>
  </si>
  <si>
    <t>Backing Sheets and Liners for Decals, Bumper Stickers, etc., Crack and Peel)</t>
  </si>
  <si>
    <t>Boards: Poster, Pressboard, Railroad, etc., Including Recycled</t>
  </si>
  <si>
    <t>Bond Paper, Including Recycled</t>
  </si>
  <si>
    <t>Book Paper, Including Recycled</t>
  </si>
  <si>
    <t>Bristol, Including Recycled</t>
  </si>
  <si>
    <t>Carbonless Paper, Chemical Transfer, Including Recycled</t>
  </si>
  <si>
    <t>Card Stock, Including Recycled</t>
  </si>
  <si>
    <t>Coated Paper, Not Otherwise Classified, Including Recycled</t>
  </si>
  <si>
    <t>Copy Paper, Specialized High Speed, Including Recycled</t>
  </si>
  <si>
    <t>Cover Stock, Including Recycled</t>
  </si>
  <si>
    <t>Duplicator and Mimeograph Paper, Including Recycled</t>
  </si>
  <si>
    <t>Facsimile (Fax) Paper, Including Recycled</t>
  </si>
  <si>
    <t>Gummed Paper, Including Recycled</t>
  </si>
  <si>
    <t>Index Paper, Including Recycled</t>
  </si>
  <si>
    <t>Kenaf Tree Free Paper, Including Recycled</t>
  </si>
  <si>
    <t>Ledger Pape, (Including Recycled</t>
  </si>
  <si>
    <t>Manifold Paper, Including Recycled</t>
  </si>
  <si>
    <t>Map Pape, Including Recycled</t>
  </si>
  <si>
    <t>Newsprint, Including Recycled</t>
  </si>
  <si>
    <t>Offset Paper, Including Recycled</t>
  </si>
  <si>
    <t>Onionskin (Including Recycled)</t>
  </si>
  <si>
    <t>Parchment Paper, Including Recycled</t>
  </si>
  <si>
    <t>Paper and Paper Products, Scrap or Waste, Including Recycled</t>
  </si>
  <si>
    <t>Poster Paper, Including Recycled</t>
  </si>
  <si>
    <t>Pressure Sensitive Paper, Including Recycled</t>
  </si>
  <si>
    <t>Stationery With Envelopes, Including Recycled</t>
  </si>
  <si>
    <t>Tag Stock, Including Recycled</t>
  </si>
  <si>
    <t>Teletype and Telex Paper, Including Recycled</t>
  </si>
  <si>
    <t>Text Paper, Including Recycled</t>
  </si>
  <si>
    <t>Uncoated Paper (Not Otherwise Classified)</t>
  </si>
  <si>
    <t>PAPER, FOR OFFICE AND PRINT SHOP USE, ENVIRONMENTALLY CERTIFIED BY AN AGENCY ACCEPTED CERTIFICATION ENTITY</t>
  </si>
  <si>
    <t>Announcement Stock, Including Recycled, Environmentally Certified Products</t>
  </si>
  <si>
    <t>Backing Sheets and Liners for Decals, Bumper Stickers, etc., Crack and Peel, Environmentally Certified Products</t>
  </si>
  <si>
    <t>Boards: Poster, Pressboard, Railroad, etc., Including Recycled, Environmentally Certified Products</t>
  </si>
  <si>
    <t>Bond Paper, Including Recycled, Environmentally Certified Products</t>
  </si>
  <si>
    <t>Book Paper, Including Recycled, Environmentally Certified Products</t>
  </si>
  <si>
    <t>Bristol, Including Recycled, Environmentally Certified Products</t>
  </si>
  <si>
    <t>Carbonless Paper, Chemical Transfer, Including Recycled, Environmentally Certified Products</t>
  </si>
  <si>
    <t>Card Stock, Including Recycled, Environmentally Certified Products</t>
  </si>
  <si>
    <t>Coated Paper (Not Otherwise Classified), Including Recycled, Environmentally Certified Products</t>
  </si>
  <si>
    <t>Copy Paper, Specialized High Speed, Including Recycled,, Environmentally Certified Products</t>
  </si>
  <si>
    <t>Cover Stock, Including Recycled, Environmentally Certified Products</t>
  </si>
  <si>
    <t>Duplicator and Mimeograph Paper, Including Recycled, Environmentally Certified Products</t>
  </si>
  <si>
    <t>Facsimile (Fax) Paper, Including Recycled, Environmentally Certified Products</t>
  </si>
  <si>
    <t>Gummed Paper, Including Recycled, Environmentally Certified Products</t>
  </si>
  <si>
    <t>Index Paper, Including Recycled, Environmentally Certified Products</t>
  </si>
  <si>
    <t>Kenaf Tree Free Paper, Including Recycled, Environmentally Certified Products</t>
  </si>
  <si>
    <t>Ledger Paper, Including Recycled, Environmentally Certified Products</t>
  </si>
  <si>
    <t>Manifold Paper, Including Recycled, Environmentally Certified Products</t>
  </si>
  <si>
    <t>Map Paper, Including Recycled, Environmentally Certified Products</t>
  </si>
  <si>
    <t>Newsprint, Including Recycled, Environmentally Certified Products</t>
  </si>
  <si>
    <t>Offset Paper, Including Recycled, Environmentally Certified Products</t>
  </si>
  <si>
    <t>Onionskin, Including Recycled, Environmentally Certified Products</t>
  </si>
  <si>
    <t>Parchment Paper, Including Recycled, Environmentally Certified Products</t>
  </si>
  <si>
    <t>Paper and Paper Products, Scrap or Waste, Including Recycled, Environmentally Certified Products</t>
  </si>
  <si>
    <t>Poster Paper, Including Recycled, Environmentally Certified Products</t>
  </si>
  <si>
    <t>Pressure Sensitive Paper, Including Recycled, Environmentally Certified Products</t>
  </si>
  <si>
    <t>Stationery w/Envelopes, Including Recycled, Environmentally Certified Products</t>
  </si>
  <si>
    <t>Tag Stock, Including Recycled, Environmentally Certified Products</t>
  </si>
  <si>
    <t>Teletype and Telex Paper, Including Recycled, Environmentally Certified Products</t>
  </si>
  <si>
    <t>Text Paper, Including Recycled, Environmentally Certified Products</t>
  </si>
  <si>
    <t>Uncoated Paper (Not Otherwise Classified), Environmentally Certified Products</t>
  </si>
  <si>
    <t>PARK, PLAYGROUND, RECREATIONAL AREA AND SWIMMING POOL EQUIPMENT AND SUPPLIES</t>
  </si>
  <si>
    <t>Amusement Park Ride Equipment, Including Parts and Accessories</t>
  </si>
  <si>
    <t>Benches, Park, Including Bus Stop Benches</t>
  </si>
  <si>
    <t>Bicycle Racks</t>
  </si>
  <si>
    <t>Climbers, Playground</t>
  </si>
  <si>
    <t>Combination Sets, Playground</t>
  </si>
  <si>
    <t>Fish Cleaning Stations</t>
  </si>
  <si>
    <t>Fountains, Decorative</t>
  </si>
  <si>
    <t>Fountains, Pet Drinking</t>
  </si>
  <si>
    <t>Golf Course Maintenance Tools and Equipment (See Class 515 For Lawn Mowers)</t>
  </si>
  <si>
    <t>Grill and Park Stoves, Outdoor</t>
  </si>
  <si>
    <t>Groomers, Snow, Self-Propelled or Towed Behind</t>
  </si>
  <si>
    <t>Ice Rink Resurfacer</t>
  </si>
  <si>
    <t>Picnic Tables</t>
  </si>
  <si>
    <t>Playground Equipment, (Not Otherwise Classified), (See 420-04 for Bleachers)</t>
  </si>
  <si>
    <t>Pond Maintenance Equipment</t>
  </si>
  <si>
    <t>Rakes/Screeners, Beach, Tractor Towed</t>
  </si>
  <si>
    <t>Recycled Recreational and Park Equipment</t>
  </si>
  <si>
    <t>Safety Surfaces, Playground</t>
  </si>
  <si>
    <t>Seesaws, Playground</t>
  </si>
  <si>
    <t>Slides, Playground</t>
  </si>
  <si>
    <t>Sports Field Maintenance Equipment</t>
  </si>
  <si>
    <t>Swimming Pools, Equipment, and Supplies: Heaters, Lights, and Vacuum Machines; for Chemicals See Class 885</t>
  </si>
  <si>
    <t>Swings, Playground</t>
  </si>
  <si>
    <t>Water Park Equipment: Slides, Splash Pads, Aqua Climb</t>
  </si>
  <si>
    <t>Umbrellas, Lawn and Picnic Type</t>
  </si>
  <si>
    <t>Whirls</t>
  </si>
  <si>
    <t>PERSONAL HYGIENE AND GROOMING EQUIPMENT AND SUPPLIES</t>
  </si>
  <si>
    <t>Baby Powder, Lotions, Oils and Creams</t>
  </si>
  <si>
    <t>Bath Accessories (Not Otherwise Classified)</t>
  </si>
  <si>
    <t>Bath Powder, Shower Gel and Soaps, Including Talc</t>
  </si>
  <si>
    <t>Combs and Brushes, Hair</t>
  </si>
  <si>
    <t>Cosmetics and Skin Care: Colognes, Creams, Lipsticks, Lotions, Perfumes, Powders, Soaps w/Lotion, Sunscreen,  etc.</t>
  </si>
  <si>
    <t>Dispensers for Personal Hygiene, Skin Care, and Grooming Equipment and Supplies</t>
  </si>
  <si>
    <t>Electrolysis Equipment, Hair Removal</t>
  </si>
  <si>
    <t>Deodorants, Body</t>
  </si>
  <si>
    <t>Feminine Personal Hygiene Items: Sanitary Napkins, Pads and Belts, Tampons, etc.</t>
  </si>
  <si>
    <t>Hair Cleaning and Conditioning Supplies: Colors, Creams, Dressings, Oils, Rinses, Shampoos, Sprays, Tonics, Waving Solutions, etc.</t>
  </si>
  <si>
    <t>Hair Care Accessories: Bands, Curlers, Nets, Pins, Rollers, etc.</t>
  </si>
  <si>
    <t>Manicuring Equipment and Supplies: Nail Files, Nail Clippers, Nail Polish, Polish Remover, etc.</t>
  </si>
  <si>
    <t>Mouthwash</t>
  </si>
  <si>
    <t>Personal Hygiene Kits for Men and Women, Including Toothpaste, Shampoo, Deodorant, etc.</t>
  </si>
  <si>
    <t>Razors and Blades, Electric</t>
  </si>
  <si>
    <t>Razors and Blades, Safety</t>
  </si>
  <si>
    <t>Razors and Keys, Security</t>
  </si>
  <si>
    <t>Razors, Shaper and Straight</t>
  </si>
  <si>
    <t>Recycled Personal Hygiene and Grooming Equipment and Supplies</t>
  </si>
  <si>
    <t>Shaving Supplies: Soaps, Brushes, Creams, Lathers, Lotions, etc.</t>
  </si>
  <si>
    <t>Toothbrushes and Holders</t>
  </si>
  <si>
    <t>Tooth Paste, Polish, and Powders</t>
  </si>
  <si>
    <t>Valets and Vanity Kits</t>
  </si>
  <si>
    <t>Wigs, Wiglets, Holders, and Manikins</t>
  </si>
  <si>
    <t>PHOTOGRAPHIC EQUIPMENT, FILM, AND SUPPLIES, NOT GRAPHIC ARTS, MICROFILM, AND X-RAY</t>
  </si>
  <si>
    <t>Albums and Organizers, Picture</t>
  </si>
  <si>
    <t>Animation Equipment and Supplies</t>
  </si>
  <si>
    <t>Camera Accessories: Batteries, Exposure Meters, Light Meters, Flash Equipment and Bar Lights (See Class 285 for Lamps), Power Packs and Chargers, Tripods, etc.</t>
  </si>
  <si>
    <t>Camera Attachments: Adapter Rings, Collimators, Filters, Lenses, etc.</t>
  </si>
  <si>
    <t>Camera Carrying Cases, Gadget Bags, etc.</t>
  </si>
  <si>
    <t>Camera Tools, Books, Instruction Manuals, etc.</t>
  </si>
  <si>
    <t>*Cameras, Digital Type, Including Digital Network Cameras</t>
  </si>
  <si>
    <t>Cameras, Movie, Including Parts and Accessories</t>
  </si>
  <si>
    <t>Cameras, Still, Non-specialized, Including  Infrared Types, Self-Developing Types, etc.</t>
  </si>
  <si>
    <t>Cameras, Still, Specialized, Including Complete Systems for Medical and Dental Photography, Photomicrography, etc.</t>
  </si>
  <si>
    <t>*Cameras, Video, Portable, Body and Dash Cams</t>
  </si>
  <si>
    <t>Chemicals, Photographic</t>
  </si>
  <si>
    <t>Color Film Adhesive, For Adding Color to Visuals</t>
  </si>
  <si>
    <t>Copying Equipment, Including Slide Duplicators</t>
  </si>
  <si>
    <t>Darkroom Equipment, Not Graphic Arts Type: Cabinets, Color Analyzers, Counters, Densitometers, Developing Tanks, Enlargers, etc.</t>
  </si>
  <si>
    <t>Darkroom Supplies: Enlarger Easels, Film Holders, Film Loaders, Lens Cleaner, Safelights and Filters, Thermometers, Timers, Trays, Water Filtering Elements, etc.</t>
  </si>
  <si>
    <t>Film Developing and Processing Equipment, (Not Otherwise Classified)</t>
  </si>
  <si>
    <t>Film, Photographic, Including Movie Films and Polaroid Type</t>
  </si>
  <si>
    <t>Paper and Plates, Photographic</t>
  </si>
  <si>
    <t>*Photo Identification Systems, Complete</t>
  </si>
  <si>
    <t>Recycled Photographic Equipment and Supplies</t>
  </si>
  <si>
    <t>Silver Recovery Devices</t>
  </si>
  <si>
    <t>Slide Maker, Computerized</t>
  </si>
  <si>
    <t>Slide Preparation Supplies: Mounting Presses, Mounts, etc.</t>
  </si>
  <si>
    <t>Storage and Mailing Materials, For Negatives, Prints, or Slides: Envelopes, Files, Sleeves, etc.</t>
  </si>
  <si>
    <t>Studio Production Equipment: Backdrop Mechanisms, Floods, Posing Stools, Reflectors, Spots, Stands, Strobe Systems, etc. (See Class 285 for Lamps)</t>
  </si>
  <si>
    <t>Transparency Film</t>
  </si>
  <si>
    <t>Video Equipment and Accessories</t>
  </si>
  <si>
    <t>*Video Capturing Devices Connected to Computers or Computer Networks, Web Cameras</t>
  </si>
  <si>
    <t>PIPE, TUBING, AND ACCESSORIES, NOT FITTINGS</t>
  </si>
  <si>
    <t>Brass, Plumbing Tubular Goods</t>
  </si>
  <si>
    <t>Pipe, Alloy Steel, Chrome, Chrome-Moly, Ferrous and Non Ferrous Alloy, Stainless</t>
  </si>
  <si>
    <t>Pipe, Aluminum  (Inactive, please see commodity code 658-09 effective January 1, 2016)</t>
  </si>
  <si>
    <t>Pipe, Aluminum, Lead, Magnesium. Metal. Tin. Titanium, Zinc</t>
  </si>
  <si>
    <t>Pipe, Bituminized Fiber, Concrete, Clay, Fiberglass, Rubber, Terra Cotta</t>
  </si>
  <si>
    <t>Pipe, Bonded, All Types  (Inactive, please see commodity code 658-18 effective January 1, 2016)</t>
  </si>
  <si>
    <t>Pipe, Brass, Bronze, Copper</t>
  </si>
  <si>
    <t>Pipe, Bronze (Inactive, please see commodity code 658-22 effective January 1, 2016)</t>
  </si>
  <si>
    <t>Pipe, Cast Iron  (Inactive, please see commodity code 658-46 effective January 1, 2016)</t>
  </si>
  <si>
    <t>Pipe, Chrome  (Inactive, please see commodity code 658-04 effective January 1, 2016)</t>
  </si>
  <si>
    <t>Pipe, Clay, Terra Cotta (Inactive, please see commodity code 658-18 effective January 1, 2016)</t>
  </si>
  <si>
    <t>Pipe, Concrete  (Inactive, please see commodity code 658-18 effective January 1, 2016)</t>
  </si>
  <si>
    <t>Pipe, Copper  (Inactive, please see commodity code 658-22 effective January 1, 2016)</t>
  </si>
  <si>
    <t>Pipe, Ferrous Alloy  (Inactive, please see commodity code 658-04 effective January 1, 2016)</t>
  </si>
  <si>
    <t>Pipe, Fiberglass  (Inactive, please see commodity code 658-18 effective January 1, 2016)</t>
  </si>
  <si>
    <t>Pipe, Iron, Including Ductile Iron Pipe and Cast Iron Pipe</t>
  </si>
  <si>
    <t>Pipe, Lead  (Inactive, please see commodity code 658-09 effective January 1, 2016)</t>
  </si>
  <si>
    <t>Pipe, Magnesium (Inactive, please see commodity code 658-09 effective January 1, 2016)</t>
  </si>
  <si>
    <t>Pipe, Non-Ferrous Alloy (Inactive, please see commodity code 658-04 effective January 1, 2016)</t>
  </si>
  <si>
    <t>Pipe, Plastic, Including Fiber Reinforced Plastic Pipe, Polybutylene Pipe, PVC</t>
  </si>
  <si>
    <t>Pipe, Polyethylene  (Inactive, please see commodity code 658-56 effective January 1, 2016) (Inactive, please see commodity code 658-60 effective January 1, 2016)</t>
  </si>
  <si>
    <t>Pipe, PVC (Polyvinyl Chloride) (Inactive, please see commodity code 658-56 effective January 1, 2016)</t>
  </si>
  <si>
    <t>Pipe, Rubber (Inactive, please see commodity code 658-18 effective January 1, 2016)</t>
  </si>
  <si>
    <t>Pipe, Soil  (Inactive, please see commodity code 658-28 effective January 1, 2016)</t>
  </si>
  <si>
    <t>Pipe, Stainless Steel  (Inactive, please see commodity code 658-80 effective January 1, 2016)</t>
  </si>
  <si>
    <t>Pipe, Steel, Stainless Steel and Wrought Steel</t>
  </si>
  <si>
    <t>Pipe, Threaded</t>
  </si>
  <si>
    <t>Pipe, Steel, Wrought  (Inactive, please see commodity code 658-80 effective January 1, 2016)</t>
  </si>
  <si>
    <t>Pipe, Tin  (Inactive, please see commodity code 658-09 effective January 1, 2016)</t>
  </si>
  <si>
    <t>Pipe, Titanium  (Inactive, please see commodity code 658-09 effective January 1, 2016)</t>
  </si>
  <si>
    <t>Pipe, Unthreaded (Inactive, please see commodity code 658-81 effective January 1, 2016)</t>
  </si>
  <si>
    <t>Pipe, Zinc (Inactive, please see commodity code 658-09 effective January 1, 2016)</t>
  </si>
  <si>
    <t>Tubing: Brass, Bronze, and Copper (See 570-91 for Structural Tubing)</t>
  </si>
  <si>
    <t>Tubing, Ferrous and Non-Ferrous Alloy</t>
  </si>
  <si>
    <t>Tubing: Iron, Lead, Magnesium</t>
  </si>
  <si>
    <t>Tubing, Plastic and PVC</t>
  </si>
  <si>
    <t>Tubing: Tin, Titanium, Zinc  (Inactive, please see commodity code 658-97 effective January 1, 2016)</t>
  </si>
  <si>
    <t>Tubing, Stainless Steel (See 570-91 for Structural Tubing)</t>
  </si>
  <si>
    <t>Tubing, Steel (Inactive, please see commodity code 658-94 effective January 1, 2016)</t>
  </si>
  <si>
    <t>Recycled Pipe and Tubing</t>
  </si>
  <si>
    <t>Tubing (Not Otherwise Classified)</t>
  </si>
  <si>
    <t>PIPE AND TUBING FITTINGS</t>
  </si>
  <si>
    <t>Adapters</t>
  </si>
  <si>
    <t>Bands</t>
  </si>
  <si>
    <t>Bends</t>
  </si>
  <si>
    <t>Bushings</t>
  </si>
  <si>
    <t>Caps</t>
  </si>
  <si>
    <t>Connectors</t>
  </si>
  <si>
    <t>Couplings</t>
  </si>
  <si>
    <t>Crosses, Crossovers, Curves</t>
  </si>
  <si>
    <t>Elbows, Miscellaneous</t>
  </si>
  <si>
    <t>Elbows, Steel</t>
  </si>
  <si>
    <t>Elbows, Other than Steel</t>
  </si>
  <si>
    <t>Ells</t>
  </si>
  <si>
    <t>Extensions, Pipe</t>
  </si>
  <si>
    <t>Ferrules, Flanges, Glands</t>
  </si>
  <si>
    <t>Hubs, Increasers, Inserts, Joints</t>
  </si>
  <si>
    <t>Laterals, Nipples</t>
  </si>
  <si>
    <t>Lining, Pipe, Cement, Cure-in-place, Epoxy, Trenchless, etc.</t>
  </si>
  <si>
    <t>Offsets, Plugs, Pipe Rests</t>
  </si>
  <si>
    <t>Pipe Repair Clamps, Couplings, Leak Kits, etc.</t>
  </si>
  <si>
    <t>Reducers</t>
  </si>
  <si>
    <t>Saddles, Sleeves, Straps</t>
  </si>
  <si>
    <t>Tubing Fittings: Brass, Bronze, and Copper</t>
  </si>
  <si>
    <t>Tubing Fittings, Plastic, PVC</t>
  </si>
  <si>
    <t>Tubing Fittings, Stainless Steel</t>
  </si>
  <si>
    <t>Tubing Fittings, Steel</t>
  </si>
  <si>
    <t>Tees, Compression, Miscellaneous</t>
  </si>
  <si>
    <t>Tees, Steel</t>
  </si>
  <si>
    <t>Tees, Other Than Steel</t>
  </si>
  <si>
    <t>Unions</t>
  </si>
  <si>
    <t>Vees (V)</t>
  </si>
  <si>
    <t>Wyes (Y)</t>
  </si>
  <si>
    <t>Recycled Pipe and Tubing Fittings</t>
  </si>
  <si>
    <t>Pipe Fittings, Misc. (Not Otherwise Classified)</t>
  </si>
  <si>
    <t>PIPES, TOBACCOS, SMOKING ACCESSORIES INCLUDING  ALCOHOLIC BEVERAGES</t>
  </si>
  <si>
    <t>Alcoholic Beverages, All Types</t>
  </si>
  <si>
    <t>Cigarettes and Electronic Cigarettes</t>
  </si>
  <si>
    <t>Cigars</t>
  </si>
  <si>
    <t>Lighters, Cigarette</t>
  </si>
  <si>
    <t>Papers and Storage Bags, Tobacco</t>
  </si>
  <si>
    <t>Pipes, Smoking, All Types; and Pipe Cleaners, Filters, etc.</t>
  </si>
  <si>
    <t>Snuff</t>
  </si>
  <si>
    <t>Holders, Cigarette and Cigar</t>
  </si>
  <si>
    <t>Tobacco, Chewing</t>
  </si>
  <si>
    <t>Tobacco, Smoking</t>
  </si>
  <si>
    <t>Tobacco and Smoking Accessories, Scrap or Waste</t>
  </si>
  <si>
    <t>Recycled Tobacco and Alcoholic Beverages Accessories and Supplies</t>
  </si>
  <si>
    <t>PLASTICS, RESINS, FIBERGLASS: CONSTRUCTION, FORMING, LAMINATING, AND MOLDING EQUIPMENT, ACCESSORIES, AND SUPPLIES</t>
  </si>
  <si>
    <t>Acetate Film and Sheets</t>
  </si>
  <si>
    <t>Acrylic, Liquid</t>
  </si>
  <si>
    <t>Acrylic Rods and Tubes, Methyl Methacrylate</t>
  </si>
  <si>
    <t>Acrylic Mirrors</t>
  </si>
  <si>
    <t>Acrylic Polymer and Natural Material Blends, Corian</t>
  </si>
  <si>
    <t>Acrylic Sheets, Methyl Methacrylate, Plexiglass</t>
  </si>
  <si>
    <t>Bag Sealing Equipment, Including Tape and Accessories</t>
  </si>
  <si>
    <t>Bumper and Guard Rails, Poly. (See Class 570 for Metal Type)</t>
  </si>
  <si>
    <t>Bags and Liners, Plastic: Garbage Can Liners, Janitor Cart Liners, Linen Hamper Liners, Litter Bags, Polyethylene Bags, etc., Including Biodegradable (Inactive, please see commodity code 485-05 effective January 1, 2016)</t>
  </si>
  <si>
    <t>Burnishers for Plastic</t>
  </si>
  <si>
    <t>Contact Cement, For Plastic Laminates</t>
  </si>
  <si>
    <t>Coatings, Protective for Plastics, etc.</t>
  </si>
  <si>
    <t>Edging Tape, Polypropylene, For Mesh Screening</t>
  </si>
  <si>
    <t>Engraving Machines, For Nameplates, Accessories, and Stock, Laminated</t>
  </si>
  <si>
    <t>Envelopes, Plastic and Poly.  (Inactive, please see commodity code 310-31 effective January 1, 2016)</t>
  </si>
  <si>
    <t>Fiberglass Structural Shapes: Angles, Channels, I-Beams, etc.</t>
  </si>
  <si>
    <t>Fiberglass, Plastic and Poly. Castings</t>
  </si>
  <si>
    <t>Fiberglass Sheets, Panels, etc., Including Reinforced Types</t>
  </si>
  <si>
    <t>Fiberglass Supplies: Catalysts, Cloth, Resins, etc.</t>
  </si>
  <si>
    <t>Gratings: Fiberglass, Plastic, Poly., etc.</t>
  </si>
  <si>
    <t>Heat Sealing Equipment, Film, and Supplies</t>
  </si>
  <si>
    <t>Laminates, Polycarbonate: Ballistic, Break-Resistant and Forced Entry Types</t>
  </si>
  <si>
    <t>Laminating Presses, Film, ID Pouches, and Supplies</t>
  </si>
  <si>
    <t>Landfill Liners and Covers</t>
  </si>
  <si>
    <t>Mesh Screening, Fiberglass and Plastic</t>
  </si>
  <si>
    <t>Nameplates, Engraved and Easels (Inactive, please see commodity code 080-30 effective January 1, 2016)</t>
  </si>
  <si>
    <t>Pilings, Plastic</t>
  </si>
  <si>
    <t>Plastic Rods and Tubes, Except Acrylic</t>
  </si>
  <si>
    <t>Plastic Forming and Molding Equipment: Blow Molding, Extrusion Equipment, Injection Molding, Vacuum Forming, etc.</t>
  </si>
  <si>
    <t>Plastic Forming and Molding Supplies: Catalysts, Colorants, Mold Release Compounds, Resins, etc.</t>
  </si>
  <si>
    <t>Plastics Processing Equipment and Supplies (Not Otherwise Classified)</t>
  </si>
  <si>
    <t>Polypropylene Film, Rods, Tubes, etc.</t>
  </si>
  <si>
    <t>Plastics and Related Products, Scrap or Waste</t>
  </si>
  <si>
    <t>Plastic Laminates: Decorative, High and Low Pressure Type Veneers, Used for Desk Tops, Cabinetry, etc.</t>
  </si>
  <si>
    <t>Plastic, Polyethylene and Fiberglass Products and Supplies, Recycled</t>
  </si>
  <si>
    <t>Plastic Sheets and Strips, Except Acetate, Acrylic, and Polycarbonate</t>
  </si>
  <si>
    <t>Plastic Edge Molding, For Desks, Counter Tops, and Tables</t>
  </si>
  <si>
    <t>Polyimide Film</t>
  </si>
  <si>
    <t>Polycarbonate Sheets</t>
  </si>
  <si>
    <t>Polyethylene Bags, Self-Sealing, Reclosable</t>
  </si>
  <si>
    <t>Polyethylene Film, Rods, Tubes, etc.</t>
  </si>
  <si>
    <t>Polyvinyl Chloride Rods and Sheets</t>
  </si>
  <si>
    <t>Polyethylene Film, Reinforced</t>
  </si>
  <si>
    <t>Polyurethane</t>
  </si>
  <si>
    <t>Shrink Film Packaging Equipment and Supplies</t>
  </si>
  <si>
    <t>Stretch Film and Wrapping Equipment</t>
  </si>
  <si>
    <t>Sheeting, Plastic, Reinforced, Not Polyethylene</t>
  </si>
  <si>
    <t>Structural Plastic Shapes: Angles, Bars, etc.</t>
  </si>
  <si>
    <t>Teflon Sheets and Rods</t>
  </si>
  <si>
    <t>Thermoplastic Plastics</t>
  </si>
  <si>
    <t>Thermoset Plastics</t>
  </si>
  <si>
    <t>PLUMBING EQUIPMENT, FIXTURES, AND SUPPLIES</t>
  </si>
  <si>
    <t>Bathroom Accessories: Fans, Mirrors, Medicine Cabinets, Soap Dishes, Towel Bars and Rings, etc.</t>
  </si>
  <si>
    <t>Bathtub and Shower Cleaners (Inactive, please see commodity code 485-16 effective January 1, 2016)</t>
  </si>
  <si>
    <t>Cathodic Protection Equipment</t>
  </si>
  <si>
    <t>Cement and Cleaners, For Plastic Conduit, Fittings, and Pipe</t>
  </si>
  <si>
    <t>Compound, Pipe Joint and Tape</t>
  </si>
  <si>
    <t>Drains, Grease Traps, etc.</t>
  </si>
  <si>
    <t>Dryers, Hand, Electric</t>
  </si>
  <si>
    <t>Grout, Pipe and Sewer</t>
  </si>
  <si>
    <t>Grab Bars  (Inactive, please see commodity code 670-02 effective January 1, 2016)</t>
  </si>
  <si>
    <t>Gas Meters, Indicating and Recording</t>
  </si>
  <si>
    <t>Hydraulic Fusion Machine for Pipe</t>
  </si>
  <si>
    <t>Irrigation Systems, Supplies, Parts, and Accessories  (Inactive, please see commodity code 515-25 effective January 1, 2016)</t>
  </si>
  <si>
    <t>Lead: Flashings, Ingots, Sheets, etc.</t>
  </si>
  <si>
    <t>Liquid Heaters, Immersion Type</t>
  </si>
  <si>
    <t>Oakum</t>
  </si>
  <si>
    <t>Pipe Hangers, Constant Support Type, for Power Plant Operations</t>
  </si>
  <si>
    <t>Pipe Hangers, Concrete Inserts, Joint Restraints, etc.</t>
  </si>
  <si>
    <t>Pipe and Utility Markers</t>
  </si>
  <si>
    <t>Pipe Repair Clamps, Couplings, Leak Kits, etc. (Inactive, please see commodity code 659-55 effective January 1, 2016)</t>
  </si>
  <si>
    <t>Pipeline Equipment and Tools, Construction and Laying of the Pipeline</t>
  </si>
  <si>
    <t>Brass, Plumbing Tubular Goods (Inactive, please see commodity code 658-02 effective January 1, 2016)</t>
  </si>
  <si>
    <t>Plumbing Fixtures and Parts</t>
  </si>
  <si>
    <t>Plumbing Trim: Faucets, Fittings, etc.</t>
  </si>
  <si>
    <t>Plumbing Equipment, Accessories and Supplies (Not Otherwise Classified)</t>
  </si>
  <si>
    <t>Rubber Goods and Plumbing Specialties: Gaskets, Leathers, Seats, Washers, etc.</t>
  </si>
  <si>
    <t>Sealants, Water plug</t>
  </si>
  <si>
    <t>Septic Tanks and Cesspools, Other than Concrete</t>
  </si>
  <si>
    <t>Sewer Pipe Cleaning Machines, Power Driven; and Parts</t>
  </si>
  <si>
    <t>Shower Stalls, Doors, and Tub Enclosures  (Inactive, please see commodity code 670-55 effective January 1, 2016)</t>
  </si>
  <si>
    <t>Service Boxes and Parts</t>
  </si>
  <si>
    <t>Supplies and Stops</t>
  </si>
  <si>
    <t>Sinks, Portable, Self-Contained</t>
  </si>
  <si>
    <t>Toilet Partitions and Doors  (Inactive, please see commodity code 670-55 effective January 1, 2016)</t>
  </si>
  <si>
    <t>Vacuum Breakers</t>
  </si>
  <si>
    <t>Valves, Aluminum</t>
  </si>
  <si>
    <t>Valves, Brass, Chrome, Copper</t>
  </si>
  <si>
    <t>Valves, Bronze: Angle, Ball, Check, Gate, Globe, etc.</t>
  </si>
  <si>
    <t>Valves, Butterfly, All Kinds</t>
  </si>
  <si>
    <t>Valves, Chrome  (Inactive, please see commodity code 670-69 effective January 1, 2016)</t>
  </si>
  <si>
    <t>Valves, Flush, All Types; and Parts</t>
  </si>
  <si>
    <t>Valves, Drop-Out</t>
  </si>
  <si>
    <t>Valves, Iron Body: Angle, Check, Gate, Globe, etc.</t>
  </si>
  <si>
    <t>Valves and Valve Parts, Miscellaneous</t>
  </si>
  <si>
    <t>Valves, Plastic: Ball, Check, Diaphragm, Globe, etc.</t>
  </si>
  <si>
    <t>Valves, Semi-Steel  (Inactive, please see commodity code 670-82 effective January 1, 2016)</t>
  </si>
  <si>
    <t>Valves, Solenoid Control</t>
  </si>
  <si>
    <t>Valves, Stainless Steel: Angle, Ball, Check, Gate, Globe, etc.</t>
  </si>
  <si>
    <t>Valves, Steel: Angle, Check, Gate, Globe, etc.</t>
  </si>
  <si>
    <t>Venturi Tubes, Air and Vacuum</t>
  </si>
  <si>
    <t>Water Filtration, Conditioning, and Purification Equipment for the Office and Home</t>
  </si>
  <si>
    <t>Water Conservation Kits</t>
  </si>
  <si>
    <t>Water Hammer Arrester</t>
  </si>
  <si>
    <t>Water Heaters, Residential</t>
  </si>
  <si>
    <t>Water Heaters, Commercial</t>
  </si>
  <si>
    <t>Water Softening Equipment, Residential</t>
  </si>
  <si>
    <t>Water Softening Equipment, Commercial (Also see 890-85)</t>
  </si>
  <si>
    <t>Refurbished Plumbing Equipment, Accessories and Supplies</t>
  </si>
  <si>
    <t>PESTICIDES AND CHEMICALS: AGRICULTURAL AND INDUSTRIAL</t>
  </si>
  <si>
    <t>Defoliants, Cotton</t>
  </si>
  <si>
    <t>Fumigating Gases, Other Than Soil</t>
  </si>
  <si>
    <t>Grains and Baits, Poisoned</t>
  </si>
  <si>
    <t>Insecticides and Fungicides, Dry</t>
  </si>
  <si>
    <t>Insecticides and Fungicides, Liquid</t>
  </si>
  <si>
    <t>Pesticides</t>
  </si>
  <si>
    <t>Adjuvants: Emulsifiers, Spreader and Stickers, Wetting Agents, etc.</t>
  </si>
  <si>
    <t>Recycled Pesticides and Chemicals for Agriculture and Industrial Use</t>
  </si>
  <si>
    <t>Rotenone (Fish Toxicant)</t>
  </si>
  <si>
    <t>Seed and Soil Fumigants and Sterilants</t>
  </si>
  <si>
    <t>TCA (Trichloroacetic Acid, Sodium Salt)</t>
  </si>
  <si>
    <t>Weed Control Blankets, Including Recycled Types</t>
  </si>
  <si>
    <t>Dry Formulation Herbicides</t>
  </si>
  <si>
    <t>Liquid Formulation Herbicides</t>
  </si>
  <si>
    <t>POLICE, CORRECTIONAL FACILITY AND SECURITY ACCESS EQUIPMENT AND SUPPLIES</t>
  </si>
  <si>
    <t>*Access Control Systems and Security Systems</t>
  </si>
  <si>
    <t>Ammunition</t>
  </si>
  <si>
    <t>Ammunition, Reloaded</t>
  </si>
  <si>
    <t>Ammunition Handling Systems, Aircraft, Tanks, etc.</t>
  </si>
  <si>
    <t>Police Protection Equipment, Body Armor and Riot Shields and Supplies</t>
  </si>
  <si>
    <t>Badge Cases, Police, All Types</t>
  </si>
  <si>
    <t>Belts, Cases, Holsters, Scabbards, etc.</t>
  </si>
  <si>
    <t>Billies, Night Sticks and Traffic Batons</t>
  </si>
  <si>
    <t>Breath Alcohol Testing Instruments and Supplies</t>
  </si>
  <si>
    <t>Bullet Traps</t>
  </si>
  <si>
    <t>*Burglar Alarms</t>
  </si>
  <si>
    <t>Canine (K-9) Police Dogs and Training Equipment</t>
  </si>
  <si>
    <t>*Citation Issuance Devices and Supplies</t>
  </si>
  <si>
    <t>Chemicals for Personal Defense, Mace, etc.</t>
  </si>
  <si>
    <t>Clay Targets and Skeet Range Equipment</t>
  </si>
  <si>
    <t>*Composite Identification Kits and Systems</t>
  </si>
  <si>
    <t>*Crime Detection Equipment and Supplies</t>
  </si>
  <si>
    <t>Curtains, Security; Vehicle Security Partitions</t>
  </si>
  <si>
    <t>Detectors, Gun and Metal</t>
  </si>
  <si>
    <t>Explosives Storage Boxes, Bunkers, etc.</t>
  </si>
  <si>
    <t>Explosives, Grenades, Accessories and Supplies</t>
  </si>
  <si>
    <t>Evidence Bags, Containers and Supplies, Including Drug Disposal Equipment</t>
  </si>
  <si>
    <t>Finger and Foot Printing Equipment, Accessories, and Supplies, Including Laser and Cyanoacrylate Fuming Chambers</t>
  </si>
  <si>
    <t>*Firearms Training Simulators</t>
  </si>
  <si>
    <t>Guns, Nonlethal, Including Stun, Taser Weapons, (See 680-54 for EMD Weapons)</t>
  </si>
  <si>
    <t>Forced Entry Equipment and Supplies, Battering Rams, etc.)</t>
  </si>
  <si>
    <t>Guns, Pistols, Rifles, and Shotguns, Including Parts and Accessories, (See 680-86 for Scopes)</t>
  </si>
  <si>
    <t>Guns, Machine, Including Other Military Style Weapons</t>
  </si>
  <si>
    <t>Guns, Electro-Muscular Disruption (EMD) (See 680-50 for Stun Guns)</t>
  </si>
  <si>
    <t>Gun Cleaning Supplies: Patches, Rods, Silicone Cloths, Solvents and Brushes, etc.</t>
  </si>
  <si>
    <t>Gun Rifling Machines</t>
  </si>
  <si>
    <t>Gun Locks and Safes for Guns and Ammunition, All Types</t>
  </si>
  <si>
    <t>*Identity Tracking Devices</t>
  </si>
  <si>
    <t>Handcuffs, Leg Irons, Strap and Loop Style</t>
  </si>
  <si>
    <t>Lockers, Security and Evidence</t>
  </si>
  <si>
    <t>Megaphones, Whistles, etc.</t>
  </si>
  <si>
    <t>Maintenance Stands, Fixtures, and Jigs for Weapons</t>
  </si>
  <si>
    <t>*Night Vision Systems</t>
  </si>
  <si>
    <t>*Police Investigation Robots</t>
  </si>
  <si>
    <t>Police Training and Instructional Aids: Wall Charts, etc.</t>
  </si>
  <si>
    <t>Polygraph Equipment and Supplies</t>
  </si>
  <si>
    <t>Correctional Facility Commissary Store Equipment and Accessories</t>
  </si>
  <si>
    <t>*Inmate Tracking Devices, Electronic, Wrist and Leg Bands, etc.</t>
  </si>
  <si>
    <t>*Correctional Facility Equipment, Cell Blocks, and Accessories, Including Control Panels, Door Control Relays, Furniture, etc.</t>
  </si>
  <si>
    <t>*Inmate Identification Equipment and Supplies</t>
  </si>
  <si>
    <t>Pyrotechnics for Law Enforcement (see 578-36 for Fireworks)</t>
  </si>
  <si>
    <t>Racks, Gun (See 055-74 for Vehicle Racks)</t>
  </si>
  <si>
    <t>*Radar Instruments, Traffic Enforcement Type (Including Laser Speed Measuring, Ranging Devices, Radar Instruments Equipped w/Cameras and Lidar Equipment (Laser)</t>
  </si>
  <si>
    <t>Recoil Pads</t>
  </si>
  <si>
    <t>Refurbished Police Equipment, Accessories and Supplies</t>
  </si>
  <si>
    <t>Reloading Equipment and Supplies</t>
  </si>
  <si>
    <t>*Remote Operations Equipment</t>
  </si>
  <si>
    <t>Riot and Crowd Control Equipment (Not Otherwise Classified)</t>
  </si>
  <si>
    <t>Road Spikes (For Use by Police to Stop Vehicles on the Road)</t>
  </si>
  <si>
    <t>Scopes, Rifle and Range</t>
  </si>
  <si>
    <t>*Surveillance Cameras and Counter-Surveillance Equipment and Supplies</t>
  </si>
  <si>
    <t>Targets, Target Pasters, and Rifle Range Equipment, Including Portable Shooting Ranges and Range Finders</t>
  </si>
  <si>
    <t>Shooting Ranges, Portable</t>
  </si>
  <si>
    <t>Tear Gas, Tear Gas Guns, and Ammunition</t>
  </si>
  <si>
    <t>Test Equipment and Supplies: Criminology Kits, Metal Reagents, Paraffin, Sexual Assault Exam Kits, etc. (Including Technical Equipment and Supplies Used in Police Laboratories)</t>
  </si>
  <si>
    <t>Tire Markers and Supplies</t>
  </si>
  <si>
    <t>Tools, Gunsmith's: Borescopes, etc.</t>
  </si>
  <si>
    <t>Traffic Batons</t>
  </si>
  <si>
    <t>*Warning Systems, Perimeter Anti-Intrusion, Electronic, Including Civil Defense and Natural Disaster Types</t>
  </si>
  <si>
    <t>POULTRY EQUIPMENT AND SUPPLIES</t>
  </si>
  <si>
    <t>Bands and Tags</t>
  </si>
  <si>
    <t>Brooders and Incubators</t>
  </si>
  <si>
    <t>Debeakers</t>
  </si>
  <si>
    <t>Egg Baskets</t>
  </si>
  <si>
    <t>Egg Candlers</t>
  </si>
  <si>
    <t>Egg Cartons</t>
  </si>
  <si>
    <t>Egg Cases, Fillers, Flats, etc.</t>
  </si>
  <si>
    <t>Egg Cleaning Chemicals</t>
  </si>
  <si>
    <t>Egg Crating Machines</t>
  </si>
  <si>
    <t>Egg Graders</t>
  </si>
  <si>
    <t>Egg Washers</t>
  </si>
  <si>
    <t>Feeders and Waterers</t>
  </si>
  <si>
    <t>Growing Batteries</t>
  </si>
  <si>
    <t>Laying Cages</t>
  </si>
  <si>
    <t>Nest Pads</t>
  </si>
  <si>
    <t>Poultry Processing Machines and Accessories</t>
  </si>
  <si>
    <t>Recycled Poultry Equipment, Accessories and Supplies</t>
  </si>
  <si>
    <t>Shipping Boxes, Chick</t>
  </si>
  <si>
    <t>Shipping Crates, Poultry</t>
  </si>
  <si>
    <t>Turkey Saddles</t>
  </si>
  <si>
    <t>POWER GENERATION EQUIPMENT, ACCESSORIES, AND SUPPLIES</t>
  </si>
  <si>
    <t>Analyzers, Power Generation, Including Part and Accessories</t>
  </si>
  <si>
    <t>Ash Handling Removal Systems</t>
  </si>
  <si>
    <t>Coal Handling Systems</t>
  </si>
  <si>
    <t>Controls, Electro Hydraulic (EHC)</t>
  </si>
  <si>
    <t>Controls, Fuel Safety Flame Sensing</t>
  </si>
  <si>
    <t>Controls, Integrated System</t>
  </si>
  <si>
    <t>Controls, Programmable</t>
  </si>
  <si>
    <t>Controls, Single Loop</t>
  </si>
  <si>
    <t>Converters and Inverters, Power</t>
  </si>
  <si>
    <t>*Data Acquisition Systems</t>
  </si>
  <si>
    <t>Diodes, Coils, and Other Circuit Components</t>
  </si>
  <si>
    <t>Engines, Motors and Parts, Power Generation</t>
  </si>
  <si>
    <t>Excitation System, Generator</t>
  </si>
  <si>
    <t>Generators, Over 25 MW, Power Plant, Including Parts and Accessories (Also see 285-37,39)</t>
  </si>
  <si>
    <t>Generators, Wind</t>
  </si>
  <si>
    <t>Indicators, Power Generating Equipment</t>
  </si>
  <si>
    <t>Lamps and Lights, Indicating</t>
  </si>
  <si>
    <t>Meters, Indicating Panel</t>
  </si>
  <si>
    <t>Monitors and Alarms, Power Generator</t>
  </si>
  <si>
    <t>Photo-Voltaic Generating Systems</t>
  </si>
  <si>
    <t>Power Supplies, Generating</t>
  </si>
  <si>
    <t>Power Transmission, Kinetic</t>
  </si>
  <si>
    <t>Power Plants: Hydro, Marine, Petrol, Solar, Steam, Wind, Thermal</t>
  </si>
  <si>
    <t>Recorders, Circular and Strip, and Accessories, Including Chart Paper, Pens, (See 220-54 for General Laboratory Type)</t>
  </si>
  <si>
    <t>Recycled Power Generation Equipment, Including Parts and Accessories</t>
  </si>
  <si>
    <t>Regulators, Flow, Pressure</t>
  </si>
  <si>
    <t>Regulators, Voltage Current</t>
  </si>
  <si>
    <t>Relays, etc.</t>
  </si>
  <si>
    <t>Switches, Temperature Pressure</t>
  </si>
  <si>
    <t>Test Equipment, Analog and Digital</t>
  </si>
  <si>
    <t>Transducers, Signal Converter</t>
  </si>
  <si>
    <t>Transmitters, Pressure</t>
  </si>
  <si>
    <t>Tubing and Fittings, Power Plant</t>
  </si>
  <si>
    <t>POWER TRANSMISSION EQUIPMENT: ELECTRICAL, MECHANICAL, AIR AND HYDRAULIC</t>
  </si>
  <si>
    <t>Chains Roller, Table Top, Engineering, Silent</t>
  </si>
  <si>
    <t>Clutches and Brakes: Pneumatic, Electric, Torque Limiting, Tension Control</t>
  </si>
  <si>
    <t>Couplings: Jaw, Steel Flex, Gear, Fluid, Chain, Disc Brake</t>
  </si>
  <si>
    <t>Drives, Variable Speed: AC, AC Flux Vector, DC, Eddy Current, Mechanical, Variable Speed Pulleys, Hydrostatic Speed Variation</t>
  </si>
  <si>
    <t>Motion Components, Linear: Shafts, Bearings, Support Blocks, Slides, Ball Screw</t>
  </si>
  <si>
    <t>Motors: AC, DC, Vector Duty, Washdown, Brake, Stainless (Also See Class 285)</t>
  </si>
  <si>
    <t>Pneumatics: Valves, Cylinders, Filters, Regulators, Lubricators, Including Parts and Accessories</t>
  </si>
  <si>
    <t>Recycled Power Transmission Equipment, Including Parts and Accessories</t>
  </si>
  <si>
    <t>Reducers: In-Line, Worm Gear, Right Angle, Parallel, Bevel, Mixer, Shaft Mount, Screw Conveyor</t>
  </si>
  <si>
    <t>Sheaves and Belt Sprockets: V-Belt, Poly Chain, HTD, Timing Sprockets</t>
  </si>
  <si>
    <t>Sprockets and Gears: Roller Chain, Engineering, Split, Table Top, Plastic, Spur, Bevel, Helical, Rack and Pinion Gearing</t>
  </si>
  <si>
    <t>PRINTING PLANT EQUIPMENT AND SUPPLIES, EXCEPT PAPER</t>
  </si>
  <si>
    <t>Bar Code Printing and Sorting Systems</t>
  </si>
  <si>
    <t>Bindery Equipment and Machinery (For Comb Type See 700-74 and 75)</t>
  </si>
  <si>
    <t>Binding Equipment and Supplies, Perfect</t>
  </si>
  <si>
    <t>Binding Equipment and Supplies, Book (Not Otherwise Classified)</t>
  </si>
  <si>
    <t>Casting Machines, Strip</t>
  </si>
  <si>
    <t>Casting Metals: Linotype, Intertype, and Strip</t>
  </si>
  <si>
    <t>Cleaning Solvents for Press Rollers, etc. Anhydrous Ammonia, etc.</t>
  </si>
  <si>
    <t>Collators and Sorters</t>
  </si>
  <si>
    <t>Direct Impression Typesetting Machines and Supplies</t>
  </si>
  <si>
    <t>Form Rollers</t>
  </si>
  <si>
    <t>Folding, Scoring, and Perforating Equipment</t>
  </si>
  <si>
    <t>Graphic Art Equipment: Cameras, Darkroom Sinks, Engraving Machines, Heliographic Equipment, Light Tables, Photoengravers, Processors, Waxers, etc.</t>
  </si>
  <si>
    <t>Film and Rapid Access Film, Reprographic</t>
  </si>
  <si>
    <t>Graphic Art Supplies: Films and Chemistry, Opaguing Supplies, Proofing Papers, Stripping Base, etc.</t>
  </si>
  <si>
    <t>Imprinting Machine Systems Including Accessories and Supplies, Silk Screen</t>
  </si>
  <si>
    <t>Letterpress Equipment</t>
  </si>
  <si>
    <t>Letterpress Inks, Supplies, and Accessories</t>
  </si>
  <si>
    <t>License Plate Printing Equipment, Digital, Including Accessories and Supplies</t>
  </si>
  <si>
    <t>Linotype and Intertype Machines, Including Composing Machines</t>
  </si>
  <si>
    <t>Linotype and Intertype Supplies</t>
  </si>
  <si>
    <t>Metal Pig Feeders and Molds</t>
  </si>
  <si>
    <t>*Misc. Printing Equipment and Accessories (Not Otherwise Classified)</t>
  </si>
  <si>
    <t>Numbering Machines and Devices (For Print Shops and Presses; See 605-50 for Office Type)</t>
  </si>
  <si>
    <t>Offset Plate Makers and Processors</t>
  </si>
  <si>
    <t>Offset Printing, Duplicating and Lithographing Machines and Equipment , Smaller than 17 In. by 22 In.</t>
  </si>
  <si>
    <t>Offset Printing, Duplicating and Lithographing Machines and Equipment, For 17 in. x 22 in. and Larger</t>
  </si>
  <si>
    <t>Printing Accessories and Supplies, Including Electrostatic Types: Blankets, Chemicals, Gum, Inks, Mats, Negatives, Plates, Roller Covers, Rubber Rejuvenators, Sleeves, etc. (See  700-30 for Graphic Art Supplies)</t>
  </si>
  <si>
    <t>*Proofing Systems</t>
  </si>
  <si>
    <t>Paper Cutters and Trimmers</t>
  </si>
  <si>
    <t>Paper and Chemistry for Diffusion Transfer, Photographic, Graphic Arts</t>
  </si>
  <si>
    <t>Paper Drilling Machines</t>
  </si>
  <si>
    <t>Paper Pile Turner</t>
  </si>
  <si>
    <t>Paper Joggers</t>
  </si>
  <si>
    <t>Paper Production and Processing Equipment and Supplies (Not Otherwise Classified)</t>
  </si>
  <si>
    <t>Printing Presses (Not Otherwise Classified)</t>
  </si>
  <si>
    <t>Paper and Film Shredders</t>
  </si>
  <si>
    <t>Photocompositors (Photo Typesetting Machines) and Supplies (See 700-28 for Processors)</t>
  </si>
  <si>
    <t>*Printing Presses, Offset; and Accessories</t>
  </si>
  <si>
    <t>Punching and Binding Machines, Electric, Including Comb and Coil Type</t>
  </si>
  <si>
    <t>Punching and Binding Machines, Manual, Including Comb and Coil Type</t>
  </si>
  <si>
    <t>Rollers for Offset Presses</t>
  </si>
  <si>
    <t>Sign Engraving Equipment</t>
  </si>
  <si>
    <t>Sign Die Cutting Machines</t>
  </si>
  <si>
    <t>Sign Presses, Rollers, Supplies, etc.</t>
  </si>
  <si>
    <t>Stereotype Metal</t>
  </si>
  <si>
    <t>Signature Reproduction Machines, Pen and Ink Type</t>
  </si>
  <si>
    <t>Typesetting Machines and Supplies, Ludlow</t>
  </si>
  <si>
    <t>Typesetting Machines and Supplies, Monotype</t>
  </si>
  <si>
    <t>Web Handling and Control Equipment and Supplies, Corona and Flame Treaters, etc.</t>
  </si>
  <si>
    <t>Web Type Printing Presses</t>
  </si>
  <si>
    <t>Recycled Printing Plant Equipment, Accessories and Supplies</t>
  </si>
  <si>
    <t>PROSTHETIC DEVICES, HEARING AIDS, AUDITORY TESTING EQUIPMENT, ELECTRONIC READING DEVICES, ETC.</t>
  </si>
  <si>
    <t>*Alarm Systems, For the Hearing Impaired</t>
  </si>
  <si>
    <t>Artificial Eyes</t>
  </si>
  <si>
    <t>Artificial Limbs, Hooks and Accessories</t>
  </si>
  <si>
    <t>*Audio Equipment for the Visual and Hearing Impaired (Not Otherwise Classified)</t>
  </si>
  <si>
    <t>Audiometers, Calibrators, and Accessories, Including Audiometric Examining Rooms</t>
  </si>
  <si>
    <t>Batteries, Hearing Aid</t>
  </si>
  <si>
    <t>Hearing Aids</t>
  </si>
  <si>
    <t>*Hearing Devices (See 710-72 for Hearing Aids)</t>
  </si>
  <si>
    <t>Hearing Protectors and Parts</t>
  </si>
  <si>
    <t>Plastic Items, Not Internal: Ears, Nose Tips, etc.</t>
  </si>
  <si>
    <t>*Reading Devices, For the Vision Impaired</t>
  </si>
  <si>
    <t>Recycled Prosthetic Devices, Hearing Aids, Auditory Test Equipment, Electronic Reading Devices</t>
  </si>
  <si>
    <t>Speech Training Equipment, For the Hearing Impaired</t>
  </si>
  <si>
    <t>PUBLICATIONS, AUDIOVISUAL MATERIALS, BOOKS, TEXTBOOKS, PREPARED MATERIALS ONLY</t>
  </si>
  <si>
    <t>Audio and Video Books, Digital</t>
  </si>
  <si>
    <t>Audio Cassettes, Tapes and Compact Disks, Prerecorded</t>
  </si>
  <si>
    <t>Cook and Recipe Books</t>
  </si>
  <si>
    <t>Books, Curriculum Guides, Directories, Magazines, Pamphlets, Periodicals, Publications, Reprints, etc.</t>
  </si>
  <si>
    <t>Books, Reference, Including CD Versions: Dictionaries, Encyclopedias, etc.</t>
  </si>
  <si>
    <t>Career Technology Education, Hospitality &amp; Tourism Instructional Supplies/Materials</t>
  </si>
  <si>
    <t>Catalog Cards, Library of Congress Type and other Types</t>
  </si>
  <si>
    <t>Display, Exhibit, and Promotional Materials</t>
  </si>
  <si>
    <t>Drawings and Diagrams: Dimensional, Technical, etc.</t>
  </si>
  <si>
    <t>*Electronic Publications: Directories, Dictionaries, Encyclopedias, etc.</t>
  </si>
  <si>
    <t>Filmstrips, Slides, Transparencies, etc., Prepared</t>
  </si>
  <si>
    <t>Laboratory Books, Research and Related Materials, DNA, Genomic, etc.</t>
  </si>
  <si>
    <t>Legal Books and Publications</t>
  </si>
  <si>
    <t>Manuals: Parts, Personnel, Policy, Purchasing, Training, etc., (Not Otherwise Classified)</t>
  </si>
  <si>
    <t>Medical Books and Publications</t>
  </si>
  <si>
    <t>Microfilm, Microfiche, etc., Prepared</t>
  </si>
  <si>
    <t>Journalistic Services, Includes Page Charges for Publications</t>
  </si>
  <si>
    <t>Motion Pictures (See Class 475 for Medical Training Films)</t>
  </si>
  <si>
    <t>Multimedia Sets, Prepared</t>
  </si>
  <si>
    <t>Phonograph Records, Sound Tapes, etc., Prepared</t>
  </si>
  <si>
    <t>Religious Publications and Books</t>
  </si>
  <si>
    <t>Textbooks, Adult Education</t>
  </si>
  <si>
    <t>Textbooks, Special Education</t>
  </si>
  <si>
    <t>Textbooks, Pre-Kindergarten thru 5th Grade, Including Student and Teacher Editions</t>
  </si>
  <si>
    <t>Textbooks, 6th thru 8th Grade, Including Student and Teacher Editions</t>
  </si>
  <si>
    <t>Textbooks, 9th thru 12th Grade, Including Student and Teacher Editions</t>
  </si>
  <si>
    <t>Textbooks, College Level, Including Student and Teacher Editions</t>
  </si>
  <si>
    <t>Textbooks, Early Childhood</t>
  </si>
  <si>
    <t>Video Cassettes, Disks, Tapes, etc., For Computer and TV, Prerecorded</t>
  </si>
  <si>
    <t>Recycled Publications and Audio-Visual Materials</t>
  </si>
  <si>
    <t>PUMPING EQUIPMENT AND ACCESSORIES</t>
  </si>
  <si>
    <t>Asphalt Pumps</t>
  </si>
  <si>
    <t>Automatic Fueling Systems, Including Parts and Accessories</t>
  </si>
  <si>
    <t>Barrel Pumps, Drum Pumps: Rotary and Plunger Types, Hand Operated</t>
  </si>
  <si>
    <t>Boom Pumps, Concrete, Including Parts and Accessories</t>
  </si>
  <si>
    <t>Booster or Circulating Pumps, In-Line</t>
  </si>
  <si>
    <t>Cavity Pumps, Progressive</t>
  </si>
  <si>
    <t>Centrifugal Pumps, Portable</t>
  </si>
  <si>
    <t>Centrifugal Pumps, Compact, Submersible</t>
  </si>
  <si>
    <t>Centrifugal Pumps, Stationary</t>
  </si>
  <si>
    <t>Compressors, Compressed Natural Gas (CNG)</t>
  </si>
  <si>
    <t>*Control Devices: Motor Fuel Dispensing, Security, Management</t>
  </si>
  <si>
    <t>Diaphragm Pumps</t>
  </si>
  <si>
    <t>Dry Pit Sludge Pumps</t>
  </si>
  <si>
    <t>Fire Equipment Pumps, Including Parts and Accessories</t>
  </si>
  <si>
    <t>Gasoline, Compressed Natural Gas (CNG), Liquefied Petroleum Gas (LPG), and Diesel Fuel Pumps, Service Station Type</t>
  </si>
  <si>
    <t>Hydraulic Pumps, Hand and Motor Driven</t>
  </si>
  <si>
    <t>Mechanical Pumps, Including Parts and Accessories</t>
  </si>
  <si>
    <t>Meters and Dispensers: Fuel, Oil, and Lubricants</t>
  </si>
  <si>
    <t>Packing, Pump</t>
  </si>
  <si>
    <t>Oil Pumps, Including Parts and Accessories (See 060-64 for Automotive Type)</t>
  </si>
  <si>
    <t>Piston Pumps, Including Parts and Accessories</t>
  </si>
  <si>
    <t>Propeller Pumps, Vertical</t>
  </si>
  <si>
    <t>Proportioning Pumps: Chemical Feed, Metering, Positive Displacement, and Injector Pumps (See Also Class 820)</t>
  </si>
  <si>
    <t>Pumps, Miscellaneous, (Not Otherwise Classified)</t>
  </si>
  <si>
    <t>Recovery Pumps and Piping: Free Product, Groundwater, etc.</t>
  </si>
  <si>
    <t>Recycled Pumping Equipment, Including Parts and Accessories</t>
  </si>
  <si>
    <t>Rotary Pumps: Gear or Roller Type, Power Driven</t>
  </si>
  <si>
    <t>Sampling Pump Systems, Including Parts and Accessories</t>
  </si>
  <si>
    <t>Sewage and Sludge Pumps, Submersible</t>
  </si>
  <si>
    <t>Sewage and Sludge Pumps, Surface Mounted</t>
  </si>
  <si>
    <t>Sump Pumps: Submersible and Non-Submersible</t>
  </si>
  <si>
    <t>Trash Pumps, Portable, Engine-Driven</t>
  </si>
  <si>
    <t>Water Pumps, Including Parts and Accessories (See 060-35 for Automotive Type)</t>
  </si>
  <si>
    <t>Water Well Accessories: Drive Points, Foot Valves and Strainers, Leather Cups, Sucker Rods, Well Cylinders, etc.</t>
  </si>
  <si>
    <t>Well Pumps, All Kinds</t>
  </si>
  <si>
    <t>RADIO COMMUNICATION EQUIPMENT AND ANTENNAS, INCLUDING PARTS AND ACCESSORIES</t>
  </si>
  <si>
    <t>*Adhesive/Cement, Radio</t>
  </si>
  <si>
    <t>*AM/FM Transmitters, Broadcast</t>
  </si>
  <si>
    <t>*Amplifiers, Not TV Antenna: Differential, Directional, Linear, Pulse, Video Processing, etc., Including Preamplifiers</t>
  </si>
  <si>
    <t>*Antennas and Accessories, Radio Only: Brackets, Masts, Mount, Rotators, Standoffs, etc., Including Aircraft, Vehicle and Marine Types</t>
  </si>
  <si>
    <t>*Battery Chargers and Testers (See Class 075 for Automotive)</t>
  </si>
  <si>
    <t>*Beacon Receivers, Radio</t>
  </si>
  <si>
    <t>*Direction Finder Equipment, Radio</t>
  </si>
  <si>
    <t>*Encoder/Decoder with Printer, Vehicle</t>
  </si>
  <si>
    <t>*Encoder/Decoder, Scramblers, etc., Voice</t>
  </si>
  <si>
    <t>*Facsimile Transceiver, Not Office Type</t>
  </si>
  <si>
    <t>*Frequency Data Communication Equipment, Radio (Including Identification Equipment)</t>
  </si>
  <si>
    <t>*Global Positioning Systems, Satellite, Global Information Systems, Including GPS Receivers and Transmitters</t>
  </si>
  <si>
    <t>*Ground Stations, Satellite: Transmit/Receive and Receive Only, Including Antennas</t>
  </si>
  <si>
    <t>*Ham Band Transmitters and Receivers</t>
  </si>
  <si>
    <t>*High Frequency Radio, (SSB), Mobile. Base and Handheld</t>
  </si>
  <si>
    <t>*Highway Advisory Radio Systems (HAR)</t>
  </si>
  <si>
    <t>*Intercom Systems, Household or Office</t>
  </si>
  <si>
    <t>*Intercom Systems, Correctional Facilities</t>
  </si>
  <si>
    <t>*Pagers, Radio, Including Parts and Accessories</t>
  </si>
  <si>
    <t>*Radio Frequency Scanner Receivers and Amplifiers, Including RF Connectors, Analyzers, Counters, Meters, Switches</t>
  </si>
  <si>
    <t>*Radios, Home and Auto, including Short-Wave and Weather Type</t>
  </si>
  <si>
    <t>*Recycled Radio Communication Equipment</t>
  </si>
  <si>
    <t>*Towers: Broadcasting, Cellular, Microwave, Transmitting, etc.</t>
  </si>
  <si>
    <t>*Tracking Equipment, Wildlife (See Class 120-37 for Fish Locators)</t>
  </si>
  <si>
    <t>*Two-Way Radio, Portable, Including Vehicle Radio Relay Systems</t>
  </si>
  <si>
    <t>*Two-Way Radio Receivers, Transmitters, Transceivers: Mobile and Base Station, Audio Transfer</t>
  </si>
  <si>
    <t>*Two-Way Radio Supplies, Parts, and Accessories</t>
  </si>
  <si>
    <t>RADIO COMMUNICATION AND TELECOMMUNICATION TESTING, MEASURING, AND ANALYZING EQUIPMENT, ACCESSORIES AND SUPPLIES</t>
  </si>
  <si>
    <t>Calibrators: Resistance, Power, Voltage, Time, etc.</t>
  </si>
  <si>
    <t>*Computer-Automated Measurement and Control (CAMAC) Systems and Devices, All Kinds</t>
  </si>
  <si>
    <t>Converters: Analog-to-Digital, Digital-to-Analog, Time-to-Amplitude, etc.</t>
  </si>
  <si>
    <t>Counters, Ratemeters, Scalers, Timers, etc. (For Electronic Pulses)</t>
  </si>
  <si>
    <t>Discriminators and Burst Protectors</t>
  </si>
  <si>
    <t>Distortion Measurement Equipment, Audiofrequency, Radiofrequency, etc.)</t>
  </si>
  <si>
    <t>Field Strength Meters, Microwave Power, etc. and Monitoring Systems</t>
  </si>
  <si>
    <t>Forensic Extraction Devices for Cellular Phones, Smartphones and PDAs</t>
  </si>
  <si>
    <t>Function Generators, Pulse, Ramp, Sweep, etc. and Oscillators</t>
  </si>
  <si>
    <t>*Logic Analyzers, Microprocessor Analyzers, and Accessories: Delay and Gate Generators, Personality Modules, Word Recognizers, etc.</t>
  </si>
  <si>
    <t>Measuring Instruments, Analog and Digital, For Capacitance, Current, Frequency, Impedance, Power, Resistance, Sound Level, Voltage, etc.</t>
  </si>
  <si>
    <t>Oscilloscopes, Waveform Analyzers, and Accessories</t>
  </si>
  <si>
    <t>Pulse Height Analyzers, Single Channel and Multichannel</t>
  </si>
  <si>
    <t>*Radio, Sound, and Telecommunications Testing Equipment: AF Generators, Deviation Meters, Meter Panels, Test Fixtures and Jigs, etc.</t>
  </si>
  <si>
    <t>Recycled Radio and Telecommunication Testing, Measuring and Analyzing Equipment and Supplies</t>
  </si>
  <si>
    <t>*Signal Averagers, Integrators, etc.</t>
  </si>
  <si>
    <t>*Spectrum Analyzers: Radio Frequencies, Sound, etc.</t>
  </si>
  <si>
    <t>*Telephone Line Monitoring Systems</t>
  </si>
  <si>
    <t>Video Testing Equipment: Color Bar Generators, Degaussing Coils, Waveform Monitors, etc.</t>
  </si>
  <si>
    <t>Tube Testers: Radio, TV, etc.</t>
  </si>
  <si>
    <t>RAGS, SHOP TOWELS, AND WIPING CLOTHS</t>
  </si>
  <si>
    <t>Dispenser for Wipes</t>
  </si>
  <si>
    <t>Towels, Shop Type, New</t>
  </si>
  <si>
    <t>Wipes, Fabric, Non-Woven</t>
  </si>
  <si>
    <t>Wiping Rags, All Types: Cotton Towels, Lightweight Blankets, Muslins, Synthetics, etc.</t>
  </si>
  <si>
    <t>Recycled Rags, Shop Towels and Wiping Cloths</t>
  </si>
  <si>
    <t>REFRIGERATION EQUIPMENT AND ACCESSORIES</t>
  </si>
  <si>
    <t>Ammonia</t>
  </si>
  <si>
    <t>Bacterial and Odor Control Equipment</t>
  </si>
  <si>
    <t>Cold Storage Doors</t>
  </si>
  <si>
    <t>Cold Storage Vaults, Walk-In Coolers, and Shelving</t>
  </si>
  <si>
    <t>Compressors, Including Parts and Accessories</t>
  </si>
  <si>
    <t>Condensing Units</t>
  </si>
  <si>
    <t>Cylinders, Empty, For Refrigerant Gases</t>
  </si>
  <si>
    <t>Display Cases, Refrigerated</t>
  </si>
  <si>
    <t>Dry Ice Making Machines</t>
  </si>
  <si>
    <t>Gaskets and Felts, Refrigeration Equipment</t>
  </si>
  <si>
    <t>Hand Tools, Refrigeration</t>
  </si>
  <si>
    <t>Ice Making and Dispensing Machines (Not Dry Ice)</t>
  </si>
  <si>
    <t>Refrigerant Gases, Except Ammonia</t>
  </si>
  <si>
    <t>Refrigeration Accessories and Supplies: Capillaries, Controls, Dryers, Expansion Valves, Refrigerant Oil, Sealants, Sight Glasses, Thermometers, Vibration Eliminators, etc.</t>
  </si>
  <si>
    <t>Refrigerant Recovery Systems, Including Parts and Accessories</t>
  </si>
  <si>
    <t>Refrigeration Tubing and Fittings</t>
  </si>
  <si>
    <t>Refrigeration Units, For Vaults and Walk-In Coolers: Complete and Self-Contained</t>
  </si>
  <si>
    <t>Refrigerators and Freezers, Commercial</t>
  </si>
  <si>
    <t>Scale Eliminator Devices, Ice Machine</t>
  </si>
  <si>
    <t>Vending Machines, Refrigerated: Food, Beverages, Sundries, etc.</t>
  </si>
  <si>
    <t>Water Filters, Ice Machine</t>
  </si>
  <si>
    <t>Recycled Refrigeration Equipment, Including Parts and Accessories</t>
  </si>
  <si>
    <t>ROAD AND HIGHWAY BUILDING MATERIALS, ASPHALTIC</t>
  </si>
  <si>
    <t>Aggregate, Precoated</t>
  </si>
  <si>
    <t>Asphalt, AC (Asphalt Cement)</t>
  </si>
  <si>
    <t>Asphalt, AC (With Latex Polymer)</t>
  </si>
  <si>
    <t>Asphalt, Aggregates</t>
  </si>
  <si>
    <t>Asphalt, Cutback</t>
  </si>
  <si>
    <t>Asphalt, Cutback (With Latex Polymer)</t>
  </si>
  <si>
    <t>Asphalt, Emulsified</t>
  </si>
  <si>
    <t>Asphalt, Emulsified (With Latex Polymer)</t>
  </si>
  <si>
    <t>Asphalt, Pervious Hot Mix</t>
  </si>
  <si>
    <t>Asphalt, Oil</t>
  </si>
  <si>
    <t>Asphalt, Uintaite</t>
  </si>
  <si>
    <t>Asphaltic Concrete, Cold Laid, Rock Asphalt</t>
  </si>
  <si>
    <t>Asphaltic Concrete, Hot Laid Including Bituminous Materials</t>
  </si>
  <si>
    <t>Asphaltic Shell</t>
  </si>
  <si>
    <t>Bitumens, Bulk, Oil and Tar</t>
  </si>
  <si>
    <t>Catalytically Blown Asphalt</t>
  </si>
  <si>
    <t>Coal Tar Pitch, Emulsions, and Anti-Stripping Additives</t>
  </si>
  <si>
    <t>Cracked Fuel Oil</t>
  </si>
  <si>
    <t>Expansion Joint Material: Asphalt, Rubber, etc.</t>
  </si>
  <si>
    <t>Fiber Reinforced Surface Treatment</t>
  </si>
  <si>
    <t>Joint Sealants: Asphalt, Elastomeric Materials, Glass Filament, Impervious Membranes, Plastic, Rubber, Silicones, Water Stops, etc.</t>
  </si>
  <si>
    <t>Latex Rubber Additive Compound, For Asphalt</t>
  </si>
  <si>
    <t>Patching Mix, Asphalt Concrete</t>
  </si>
  <si>
    <t>Patching Mix, Cutback Asphalt</t>
  </si>
  <si>
    <t>Recycled Asphalt and Asphalt Products</t>
  </si>
  <si>
    <t>Road Oil</t>
  </si>
  <si>
    <t>Rock Asphalt  (Inactive, please see commodity code 745-14 effective January 1, 2016)</t>
  </si>
  <si>
    <t>Rubber Asphalt Crack Sealing Compound</t>
  </si>
  <si>
    <t>Slurry Seal</t>
  </si>
  <si>
    <t>SEAL COATING</t>
  </si>
  <si>
    <t>Stabilized Base, Asphaltic</t>
  </si>
  <si>
    <t>ROAD AND HIGHWAY BUILDING MATERIALS, NON ASPHALTIC</t>
  </si>
  <si>
    <t>Ash, Fly and Bottom</t>
  </si>
  <si>
    <t>Borrow and Soil (See Class 790 for Top Soil)</t>
  </si>
  <si>
    <t>Caliche</t>
  </si>
  <si>
    <t>Cement, Truckload Lots and Larger (See 150-12 for Bagged Cement)</t>
  </si>
  <si>
    <t>Concrete Curing Blankets and Paper</t>
  </si>
  <si>
    <t>Concrete, Precast</t>
  </si>
  <si>
    <t>Concrete Crack Repair Adhesive, Structural Urethane</t>
  </si>
  <si>
    <t>Concrete, Repair, Rapid Setting</t>
  </si>
  <si>
    <t>Crushed Stone, (Includes Riprap)</t>
  </si>
  <si>
    <t>Drilling Mud</t>
  </si>
  <si>
    <t>Dust Control Agents</t>
  </si>
  <si>
    <t>Dynamite and Supplies: Caps, Fuses, Powder, Stick, and Wire</t>
  </si>
  <si>
    <t>Expansion Joint Repair Adhesive, Structural Urethane</t>
  </si>
  <si>
    <t>Fabric, Pavement</t>
  </si>
  <si>
    <t>Flexible Base</t>
  </si>
  <si>
    <t>Ice Control Aggregate (See Class 775 for Salt)</t>
  </si>
  <si>
    <t>Lightweight Aggregate, All Types</t>
  </si>
  <si>
    <t>Mixers, Mobile, Concrete</t>
  </si>
  <si>
    <t>Patching Materials (Not Asphaltic)</t>
  </si>
  <si>
    <t>Permanent Metal Deck Forms (PMDF) for Bridge Deck</t>
  </si>
  <si>
    <t>Ready-Mix Concrete (See 150-12 for Bagged Concrete)</t>
  </si>
  <si>
    <t>Recycled Bulk Concrete and Other Road Materials (See 745-68 for Recycled Asphalt)</t>
  </si>
  <si>
    <t>Sand and Gravel</t>
  </si>
  <si>
    <t>Shell</t>
  </si>
  <si>
    <t>Slag</t>
  </si>
  <si>
    <t>Stabilized Base</t>
  </si>
  <si>
    <t>Storage Bins, Aggregate</t>
  </si>
  <si>
    <t>White (Hydrated) Lime (See 150-12 for Bagged Lime)</t>
  </si>
  <si>
    <t>Water for Road and Highway Use</t>
  </si>
  <si>
    <t>ROAD AND HIGHWAY ASPHALT AND CONCRETE HANDLING AND PROCESSING EQUIPMENT</t>
  </si>
  <si>
    <t>Adhesive Applicator, Gas Fired Marker</t>
  </si>
  <si>
    <t>Ash System Equipment, Fly and Bottom</t>
  </si>
  <si>
    <t>Asphalt Distributors, Levelers, Mixers, Crack Sealing Equipment, etc. (See 755-40 for Tools)</t>
  </si>
  <si>
    <t>Asphalt Heaters, Electric</t>
  </si>
  <si>
    <t>Asphalt Heaters, Gas Fired</t>
  </si>
  <si>
    <t>Asphalt Heaters, Oil Fired</t>
  </si>
  <si>
    <t>Asphalt Pavers, Self-Propelled Type</t>
  </si>
  <si>
    <t>Asphalt Pavers, Towed Type</t>
  </si>
  <si>
    <t>Asphalt and Concrete Recycling Equipment</t>
  </si>
  <si>
    <t>Asphalt Tools: Buckets, Cutters, Lutes, Pouring Pots, Rakes, etc.</t>
  </si>
  <si>
    <t>Asphalt and Concrete Scrapers, Profilers, and Milling Machines, Powered, Complete</t>
  </si>
  <si>
    <t>Batchers and Dryers</t>
  </si>
  <si>
    <t>Concrete and Asphalt Power Gun Sprayers</t>
  </si>
  <si>
    <t>Concrete Buckets</t>
  </si>
  <si>
    <t>Concrete Buggies, Carts, Screeding Machines, Screens, etc.</t>
  </si>
  <si>
    <t>Concrete Curbers, Gutter Machines and Accessories</t>
  </si>
  <si>
    <t>Concrete Cutters, Saws, Multipurpose Saws, and Accessories</t>
  </si>
  <si>
    <t>Concrete Finishers, Power Driven</t>
  </si>
  <si>
    <t>Concrete Form Tubes and Boxes, For Forming Concrete Columns, etc., All Kinds</t>
  </si>
  <si>
    <t>Concrete Heaters and Accessories</t>
  </si>
  <si>
    <t>Concrete Joint Cleaning and Routing Machines</t>
  </si>
  <si>
    <t>Concrete and Mortar Mixers</t>
  </si>
  <si>
    <t>Concrete Vibrators</t>
  </si>
  <si>
    <t>Sensors, Road, To detect Ice/Snow on Bridges, etc.</t>
  </si>
  <si>
    <t>Thermometers: Pavement and Thermoplastic</t>
  </si>
  <si>
    <t>Recycled Asphalt and Concrete Handling Equipment, Accessories and Supplies</t>
  </si>
  <si>
    <t>ROAD AND HIGHWAY EQUIPMENT: EARTH HANDLING, GRADING, MOVING, PACKING, ETC.</t>
  </si>
  <si>
    <t>Backhoes</t>
  </si>
  <si>
    <t>Backhoe Loader Combination</t>
  </si>
  <si>
    <t>Beach Cleaners</t>
  </si>
  <si>
    <t>Blades and Edges: Dozer, Grader, Scraper, Snow Plow, etc.</t>
  </si>
  <si>
    <t>Buckets: Ditchers, Draglines, Loaders, etc.</t>
  </si>
  <si>
    <t>Caps, Equipment: Dust and Rain</t>
  </si>
  <si>
    <t>Cruise Control Units, Low Speed, For Road Equipment</t>
  </si>
  <si>
    <t>Cylinders, Hydraulic</t>
  </si>
  <si>
    <t>Ditch and Trenching Machines</t>
  </si>
  <si>
    <t>Dredging Machines and Equipment</t>
  </si>
  <si>
    <t>Earth Boring Machines</t>
  </si>
  <si>
    <t>Earth Movers, Motorized</t>
  </si>
  <si>
    <t>Earth Pulverizers and Grinders</t>
  </si>
  <si>
    <t>Electrical Accessories, Heavy Equipment: Alternators, Ammeters, Coils, Distributors Generators, Ignition, Regulators, Starters, etc.</t>
  </si>
  <si>
    <t>Engines: Diesel and Gasoline, Heavy Equipment</t>
  </si>
  <si>
    <t>Graders, Elevating Type</t>
  </si>
  <si>
    <t>Graders, Motorized</t>
  </si>
  <si>
    <t>Graders, Towed Types</t>
  </si>
  <si>
    <t>Loaders, Front End, Crawler Tractors</t>
  </si>
  <si>
    <t>Loaders, Front End, Trucks</t>
  </si>
  <si>
    <t>Loaders, Front End, Wheel Type Tractors</t>
  </si>
  <si>
    <t>Loaders, Pneumatic Tired</t>
  </si>
  <si>
    <t>Loaders, Windrow Type</t>
  </si>
  <si>
    <t>Mats, Erosion Control Blankets, Rolled</t>
  </si>
  <si>
    <t>Mats, Floor, for Heavy Equipment (See 055-61 for Automotive Type)</t>
  </si>
  <si>
    <t>AUTOMATIC ENGINE SHUT DOWN</t>
  </si>
  <si>
    <t>Rippers and Scarifiers</t>
  </si>
  <si>
    <t>Rollers, Flat Wheel Type, Static</t>
  </si>
  <si>
    <t>Rollers, Flat Wheel Type, Vibrating</t>
  </si>
  <si>
    <t>Rollers, Grid Type</t>
  </si>
  <si>
    <t>Rollers, Portable Type</t>
  </si>
  <si>
    <t>Rollers, Rubber Tired</t>
  </si>
  <si>
    <t>Rollers, Sheep foot Type</t>
  </si>
  <si>
    <t>Rolling Straight Edges, Towed</t>
  </si>
  <si>
    <t>Scrapers</t>
  </si>
  <si>
    <t>Shovels, Power; and Excavating Machines: Telescoping and Hinged Boom Type, Crawler or Tractor Mounted</t>
  </si>
  <si>
    <t>ROAD AND HIGHWAY EQUIPMENT (EXCEPT EQUIPMENT IN CLASSES 755 AND 760)</t>
  </si>
  <si>
    <t>Air Conditioners, Heaters and Ventilators, Heavy Equipment</t>
  </si>
  <si>
    <t>Booms: Crane, Tractor, etc.</t>
  </si>
  <si>
    <t>Brake and Clutch Parts and Accessories For Heavy Duty Equipment, Not Automotive)</t>
  </si>
  <si>
    <t>Breaker Drill, Gasoline Powered</t>
  </si>
  <si>
    <t>Cab, Body and Frame Parts, Heavy Equipment</t>
  </si>
  <si>
    <t>Core Drilling Rigs, Including Parts and Accessories</t>
  </si>
  <si>
    <t>Cranes, Backhoe and Dragline</t>
  </si>
  <si>
    <t>Cranes, Clamshell</t>
  </si>
  <si>
    <t>Cranes, Truck Mounted Type, Heavy Duty</t>
  </si>
  <si>
    <t>Crane Indicators</t>
  </si>
  <si>
    <t>Crushing Machines</t>
  </si>
  <si>
    <t>Crushing Plants, Elevators, Furnaces, Kilns, Pugmills, and Stabilizing Material Plants</t>
  </si>
  <si>
    <t>Culvert Cleaning Equipment</t>
  </si>
  <si>
    <t>Diamond Core Drills</t>
  </si>
  <si>
    <t>Drill Steel and Rock Bits</t>
  </si>
  <si>
    <t>Epoxy Dispensing Machine, For Placing Buttons and Markers</t>
  </si>
  <si>
    <t>Fabric Lay-Down Machines, etc.</t>
  </si>
  <si>
    <t>Filters: Air, Fuel, Hydraulic, Oil, etc., Heavy Duty Equipment</t>
  </si>
  <si>
    <t>Hour Meters, Heavy Equipment</t>
  </si>
  <si>
    <t>Hydraulic Attachments and Accessories, Hammers, Rams, etc.</t>
  </si>
  <si>
    <t>Gunite Machines</t>
  </si>
  <si>
    <t>Mixers, Lime Slurry</t>
  </si>
  <si>
    <t>Leaf Loaders, Heavy Duty, Truck or Trailer Mounted (See 445-43 for Hand Operated Type)</t>
  </si>
  <si>
    <t>Lubrication System Accessory, Automatic</t>
  </si>
  <si>
    <t>Mud Jacks and Accessories, Except Hose</t>
  </si>
  <si>
    <t>Pavement Marking Removal Equipment and Accessories</t>
  </si>
  <si>
    <t>Pile Drivers and Accessories</t>
  </si>
  <si>
    <t>Pneumatic Machines: Demolition Tools, Paving Breakers, Rock Cutters, Tampers, etc. (See 765-80 for Non-Pneumatic Tampers)</t>
  </si>
  <si>
    <t>Pneumatic Tool Accessories: Bits, Chisels, Points, Spades, Tampers, etc.</t>
  </si>
  <si>
    <t>Power Transmission Units: Chains, Gear Reducers, Sprockets, etc.</t>
  </si>
  <si>
    <t>Rollover Protections Structures (ROPS)</t>
  </si>
  <si>
    <t>Snow Blowers, Self-Propelled</t>
  </si>
  <si>
    <t>Snow Blowers, Vehicle or Equipment Mounted</t>
  </si>
  <si>
    <t>Snow Blowers, Walk-Behind</t>
  </si>
  <si>
    <t>Snow Plows, Motorized</t>
  </si>
  <si>
    <t>Snow Plows and/or Snow Wings, Vehicle Mounted</t>
  </si>
  <si>
    <t>Spreaders, Self-Propelled, For Aggregates, Sand, etc.</t>
  </si>
  <si>
    <t>Spreaders, Truck Mounted, For Aggregates, Ice Control Materials, Seal Coatings, etc.</t>
  </si>
  <si>
    <t>Sprinkler Equipment, Roads and Streets</t>
  </si>
  <si>
    <t>Striping Machines and Accessories</t>
  </si>
  <si>
    <t>Sweeper Accessories: Broom Fibers, Extension Brooms, Strips, Wire, Road Magnets, etc.</t>
  </si>
  <si>
    <t>Sweepers, Drag Brooms, etc. Including Parts and Accessories  (See Class 365 for Warehouse Power Brooms and 035-81 for Runway Sweepers)</t>
  </si>
  <si>
    <t>Tampers, Except Pneumatic and Vibrating Flat Plate Compactors (See 765-49 for Pneumatic Tampers)</t>
  </si>
  <si>
    <t>Tractor Bulldozers, Crawler and Wheel Type</t>
  </si>
  <si>
    <t>Tractors, Crawler Type</t>
  </si>
  <si>
    <t>Tractors, Wheel Type, Except Farm Tractors, Including Walk-Behind Type)</t>
  </si>
  <si>
    <t>Vacuum Trucks</t>
  </si>
  <si>
    <t>Weed Burners and Accessories</t>
  </si>
  <si>
    <t>Wire Rope  (Inactive, please see commodity code 765-95 effective January 1, 2016)</t>
  </si>
  <si>
    <t>Wire Rope Including Accessories: Clamps, Clips, Cutters, Eyes, Hoists, Slings, Thimbles, Turnbuckles, Windlasses, etc.</t>
  </si>
  <si>
    <t>Recycled Road and Highway Equipment and Supplies (Not Otherwise Classified)</t>
  </si>
  <si>
    <t>ROOFING MATERIALS AND SUPPLIES</t>
  </si>
  <si>
    <t>Aggregate, Gravel, Marble and Stone Chips, etc., For Roofs)</t>
  </si>
  <si>
    <t>Asphalt, Roofing</t>
  </si>
  <si>
    <t>Bolts, Clips, Fasteners, etc., For Sheet Roofing</t>
  </si>
  <si>
    <t>Cant Strips, Expansion Joint Fillers</t>
  </si>
  <si>
    <t>Caps, Roofing</t>
  </si>
  <si>
    <t>Cements and Mastics, Roofing</t>
  </si>
  <si>
    <t>Coatings, Roof, All Kinds</t>
  </si>
  <si>
    <t>Felt, Roofing, Rolls</t>
  </si>
  <si>
    <t>Flashing, Eave Strips, Gravel Guards, Ridge Rolls, Valleys, etc., Metal</t>
  </si>
  <si>
    <t>Flashing, Plastic</t>
  </si>
  <si>
    <t>Insulation, Roof, All Kinds</t>
  </si>
  <si>
    <t>Paper, Roofing</t>
  </si>
  <si>
    <t>Primers, Roofing</t>
  </si>
  <si>
    <t>Roofing, Aluminum: Corrugated, V-Crimp, etc.</t>
  </si>
  <si>
    <t>Roofing, Asbestos-Cement: Corrugated, etc.</t>
  </si>
  <si>
    <t>Roofing, Baked Enamel Sheet Steel: Corrugated, V-Crimp, etc.</t>
  </si>
  <si>
    <t>Roofing: Coated, Elastomeric, Sprayed Foam, etc.</t>
  </si>
  <si>
    <t>Roofing, Composition, Rolls</t>
  </si>
  <si>
    <t>Roofing, Concrete Tile  (See 135-74 for Clay Roofing Tile)</t>
  </si>
  <si>
    <t>Roofing, Galvanized Sheet Metal: Corrugated, V-Crimp, etc.</t>
  </si>
  <si>
    <t>Roofing, Malleable Iron</t>
  </si>
  <si>
    <t>Roofing, Plastic and Fiberglass: Corrugated, etc.</t>
  </si>
  <si>
    <t>Roofing Repair Kits</t>
  </si>
  <si>
    <t>Roofing Supplies (Not Otherwise Classified)</t>
  </si>
  <si>
    <t>Roofing, Tin</t>
  </si>
  <si>
    <t>Shingles, Asbestos</t>
  </si>
  <si>
    <t>Shingles, Composition, Asphalt</t>
  </si>
  <si>
    <t>Shingles, Fiberglass</t>
  </si>
  <si>
    <t>Shingles, Metal</t>
  </si>
  <si>
    <t>Shingles, Wood</t>
  </si>
  <si>
    <t>Skylights, All Types</t>
  </si>
  <si>
    <t>Tar, Roofing, Coal Tar Pitch</t>
  </si>
  <si>
    <t>Waterproofing Membrane and Base Sheet</t>
  </si>
  <si>
    <t>Recycled Roofing Material and Supplies Including Insulation</t>
  </si>
  <si>
    <t>SALT (SODIUM CHLORIDE) (SEE CLASS 393 FOR TABLE SALT)</t>
  </si>
  <si>
    <t>Block Salt, Plain or Medicated, For Livestock</t>
  </si>
  <si>
    <t>Brine</t>
  </si>
  <si>
    <t>Ice Cream Salt</t>
  </si>
  <si>
    <t>Meat Curing Salt</t>
  </si>
  <si>
    <t>Road Maintenance Salt (See Class 192 for Ice Removal Chemicals)</t>
  </si>
  <si>
    <t>Rock, Granular Salt , For Livestock</t>
  </si>
  <si>
    <t>Salt, Evaporated</t>
  </si>
  <si>
    <t>Salt Tablets, With or Without Dextrose</t>
  </si>
  <si>
    <t>Salt, Tissue Flake, Dairy, Dendritic Butter or Cheese Salt</t>
  </si>
  <si>
    <t>Water Softener Salt</t>
  </si>
  <si>
    <t>Recycled Road Salt</t>
  </si>
  <si>
    <t>SCALES AND WEIGHING APPARATUS (SEE 175-08 FOR LABORATORY BALANCES)</t>
  </si>
  <si>
    <t>Abattoir Scales</t>
  </si>
  <si>
    <t>Animal Scales, Cattle, Horses, etc.</t>
  </si>
  <si>
    <t>Automatic Scales, With Printers and Recorders</t>
  </si>
  <si>
    <t>Batching Scales</t>
  </si>
  <si>
    <t>Bathroom Scales</t>
  </si>
  <si>
    <t>Bench and Counter Scales</t>
  </si>
  <si>
    <t>Computing Scales Except Postal</t>
  </si>
  <si>
    <t>Counters, Mechanical: Tally, etc.</t>
  </si>
  <si>
    <t>Counting Scales</t>
  </si>
  <si>
    <t>Crane Scales</t>
  </si>
  <si>
    <t>Dairy Scales</t>
  </si>
  <si>
    <t>Egg Scales</t>
  </si>
  <si>
    <t>Floor Scales</t>
  </si>
  <si>
    <t>Gas Cylinder Weighing Scales</t>
  </si>
  <si>
    <t>Grain Scales</t>
  </si>
  <si>
    <t>Hanging Scales</t>
  </si>
  <si>
    <t>Hopper Scales</t>
  </si>
  <si>
    <t>Hospital Scales: Chair, In-Bed, etc.</t>
  </si>
  <si>
    <t>Industrial Built-In Scales</t>
  </si>
  <si>
    <t>Infant (Pediatric) Scales</t>
  </si>
  <si>
    <t>Load Cell Scales</t>
  </si>
  <si>
    <t>Over-Under, Even Balance Scales</t>
  </si>
  <si>
    <t>Physician's Scales: Clinical, Office, etc.</t>
  </si>
  <si>
    <t>Platform Scales</t>
  </si>
  <si>
    <t>Postage Scales, Conventional</t>
  </si>
  <si>
    <t>Postage Scales, Electronic, Computing</t>
  </si>
  <si>
    <t>Table Scales, Small: Baker's, Dietetic, etc.</t>
  </si>
  <si>
    <t>Test Systems and Calibration Standards</t>
  </si>
  <si>
    <t>Truck Scales and Railroad Track Scales</t>
  </si>
  <si>
    <t>Underwater Scales (See 495-82 For Laboratory)</t>
  </si>
  <si>
    <t>Weigh-In-Motion Systems</t>
  </si>
  <si>
    <t>Recycled Scales, Weighing Apparatus, Including Parts and Accessories</t>
  </si>
  <si>
    <t>SCHOOL EQUIPMENT, TEACHING AIDS, AND SUPPLIES</t>
  </si>
  <si>
    <t>Agendas and Planners, Student</t>
  </si>
  <si>
    <t>Anatomical Models, For Medical and Nursing Instruction, (See Also First Aid Manikins and Models In Class 345-68)</t>
  </si>
  <si>
    <t>*Atlases, Charts, Globes, and Maps</t>
  </si>
  <si>
    <t>Blackboards, Chalkboards and Dry Erase Boards</t>
  </si>
  <si>
    <t>Blind Teaching and Training Equipment and Supplies (See Class 600 for Braille Writers and Printers)</t>
  </si>
  <si>
    <t>Books: Class Register, Record, and Plan Books</t>
  </si>
  <si>
    <t>Bulletin Boards: Changeable Letter, Cork, Magnetic, Peg, etc.</t>
  </si>
  <si>
    <t>Bulletin Board Accessories</t>
  </si>
  <si>
    <t>Carrels, Audio-Visual</t>
  </si>
  <si>
    <t>Chalk, Crayons, Erasable Markers, Water Colors, Permanent Markers (Child Proof Safety Type), etc.</t>
  </si>
  <si>
    <t>Classroom Equipment and Supplies, (Not Otherwise Classified)</t>
  </si>
  <si>
    <t>Display Cabinets, Cases, Files, Racks, Stands, etc.</t>
  </si>
  <si>
    <t>Displays, Educational: Kits, Models, Plaques, etc.</t>
  </si>
  <si>
    <t>Drawing/Art Supplies, Schoolroom: Colored Pencils, Compasses, Construction Paper, Drawing Paper, Pencil/Pen Pouches, Protractors, etc.</t>
  </si>
  <si>
    <t>Driver Training Materials</t>
  </si>
  <si>
    <t>Easels, Accessories and Supplies, All Types, Including Flip Charts</t>
  </si>
  <si>
    <t>Educationnal Games and Toys, All Types (see 037-84, 208-47, 209-48, and 805-51 for other type games) Incl.Assembly Kits</t>
  </si>
  <si>
    <t>Engineering and Technical Instruction Equipment and Materials, For Air Conditioning, Electronics, Machine Shop, etc.</t>
  </si>
  <si>
    <t>Erasers and Cleaners</t>
  </si>
  <si>
    <t>Flannel Boards and Accessories</t>
  </si>
  <si>
    <t>Handwriting Materials, Instructional Aids and Supplies</t>
  </si>
  <si>
    <t>Instructional Aids: Courses, Lesson Plans, Prepared, Programs, Ancillary Materials, DVDs, etc. (See Class 715 for Textbooks)</t>
  </si>
  <si>
    <t>Lecterns, Rostrums, and Speaker's Stands, Pointers, etc.</t>
  </si>
  <si>
    <t>Notebooks and Spirals</t>
  </si>
  <si>
    <t>Number Boards and Directory Boards</t>
  </si>
  <si>
    <t>Paper Items, Classroom: Composition Books, Scrapbooks, Examination Booklets, Notebook Filler, Tablets, etc.</t>
  </si>
  <si>
    <t>Plays and Entertainment, Schoolroom</t>
  </si>
  <si>
    <t>Presentation Systems Equipment, Including Presentation Boards and Multi-Image Devices</t>
  </si>
  <si>
    <t>Reading Programs, Reading Aids, Accelerators</t>
  </si>
  <si>
    <t>Recycled School Equipment and Supplies</t>
  </si>
  <si>
    <t>Resource Books and Materials, (Not Otherwise Classified)</t>
  </si>
  <si>
    <t>Science Instruction Equipment, Classroom or Laboratory Use</t>
  </si>
  <si>
    <t>School Equipment Required to Meet the Needs of the Physically Challenged Student: Prone Stands, Toddler Chairs, Special Computer Keyboards, etc.</t>
  </si>
  <si>
    <t>Test and Test Scoring Devices: Achievement, Aptitude, Intelligence, etc.</t>
  </si>
  <si>
    <t>Vocational Equipment and Supplies, Industrial Trades</t>
  </si>
  <si>
    <t>Vocational Education Equipment and Supplies</t>
  </si>
  <si>
    <t>SEED, SOD, SOIL, AND INOCULANTS</t>
  </si>
  <si>
    <t>Athletic Field Compositions, Baseball Infields, etc.</t>
  </si>
  <si>
    <t>Desert Plant Seeds</t>
  </si>
  <si>
    <t>Field Seeds, Cotton, etc.</t>
  </si>
  <si>
    <t>Field Seeds, Grains, etc.</t>
  </si>
  <si>
    <t>Fruit Seeds</t>
  </si>
  <si>
    <t>Grass Seeds</t>
  </si>
  <si>
    <t>Inoculants</t>
  </si>
  <si>
    <t>Melon Seeds, Including Pumpkin</t>
  </si>
  <si>
    <t>Millet Grass</t>
  </si>
  <si>
    <t>Nut Seeds</t>
  </si>
  <si>
    <t>Peanut Seeds</t>
  </si>
  <si>
    <t>Rice Seeds</t>
  </si>
  <si>
    <t>Seed Potato Seeds</t>
  </si>
  <si>
    <t>Spice Seeds</t>
  </si>
  <si>
    <t>Sod, Grass</t>
  </si>
  <si>
    <t>Soil Mixtures, Special</t>
  </si>
  <si>
    <t>Sprigs, Grass</t>
  </si>
  <si>
    <t>Top Soil and Fill Dirt (See Class 335 for Mulch)</t>
  </si>
  <si>
    <t>Tree Seeds</t>
  </si>
  <si>
    <t>Vegetable Seeds</t>
  </si>
  <si>
    <t>Recycled Seed, Soil, Sod and Inoculants</t>
  </si>
  <si>
    <t>SEWING AND TEXTILE MACHINERY AND ACCESSORIES</t>
  </si>
  <si>
    <t>Bartacking Machines</t>
  </si>
  <si>
    <t>Button Covering Machines</t>
  </si>
  <si>
    <t>Button Sewing Machines</t>
  </si>
  <si>
    <t>Buttonhole Machines</t>
  </si>
  <si>
    <t>Cloth Cutting Machines</t>
  </si>
  <si>
    <t>Cloth Rolling Equipment and Supplies</t>
  </si>
  <si>
    <t>Cloth Spreading Machines</t>
  </si>
  <si>
    <t>Cushion Filling Machines</t>
  </si>
  <si>
    <t>Drapery Making Equipment and Accessories</t>
  </si>
  <si>
    <t>Embroidery Machines, Accessories and Supplies</t>
  </si>
  <si>
    <t>Eye and Hook Attaching Machines</t>
  </si>
  <si>
    <t>Fabric Drills, All Types</t>
  </si>
  <si>
    <t>Folding and Rewinding Machines</t>
  </si>
  <si>
    <t>Garment and Brand Tag Fasteners and Accessories</t>
  </si>
  <si>
    <t>Gripper Snap Fastener Machines</t>
  </si>
  <si>
    <t>Knitting Machines and Accessories</t>
  </si>
  <si>
    <t>Looms and Other Textile Weaving Equipment</t>
  </si>
  <si>
    <t>Pattern Paper</t>
  </si>
  <si>
    <t>Quiller Machines and Accessories</t>
  </si>
  <si>
    <t>Roving Cans</t>
  </si>
  <si>
    <t>Sewing Machines and Accessories, Domestic</t>
  </si>
  <si>
    <t>Sewing Machines and Accessories, Heavy Duty, Except Shoe Stitching</t>
  </si>
  <si>
    <t>Sheeting, Slitting, Spooling, and Notching Machines</t>
  </si>
  <si>
    <t>Slashers, Batts, and Pickers</t>
  </si>
  <si>
    <t>Spinning Machines and Accessories</t>
  </si>
  <si>
    <t>Spiral Tubes</t>
  </si>
  <si>
    <t>Tables, Cloth Cutting and Sewing</t>
  </si>
  <si>
    <t>Textile Processing Equipment (Not Otherwise Classified)</t>
  </si>
  <si>
    <t>Textile Working Equipment (Not Otherwise Classified)</t>
  </si>
  <si>
    <t>Warp Conditioner</t>
  </si>
  <si>
    <t>Warper Machines and Supplies</t>
  </si>
  <si>
    <t>Refurbished  Sewing Room and Textile Equipment, Including Parts and Accessories</t>
  </si>
  <si>
    <t>SHOES AND BOOTS</t>
  </si>
  <si>
    <t>Boots and Shoes, Athletic and Sportsman Type, Including Canvas Type</t>
  </si>
  <si>
    <t>Boots, Leather</t>
  </si>
  <si>
    <t>Boots, Other Than Leather or Rubber)</t>
  </si>
  <si>
    <t>Boots, Rubber</t>
  </si>
  <si>
    <t>Boots, Rubber, Waders</t>
  </si>
  <si>
    <t>Boots, Rubber, Safety Toe</t>
  </si>
  <si>
    <t>Boots, Rubber, Waders, Safety Toe</t>
  </si>
  <si>
    <t>Caps, Spikes, Spurs, and Shields</t>
  </si>
  <si>
    <t>Shoes and Slippers, House, All Types</t>
  </si>
  <si>
    <t>Racks, Shoe and Boot</t>
  </si>
  <si>
    <t>Shoes, Casual, Women's and Girls</t>
  </si>
  <si>
    <t>Shoes, Casual, Men's and Boys</t>
  </si>
  <si>
    <t>Shoes, Dress, Women's and Girls</t>
  </si>
  <si>
    <t>Shoes, Dress, Men's and Boys</t>
  </si>
  <si>
    <t>Shoes and Boots, Inmate</t>
  </si>
  <si>
    <t>Shoes, Orthopedic</t>
  </si>
  <si>
    <t>Shoes and Boots, Safety Toe</t>
  </si>
  <si>
    <t>Shoes, Rain</t>
  </si>
  <si>
    <t>Shoes and Boots, Work, Men's</t>
  </si>
  <si>
    <t>Shoes and Boots, Work, Women's</t>
  </si>
  <si>
    <t>Shoes and Sandals, Disposable</t>
  </si>
  <si>
    <t>Recycled Shoes and Boots</t>
  </si>
  <si>
    <t>SIGNS, SIGN MATERIALS, SIGN MAKING EQUIPMENT, AND RELATED SUPPLIES</t>
  </si>
  <si>
    <t>Blanks, Sign, Metal (See 801-71, 89, and 97 for other Sign Blanks)</t>
  </si>
  <si>
    <t>Brackets and Holders, Sign</t>
  </si>
  <si>
    <t>Letters and Numerals, Sign, Including Logos</t>
  </si>
  <si>
    <t>Posts, Standards, Supports, and Expansion Plugs</t>
  </si>
  <si>
    <t>Recycled Signs, Equipment, and Supplies, Including Braille Type</t>
  </si>
  <si>
    <t>Sign Faces</t>
  </si>
  <si>
    <t>*Sign Making Equipment Including Computerized Type</t>
  </si>
  <si>
    <t>Sign Material, Non-Reflective</t>
  </si>
  <si>
    <t>Sign Material, Reflective (See 550-45 for Reflective Sheeting for other than Signs)</t>
  </si>
  <si>
    <t>Sign Material, Reflective, Die Cut, (See 550-45 for Reflective Sheeting for other than Signs)</t>
  </si>
  <si>
    <t>Sign Painting Machines, Including Automatic</t>
  </si>
  <si>
    <t>Sign Painting Supplies, Including Brushes and Inks</t>
  </si>
  <si>
    <t>Signs, American Disability Act (ADA)</t>
  </si>
  <si>
    <t>Signs: Billboard, Advertising, etc.</t>
  </si>
  <si>
    <t>Signs, Braille, Including Markers and Plaques</t>
  </si>
  <si>
    <t>Signs: Construction, Including Roll-Up Type Message Signs</t>
  </si>
  <si>
    <t>Signs, Door Knob: Meeting in Progress, Do Not Disturb, etc.</t>
  </si>
  <si>
    <t>*Signs, Electronic Display, Marquee, etc.</t>
  </si>
  <si>
    <t>Signs, Exit: LED, Lighted, etc.</t>
  </si>
  <si>
    <t>Signs, Fabric</t>
  </si>
  <si>
    <t>Signs, Fiberglass, Including Blanks</t>
  </si>
  <si>
    <t>Signs, Hospital Bed</t>
  </si>
  <si>
    <t>Signs and Posters, Informational, No Smoking, Fire Extinguisher, etc.</t>
  </si>
  <si>
    <t>Signs, Janitorial, Wet Floor, Hazardous Spill, etc.</t>
  </si>
  <si>
    <t>Signs, Library</t>
  </si>
  <si>
    <t>Signs, Magnetic</t>
  </si>
  <si>
    <t>Signs, Metal, Not Blanks</t>
  </si>
  <si>
    <t>*Signs, Message, Computerized</t>
  </si>
  <si>
    <t>Signs, Neon</t>
  </si>
  <si>
    <t>Signs, Miscellaneous (Not Otherwise Classified)</t>
  </si>
  <si>
    <t>Signs, Overhead, Traffic</t>
  </si>
  <si>
    <t>Signs, Plastic and Polyethylene, Including Blanks</t>
  </si>
  <si>
    <t>Signs, Railroad Crossing, Electric</t>
  </si>
  <si>
    <t>Signs, Runway and Taxiway</t>
  </si>
  <si>
    <t>Signs, Surge Marker, Metal</t>
  </si>
  <si>
    <t>Signs, Traffic, Solar Powered, LED, Flashing, Programmable</t>
  </si>
  <si>
    <t>Signs, Wood, Including Blanks</t>
  </si>
  <si>
    <t>SOUND SYSTEMS, COMPONENTS, AND ACCESSORIES: GROUP INTERCOM, MUSIC, PUBLIC ADDRESS, ETC.</t>
  </si>
  <si>
    <t>Cartridges, Microphone, Phonograph, etc., Needles, Pickup Arms, Styli, etc.</t>
  </si>
  <si>
    <t>Disc Players, Compact, MP3, etc.</t>
  </si>
  <si>
    <t>Electronic Sound Equipment (Not Otherwise Classified)</t>
  </si>
  <si>
    <t>Group Auditory Systems, Language Laboratories, and Speech Training Equipment</t>
  </si>
  <si>
    <t>Intercom Systems, Group, For Panel Discussions, Schoolrooms, Hospital Rooms, etc.</t>
  </si>
  <si>
    <t>Microphones and Related Equipment, Not Wireless Systems: Chestsets, Earphones, Handsets, Headphones, etc.</t>
  </si>
  <si>
    <t>Microphones and Related Equipment, Wireless Systems: Chestsets, Earphones, Handsets, Headphones, etc.</t>
  </si>
  <si>
    <t>Music Systems and Components: Amplifiers, Mixers, Preamplifiers, Tuners, Turntables, etc.</t>
  </si>
  <si>
    <t>Music Systems and Component, Stereo Only</t>
  </si>
  <si>
    <t>Paging Systems, Airport</t>
  </si>
  <si>
    <t>Paging Systems, Loud Speaker Type</t>
  </si>
  <si>
    <t>*Paging Terminal, Solid State, Computerized</t>
  </si>
  <si>
    <t>Public Address Systems, Portable</t>
  </si>
  <si>
    <t>Public Address Systems, Stationary</t>
  </si>
  <si>
    <t>Record Player, Phonographs, Record Changers, Including Parts and Accessories</t>
  </si>
  <si>
    <t>*Recorders, Digital, Voice to CD</t>
  </si>
  <si>
    <t>Recording Disks and Sound Sheets, Including Compact and Laser Disks</t>
  </si>
  <si>
    <t>Recording Tape, Sound: Audio Cassettes, Cartridges, Reels, etc.</t>
  </si>
  <si>
    <t>Recycled Sound Equipment, Components and Accessories</t>
  </si>
  <si>
    <t>Sound Booths or Chambers, Including Anechoic, Portable and Soundproof Types</t>
  </si>
  <si>
    <t>Speakers and Accessories: Drivers, Enclosures, Grilles, Grille Cloth, etc.</t>
  </si>
  <si>
    <t>Studio Monitors, Broadcasting and Recording</t>
  </si>
  <si>
    <t>Tape Recorders, Decks, Players, etc., Sound, Not for Office Dictation</t>
  </si>
  <si>
    <t>Tape Duplicating and Erasing Equipment</t>
  </si>
  <si>
    <t>*Telephony Equipment, Accessories and Supplies</t>
  </si>
  <si>
    <t>SPACECRAFTS, ACCESSORIES AND COMPONENTS</t>
  </si>
  <si>
    <t>Accessories, Satellite (Not Otherwise Classified)</t>
  </si>
  <si>
    <t>Altitude Control Systems, Spacecraft</t>
  </si>
  <si>
    <t>Computerized Master Control Systems, Spacecraft</t>
  </si>
  <si>
    <t>Flight Instrumentation, Aerospace</t>
  </si>
  <si>
    <t>Payload Delivery Systems, Spacecraft</t>
  </si>
  <si>
    <t>Power Systems, Spacecraft, Solar Arrays, Solar Cells, etc.</t>
  </si>
  <si>
    <t>Satellites, Navigation, Geosynchrous, Orbiting, etc., (See 257-75 for Military Types)</t>
  </si>
  <si>
    <t>Service Modules, Spacecraft</t>
  </si>
  <si>
    <t>Spacecrafts</t>
  </si>
  <si>
    <t>Recycled Spacecrafts, Components and Accessories</t>
  </si>
  <si>
    <t>SPORTING GOODS, ATHLETIC EQUIPMENT AND ATHLETIC FACILITY EQUIPMENT</t>
  </si>
  <si>
    <t>Aerobic Training Equipment</t>
  </si>
  <si>
    <t>Archery Equipment</t>
  </si>
  <si>
    <t>Athletic Benches</t>
  </si>
  <si>
    <t>Athletic Awards: Medals, Plaques, Trophies, etc., (See Class 080 For Service Type)</t>
  </si>
  <si>
    <t>Athletic Facility Storage Equipment, Including Locker Room Equipment</t>
  </si>
  <si>
    <t>Athletic Field Markers, Goal Posts, Bases, Goals, etc., Including Athletic Field Striping Machines</t>
  </si>
  <si>
    <t>Athletic Field Groomers and Equipment, Artificial Turf</t>
  </si>
  <si>
    <t>Badminton Equipment</t>
  </si>
  <si>
    <t>Balls, (Not Otherwise Classified): Medicine, Playground, Push, etc., and Inflators</t>
  </si>
  <si>
    <t>Bags, Sports Equipment</t>
  </si>
  <si>
    <t>Baseball Equipment</t>
  </si>
  <si>
    <t>Basketball Equipment, Including Backboards and Backstops</t>
  </si>
  <si>
    <t>Bicycles and Tricycles, All Types: Children's, Mountain, Racing, Recumbent, Tandem, Touring, etc. (See 805-05 for Stationary Bikes and 805-57 for Exercise Bikes)</t>
  </si>
  <si>
    <t>Bicycle Accessories Including Tires and Tubes</t>
  </si>
  <si>
    <t>Billiard and Pool Tables and Supplies</t>
  </si>
  <si>
    <t>Bobsled Equipment and Accessories</t>
  </si>
  <si>
    <t>Bungee Equipment and Accessories</t>
  </si>
  <si>
    <t>Bowling Equipment, Including Lawn Bowling</t>
  </si>
  <si>
    <t>Coaching Equipment and Supplies</t>
  </si>
  <si>
    <t>Cricket Equipment and Accessories</t>
  </si>
  <si>
    <t>Boxing and Wrestling Equipment: Gloves, Platforms, Rings, Striking Bags, Training Bags, etc.</t>
  </si>
  <si>
    <t>Climbing and Rappelling Equipment</t>
  </si>
  <si>
    <t>Equestrian Equipment, Clothing and Supplies, Including Polo</t>
  </si>
  <si>
    <t>*Fencing Equipment, Sport</t>
  </si>
  <si>
    <t>Flip Score Cards</t>
  </si>
  <si>
    <t>Flooring, Temporary Portable, Athletic Facility</t>
  </si>
  <si>
    <t>Football Equipment</t>
  </si>
  <si>
    <t>Jumping and Parachuting Equipment</t>
  </si>
  <si>
    <t>Games: Croquet, Dart Boards, Horseshoes, Shuffleboards, Table Tennis, Tetherball, etc. (See 037-84; 208-47; 209-48; and 785-53 for other type games)</t>
  </si>
  <si>
    <t>Golfing Equipment</t>
  </si>
  <si>
    <t>Gymnasium Apparatus and Equipment: Bicycle Trainers, Climbing Ropes, Exerciser Units, Game Standards, Horizontal, Parallel, and Stall Bars</t>
  </si>
  <si>
    <t>LaCrosse Equipment and Accessories</t>
  </si>
  <si>
    <t>Hunting Equipment and Accessories, Including Decoys and Blinds, (See Class 680 For Weapons)</t>
  </si>
  <si>
    <t>Gymnasium Mats, Covers, Hangers, and Trucks</t>
  </si>
  <si>
    <t>Hockey Equipment, Ice and Field</t>
  </si>
  <si>
    <t>Physical Education Equipment, Adaptive: Body Alignment Wedges, Mobile Mats, Stimulation Boards, Straddle Seats, Vestibular Boards, etc.</t>
  </si>
  <si>
    <t>Scoreboards, Sports</t>
  </si>
  <si>
    <t>Skating Rink and Skater Equipment and Accessories, Ice and Roller</t>
  </si>
  <si>
    <t>Ski Equipment and Accessories</t>
  </si>
  <si>
    <t>Soccer Equipment</t>
  </si>
  <si>
    <t>Scooters and Skateboards</t>
  </si>
  <si>
    <t>Softball Equipment</t>
  </si>
  <si>
    <t>Squash, Handball, Paddle Ball, and Racquet Ball Equipment</t>
  </si>
  <si>
    <t>Stadium Lighting Equipment and Light Poles (See Class 285 for Lamps)</t>
  </si>
  <si>
    <t>Starting Gates and Other Racing Equipment</t>
  </si>
  <si>
    <t>Swimming and Surfing Equipment</t>
  </si>
  <si>
    <t>Tables, Score, For Scorer's Use</t>
  </si>
  <si>
    <t>Tennis Equipment</t>
  </si>
  <si>
    <t>Track and Field Equipment</t>
  </si>
  <si>
    <t>Trainer Supplies</t>
  </si>
  <si>
    <t>Tubes, Sports Type: Snow and Water</t>
  </si>
  <si>
    <t>Trampolines, Beds, Cables, Frame Pads, etc.</t>
  </si>
  <si>
    <t>Trap Shooting Equipment</t>
  </si>
  <si>
    <t>Umpire, Referee, and Coach Equipment, Clothing and Supplies</t>
  </si>
  <si>
    <t>Volleyball Equipment</t>
  </si>
  <si>
    <t>Water Polo Equipment and Accessories</t>
  </si>
  <si>
    <t>Weight Lifting Equipment and Accessories</t>
  </si>
  <si>
    <t>Whirlpools, Saunas, Hot Tubs, Spas, etc.</t>
  </si>
  <si>
    <t>Recycled Sporting Goods and Athletic Equipment and Accessories</t>
  </si>
  <si>
    <t>SPRAYING EQUIPMENT, EXCEPT HOUSEHOLD, NURSERY PLANT, AND PAINT</t>
  </si>
  <si>
    <t>Cleaner, Spray Equipment</t>
  </si>
  <si>
    <t>Dusting Machines, Crop</t>
  </si>
  <si>
    <t>Fogging Machines for Outdoor Service (See 485-60 for Room Type)</t>
  </si>
  <si>
    <t>Insect Vacuum, Engine Driven</t>
  </si>
  <si>
    <t>Smoke Generators</t>
  </si>
  <si>
    <t>Spray Equipment, Crop, Machine Powered</t>
  </si>
  <si>
    <t>Spray Equipment, Defoliant</t>
  </si>
  <si>
    <t>Spray Equipment, Deicer and Frost Protection</t>
  </si>
  <si>
    <t>Spray Equipment, Landscape, Machine Powered</t>
  </si>
  <si>
    <t>Spray Equipment, Livestock, Machine Powered</t>
  </si>
  <si>
    <t>Spray Equipment, Pesticide, Machine Powered, Commercial</t>
  </si>
  <si>
    <t>Spray Equipment, Portable, Hand Powered</t>
  </si>
  <si>
    <t>Spray Equipment, Portable, Machine Powered, Back-Pack Type, etc.</t>
  </si>
  <si>
    <t>Spray Equipment: Vehicle, Trailer, or Skid Mounted</t>
  </si>
  <si>
    <t>Sprayer Guns, Nozzles, Fittings, Reels, etc.</t>
  </si>
  <si>
    <t>Recycled Spraying Equipment, Accessories and Supplies</t>
  </si>
  <si>
    <t>STEAM AND HOT WATER FITTINGS, ACCESSORIES, AND SUPPLIES</t>
  </si>
  <si>
    <t>Cocks: Air, Drain, Gauge, Pet, Try, etc.</t>
  </si>
  <si>
    <t>Expansion Joints</t>
  </si>
  <si>
    <t>Fusible Plugs</t>
  </si>
  <si>
    <t>Gaskets: Flange, Handhole and Manhole, All Types</t>
  </si>
  <si>
    <t>Gasket Sealants, Compounds, etc.</t>
  </si>
  <si>
    <t>Gauge Glass and Gaskets</t>
  </si>
  <si>
    <t>Gauge Siphons and Pulsation Dampers</t>
  </si>
  <si>
    <t>Mechanical Pump and Shaft Seals</t>
  </si>
  <si>
    <t>O-Rings</t>
  </si>
  <si>
    <t>Oil Seals</t>
  </si>
  <si>
    <t>Packing, All Kinds, Except Sheet: Rod, Shaft, Valve Stem, etc.</t>
  </si>
  <si>
    <t>Packing, Sheet, All Kinds</t>
  </si>
  <si>
    <t>Pressure Gauges, Not Hospital, Laboratory, and Refrigeration</t>
  </si>
  <si>
    <t>Steam Specialties: Air Vent Valves, Main Vent Valves, Radiator Valves, Radiator Traps, etc.</t>
  </si>
  <si>
    <t>Steam Traps and Strainers</t>
  </si>
  <si>
    <t>Thermometers, Industrial; and Thermometer Wells</t>
  </si>
  <si>
    <t>Valves, Directional Control, To Control Pneumatic, Hydraulic, or Water Cylinders</t>
  </si>
  <si>
    <t>Valves, Mixing</t>
  </si>
  <si>
    <t>Valves, Pressure Reducing</t>
  </si>
  <si>
    <t>Valves, Relief and Safety</t>
  </si>
  <si>
    <t>Valves, Temperature and Pressure Regulating</t>
  </si>
  <si>
    <t>Water Gauges, Columns, etc.</t>
  </si>
  <si>
    <t>Recycled Steam and Hot Water Fittings, Accessories and Supplies</t>
  </si>
  <si>
    <t>STEAM AND HOT WATER BOILERS AND STEAM HEATING EQUIPMENT</t>
  </si>
  <si>
    <t>After-Coolers and Condensers</t>
  </si>
  <si>
    <t>Air Dryers, Dehydrators, and Preheaters</t>
  </si>
  <si>
    <t>A.S.M.E. Code Tanks</t>
  </si>
  <si>
    <t>Boilers, High Pressure</t>
  </si>
  <si>
    <t>Boilers, Low Pressure</t>
  </si>
  <si>
    <t>Boiler Parts and Accessories (Not Otherwise Classified)</t>
  </si>
  <si>
    <t>Boiler Tubes</t>
  </si>
  <si>
    <t>Blow-Down Equipment, Automatic Top</t>
  </si>
  <si>
    <t>Blow-Off Basins</t>
  </si>
  <si>
    <t>Blow-Off Valves</t>
  </si>
  <si>
    <t>Burners, Gas and Oil</t>
  </si>
  <si>
    <t>Chemical Feed Systems (See Class 720 For Proportioning Pumps)</t>
  </si>
  <si>
    <t>Coils, Steam Heating</t>
  </si>
  <si>
    <t>Condensate Return Systems: Vacuum Heat Pumps, Wet Vacuum Pumps, etc.</t>
  </si>
  <si>
    <t>Controls: Combustion, Fuel Cut-Off, Hardness, High-Low Water Level, Ignition, etc.</t>
  </si>
  <si>
    <t>Control, Corrosion, Using Entrained Gas Eliminator Equipment</t>
  </si>
  <si>
    <t>Controllers, Steam Boiler Automatic Conductivity</t>
  </si>
  <si>
    <t>Convectors and Radiators</t>
  </si>
  <si>
    <t>Deaerating Units</t>
  </si>
  <si>
    <t>Descaling Equipment, MHD Type</t>
  </si>
  <si>
    <t>Draft Fans and Draft Gauges</t>
  </si>
  <si>
    <t>Feedwater Heaters</t>
  </si>
  <si>
    <t>Feedwater Injectors</t>
  </si>
  <si>
    <t>Feedwater Pumps</t>
  </si>
  <si>
    <t>Filters, Boiler Water</t>
  </si>
  <si>
    <t>Flue Gas Desulfurization System Equipment</t>
  </si>
  <si>
    <t>Flue Gas Heat Recovery System Equipment</t>
  </si>
  <si>
    <t>Heat Exchangers, Accessories, and Parts</t>
  </si>
  <si>
    <t>Hot Water Generators</t>
  </si>
  <si>
    <t>Oil Coolers</t>
  </si>
  <si>
    <t>Oil Purifiers</t>
  </si>
  <si>
    <t>Oxygen Reduction Equipment, Dissolved</t>
  </si>
  <si>
    <t>Pulverizers, Boiler and Power Plant</t>
  </si>
  <si>
    <t>Screens and Strainers, Water Intake, etc.</t>
  </si>
  <si>
    <t>Stacks, Steel</t>
  </si>
  <si>
    <t>Steam Boiler Bottom Blow Alarm</t>
  </si>
  <si>
    <t>Steam Flow Transmitters</t>
  </si>
  <si>
    <t>Tube Cleaners and Tube Expanders</t>
  </si>
  <si>
    <t>Turbines, Gas Driven</t>
  </si>
  <si>
    <t>Turbines, Steam Driven</t>
  </si>
  <si>
    <t>Turbines, Water, Hydraulic, Including Pats and Accessories</t>
  </si>
  <si>
    <t>Valves, Spherical</t>
  </si>
  <si>
    <t>Recycled Steam and Hot Water Boilers and Heating Equipment</t>
  </si>
  <si>
    <t>STOCKMAN EQUIPMENT AND SUPPLIES</t>
  </si>
  <si>
    <t>Animal Dips and Sprays</t>
  </si>
  <si>
    <t>Back Scratchers and Oilers</t>
  </si>
  <si>
    <t>Bee Keeping Equipment and Supplies, Agriculture</t>
  </si>
  <si>
    <t>Blankets, Livestock</t>
  </si>
  <si>
    <t>Boots, Hoof, Animal</t>
  </si>
  <si>
    <t>Branding Crayons, Paints, Paint Pellets, Pistols, etc.</t>
  </si>
  <si>
    <t>Branding Irons</t>
  </si>
  <si>
    <t>Calf Pullers, Obstetrical</t>
  </si>
  <si>
    <t>Castrators</t>
  </si>
  <si>
    <t>Chains, Halters, Leaders, Nose Rings, Straps, Bits, etc.</t>
  </si>
  <si>
    <t>Chin-Ball Marking Devices</t>
  </si>
  <si>
    <t>Chutes, Corrals, Livestock Holding Pens, etc.</t>
  </si>
  <si>
    <t>Dehorners</t>
  </si>
  <si>
    <t>Disinfectants, Animal Pens, Creosote, etc.</t>
  </si>
  <si>
    <t>Drench Guns</t>
  </si>
  <si>
    <t>Farrowing Stalls</t>
  </si>
  <si>
    <t>Feeders, All Kinds, Except Troughs</t>
  </si>
  <si>
    <t>Feeder Troughs, Dishes, etc.</t>
  </si>
  <si>
    <t>Feedlots</t>
  </si>
  <si>
    <t>Grooming Equipment and Supplies: Brushes, Clippers, Currycombs, Docking Supplies, Nippers, Trimmers, etc.</t>
  </si>
  <si>
    <t>Harness, Ewe Marking</t>
  </si>
  <si>
    <t>Hog Holders</t>
  </si>
  <si>
    <t>Hog Ringer Pliers and Rings</t>
  </si>
  <si>
    <t>Horn Trainers and Weights</t>
  </si>
  <si>
    <t>Immobilizers and Accessories: Guns, Loads, Syringes, etc.</t>
  </si>
  <si>
    <t>Lariats</t>
  </si>
  <si>
    <t>Nipple Pails</t>
  </si>
  <si>
    <t>Prodders, Shock Type</t>
  </si>
  <si>
    <t>Recycled Stockman Equipment and Supplies</t>
  </si>
  <si>
    <t>Shearing Equipment</t>
  </si>
  <si>
    <t>Slappers and Whips</t>
  </si>
  <si>
    <t>Stockman Equipment and Supplies, (Not Otherwise Classified)</t>
  </si>
  <si>
    <t>Tags, Ear, Neck, etc., Tagging Accessories, Chains, Fasteners, Pliers, etc.</t>
  </si>
  <si>
    <t>Tattooing Equipment and Inks</t>
  </si>
  <si>
    <t>Vacuum Cleaners, Cattle</t>
  </si>
  <si>
    <t>Waterers, Except Concrete Troughs</t>
  </si>
  <si>
    <t>Weaners</t>
  </si>
  <si>
    <t>TANKS (METAL, PLASTIC, WOOD, AND SYNTHETIC MATERIALS): MOBILE, PORTABLE, STATIONARY, AND UNDERGROUND TYPES</t>
  </si>
  <si>
    <t>Aluminum Tanks, All Kinds</t>
  </si>
  <si>
    <t>Brass Tanks, All Kinds</t>
  </si>
  <si>
    <t>Butane and Propane Tanks, Surface and Underground</t>
  </si>
  <si>
    <t>Butane and Propane Tanks, Transport Truck Type</t>
  </si>
  <si>
    <t>Calibrating Tanks</t>
  </si>
  <si>
    <t>Cast Iron Tanks, All Kinds</t>
  </si>
  <si>
    <t>Cement Lined Tanks</t>
  </si>
  <si>
    <t>Cisterns and Parts, Fire</t>
  </si>
  <si>
    <t>Collapsible Tank for Petroleum Spills</t>
  </si>
  <si>
    <t>Copper Lined Tanks</t>
  </si>
  <si>
    <t>Dip Tanks</t>
  </si>
  <si>
    <t>Expansion Tanks</t>
  </si>
  <si>
    <t>Fiberglass Lined Tanks</t>
  </si>
  <si>
    <t>Fiberglass Tanks, Gasoline, Including Underground Type</t>
  </si>
  <si>
    <t>Fiberglass Tanks, Other Than for Gasoline</t>
  </si>
  <si>
    <t>Filters, Storage Tank</t>
  </si>
  <si>
    <t>Galvanized Sheet Iron and Steel Tanks</t>
  </si>
  <si>
    <t>Glass Lined Tanks</t>
  </si>
  <si>
    <t>Lead Lined Tanks</t>
  </si>
  <si>
    <t>Leak Detection and Vapor Monitoring Equipment</t>
  </si>
  <si>
    <t>Plastic and PVC Tanks</t>
  </si>
  <si>
    <t>Plastic Lined Tanks</t>
  </si>
  <si>
    <t>Polyethylene Tanks</t>
  </si>
  <si>
    <t>Processing Tanks</t>
  </si>
  <si>
    <t>Stainless Steel Tanks, Pressure Type</t>
  </si>
  <si>
    <t>Stainless Steel Tanks, Holding, Milk</t>
  </si>
  <si>
    <t>Stainless Steel Tanks, Transport Truck Type, Chemicals, Milk, etc.</t>
  </si>
  <si>
    <t>Stainless Steel Tanks: Mixing, Pickling, and Processing Types, Chemicals, Foods, Paints, Soaps, etc.</t>
  </si>
  <si>
    <t>Steel Tanks, For Chemical Storage</t>
  </si>
  <si>
    <t>Steel Tanks, Overhead Type: Diesel Fuel, Gasoline, Kerosene, etc.</t>
  </si>
  <si>
    <t>Steel Tanks, Portable Type: Diesel Fuel, Gasoline, Kerosene, Liquid Fertilizers, Water, etc.</t>
  </si>
  <si>
    <t>Steel Tanks, Pressure Type: Air, Gas, Water, etc.</t>
  </si>
  <si>
    <t>Steel Tanks, Surface Storage Type: Asphalt, Emulsions, Road Oil, Water, etc.</t>
  </si>
  <si>
    <t>Steel Tanks, Transport Truck Type: Asphalt, Gasoline, Oil, Water, etc.</t>
  </si>
  <si>
    <t>Steel Tanks, Storage Type: Fuel, Gasoline, and Wetted Salt</t>
  </si>
  <si>
    <t>Steel Tanks, Surface and Underground Type: Gasoline, Kerosene, etc.</t>
  </si>
  <si>
    <t>Steel Tanks, Water Works Type, Elevated and Tower</t>
  </si>
  <si>
    <t>Tank Packing Material</t>
  </si>
  <si>
    <t>Tank Ends, Heads, Metal</t>
  </si>
  <si>
    <t>Tanks and Cylinders (Not Otherwise Classified)</t>
  </si>
  <si>
    <t>Wooden Tanks, All Kinds</t>
  </si>
  <si>
    <t>Recycled Tanks, Accessories and Supplies</t>
  </si>
  <si>
    <t>TAPE (NOT DATA PROCESSING, MEASURING, OPTICAL, SEWING, SOUND, OR VIDEO)</t>
  </si>
  <si>
    <t>Tape, Anti-Seizing</t>
  </si>
  <si>
    <t>Tape, Anti-Skid</t>
  </si>
  <si>
    <t>Tape, Athletic</t>
  </si>
  <si>
    <t>Tape, Automotive Type</t>
  </si>
  <si>
    <t>Tape, Barrier, Including  Cautionary and Crime Scene Tape</t>
  </si>
  <si>
    <t>Tape, Cellulose: Drafting, Labeling, Magnetic, etc.</t>
  </si>
  <si>
    <t>Tape, Cloth, Mending</t>
  </si>
  <si>
    <t>Tape, Detectable Marking</t>
  </si>
  <si>
    <t>Tape, Duct, Adhesive Type</t>
  </si>
  <si>
    <t>Tape, Electrical</t>
  </si>
  <si>
    <t>Tape, Epoxy</t>
  </si>
  <si>
    <t>Tape, Filament</t>
  </si>
  <si>
    <t>Tape, Glass Setting</t>
  </si>
  <si>
    <t>Tape, Freezer or Freeze Protection</t>
  </si>
  <si>
    <t>Tape, Gummed Kraft and Reinforced Paper</t>
  </si>
  <si>
    <t>Tape, Insulating, All Types, Except Electrical</t>
  </si>
  <si>
    <t>Tape, Insulating, Electrical</t>
  </si>
  <si>
    <t>Tape, Labeling, Library Type</t>
  </si>
  <si>
    <t>Tape, Marking, Reflective Adhesive-Backed (See 550-72 for Pavement Marking Tape)</t>
  </si>
  <si>
    <t>Tape, Masking</t>
  </si>
  <si>
    <t>Tape, Metal Repair</t>
  </si>
  <si>
    <t>Tape (Not Otherwise Classified)</t>
  </si>
  <si>
    <t>Tape, Nuclear Radiation</t>
  </si>
  <si>
    <t>Tape, Nylon</t>
  </si>
  <si>
    <t>Tape, Pipe Banding</t>
  </si>
  <si>
    <t>Tape, Polypropylene</t>
  </si>
  <si>
    <t>Tape, Roofing: Rubber, etc.</t>
  </si>
  <si>
    <t>Tape, Sheetrock</t>
  </si>
  <si>
    <t>Tape, Sign</t>
  </si>
  <si>
    <t>Tape, Thread, Teflon</t>
  </si>
  <si>
    <t>Tape, Vinyl</t>
  </si>
  <si>
    <t>Tape, Wire and Cable Marking and Accessories</t>
  </si>
  <si>
    <t>Tape, Wood, All Kinds</t>
  </si>
  <si>
    <t>Recycled Tape</t>
  </si>
  <si>
    <t>TELECOMMUNICATIONS AND CELLULAR EQUIPMENT, ACCESSORIES AND SUPPLIES</t>
  </si>
  <si>
    <t>*Batteries, Communication, Radio, Telephone, etc.</t>
  </si>
  <si>
    <t>*Cabinets for Data, Frames, Runway, Cable Management, Raceway, Wire Mesh or Basket Tray, Interduct, Telecom Closets</t>
  </si>
  <si>
    <t>*Cable, Copper, Cat. 5E 6, 6E, 7, 8  etc., Including Interconnecting Components and Accessories (See Class 280 for Other Communications Cable)</t>
  </si>
  <si>
    <t>*Cable, Fiber Optic w/Interconnecting Components and Accessories (See Class 280 for Other Communications Cable)</t>
  </si>
  <si>
    <t>*Communication Devices, Multi-Function, Blackberries, Palm Pilots, PDAs, etc.</t>
  </si>
  <si>
    <t>*Communications: Networking, Linking, Fiber Modems, Power Over Ethernet, Wireless</t>
  </si>
  <si>
    <t>*Communication Security Systems</t>
  </si>
  <si>
    <t>*Communication Systems, Integrated, Including Telephone, Clock, Intercom, etc.</t>
  </si>
  <si>
    <t>*Consoles and Racks, Security</t>
  </si>
  <si>
    <t>*Controllers, Wireless Devices, Wireless Access Points, Modems, Infrared Access Points, Antenna for WAPs, Infrared/Radio Frequency</t>
  </si>
  <si>
    <t>*Emergency Radio/Telephone Systems, 411, 911 etc., Dispatch</t>
  </si>
  <si>
    <t>Emergency Simultaneous Communication Systems (Voice, E-mail, Text)</t>
  </si>
  <si>
    <t>*Emulators, Telecommunication</t>
  </si>
  <si>
    <t>*Recycled Telecommunication Equipment and Accessories</t>
  </si>
  <si>
    <t>*Telecommunication Equipment, Via Satellite, for Emergency Vehicles , Including Radio Terminal Display</t>
  </si>
  <si>
    <t>*Telecommunication, Internet Protocol, Network Monitoring, Surveillance, Intrusion Detection Systems and Networking Products</t>
  </si>
  <si>
    <t>*Telecommunication Parts and Accessories (Not Otherwise Classified)</t>
  </si>
  <si>
    <t>*Telecommunicators for the Hearing and Speech Impaired</t>
  </si>
  <si>
    <t>*Telemedical Equipment</t>
  </si>
  <si>
    <t>*Telemetry Equipment</t>
  </si>
  <si>
    <t>*Tools and Supplies for Copper and Fiber Optic Wiring Systems</t>
  </si>
  <si>
    <t>*Translation Equipment, Networked, Portable, Mobile</t>
  </si>
  <si>
    <t>*Wire and Cable, Telecommunication (Not Otherwise Classified)</t>
  </si>
  <si>
    <t>TELEPHONE EQUIPMENT, ACCESSORIES AND SUPPLIES</t>
  </si>
  <si>
    <t>*Accessories, Telephone (Not Otherwise Classified)</t>
  </si>
  <si>
    <t>*Call Answering Telephone System, High Volume</t>
  </si>
  <si>
    <t>*Call Answering Telephone Systems, Low Volume</t>
  </si>
  <si>
    <t>*Cellular Telephones, All Types</t>
  </si>
  <si>
    <t>*Digital Subscriber Loop (DSL) Equipment</t>
  </si>
  <si>
    <t>*Microwave Equipment (See Class 045 for Household Ovens)</t>
  </si>
  <si>
    <t>*Nurse Call Systems</t>
  </si>
  <si>
    <t>*Pay Telephones</t>
  </si>
  <si>
    <t>*Poles, High Voltage Transmission</t>
  </si>
  <si>
    <t>*Poles, Telephone and Utility, All Kinds</t>
  </si>
  <si>
    <t>*Radio Telephones, Vehicle, Marine, etc.</t>
  </si>
  <si>
    <t>*Recycled Telephone Equipment and Accessories</t>
  </si>
  <si>
    <t>*Satellite Telephones</t>
  </si>
  <si>
    <t>*Switchboards, Telephone</t>
  </si>
  <si>
    <t>*Telecommunicators and/or Display Terminals for the Hearing and Handicapped</t>
  </si>
  <si>
    <t>*Telephone Cards</t>
  </si>
  <si>
    <t>*Telephone Dialing and Answering Apparatus</t>
  </si>
  <si>
    <t>*Telephone Equipment Parts and Accessories (Not Otherwise Classified)</t>
  </si>
  <si>
    <t>*Telephones, Correctional Facilities</t>
  </si>
  <si>
    <t>*Telephone Systems, 2-60 Stations</t>
  </si>
  <si>
    <t>*Telephone System, Over 60 Stations</t>
  </si>
  <si>
    <t>*Videophone Devices, Equipment and Accessories</t>
  </si>
  <si>
    <t>TELEVISION EQUIPMENT AND ACCESSORIES</t>
  </si>
  <si>
    <t>Antennas and Accessories: Amplifiers, Brackets, Masts, Mounts, Rotators, Standoffs, etc., Television Only</t>
  </si>
  <si>
    <t>*Audio Equipment and Accessories, Television, Microphones, Mixers, and Amplifiers</t>
  </si>
  <si>
    <t>*Broadcast Equipment, Television</t>
  </si>
  <si>
    <t>Broadcast Disaster Recovery Equipment</t>
  </si>
  <si>
    <t>*Cable or Community Television Equipment and Hardware</t>
  </si>
  <si>
    <t>Carts and Stands, Television, VCR/DVD Players, Multi-Device</t>
  </si>
  <si>
    <t>Cassette Holders, Video, DVD/DVR/CDR</t>
  </si>
  <si>
    <t>*Digital Video Disk, DVD Television Combinations</t>
  </si>
  <si>
    <t>*Editing, Titling, and Special Effects Systems, Accessories, and Parts</t>
  </si>
  <si>
    <t>*Frequency Measuring Equipment, Television</t>
  </si>
  <si>
    <t>*Monitors, Television</t>
  </si>
  <si>
    <t>Recording Tape, Video; Video Cassettes: Videotape Evaluator/Cleaner</t>
  </si>
  <si>
    <t>Rewinding Equipment, Tape</t>
  </si>
  <si>
    <t>*Satellite Receiver Dish, Video</t>
  </si>
  <si>
    <t>Studio Equipment: Furnishings, Record and Tape Storage Cabinets, Tables, etc.</t>
  </si>
  <si>
    <t>*Switchers, Audio and Video</t>
  </si>
  <si>
    <t>*Teleconference Systems, Audio/Video, Including Video on Demand Systems</t>
  </si>
  <si>
    <t>Teleprompters and Accessories</t>
  </si>
  <si>
    <t>*Television Hardware, Adapters, Brackets, Connectors, and Converters - Analog to Digital, etc.</t>
  </si>
  <si>
    <t>*Television, Interactive Digital LED/LCD HDTV, Integrated with PC</t>
  </si>
  <si>
    <t>Television Receivers and Consoles</t>
  </si>
  <si>
    <t>*Television Receivers, Wide Screen, Projection Type</t>
  </si>
  <si>
    <t>Television Tools, Equipment and Supplies for Analysis, Inspection, Testing, etc.</t>
  </si>
  <si>
    <t>Television Transmitters</t>
  </si>
  <si>
    <t>Television-VCR Combination Sets</t>
  </si>
  <si>
    <t>*Video Camera Recorders, Digital Type</t>
  </si>
  <si>
    <t>*VCR/DVD/Blu-Ray Television Combinations</t>
  </si>
  <si>
    <t>*Video Camera-Recorders, Accessories and Parts, Television Studio Type</t>
  </si>
  <si>
    <t>*Video Camera-Recorders, Accessories and Parts, Portable Type</t>
  </si>
  <si>
    <t>Video Cassette Recorders, VCR, Accessories and Parts, Consumer</t>
  </si>
  <si>
    <t>Video Lighting Units, Portable, and Battery Packs, Accessories, etc.</t>
  </si>
  <si>
    <t>Video Monitors, Demodulators, Signal Processors, etc.; Accessories and Parts</t>
  </si>
  <si>
    <t>Video Players</t>
  </si>
  <si>
    <t>Video Projectors, Accessories and Parts</t>
  </si>
  <si>
    <t>Video/Disk/DVD Players, Recorders and Playback Only Devices; CDI Players, etc.</t>
  </si>
  <si>
    <t>*Video and Audio Systems, Accessories and Parts, Closed Circuit TV, Including Surveillance Type</t>
  </si>
  <si>
    <t>Video Systems, Studio Quality Production</t>
  </si>
  <si>
    <t>Recycled Television Equipment and Accessories</t>
  </si>
  <si>
    <t>TESTING APPARATUS AND INSTRUMENTS, NOT FOR ELECTRICAL OR ELECTRONIC MEASUREMENTS</t>
  </si>
  <si>
    <t>*Acoustic Testing Devices</t>
  </si>
  <si>
    <t>Aerodynamic and Aeronautical Testing Equipment Including Wind Tunnels</t>
  </si>
  <si>
    <t>Combustion Efficiency Measurement Equipment</t>
  </si>
  <si>
    <t>Concrete Testing Equipment</t>
  </si>
  <si>
    <t>Corrosion Testing Equipment</t>
  </si>
  <si>
    <t>Fabric Testing Equipment</t>
  </si>
  <si>
    <t>Falling Weight Deflectometer System, Pavement Loading Device (Inactive, please see commodity code 845-49 effective January 1, 2016)</t>
  </si>
  <si>
    <t>Fiber/Fabric Testing Apparatus, Except Flammability</t>
  </si>
  <si>
    <t>Flash Point Tester, Closed and Open Cup</t>
  </si>
  <si>
    <t>Fuel Test Kits and Devices</t>
  </si>
  <si>
    <t>Flammability Testing Equipment, For Apparel, Construction Materials, Fabrics, etc.</t>
  </si>
  <si>
    <t>Food Testing Apparatus, For Fat, Fiber, Moisture Content, etc.</t>
  </si>
  <si>
    <t>Hydrostatic Pressure Testers: Dead Weight Testers, Hydrostatic Test Pumps, etc.</t>
  </si>
  <si>
    <t>Lead Test Kits  (Inactive, please see commodity code 845-87 effective January 1, 2016)</t>
  </si>
  <si>
    <t>Metallurgical Physical Quality Control Testers</t>
  </si>
  <si>
    <t>Milk and Dairy Testing Equipment, (See 245-87 For Dairy Thermometers)</t>
  </si>
  <si>
    <t>Microwave Test Equipment and Accessories, Not Communications Type</t>
  </si>
  <si>
    <t>Moisture Testing Equipment, Not for Soils</t>
  </si>
  <si>
    <t>Moisture-Density Tester, For Soil): Nuclear Moisture-Density Gauges, etc. (Inactive, please see commodity code 845-84 effective January 1, 2016)</t>
  </si>
  <si>
    <t>Paint Testing Equipment</t>
  </si>
  <si>
    <t>*Pavement Testing and Data Collection Equipment</t>
  </si>
  <si>
    <t>Petroleum Production Test Equipment</t>
  </si>
  <si>
    <t>Petroleum Test Equipment and Supplies, To Determine Recyclability</t>
  </si>
  <si>
    <t>Precision Linear Measuring Instruments: Calipers and Vernier Calipers, Dry Film Thickness Gauges, Dial And Standard Micrometers, etc.</t>
  </si>
  <si>
    <t>Recycled Testing Apparatus, Instruments and Accessories</t>
  </si>
  <si>
    <t>Road Building Materials Testers and Accessories</t>
  </si>
  <si>
    <t>*Civil Engineering &amp; Materials Testing Equipment</t>
  </si>
  <si>
    <t>Soil Testing Equipment, For Determining Permeability, Resistivity, Soil Chemistry, etc.</t>
  </si>
  <si>
    <t>Moisture-Density Tester, For Soil): Nuclear Moisture-Density Gauges, etc.</t>
  </si>
  <si>
    <t>Test Equipment, Hazardous Material</t>
  </si>
  <si>
    <t>Viscosity Testers, Viscometers and Viscosimeters</t>
  </si>
  <si>
    <t>Volume Standards: Liter Provers, etc.</t>
  </si>
  <si>
    <t>TEXTILES, FIBERS, HOUSEHOLD LINENS, AND PIECE GOODS</t>
  </si>
  <si>
    <t>Bags, Bedding</t>
  </si>
  <si>
    <t>Bags, Flour</t>
  </si>
  <si>
    <t>Bedspread, (Including Dust Ruffles</t>
  </si>
  <si>
    <t>Blankets, Bedding, All Types</t>
  </si>
  <si>
    <t>Border Foam</t>
  </si>
  <si>
    <t>Braiding Material</t>
  </si>
  <si>
    <t>Cheesecloth</t>
  </si>
  <si>
    <t>Chemicals and Dyes, Textile</t>
  </si>
  <si>
    <t>Fabric, Yard Goods: Cotton</t>
  </si>
  <si>
    <t>Fabric, Yard Goods: Blends, Mixtures, and Synthetics</t>
  </si>
  <si>
    <t>Cloth, Oil</t>
  </si>
  <si>
    <t>Fabric, Sheeting: Muslin and Percale</t>
  </si>
  <si>
    <t>Fabric, Yard Goods: Wool</t>
  </si>
  <si>
    <t>Cotton Linters, Bales and Batts</t>
  </si>
  <si>
    <t>Cotton Staple, Bales and Batts</t>
  </si>
  <si>
    <t>Comforters and Quilts</t>
  </si>
  <si>
    <t>Diaper Cloth, Yard Goods</t>
  </si>
  <si>
    <t>Diapers, Cotton and Synthetic</t>
  </si>
  <si>
    <t>Duck, Canvas, Treated, Tent Cloth</t>
  </si>
  <si>
    <t>Duck, Canvas, Untreated</t>
  </si>
  <si>
    <t>Fabric, Yard Goods: Non-woven</t>
  </si>
  <si>
    <t>Fibers, Plant: Hemp, Cotton, Flax, Jute, Sisal, etc.</t>
  </si>
  <si>
    <t>Fur and Related Material Including Feathers</t>
  </si>
  <si>
    <t>Fabric: Coated and Impregnate, Not Ticking</t>
  </si>
  <si>
    <t>Furniture Covers and Scarves</t>
  </si>
  <si>
    <t>Hot Pads and Pot Holders</t>
  </si>
  <si>
    <t>Fabric, Yard Goods: Synthetic and Artificial (Not Otherwise Classified)</t>
  </si>
  <si>
    <t>Mattress Covers, Cotton or Vinyl</t>
  </si>
  <si>
    <t>Mattress Pads</t>
  </si>
  <si>
    <t>Mattress Protectors and Pillow Covers, Synthetic</t>
  </si>
  <si>
    <t>Mohair</t>
  </si>
  <si>
    <t>Pads, Furniture: Protective and Moving</t>
  </si>
  <si>
    <t>Pillows, All Types</t>
  </si>
  <si>
    <t>Sheets and Pillow Cases</t>
  </si>
  <si>
    <t>Shower Curtain, Duck</t>
  </si>
  <si>
    <t>Shower Curtain, Synthetic</t>
  </si>
  <si>
    <t>Fabric, Yard Goods: Silk</t>
  </si>
  <si>
    <t>Synthetic Textile Fibers: Nylon, Polyethylene, Rayon, etc.</t>
  </si>
  <si>
    <t>Table Linens</t>
  </si>
  <si>
    <t>Textile Mills</t>
  </si>
  <si>
    <t>Textiles, Scrap or Waste</t>
  </si>
  <si>
    <t>Ticking, Mattress and Pillow, Cotton</t>
  </si>
  <si>
    <t>Ticking, Mattress and Pillow, Synthetic and Waterproofed</t>
  </si>
  <si>
    <t>Toweling: Crash, Cup, Huck, and Terry, Including Dish Towels and Cloths</t>
  </si>
  <si>
    <t>Towels, Washcloths, and Bathmats, Huck and Terry</t>
  </si>
  <si>
    <t>Wool</t>
  </si>
  <si>
    <t>Recycled Textiles, Fibers, Household Linens and Piece Goods</t>
  </si>
  <si>
    <t>THEATRICAL EQUIPMENT AND SUPPLIES</t>
  </si>
  <si>
    <t>Costumes and Accessories</t>
  </si>
  <si>
    <t>Curtains, Cycloramas, Draperies, Drops, etc.</t>
  </si>
  <si>
    <t>Dance Floors, Portable</t>
  </si>
  <si>
    <t>Lifts, Orchestra, Theater Pit Area</t>
  </si>
  <si>
    <t>Lighting and Dimming Controls: Autotransformer Dimmers, Control Panels, Solid State Thyristor and Triac Dimmers, etc.</t>
  </si>
  <si>
    <t>Lighting Control Systems: Memory and Computer Microprocessor Type</t>
  </si>
  <si>
    <t>Lighting Distribution Hardware: Borderlight Cables, Pipe Battens, Plugging Strips and Boxes, Wall and Floor Pockets, etc.</t>
  </si>
  <si>
    <t>Lighting Instruments: Border and Cyclorama Strip lights, Follow Spotlights, Floodlights, Special Effects Lighting, Spotlights, etc.</t>
  </si>
  <si>
    <t>Lighting Systems, Complete</t>
  </si>
  <si>
    <t>Makeup</t>
  </si>
  <si>
    <t>Scenery and Props</t>
  </si>
  <si>
    <t>Sound Effects Equipment</t>
  </si>
  <si>
    <t>Stage Hardware and Supplies: Braces, Canvas, Clamps, Paints, etc.</t>
  </si>
  <si>
    <t>Standards, Portable, Ropes, For Theater Lobbies</t>
  </si>
  <si>
    <t>Stage Rigging and Tracks</t>
  </si>
  <si>
    <t>Stages, Theatre, All Types)</t>
  </si>
  <si>
    <t>Turnstiles, Theater</t>
  </si>
  <si>
    <t>Recycled Theatrical Equipment, Accessories and Supplies</t>
  </si>
  <si>
    <t>TICKETS, COUPON BOOKS, SALES BOOKS, STRIP BOOKS, ETC.</t>
  </si>
  <si>
    <t>Coupon Books</t>
  </si>
  <si>
    <t>Dispensing Machines and Collection Boxes for Tickets, etc.</t>
  </si>
  <si>
    <t>Sales Books</t>
  </si>
  <si>
    <t>Strip Books</t>
  </si>
  <si>
    <t>Tickets, Reserved Type</t>
  </si>
  <si>
    <t>Tickets, Roll Type</t>
  </si>
  <si>
    <t>Tickets, Spitter</t>
  </si>
  <si>
    <t>Recycled Tickets, Coupon Books, Sales Books and Strip Books</t>
  </si>
  <si>
    <t>TIRES AND TUBES, INCLUDING  RECAPPED AND RETREADED TIRES</t>
  </si>
  <si>
    <t>Tires and Tubes, Aircraft</t>
  </si>
  <si>
    <t>Tires and Tubes, Passenger Vehicles</t>
  </si>
  <si>
    <t>Tires and Tubes, Motorcycle</t>
  </si>
  <si>
    <t>Tires and Tubes, Light Trucks</t>
  </si>
  <si>
    <t>Tires and Tubes, Medium Truck and Bus</t>
  </si>
  <si>
    <t>Tires and Tubes, Off-Road Equipment</t>
  </si>
  <si>
    <t>Tires and Tubes, Farm Tractor and Implement</t>
  </si>
  <si>
    <t>Tires and Tubes, Industrial</t>
  </si>
  <si>
    <t>Tires and Tubes, Misc. (Not Otherwise Classified)</t>
  </si>
  <si>
    <t>Flaps and O-Rings, Tire</t>
  </si>
  <si>
    <t>Recapped and Retreaded Tires (See Class 928 if Recapping and Retreading Own Tires as a Service)</t>
  </si>
  <si>
    <t>Recycled Tires and Tubes</t>
  </si>
  <si>
    <t>TRAIN CONTROLS, ELECTRONIC</t>
  </si>
  <si>
    <t>Mainline Train Controls</t>
  </si>
  <si>
    <t>Mainline Sub-System Controls</t>
  </si>
  <si>
    <t>Miscellaneous Train Controls</t>
  </si>
  <si>
    <t>Operations Control Center</t>
  </si>
  <si>
    <t>Recycled Train Controls</t>
  </si>
  <si>
    <t>Vehicle Train Protection</t>
  </si>
  <si>
    <t>Vital Relays</t>
  </si>
  <si>
    <t>Yard Train Controls</t>
  </si>
  <si>
    <t>Yard Sub-System Controls</t>
  </si>
  <si>
    <t>TWINE AND STRING</t>
  </si>
  <si>
    <t>Cotton Twine</t>
  </si>
  <si>
    <t>Hay Baler Twine</t>
  </si>
  <si>
    <t>Hemp Twine</t>
  </si>
  <si>
    <t>Jute Twine</t>
  </si>
  <si>
    <t>Linen Twine</t>
  </si>
  <si>
    <t>Marline Twine</t>
  </si>
  <si>
    <t>Nylon Twine</t>
  </si>
  <si>
    <t>Polyester and Polypropylene Twine</t>
  </si>
  <si>
    <t>Seine Twine</t>
  </si>
  <si>
    <t>Sisal Twine, Including Binder Twine</t>
  </si>
  <si>
    <t>String, All Types: Kite, Mailing, Pull, etc.</t>
  </si>
  <si>
    <t>Recycled Twine and String</t>
  </si>
  <si>
    <t>VENETIAN BLINDS, AWNINGS, AND SHADES</t>
  </si>
  <si>
    <t>Awnings, Cloth</t>
  </si>
  <si>
    <t>Awnings, Metal and Wood</t>
  </si>
  <si>
    <t>Awnings, Vinyl</t>
  </si>
  <si>
    <t>Reflective Film, Solar Type Sun Screen</t>
  </si>
  <si>
    <t>Shade Screens, Louvered or Perforated</t>
  </si>
  <si>
    <t>Shutters, Inside and Outside Types</t>
  </si>
  <si>
    <t>Venetian Blinds Cord and Tape</t>
  </si>
  <si>
    <t>Venetian Blinds, Metal, Audio-Visual and Standard</t>
  </si>
  <si>
    <t>Venetian Blinds, Wood</t>
  </si>
  <si>
    <t>Vertical Blinds, All Types</t>
  </si>
  <si>
    <t>Wind Screens, Privacy Screens, etc.</t>
  </si>
  <si>
    <t>Window Shade Cloth</t>
  </si>
  <si>
    <t>Window Shades</t>
  </si>
  <si>
    <t>Recycled Awnings, Venetian and Vertical Blinds, and Shades</t>
  </si>
  <si>
    <t>VETERINARY EQUIPMENT AND SUPPLIES (SEE CLASS 325 FOR VITAMINS AND SUPPLEMENTS FOR ANIMALS)</t>
  </si>
  <si>
    <t>Anesthesia Equipment: Ventilators, etc., Veterinary</t>
  </si>
  <si>
    <t>Animal Control Equipment: Catching Poles, Muzzles, Restrainers, Shockers, etc.</t>
  </si>
  <si>
    <t>Animal Body Parts, Tissues, Body Fluids, etc., Veterinary</t>
  </si>
  <si>
    <t>Artificial Insemination Equipment, Semen Ejaculation, Freezing, Storage, and Use, Veterinary</t>
  </si>
  <si>
    <t>Dental Equipment and Supplies, Veterinary</t>
  </si>
  <si>
    <t>Diagnostic Equipment: Scopes, Speculums, etc., Veterinary</t>
  </si>
  <si>
    <t>Diagnostic Test Kits and Supplies, Veterinary</t>
  </si>
  <si>
    <t>Fat and Muscle Assay Equipment, Veterinary</t>
  </si>
  <si>
    <t>Flea, Tick and Insect Control Equipment and Supplies</t>
  </si>
  <si>
    <t>Frozen Semen, Veterinary</t>
  </si>
  <si>
    <t>Instruments, Surgical, Veterinary</t>
  </si>
  <si>
    <t>Operating Room Equipment, Veterinary</t>
  </si>
  <si>
    <t>Orthopedic Device, Veterinary</t>
  </si>
  <si>
    <t>Pharmaceuticals, Animal: Drugs, Vaccines, etc., Veterinary</t>
  </si>
  <si>
    <t>Pharmaceuticals, Marine Life: Drugs, Vaccines, etc., Veterinary</t>
  </si>
  <si>
    <t>Pregnancy Detection Equipment, Veterinary</t>
  </si>
  <si>
    <t>Repellants, Animal and Birds</t>
  </si>
  <si>
    <t>Surgical Supplies: Catheters, Gut, Needles, Syringes, etc., Veterinary.</t>
  </si>
  <si>
    <t>Thermometers, Veterinary</t>
  </si>
  <si>
    <t>Recycled Equipment and Supplies, Veterinary</t>
  </si>
  <si>
    <t>VISUAL EDUCATION EQUIPMENT AND SUPPLIES, (SEE CLASS 285 FOR PROJECTION LAMPS)</t>
  </si>
  <si>
    <t>Audio Visual Equipment and Supplies, (Not Otherwise Classified)</t>
  </si>
  <si>
    <t>Film Editing and Splicing Equipment and Supplies: Cement, Cleaner, Conditioner, Editors, Film Leader, Splicers, etc.</t>
  </si>
  <si>
    <t>Pointers: Projection Type, Hand-Held and Stationary, 110V AC and Battery Powered</t>
  </si>
  <si>
    <t>Previewers, Sorters, and Viewers: Filmstrips, Slides, etc., Not Projectors or Film Editors and Viewers</t>
  </si>
  <si>
    <t>Projectional Supplies: Acetate Sheets, Films, Photo-Reflex and Photo-Modifier Materials, etc.</t>
  </si>
  <si>
    <t>Projection Screens: Standard and Rear-Projection Types</t>
  </si>
  <si>
    <t>Projection Stands, Tables, etc.: Standard and Rear-Projection Types</t>
  </si>
  <si>
    <t>Projectors, Filmstrip, Standard Types Only; Carrying Cases; Parts, and Accessories</t>
  </si>
  <si>
    <t>Projectors, Motion Picture, Specialized Types Only: Film Loop Projectors, Rear-Projection Units, Repetitive Projectors, etc.</t>
  </si>
  <si>
    <t>Projectors, Motion Picture, Standard Type Only, Including Carrying Cases, Parts and Accessories</t>
  </si>
  <si>
    <t>Projectors, Opaque, Including Carrying Cases, Parts and Accessories, Epidiascopes</t>
  </si>
  <si>
    <t>Projectors, Overhead Transparency, Including Carrying Cases, Parts and Accessories</t>
  </si>
  <si>
    <t>Projectors, Slide, Standard Types Only, Including  Carrying Cases, Parts and Accessories</t>
  </si>
  <si>
    <t>Projectors: Combination Filmstrip-Slide Projectors, Rear-Projection Slide Units, Rear-Projection Filmstrip Units, LCD Projectors, (Not Otherwise Classified)</t>
  </si>
  <si>
    <t>Recycled Visual Education Equipment, Accessories and Supplies</t>
  </si>
  <si>
    <t>Shipping and Storage Accessories, For Films, Filmstrips, Slides, etc.: Cans, Carrying Cases, Cartridges, Reels, Shipping Cases, Slide Files and Trays, etc.</t>
  </si>
  <si>
    <t>Storage Cabinets, Visual Education Equipment and Supplies</t>
  </si>
  <si>
    <t>Tables, Light, Visual Education</t>
  </si>
  <si>
    <t>Transparencies (See Class 715 for Prepared Material)</t>
  </si>
  <si>
    <t>Transparency Equipment</t>
  </si>
  <si>
    <t>VOICE RESPONSE SYSTEMS</t>
  </si>
  <si>
    <t>*Audiotex Voice Response Systems</t>
  </si>
  <si>
    <t>*Auto Attendant Telephone Systems</t>
  </si>
  <si>
    <t>*Automatic Call Distribution (ACD) Systems</t>
  </si>
  <si>
    <t>*Computer Telephony Integration (CTI) Systems</t>
  </si>
  <si>
    <t>*Interactive Voice Response (IVR) Systems</t>
  </si>
  <si>
    <t>*Recycled Voice Response Systems, Accessories and Supplies</t>
  </si>
  <si>
    <t>*Telephone Switching (PBX) Systems</t>
  </si>
  <si>
    <t>*Voice Mail Systems</t>
  </si>
  <si>
    <t>WATER AND WASTEWATER TREATING CHEMICALS</t>
  </si>
  <si>
    <t>Activated Carbon and Filter Elements</t>
  </si>
  <si>
    <t>Agents, Curing</t>
  </si>
  <si>
    <t>Algae and Microbe Control Chemicals, Copper Sulfate, etc. (Inactive, please see commodity code 885-16 effective January 1, 2016)</t>
  </si>
  <si>
    <t>Algae and Microbe Control Chemicals, Air Conditioning and Cooling Water</t>
  </si>
  <si>
    <t>Antifoaming Agents</t>
  </si>
  <si>
    <t>Biological Maintainers, Bacteria, Enzymes, etc.</t>
  </si>
  <si>
    <t>Boiler Water Chemical Treating Compounds</t>
  </si>
  <si>
    <t>Carbon Based Chemicals and Compounds</t>
  </si>
  <si>
    <t>Chlorine, Liquefied</t>
  </si>
  <si>
    <t>Chlorinating and Oxidizing Agents: Bromohydantoins, Chloroisocyanurates, Hypochlorites, etc., Swimming Pool Disinfection</t>
  </si>
  <si>
    <t>Color Control Chemicals, Water</t>
  </si>
  <si>
    <t>Corrosion, Scale, and Sludge Control Chemicals: Alum, Amines, Morpholine, etc., Sodium Sulfite, etc.</t>
  </si>
  <si>
    <t>Counteractant and Degreaser, Odor</t>
  </si>
  <si>
    <t>Dechlorinating Agents, Sulfur Dioxide, etc.</t>
  </si>
  <si>
    <t>Descaling Compounds</t>
  </si>
  <si>
    <t>Disinfectants, Wastewater</t>
  </si>
  <si>
    <t>Disinfectant, Ozone, Laboratory and Clinical Baths</t>
  </si>
  <si>
    <t>Ferrous Sulfate and Ferrous Chloride</t>
  </si>
  <si>
    <t>Filter Aids: Diatomaceous Earth, Fuller's Earth, etc.</t>
  </si>
  <si>
    <t>Fluoride and Other Drinking Water Additives</t>
  </si>
  <si>
    <t>Hardness Control Chemicals: Chelating Agents, Phosphonates, Polyphosphates, Polymer Flocculants, etc.</t>
  </si>
  <si>
    <t>Nitrogen and Oxygen, Liquid</t>
  </si>
  <si>
    <t>Odor Control Chemicals, etc.</t>
  </si>
  <si>
    <t>Polymer Flocculants, Color, Thickening, Dewatering, Coagulant Aid, Not Hardness Control</t>
  </si>
  <si>
    <t>pH Control Chemicals: Caustic Soda, Lime, Muriatic Acid, Quicklime, Soda Ash, etc.</t>
  </si>
  <si>
    <t>Reagents, Buffer, Water Treatment</t>
  </si>
  <si>
    <t>Resins, Sodium Ion Exchange, Water Softening</t>
  </si>
  <si>
    <t>Sewer and Septic Treating Chemicals</t>
  </si>
  <si>
    <t>Sodium Hydroxide</t>
  </si>
  <si>
    <t>Stabilizers, Cyanuric Acid, etc.</t>
  </si>
  <si>
    <t>Water Treating Chemicals (Not Otherwise Classified)</t>
  </si>
  <si>
    <t>Water Testing Kits, Chlorine, Hardness, PH, etc.</t>
  </si>
  <si>
    <t>Recycled Water and Wastewater Treating Chemicals</t>
  </si>
  <si>
    <t>WATER SUPPLY, GROUNDWATER, SEWAGE TREATMENT, AND RELATED EQUIPMENT, NOT FOR AIR CONDITIONING, STEAM BOILER, OR LABORATORY REAGENT WATER</t>
  </si>
  <si>
    <t>Air Flotation Systems, Water Treatment Removal of Hydrocarbons</t>
  </si>
  <si>
    <t>Activated Carbon Systems, Equipment, and Absorbers</t>
  </si>
  <si>
    <t>Back Flow Preventers for Water and Sewer Pipe</t>
  </si>
  <si>
    <t>Bar and Trash Screen Equipment, Including Parts and Accessories</t>
  </si>
  <si>
    <t>Belt Filter Press, Including Parts and Accessories</t>
  </si>
  <si>
    <t>Bioroughing Systems, Including Parts and Accessories</t>
  </si>
  <si>
    <t>Centrifuges, Water Treatment</t>
  </si>
  <si>
    <t>Chlorination Equipment, Including Parts and Accessories</t>
  </si>
  <si>
    <t>Clarifiers and Settlers, Separators</t>
  </si>
  <si>
    <t>Complete Water Treatment Systems, Chemical</t>
  </si>
  <si>
    <t>Complete Water Treatment Systems, Nonchemical: Ultraviolet Water Supply Sterilization, etc.</t>
  </si>
  <si>
    <t>Contaminated Groundwater Treatment Equipment</t>
  </si>
  <si>
    <t>Crushers, Grinders, Size Reduction Equipment, etc.</t>
  </si>
  <si>
    <t>Demineralizers: Reverse Osmosis, etc.</t>
  </si>
  <si>
    <t>Desludging Equipment, Including Parts and Accessories</t>
  </si>
  <si>
    <t>Desalination Equipment, Water Treatment</t>
  </si>
  <si>
    <t>Elements, Primary, Flow, Pressure, Temperature, etc.</t>
  </si>
  <si>
    <t>Filtration Equipment, Water Including Parts and Accessories</t>
  </si>
  <si>
    <t>Fluoridation Equipment</t>
  </si>
  <si>
    <t>Incinerators, Sludge, Including Part and Accessories</t>
  </si>
  <si>
    <t>Instrumentation Equipment, Actuators, Analyzers, Regulators, Controllers, Transducers, etc., Including Parts and Accessories</t>
  </si>
  <si>
    <t>Manholes, and Manhole Covers, Frames, Grates, Rings, Yokes, etc.</t>
  </si>
  <si>
    <t>Manhole Risers, Steel Expandable</t>
  </si>
  <si>
    <t>Metal Finders and Detectors, Pipe Locators, etc.</t>
  </si>
  <si>
    <t>Meter Boxes, Meter Vaults, and Valve Boxes (See 210-45 for Concrete Type)</t>
  </si>
  <si>
    <t>Meters, Water</t>
  </si>
  <si>
    <t>Meter Fittings, Water, Including Parts and Accessories, and Conversion Kits</t>
  </si>
  <si>
    <t>Meter Reading Devices</t>
  </si>
  <si>
    <t>Mixing and Agitation Equipment</t>
  </si>
  <si>
    <t>Oil Skimming Equipment, Including Parts and Accessories</t>
  </si>
  <si>
    <t>Ozone and Oxygen Generating Equipment, Including Parts and Accessories</t>
  </si>
  <si>
    <t>Rings and Seals, Carbon, Turbine Shafts</t>
  </si>
  <si>
    <t>Root Cutting Equipment, Sewer Lines</t>
  </si>
  <si>
    <t>Removal Equipment, Water Treatment: Ammonia, Bacterial, Iron, Etc.</t>
  </si>
  <si>
    <t>Separation and Treatment Equipment, Oil/Water</t>
  </si>
  <si>
    <t>Sewer Analyzing, Monitoring, Probe and Related Equipment</t>
  </si>
  <si>
    <t>Sewer Inspection Equipment</t>
  </si>
  <si>
    <t>Sewage and Waste Treating Equipment and Supplies</t>
  </si>
  <si>
    <t>Sewer Lift Stations, Including Parts and Accessories</t>
  </si>
  <si>
    <t>Solvent, Chlorinated Recovery System</t>
  </si>
  <si>
    <t>Tags, Water Meter Removal</t>
  </si>
  <si>
    <t>Sumps, Parts, and Accessories (See 720-73 for Sump Pumps)</t>
  </si>
  <si>
    <t>Switches, Pressure, Flow, Level, Proximity, Temperature, etc.</t>
  </si>
  <si>
    <t>Tapping Machines and Equipment</t>
  </si>
  <si>
    <t>Transmitters, Pressure, Flow, Level, etc.</t>
  </si>
  <si>
    <t>Valve Operators, Including Parts and Accessories and Tools (See 515-82 for Lawn Sprinkler Type)</t>
  </si>
  <si>
    <t>Virus and Bacteria Inactivation, Ozone Type Equipment (See 493-05 for Airborne Type)</t>
  </si>
  <si>
    <t>Waste Water Reclamation Systems, Including Parts and Accessories</t>
  </si>
  <si>
    <t>Water Filters and Filter Elements, Except Boiler, Photographic Darkroom, and Swimming Pool: Cartridges, etc.</t>
  </si>
  <si>
    <t>Water and Wastewater Disinfecting Ozonators</t>
  </si>
  <si>
    <t>Water Leak Detection System, Including Chemicals, Dyes and Supplies</t>
  </si>
  <si>
    <t>Water Main Cleaning Equipment</t>
  </si>
  <si>
    <t>Water Screens and Parts, Traveling</t>
  </si>
  <si>
    <t>Water Purification Separators</t>
  </si>
  <si>
    <t>Water Odor Control Equipment</t>
  </si>
  <si>
    <t>Water Softening Equipment, Ion Exchange Type (Also See 670-92,93)</t>
  </si>
  <si>
    <t>Water Systems, Ultra Pure</t>
  </si>
  <si>
    <t>Water Treatment Equipment (Not Otherwise Classified)</t>
  </si>
  <si>
    <t>Water Rights (Inactive, effective January 1, 2016)</t>
  </si>
  <si>
    <t>Well Pointing Systems, Including Parts and Accessories</t>
  </si>
  <si>
    <t>Recycled Water Supply, Groundwater and Sewage Treatment Equipment, Including Parts and Accessories</t>
  </si>
  <si>
    <t>WELDING EQUIPMENT AND SUPPLIES</t>
  </si>
  <si>
    <t>Arc Welders, Air (Inactive, please see commodity code 895-20 effective January 1, 2016)</t>
  </si>
  <si>
    <t>Arc Welders, Electric Driven</t>
  </si>
  <si>
    <t>Arc Welders: Air, Electric Spot Welders, Engine Driven, Wire Self-Feeder</t>
  </si>
  <si>
    <t>Arc Welders, Wire, Self-Feeder (Inactive, please see commodity code 895-20 effective January 1, 2016)</t>
  </si>
  <si>
    <t>Electric Spot Welder (Inactive, please see commodity code 895-20 effective January 1, 2016)</t>
  </si>
  <si>
    <t>Electric Welding Torch, Flameless</t>
  </si>
  <si>
    <t>Fittings for Welding Equipment</t>
  </si>
  <si>
    <t>Gas Cylinder Carts, Industrial</t>
  </si>
  <si>
    <t>Welder, Gas Tungsten-Arc (TIG) and Specialized Accessories</t>
  </si>
  <si>
    <t>Welder, Gas Shielded Metal-Arc (MIG) and Specialized Accessories</t>
  </si>
  <si>
    <t>Welding Apparatus, Gas</t>
  </si>
  <si>
    <t>Welding Machines, Laser</t>
  </si>
  <si>
    <t>Welding Machines, Projection</t>
  </si>
  <si>
    <t>Torch, Cutting</t>
  </si>
  <si>
    <t>Welding Machines, Ultrasonic</t>
  </si>
  <si>
    <t>Welder/Soldering Unit, Refrigeration/Plumber Type, Single Tank, Complete</t>
  </si>
  <si>
    <t>Welding Accessories: Cutting Tips, Hammers, Hose, Inspection Shields, Lighters, Lighter Flints, Soapstone, Tip Cleaner, Tip Dip, etc.</t>
  </si>
  <si>
    <t>Welding Equipment and Supplies, Extrusion, Plastic</t>
  </si>
  <si>
    <t>Welding Safety Equipment</t>
  </si>
  <si>
    <t>Welding Goggles, Helmets, Chin Straps, and Face Shields  (Inactive, please see commodity code 895-72 effective January 1, 2016)</t>
  </si>
  <si>
    <t>Welding Electrodes, Flux, Rods, Wire, and Soldering Compounds</t>
  </si>
  <si>
    <t>Welding Electrode Oven</t>
  </si>
  <si>
    <t>Welding Safety Shields/Curtains/Partitions</t>
  </si>
  <si>
    <t>Welding and Brazing Tools, Including Plasma Cutters</t>
  </si>
  <si>
    <t>Refurbished Welding Equipment, Accessories, and Supplies</t>
  </si>
  <si>
    <t>X-RAY AND OTHER RADIOLOGICAL EQUIPMENT AND SUPPLIES, MEDICAL</t>
  </si>
  <si>
    <t>*Archiving System Hardware, Medical X-Ray Film</t>
  </si>
  <si>
    <t>Cassettes, Cassette Holders, Grids, and Intensifying Screens</t>
  </si>
  <si>
    <t>Chemicals, Developing and Processing</t>
  </si>
  <si>
    <t>Computerized Axial Tomography (CAT) Scanning Systems</t>
  </si>
  <si>
    <t>Computed Radiography Digitizing Equipment and Supplies</t>
  </si>
  <si>
    <t>Daylight Stampers or Identification Printers for Medical X-Ray Film</t>
  </si>
  <si>
    <t>Digital (filmless) Radiography Equipment and Supplies</t>
  </si>
  <si>
    <t>Film Developing and Processing Equipment, Except Dental: Automatic Processors, Safelights, etc., Including Wet Darkroom or Daylight Type</t>
  </si>
  <si>
    <t>Film, X-Ray, Including Dental</t>
  </si>
  <si>
    <t>Gamma Cameras</t>
  </si>
  <si>
    <t>Generators, X-Ray</t>
  </si>
  <si>
    <t>Illuminators, Film Viewing Devices</t>
  </si>
  <si>
    <t>Image Analysis Systems</t>
  </si>
  <si>
    <t>*Magnetic Resonance Imaging Systems and Accessories (MRI)</t>
  </si>
  <si>
    <t>Phantoms</t>
  </si>
  <si>
    <t>Radiation Measuring Equipment: Ionization Chambers, X-Ray Film Densitometers, etc.</t>
  </si>
  <si>
    <t>Radiation Monitoring Equipment and Shielding Materials: Badges, Dosimeters, Protective Aprons and Coats, etc. (See Also Class 490 and 593)</t>
  </si>
  <si>
    <t>Radiation Therapy Equipment, Nuclear: Cobalt Sources, Radioactive Implants, etc.</t>
  </si>
  <si>
    <t>Radiation Therapy Equipment and Accessories, X-Ray</t>
  </si>
  <si>
    <t>Radiography Examination Equipment and Accessories</t>
  </si>
  <si>
    <t>Recycled X-Ray and Radiological Equipment, Accessories and Supplies</t>
  </si>
  <si>
    <t>Radiological Furniture: Cabinets, Files, Tables, etc.</t>
  </si>
  <si>
    <t>Ultrasonic Imaging Systems: Echocardiographs, etc.</t>
  </si>
  <si>
    <t>Radiological Equipment and Accessories (Not Otherwise Classified)</t>
  </si>
  <si>
    <t>X-Ray Machines, Diagnostic, Except Dental, Including Parts and Accessories</t>
  </si>
  <si>
    <t>X-Ray Supplies: Film Hangers and Holders, Labels, Markers and Mounts</t>
  </si>
  <si>
    <t>AIRCRAFT AND AIRPORT OPERATIONS SERVICES</t>
  </si>
  <si>
    <t>Aerial Patrolling Services, Not Survey</t>
  </si>
  <si>
    <t>*Aerial Photogrammetry Services</t>
  </si>
  <si>
    <t>*Aerial Photography and Videography Services, Including Drones</t>
  </si>
  <si>
    <t>*Aerial Surveys and Mapping Services (See 962-52 for Standard Survey and Mapping Services)</t>
  </si>
  <si>
    <t>Aircraft Painting Services</t>
  </si>
  <si>
    <t>Aircraft Crash Removal Services</t>
  </si>
  <si>
    <t>Aircraft Washing, Waxing and Polishing Services</t>
  </si>
  <si>
    <t>Airplane and Helicopter Services (Not Otherwise Classified)</t>
  </si>
  <si>
    <t>Aircraft Refurbishing, Soundproofing, etc. Services</t>
  </si>
  <si>
    <t>Airplanes, Helicopters and Accessories Maintenance and Repair Services</t>
  </si>
  <si>
    <t>Airport Ground Handling Services</t>
  </si>
  <si>
    <t>Airport Runway Friction Testing Services</t>
  </si>
  <si>
    <t>Air Cargo Services: Developers, Operators, etc.</t>
  </si>
  <si>
    <t>Air Rescue and Transfer Services, Patients</t>
  </si>
  <si>
    <t>Air Traffic Control Services</t>
  </si>
  <si>
    <t>Aviation Analytical Studies Services, Including Surveys (See 918-12 for Consulting)</t>
  </si>
  <si>
    <t>Concessions, Airport: Art Gallery</t>
  </si>
  <si>
    <t>Concessions, Airport: Business Center</t>
  </si>
  <si>
    <t>Concessions, Airport: Currency Exchange</t>
  </si>
  <si>
    <t>Concessions, Airport: Food</t>
  </si>
  <si>
    <t>Concessions, Airport: Gift Shops, Specialties</t>
  </si>
  <si>
    <t>Concessions, Airport: Miscellaneous</t>
  </si>
  <si>
    <t>Concessions, Airport: Pay Telephone</t>
  </si>
  <si>
    <t>Deicing Fluid Recovery Services, Aircraft</t>
  </si>
  <si>
    <t>Dusting and Seeding Services, Crop, Aerial</t>
  </si>
  <si>
    <t>Falconry Services (See 910-59 for other Bird Proofing Services)</t>
  </si>
  <si>
    <t>*Paging System Services, Airport</t>
  </si>
  <si>
    <t>Pilot Training Services</t>
  </si>
  <si>
    <t>Radio Frequency Access Services</t>
  </si>
  <si>
    <t>Removal of Rubber Deposits from Runways</t>
  </si>
  <si>
    <t>Runway Grooving Services, Airport</t>
  </si>
  <si>
    <t>Runway Services (Not Otherwise Classified)</t>
  </si>
  <si>
    <t>Security Screening Services, Personnel</t>
  </si>
  <si>
    <t>Signage Services, Aircraft and Airport</t>
  </si>
  <si>
    <t>Storage Space Services, Not Building Lease, Aircraft</t>
  </si>
  <si>
    <t>Spacecraft Cargo Transport Services</t>
  </si>
  <si>
    <t>Spacecraft Services (Not Otherwise Classified)</t>
  </si>
  <si>
    <t>Traveler's Assistance Services</t>
  </si>
  <si>
    <t>Waste Disposal Services, Aircraft</t>
  </si>
  <si>
    <t>ARCHITECTURAL SERVICES, PROFESSIONAL</t>
  </si>
  <si>
    <t>Acoustics, Noise Abatement, Architectural Services</t>
  </si>
  <si>
    <t>Agricultural Development, Architectural Services</t>
  </si>
  <si>
    <t>Airports, Lighting, Fueling, Navaids, Architectural Services</t>
  </si>
  <si>
    <t>Architect Services, Professional, (Not Otherwise Classified), Including Consulting</t>
  </si>
  <si>
    <t>Automation; Controls; Instrumentation, Architectural Services</t>
  </si>
  <si>
    <t>Buildings, Architectural Design Services</t>
  </si>
  <si>
    <t>Building Sanitation, Architectural Services</t>
  </si>
  <si>
    <t>Cemeteries, Planning and Relocation, Architectural Services</t>
  </si>
  <si>
    <t>Chemical Processing and Storage, Architectural Services</t>
  </si>
  <si>
    <t>Cold Storage; Refrigeration; Fast Freeze, Architectural Services</t>
  </si>
  <si>
    <t>Concrete, Architectural Services</t>
  </si>
  <si>
    <t>Corrosion Control; Cathodic Protection; Electrolysis, Architectural Services</t>
  </si>
  <si>
    <t>Desalinization, Process and Facilities, Architectural Services</t>
  </si>
  <si>
    <t>Design Build, Architectural Services (Inactive, effective January 1, 2016)</t>
  </si>
  <si>
    <t>Electronics, Architectural Services</t>
  </si>
  <si>
    <t>Energy Management, Architectural Services</t>
  </si>
  <si>
    <t>Energy Conservation; New Energy Sources, Solar, etc., Architectural Services</t>
  </si>
  <si>
    <t>Environmental and Energy, Architectural Services</t>
  </si>
  <si>
    <t>Fire Protection, Architectural Services</t>
  </si>
  <si>
    <t>Fisheries; Fish Ladders, Architectural Services</t>
  </si>
  <si>
    <t>Forensic, Architectural Services</t>
  </si>
  <si>
    <t>Freight Handling; Materials Handling, Architectural Services</t>
  </si>
  <si>
    <t>Gas Systems, Propane, Natural, etc., Architectural Services</t>
  </si>
  <si>
    <t>General Construction, Architectural Services</t>
  </si>
  <si>
    <t>Graphic Design, Architectural Services</t>
  </si>
  <si>
    <t>Harbors; Jetties; Piers; Ship Terminal Facilities, Architectural Services</t>
  </si>
  <si>
    <t>Heating; Ventilating; Air Conditioning, Architectural Services</t>
  </si>
  <si>
    <t>Highways; Streets; Airport Pay-Parking Lots, Architectural Services</t>
  </si>
  <si>
    <t>Historical Preservation</t>
  </si>
  <si>
    <t>Industrial Processes; Quality Control (Inactive, effective January 1, 2016)</t>
  </si>
  <si>
    <t>Interior Design, Decorating, Space Planning, Exhibits and Displays</t>
  </si>
  <si>
    <t>Irrigation; Drainage; Flood Control, Architectural Services</t>
  </si>
  <si>
    <t>Landscape, Architectural Services</t>
  </si>
  <si>
    <t>Land Development and Planning, Architectural Services</t>
  </si>
  <si>
    <t>Lighting, Interior, Exterior, Architectural Services</t>
  </si>
  <si>
    <t>Mining and Mineralogy, Architectural Services</t>
  </si>
  <si>
    <t>Models of Layouts and Buildings to Scale, Architectural Services</t>
  </si>
  <si>
    <t>Petroleum and Fuel, Storage and Distribution, Architectural Services</t>
  </si>
  <si>
    <t>Planning, Urban, Community, Regional, Area wide, and State</t>
  </si>
  <si>
    <t>Planning, Site, Installation and Project</t>
  </si>
  <si>
    <t>Power Generation, Transmission, Distribution, Architectural Services</t>
  </si>
  <si>
    <t>Correctional Facilities, Architectural Design Services</t>
  </si>
  <si>
    <t>Railroad; Rapid Transit; Monorail, Architectural Services</t>
  </si>
  <si>
    <t>Recreation Facilities, Parks, Marinas, etc., Architectural Services</t>
  </si>
  <si>
    <t>Recycling Systems, Architectural Services</t>
  </si>
  <si>
    <t>Security Systems; Intruder and Smoke Detection, Architectural Services</t>
  </si>
  <si>
    <t>Sewage Collection, Treatment, and Disposal, Architectural Services</t>
  </si>
  <si>
    <t>Solid Waste Disposal Systems, Architectural Services</t>
  </si>
  <si>
    <t>Sports Facility, Architectural Services</t>
  </si>
  <si>
    <t>*Telecommunications Systems, Telephone, Cellular, Radio, etc., Architectural Services</t>
  </si>
  <si>
    <t>Towers, Architectural Services</t>
  </si>
  <si>
    <t>Tunnels and Subways, Architectural Services</t>
  </si>
  <si>
    <t>Utilities, Gas, Steam, Electric, Architectural Services</t>
  </si>
  <si>
    <t>Video and Audio Systems Design, Architectural Services (Inactive, please see commodity code 906-26 effective January 1, 2016)</t>
  </si>
  <si>
    <t>Water Supply, Treatment and Distribution, Architectural Services</t>
  </si>
  <si>
    <t>ARCHITECTURAL AND ENGINEERING SERVICES, NON-PROFESSIONAL</t>
  </si>
  <si>
    <t>Architectural Services, Non-Licensed (Not Otherwise Classified)</t>
  </si>
  <si>
    <t>*Communications Systems; TV, Microwave, Telephone, Computer, Network</t>
  </si>
  <si>
    <t>*Design Services</t>
  </si>
  <si>
    <t>Drafting Services</t>
  </si>
  <si>
    <t>*Engineering Services, Non-Licensed (Not Otherwise Classified), Including Consulting</t>
  </si>
  <si>
    <t>Geotechnical - Soils</t>
  </si>
  <si>
    <t>Safety Engineering and Accident Studies; OSHA Studies</t>
  </si>
  <si>
    <t>*Site Assessment and Site Field Observation</t>
  </si>
  <si>
    <t>*Testing Services</t>
  </si>
  <si>
    <t>BOOKBINDING AND REPAIRING SERVICES</t>
  </si>
  <si>
    <t>Bookbinding Services, Custom</t>
  </si>
  <si>
    <t>Bookbinding Services, Glued or Paste Type</t>
  </si>
  <si>
    <t>Bookbinding Services, Perfect, Paperback Book Type</t>
  </si>
  <si>
    <t>Bookbinding Services, Saddle Stitched</t>
  </si>
  <si>
    <t>Bookbinding Services, Sewed Cross Stitched, Library Quality, Rebinding, and Repairing: Library Books, Text Books, etc.</t>
  </si>
  <si>
    <t>Bookbinding, Spiral</t>
  </si>
  <si>
    <t>Headbands Installed</t>
  </si>
  <si>
    <t>Magazine Binding, Sewed, Rebinding, and Repairing</t>
  </si>
  <si>
    <t>Manuscript Binding, Sewed</t>
  </si>
  <si>
    <t>Newspaper Binding, Sewed, Rebinding, and Repairing</t>
  </si>
  <si>
    <t>Special Work and Repairing: Special Treatment of Rare Volumes, Rebacking of Old Volumes, etc.</t>
  </si>
  <si>
    <t>Thesis Binding, Sewed</t>
  </si>
  <si>
    <t>BUILDING CONSTRUCTION SERVICES, NEW, INCLUDING MAINTENANCE AND REPAIR SERVICES</t>
  </si>
  <si>
    <t>Administration of Contracts: Summary of Work, Quality Control, Project Closeout, etc.</t>
  </si>
  <si>
    <t>Airport Facility Construction</t>
  </si>
  <si>
    <t>Airport Facility Maintenance and Repair</t>
  </si>
  <si>
    <t>Athletic Facility Construction</t>
  </si>
  <si>
    <t>Athletic Facility Maintenance and Repair</t>
  </si>
  <si>
    <t>Building Construction, Industrial, Warehouse, etc.</t>
  </si>
  <si>
    <t>Building Construction, Non-Residential, Office Bldg., etc.</t>
  </si>
  <si>
    <t>Building Construction, Residential, Apartments, etc.</t>
  </si>
  <si>
    <t>Building Construction, Commercial and Institutional</t>
  </si>
  <si>
    <t>Building Construction, Prefabricated, All Types</t>
  </si>
  <si>
    <t>Building Construction, Agricultural</t>
  </si>
  <si>
    <t>Building Construction, Educational</t>
  </si>
  <si>
    <t>Building Construction, Medical</t>
  </si>
  <si>
    <t>Building Construction, Religious</t>
  </si>
  <si>
    <t>Building Construction, (Not Otherwise Classified)</t>
  </si>
  <si>
    <t>Building Construction, Sustainable, Green</t>
  </si>
  <si>
    <t>Contractor Compliance Monitoring Services</t>
  </si>
  <si>
    <t>Conveying Systems: Elevators, Lifts, etc.</t>
  </si>
  <si>
    <t>Finishes, Flooring, Wall and Ceiling, etc.</t>
  </si>
  <si>
    <t>Furnishings: Artwork, Cabinets, Furniture, Window Treatments, etc.</t>
  </si>
  <si>
    <t>Home Construction, Single Family</t>
  </si>
  <si>
    <t>Land Development and Sub-Division Services</t>
  </si>
  <si>
    <t>Maintenance and Repair, Industrial Building</t>
  </si>
  <si>
    <t>Maintenance and Repair, Non-Residential Building</t>
  </si>
  <si>
    <t>Maintenance and Repair, Residential Buildings, Including Single Family Homes and Apartments</t>
  </si>
  <si>
    <t>Maintenance and Repair, Commercial and Institutional Building</t>
  </si>
  <si>
    <t>Maintenance and Repair, Agricultural Building</t>
  </si>
  <si>
    <t>Maintenance and Repair, Educational Building</t>
  </si>
  <si>
    <t>Maintenance and Repair, Medical Building</t>
  </si>
  <si>
    <t>Maintenance and Repair, Religious Building</t>
  </si>
  <si>
    <t>Site Clean-up, Pre-Contruction</t>
  </si>
  <si>
    <t>Site Clean-up, Post-Construction</t>
  </si>
  <si>
    <t>Site Work</t>
  </si>
  <si>
    <t>Special Construction: Observatory, Security, Special Rooms, etc.</t>
  </si>
  <si>
    <t>Specialties: Chalkboards, Fireplace, Storage, etc.</t>
  </si>
  <si>
    <t>Special Equipment: Bank Vaults, Darkrooms, etc.</t>
  </si>
  <si>
    <t>Thermal and Moisture Protection Services</t>
  </si>
  <si>
    <t>BUILDING MAINTENANCE, INSTALLATION AND REPAIR SERVICES</t>
  </si>
  <si>
    <t>Acoustical Ceilings and Walls: Cleaning, Installation, Restoration, Maintenance and Repair Services, Including Panel Wall Systems</t>
  </si>
  <si>
    <t>Background Music Maintenance and Repair Services</t>
  </si>
  <si>
    <t>Building Cleaning Services, Exterior</t>
  </si>
  <si>
    <t>Air Duct Cleaning Services</t>
  </si>
  <si>
    <t>Building and House Leveling Services</t>
  </si>
  <si>
    <t>Carpentry Maintenance and Repair Services</t>
  </si>
  <si>
    <t>Chute Installation Services</t>
  </si>
  <si>
    <t>Concrete Raising and Undersealing Services</t>
  </si>
  <si>
    <t>Carpet Cleaning, Dyeing, Installation and Repair Services</t>
  </si>
  <si>
    <t>Chimney Installation, Maintenance and Repair Services</t>
  </si>
  <si>
    <t>Drapery and Curtain Installation, Maintenance and Repair Services</t>
  </si>
  <si>
    <t>Drapery and Curtain Fabrication Services</t>
  </si>
  <si>
    <t>Elevator Installation, Maintenance, Repair and Inspection Services</t>
  </si>
  <si>
    <t>Door Installation, Metal, Maintenance and Repair Services</t>
  </si>
  <si>
    <t>Door Installation, Wood, Maintenance and Repair Services</t>
  </si>
  <si>
    <t>Energy Conservation Services, Including Audits</t>
  </si>
  <si>
    <t>Energy Computerized Control System, HVAC, Lighting, Utilities, etc., Installation, Maintenance and Repair Services</t>
  </si>
  <si>
    <t>Energy Systems, Solar, Installation Services (Inactive, please see commodity code 939-38 effective January 1, 2016)</t>
  </si>
  <si>
    <t>Escalator and Moving Walkway, Installation, Maintenance and Repair Services</t>
  </si>
  <si>
    <t>Fireproofing Services, Spray-On Type</t>
  </si>
  <si>
    <t>Firestop Systems, Including Installation and Fireproofing Services</t>
  </si>
  <si>
    <t>Fire and or Water Damage Restoration Services</t>
  </si>
  <si>
    <t>Flooring Maintenance and Repair, Including Refinishing and Sealing Services</t>
  </si>
  <si>
    <t>Furnace Maintenance and Repair Services</t>
  </si>
  <si>
    <t>Garbage and Trash Removal, Disposal and or Treatment Services</t>
  </si>
  <si>
    <t>Glass Replacement, Maintenance and Repair Services</t>
  </si>
  <si>
    <t>Heating, Air Conditioning, and Ventilation Maintenance, Repair and Installation Services</t>
  </si>
  <si>
    <t>Incinerator Maintenance and Repair Services</t>
  </si>
  <si>
    <t>Insulation and Asbestos Installation, Maintenance, Repair and Removal Services, Including Spray-On Insulation</t>
  </si>
  <si>
    <t>Janitorial and Custodial Services</t>
  </si>
  <si>
    <t>Inspection, Monitoring of Insulation and Asbestos Installation and Removal Services</t>
  </si>
  <si>
    <t>Kitchen and Bathroom Fixture Repair Services, Not Plumbing: Bathtubs, Sinks, Cabinets, Counter Tops, etc.</t>
  </si>
  <si>
    <t>Lathing and Plastering Maintenance and Repair Services</t>
  </si>
  <si>
    <t>Lead Poisoning Control and Reduction</t>
  </si>
  <si>
    <t>Lead Abatement Services</t>
  </si>
  <si>
    <t>Locksmith Services</t>
  </si>
  <si>
    <t>Loading Dock and Associated Accessories Maintenance and Repair Services</t>
  </si>
  <si>
    <t>Masonry, Concrete, and Stucco Maintenance, Finishing, and Repair Services Including Inside Concrete Sawing and Grouting Work</t>
  </si>
  <si>
    <t>Maintenance and Repair Services, Building (Not Otherwise Classified)</t>
  </si>
  <si>
    <t>Metal Work Maintenance and Repair Services, Including Metal Refinishing Services</t>
  </si>
  <si>
    <t>Painting, Maintenance and Repair Services, Including Caulking</t>
  </si>
  <si>
    <t>Overhead Door Installation, Maintenance, and Repair Services</t>
  </si>
  <si>
    <t>Panel Wall Systems Installation, Maintenance and Repair Services</t>
  </si>
  <si>
    <t>Pest Control Services: Termite Inspection and Control, Bird Proofing, Animal Trapping, Rodent Control, Exterminating and Fumigation</t>
  </si>
  <si>
    <t>Plumbing Maintenance and Repair Services: Pressure Tapping Services, Pipe Freezes, Toilets, etc.</t>
  </si>
  <si>
    <t>Plant Maintenance Services , Indoor</t>
  </si>
  <si>
    <t>Protection of Building, Weather or Vandalism</t>
  </si>
  <si>
    <t>Public Utilities: Water, Sewer and Gas Maintenance and Repair Services</t>
  </si>
  <si>
    <t>Relocation, Building</t>
  </si>
  <si>
    <t>Remodeling and Alteration Services</t>
  </si>
  <si>
    <t>Roofing, Gutters, and Downspouts Maintenance and Repair Services</t>
  </si>
  <si>
    <t>Security Lock-Bar Installation, Maintenance and Repair Services</t>
  </si>
  <si>
    <t>Septic Tank Maintenance and Repair Services, Including Absorption and Leach Field Construction</t>
  </si>
  <si>
    <t>Shelters, Carports, Portable Buildings, etc. Maintenance and Repair Services</t>
  </si>
  <si>
    <t>Sludge Removal Services, Building, Including Grease Trap Cleaning</t>
  </si>
  <si>
    <t>Shoring and Reinforcement Services</t>
  </si>
  <si>
    <t>Tinting Services, Window</t>
  </si>
  <si>
    <t>Tile and Stone Restoration, Refurbishing, Maintenance and Repair Services: Granite, Marble, and Terrazzo</t>
  </si>
  <si>
    <t>Wallpapering Services, Including Maintenance and Repair Services</t>
  </si>
  <si>
    <t>Wall and Ceiling Maintenance, Repair and Replacement Services, Including Drywalling</t>
  </si>
  <si>
    <t>Welding Maintenance and Repair Services: Brazing, Casting, and Soldering</t>
  </si>
  <si>
    <t>Water Purification and Softening Services</t>
  </si>
  <si>
    <t>Weatherization, Weather and Waterproofing Maintenance and Repair Services</t>
  </si>
  <si>
    <t>Windows, Metal, Installation, Maintenance and Repair Services</t>
  </si>
  <si>
    <t>Windows, Wood,  Installation, Maintenance, and Repair Services</t>
  </si>
  <si>
    <t>Window Washing Services</t>
  </si>
  <si>
    <t>Wiring and Other Electrical Maintenance and Repair Services</t>
  </si>
  <si>
    <t>Sandblasting Services, Buildings (See 968-67 for All Other Types)</t>
  </si>
  <si>
    <t>Shutter Installation, Maintenance and Repair Services</t>
  </si>
  <si>
    <t>Skylight Installation Services</t>
  </si>
  <si>
    <t>Siding Installation and Repair Services</t>
  </si>
  <si>
    <t>CONSTRUCTION AND UTILITIES, HIGHER EDUCATION</t>
  </si>
  <si>
    <t>C.I.P., Advertising</t>
  </si>
  <si>
    <t>C.I.P., A/E Miscellaneous</t>
  </si>
  <si>
    <t>C.I.P., Archeological and Environment Surveys</t>
  </si>
  <si>
    <t>C.I.P., Architect/Engineer Extra Services</t>
  </si>
  <si>
    <t>C.I.P., Archeological</t>
  </si>
  <si>
    <t>C.I.P., Architectural and Engineering Services</t>
  </si>
  <si>
    <t>C.I.P., Asbestos</t>
  </si>
  <si>
    <t>C.I.P., Audio Visual Equipment, Capital</t>
  </si>
  <si>
    <t>C.I.P., Audio Visual Equipment, Expense</t>
  </si>
  <si>
    <t>C.I.P., Building Studies</t>
  </si>
  <si>
    <t>C.I.P., Commissioning</t>
  </si>
  <si>
    <t>C.I.P., Construction Contingency</t>
  </si>
  <si>
    <t>C.I.P., Construction and Rehabilitation, Other than Buildings</t>
  </si>
  <si>
    <t>C.I.P., Construction and Rehabilitation, Buildings</t>
  </si>
  <si>
    <t>C.I.P., Construction, Roads</t>
  </si>
  <si>
    <t>C.I.P., Construction Testing</t>
  </si>
  <si>
    <t>C.I.P., Cost Estimate Verification</t>
  </si>
  <si>
    <t>C.I.P., Demolition Contingency</t>
  </si>
  <si>
    <t>C.I.P., Demolition Contract</t>
  </si>
  <si>
    <t>C.I.P., Endangered Species</t>
  </si>
  <si>
    <t>C.I.P., Energy Management System</t>
  </si>
  <si>
    <t>C.I.P., Environmental Factors</t>
  </si>
  <si>
    <t>C.I.P., Equipment, Capitalized</t>
  </si>
  <si>
    <t>C.I.P., Equipment, Controlled</t>
  </si>
  <si>
    <t>C.I.P., Equipment, Expensed</t>
  </si>
  <si>
    <t>C.I.P., Fabrication of Equipment</t>
  </si>
  <si>
    <t>C.I.P., Fiber optics</t>
  </si>
  <si>
    <t>C.I.P., Fire Alarm System</t>
  </si>
  <si>
    <t>C.I.P., Hazardous Materials</t>
  </si>
  <si>
    <t>C.I.P., HVAC Balancing Services</t>
  </si>
  <si>
    <t>C.I.P., Land Surveying Services</t>
  </si>
  <si>
    <t>C.I.P., Landscaping</t>
  </si>
  <si>
    <t>C.I.P., Movable Furnishings</t>
  </si>
  <si>
    <t>C.I.P., Movable Furnishings Contingency</t>
  </si>
  <si>
    <t>C.I.P., Other Services</t>
  </si>
  <si>
    <t>C.I.P., Preconstruction Reimbursable</t>
  </si>
  <si>
    <t>C.I.P., Preconstruction Services</t>
  </si>
  <si>
    <t>C.I.P., Program of Requirements</t>
  </si>
  <si>
    <t>C.I.P., Project Management and Administration, Move Furniture</t>
  </si>
  <si>
    <t>C.I.P., Project Management and Administration</t>
  </si>
  <si>
    <t>C.I.P., Project Management and Administration Surveys</t>
  </si>
  <si>
    <t>C.I.P., Security System</t>
  </si>
  <si>
    <t>C.I.P., Site Evaluation Analysis</t>
  </si>
  <si>
    <t>C.I.P., Soil Investigation</t>
  </si>
  <si>
    <t>C.I.P., Special Consultants</t>
  </si>
  <si>
    <t>C.I.P., Utilities</t>
  </si>
  <si>
    <t>C.I.P., Wind Tunnel Testing</t>
  </si>
  <si>
    <t>Capitalized Construction Interest</t>
  </si>
  <si>
    <t>Design / Bid Contingency</t>
  </si>
  <si>
    <t>Domestic Hot Water</t>
  </si>
  <si>
    <t>Electricity Contracts</t>
  </si>
  <si>
    <t>Facilities and Other Improvements</t>
  </si>
  <si>
    <t>Gas Contracts</t>
  </si>
  <si>
    <t>Heat</t>
  </si>
  <si>
    <t>Heavy Construction Resold to Departments</t>
  </si>
  <si>
    <t>Special Trade Construction, Power Plant</t>
  </si>
  <si>
    <t>Steam</t>
  </si>
  <si>
    <t>Storm Drainage</t>
  </si>
  <si>
    <t>Waived Utility Expense.</t>
  </si>
  <si>
    <t>CONSTRUCTION SERVICES, GENERAL, INCLUDING MAINTENANCE AND REPAIR SERVICES)</t>
  </si>
  <si>
    <t>Boring, Drilling, Testing, and Soundings Services, Including Concrete Coring</t>
  </si>
  <si>
    <t>Clearing and Grubbing Services</t>
  </si>
  <si>
    <t>Construction, Fire Protection: Fire Escapes, Fire and Smoke Barriers, Firestops</t>
  </si>
  <si>
    <t>Construction, Energy Related, All Types</t>
  </si>
  <si>
    <t>Construction, Equestrian Arena</t>
  </si>
  <si>
    <t>Construction, General: Backfill Services, Digging, Ditching, Road Grading, Rock Stabilization, etc.</t>
  </si>
  <si>
    <t>Construction, Golf Course</t>
  </si>
  <si>
    <t>Construction, Hike and Bike Trail</t>
  </si>
  <si>
    <t>Construction, Irrigation System</t>
  </si>
  <si>
    <t>Construction, Oil and Gas Refinery</t>
  </si>
  <si>
    <t>Construction, Power Plant</t>
  </si>
  <si>
    <t>Construction, Statues and Monuments</t>
  </si>
  <si>
    <t>Construction, Street Lighting</t>
  </si>
  <si>
    <t>Construction, Swimming Pool</t>
  </si>
  <si>
    <t>Construction, Tennis and Sports Court</t>
  </si>
  <si>
    <t>Construction Services, Hazardous Waste, Including Site Management</t>
  </si>
  <si>
    <t>Demolition Services</t>
  </si>
  <si>
    <t>Drilling and Boring Services, Horizontal Directional (HDD and HDB)</t>
  </si>
  <si>
    <t>Excavation Services</t>
  </si>
  <si>
    <t>Maintenance and Repair, Golf Course</t>
  </si>
  <si>
    <t>Maintenance and Repair, Hike and Bike Trails</t>
  </si>
  <si>
    <t>Maintenance and Repair, Oil and Gas Refinery</t>
  </si>
  <si>
    <t>Maintenance and Repair, Power Plant</t>
  </si>
  <si>
    <t>Maintenance and Repair, Statues and Monuments</t>
  </si>
  <si>
    <t>Maintenance and Repair, Street Lighting</t>
  </si>
  <si>
    <t>Maintenance and Repair, Swimming Pool, Including, Swimming Pool Water Treatment Services</t>
  </si>
  <si>
    <t>Maintenance and Repair, Tennis and Sport Court</t>
  </si>
  <si>
    <t>Monitoring Services, Structural</t>
  </si>
  <si>
    <t>Paver Block Installation</t>
  </si>
  <si>
    <t>Quality Control Testing Services for Construction</t>
  </si>
  <si>
    <t>Striping: Streets, Parking Facilities, Lane Divisions, Paint, etc.</t>
  </si>
  <si>
    <t>Real Estate Developers (Inactive, please see commodity code 918-89 effective January 1, 2016)</t>
  </si>
  <si>
    <t>CONSTRUCTION SERVICES, HEAVY, INCLUDING MAINTENANCE AND REPAIR SERVICES</t>
  </si>
  <si>
    <t>Construction: Airport Roadway, Runway and Taxiway</t>
  </si>
  <si>
    <t>Construction, Bridge and Drawbridge, Including Reconstruction and Rehabilitation</t>
  </si>
  <si>
    <t>Construction, Canal or Aquaduct</t>
  </si>
  <si>
    <t>Construction, Communication Equipment, Including Antenna Towers</t>
  </si>
  <si>
    <t>Construction, Curb and Gutter, Including Maintenance, Repair, and Removal Services</t>
  </si>
  <si>
    <t>Construction, Defense and Military Structure</t>
  </si>
  <si>
    <t>Construction, Highway and Road</t>
  </si>
  <si>
    <t>Construction, Industrial Pipeline Insulation, Including Maintenance, Repair and Installation</t>
  </si>
  <si>
    <t>Construction, Parking Lot and Alley</t>
  </si>
  <si>
    <t>Construction, Chilled Water Pipe Installation</t>
  </si>
  <si>
    <t>Construction, Pipe Culvert</t>
  </si>
  <si>
    <t>Construction, Pipeline, Including Aerial Crossings</t>
  </si>
  <si>
    <t>Construction, Power Lines, Including Installation, Maintenance and Repair Services</t>
  </si>
  <si>
    <t>Construction, Railroad</t>
  </si>
  <si>
    <t>Construction, Sewer and Storm Drain</t>
  </si>
  <si>
    <t>Construction, Sidewalk and Driveway, Including Pedestrian and Handicap Ramps</t>
  </si>
  <si>
    <t>Construction, Special Foundation</t>
  </si>
  <si>
    <t>Construction, Streets, Major and Residential, Including Reconstruction</t>
  </si>
  <si>
    <t>Construction, Tunnel</t>
  </si>
  <si>
    <t>Construction, Utility and Underground Projects</t>
  </si>
  <si>
    <t>Construction, Vaulted Sidewalk</t>
  </si>
  <si>
    <t>Construction, Viaduct (Includes Reconstruction)</t>
  </si>
  <si>
    <t>Construction and Upgrades, Wastewater Treatment Plant</t>
  </si>
  <si>
    <t>Construction, Water System, Plants, Main and Service Line</t>
  </si>
  <si>
    <t>Construction, Vertical, Concrete, Pour-In-Place, Form, Place, Finish</t>
  </si>
  <si>
    <t>Construction, Concrete, Pour-In-Place, Form, Place, Finish</t>
  </si>
  <si>
    <t>Lime Slurry Removal Services</t>
  </si>
  <si>
    <t>Maintenance and Repair: Airport Roadway, Runway and Taxiway</t>
  </si>
  <si>
    <t>Maintenance, Repair, and Removal Services, Antenna Tower and other Communication Equipment</t>
  </si>
  <si>
    <t>Maintenance and Repair, Bridges</t>
  </si>
  <si>
    <t>Maintenance, Repair, and Operation of Drawbridges</t>
  </si>
  <si>
    <t>Maintenance and Repair, Canal</t>
  </si>
  <si>
    <t>Maintenance and Repair, Defense and Military Structure</t>
  </si>
  <si>
    <t>Maintenance and Repair, Highway and Roads, Including Removal of Asphalt, Concrete, Bitumens, etc.</t>
  </si>
  <si>
    <t>Maintenance and Repair, Parking Lot and Alley</t>
  </si>
  <si>
    <t>Maintenance and Repair, Pipe Culvert</t>
  </si>
  <si>
    <t>Maintenance and Repair, Pipeline, Including  Removal and Relocation</t>
  </si>
  <si>
    <t>Maintenance and Repair, Sewer and Storm Drain, Including Removal</t>
  </si>
  <si>
    <t>Maintenance and Repair, Sidewalk and Driveway, Including Removal</t>
  </si>
  <si>
    <t>Maintenance and Repair, Streets, Major and Residential</t>
  </si>
  <si>
    <t>Maintenance and Repair, Tunnel</t>
  </si>
  <si>
    <t>Maintenance and Repair, Utility and Underground Projects</t>
  </si>
  <si>
    <t>Maintenance and Repair, Viaduct</t>
  </si>
  <si>
    <t>Maintenance and Repair, Wastewater Treatment Plant</t>
  </si>
  <si>
    <t>Maintenance and Repair, Water System, Main and Service Line</t>
  </si>
  <si>
    <t>Paving and Resurfacing, Alley and Parking Lot</t>
  </si>
  <si>
    <t>Paving and Resurfacing, Highway and Road</t>
  </si>
  <si>
    <t>Paving and Resurfacing, Streets, Major and Residential</t>
  </si>
  <si>
    <t>CONSTRUCTION SERVICES, TRADES, NEW CONSTRUCTION</t>
  </si>
  <si>
    <t>*Building Documentation Services</t>
  </si>
  <si>
    <t>Carpentry</t>
  </si>
  <si>
    <t>Cleaning, Interior and Exterior, New Construction</t>
  </si>
  <si>
    <t>Communication Systems, Including Infrastructure</t>
  </si>
  <si>
    <t>Concrete</t>
  </si>
  <si>
    <t>Composites</t>
  </si>
  <si>
    <t>Electrical</t>
  </si>
  <si>
    <t>Facility Fuel Systems</t>
  </si>
  <si>
    <t>Flooring</t>
  </si>
  <si>
    <t>Glass and Glazing</t>
  </si>
  <si>
    <t>Heating, Ventilating and Air Conditioning (HVAC)</t>
  </si>
  <si>
    <t>Insulation</t>
  </si>
  <si>
    <t>Masonry</t>
  </si>
  <si>
    <t>Metal Work</t>
  </si>
  <si>
    <t>Metal Work, Miscellaneous Metals  (Inactive, please see commodity code 914-57 effective January 1, 2016)</t>
  </si>
  <si>
    <t>*Millwright</t>
  </si>
  <si>
    <t>Painting and Wallpapering</t>
  </si>
  <si>
    <t>Plastering</t>
  </si>
  <si>
    <t>Plastics</t>
  </si>
  <si>
    <t>Plumbing</t>
  </si>
  <si>
    <t>Roofing and Siding</t>
  </si>
  <si>
    <t>Structural and Reinforcement Metal Work (Inactive, please see commodity code 914-57 effective January 1, 2016)</t>
  </si>
  <si>
    <t>Tile and Marble Work, All Types</t>
  </si>
  <si>
    <t>Trade Services, Construction, (Not Otherwise Classified)</t>
  </si>
  <si>
    <t>Welding</t>
  </si>
  <si>
    <t>Wood, Includes Architectural Woodwork</t>
  </si>
  <si>
    <t>COMMUNICATIONS AND MEDIA RELATED SERVICES</t>
  </si>
  <si>
    <t>Advertising Agency Services</t>
  </si>
  <si>
    <t>Advertising Services, Including Notice of Bid Solicitation, Statutory Notices, Legal</t>
  </si>
  <si>
    <t>Advertising and Public Relations, Including Skywriting</t>
  </si>
  <si>
    <t>Advertising Services, Outdoor Billboard, etc.</t>
  </si>
  <si>
    <t>*Answering and Paging Services</t>
  </si>
  <si>
    <t>Audio Production Services</t>
  </si>
  <si>
    <t>Audio Recording Services</t>
  </si>
  <si>
    <t>Audio Media Duplicating Services, Including Cassettes, CD ROMs, Tapes, etc.</t>
  </si>
  <si>
    <t>Audio and Video Production Services</t>
  </si>
  <si>
    <t>*Advertising, Digital</t>
  </si>
  <si>
    <t>Background Music Services, Including Messaging on Hold, etc.</t>
  </si>
  <si>
    <t>Broadcasting Services, Radio</t>
  </si>
  <si>
    <t>Broadcasting Services, Television</t>
  </si>
  <si>
    <t>Call Center Services</t>
  </si>
  <si>
    <t>Communications Marketing Services</t>
  </si>
  <si>
    <t>Conference Coordinating and Planning Services</t>
  </si>
  <si>
    <t>Cable Television Services, Including Pay-Per-View Services</t>
  </si>
  <si>
    <t>*Captioned Services for the Hearing Impaired  (See 915-85 for Telecommunication Relay Services)</t>
  </si>
  <si>
    <t>*EDI, Electronic Data Interchange, VAN, Value Added Network Services</t>
  </si>
  <si>
    <t>Editorial Services</t>
  </si>
  <si>
    <t>*Electronic Information and Mailing Services</t>
  </si>
  <si>
    <t>DVD Duplicating Services</t>
  </si>
  <si>
    <t>*Facsimile, Fax Services</t>
  </si>
  <si>
    <t>Film and Slide Processing, Duplicating and Touch Up Services</t>
  </si>
  <si>
    <t>Film, Slide and Tape Production Services</t>
  </si>
  <si>
    <t>*Fulfillment, Including Data Processing, Packaging, Labeling and Mailing of Literature as a Package</t>
  </si>
  <si>
    <t>Fulfillment, Inventory and Storage Services</t>
  </si>
  <si>
    <t>Graphic Arts Services, Not Printing</t>
  </si>
  <si>
    <t>*High Volume, Telephone Call Answering Services (See 915-05 for Low Volume Services)</t>
  </si>
  <si>
    <t>*Information Highway Electronic Services: Internet, Ethernet, World Wide Web, Virtual Tours, Including Construction Renderings, etc.</t>
  </si>
  <si>
    <t>Journalistic Services, Including Page Print Services</t>
  </si>
  <si>
    <t>Mailing, Postage and Shipping Services, Electronic</t>
  </si>
  <si>
    <t>Mailing Services: Addressing, Collating, Packaging, Sorting and Delivery</t>
  </si>
  <si>
    <t>Mail Services, Express</t>
  </si>
  <si>
    <t>Magazine Distribution Services</t>
  </si>
  <si>
    <t>Media Clippings, Outtakes, Critiques, Summaries, Legislative Bill Tracking Services, etc., Including State, Local, Out-of-State and International</t>
  </si>
  <si>
    <t>Photograph Services, Including Reprinting and Usage</t>
  </si>
  <si>
    <t>Monitoring Services, Critical Equipment and Site, Wireless, Web-based</t>
  </si>
  <si>
    <t>Microfiche and Microfilming Services</t>
  </si>
  <si>
    <t>Motion Picture Production and Distribution Services</t>
  </si>
  <si>
    <t>*Monitoring Services: Parolee, Patient, Convict, etc.</t>
  </si>
  <si>
    <t>Newspaper and Publication Advertising, Non-legal</t>
  </si>
  <si>
    <t>Photography Services, Not Including Aerial Photography</t>
  </si>
  <si>
    <t>Public Information Services, Including Press Releases</t>
  </si>
  <si>
    <t>Radio Commercial Production Services</t>
  </si>
  <si>
    <t>*Telephone Services, Cellular</t>
  </si>
  <si>
    <t>*Telephone Services,  Including Installation, Moves, Changes, Adds, Programming, Removal, Training, etc.,  Including Pay Telephones</t>
  </si>
  <si>
    <t>*Telephone Services, Long Distance and Local, Including 800, Telex, Watts Services, and Offender Telephone Systems</t>
  </si>
  <si>
    <t>Television Commercial Production Services</t>
  </si>
  <si>
    <t>*Telecommunication Services (Not Otherwise Classified)</t>
  </si>
  <si>
    <t>Typing and Word Processing Services</t>
  </si>
  <si>
    <t>Telegram and Telegraph Services</t>
  </si>
  <si>
    <t>Video Production Services</t>
  </si>
  <si>
    <t>Television Services, Satellite</t>
  </si>
  <si>
    <t>Video Recording Services</t>
  </si>
  <si>
    <t>*Telecommunication Relay Services: Text Telephone (TTY); Text-To-Voice; Voice Carry Over (VCO); Hearing Carry Over (HCO); Speech-To-Speech Relay; Video Relay; Spanish Relay; 7-1-1 Access to TRS, Short Message Service (SMS)</t>
  </si>
  <si>
    <t>Video Media Duplicating and Production Service, (Including CD ROMs, Tapes, etc.</t>
  </si>
  <si>
    <t>*Voice Mail Services</t>
  </si>
  <si>
    <t>*Warning System Services, Citizen</t>
  </si>
  <si>
    <t>*Web Page Design, Management and Maintenance Services</t>
  </si>
  <si>
    <t>*Wiring Services, Data and Voice</t>
  </si>
  <si>
    <t>COMMUNICATIONS AND TECHNICAL SERVICES, HIGHER EDUCATION</t>
  </si>
  <si>
    <t>Computer SW-Int Developed &gt;1 Million</t>
  </si>
  <si>
    <t>Lease Purchase Infrastructure Telecom</t>
  </si>
  <si>
    <t>TTI Network Support Services</t>
  </si>
  <si>
    <t>TTVN Intra-System Communication</t>
  </si>
  <si>
    <t>CONTRACTED SERVICES AND RENTALS, HIGHER EDUCATION</t>
  </si>
  <si>
    <t>Accreditation Services</t>
  </si>
  <si>
    <t>Contract Equipment, Capital</t>
  </si>
  <si>
    <t>Contract Equipment, Not Capital</t>
  </si>
  <si>
    <t>Contract Labor</t>
  </si>
  <si>
    <t>Contracted Services, Athletic Scouting</t>
  </si>
  <si>
    <t>Contracted Services, Curriculum Development</t>
  </si>
  <si>
    <t>Contracted Services, Officiating</t>
  </si>
  <si>
    <t>Contracted Services, Physical Plant</t>
  </si>
  <si>
    <t>Contracted Services, Proof, Edit, Illustrate</t>
  </si>
  <si>
    <t>Contracted Services, Research Collaboration</t>
  </si>
  <si>
    <t>Contracted Services, Research Foundation</t>
  </si>
  <si>
    <t>Contracted Services, Research Subject</t>
  </si>
  <si>
    <t>Contracted Services, Sales Commissions</t>
  </si>
  <si>
    <t>Contracted Services, Shodding</t>
  </si>
  <si>
    <t>Contracted Services, System Assessment</t>
  </si>
  <si>
    <t>Contracted Services, Travel, Hotel</t>
  </si>
  <si>
    <t>Contracted Services, Travel, Meals</t>
  </si>
  <si>
    <t>Contracted Services, Travel, Mileage</t>
  </si>
  <si>
    <t>Contracted Services, Travel, Other</t>
  </si>
  <si>
    <t>Contracted Services, Travel, Transportation</t>
  </si>
  <si>
    <t>Contracted Services, University Plus Instructors</t>
  </si>
  <si>
    <t>Contracted Services, Utilities</t>
  </si>
  <si>
    <t>Cyclotron Services</t>
  </si>
  <si>
    <t>Data Processing Employment Services, Not CIS</t>
  </si>
  <si>
    <t>Data Processing Employment Services, CIS</t>
  </si>
  <si>
    <t>Data Processing Rental Services, CIS</t>
  </si>
  <si>
    <t>Data Processing Rental Services, Not CIS</t>
  </si>
  <si>
    <t>Information Distribution Services</t>
  </si>
  <si>
    <t>Lease Purchase, Buildings</t>
  </si>
  <si>
    <t>Lease Purchase, Computer Equipment</t>
  </si>
  <si>
    <t>Lease Purchase, Computer Software</t>
  </si>
  <si>
    <t>Lease Purchase, Facilities and Other Improvements</t>
  </si>
  <si>
    <t>Lease Purchase, Farm Equipment</t>
  </si>
  <si>
    <t>Lease Purchase, Furnishings and Equipment</t>
  </si>
  <si>
    <t>Lease Purchase, Motor Vehicle, Other</t>
  </si>
  <si>
    <t>Lease Purchase, Motor Vehicle, Passenger Cars</t>
  </si>
  <si>
    <t>Lease Purchase, Personal Property, Other</t>
  </si>
  <si>
    <t>Maintenance and Repair, Computer Equipment, CIS</t>
  </si>
  <si>
    <t>Maintenance and Repair, Computer Software, CIS</t>
  </si>
  <si>
    <t>Maintenance and Repair, Emission System</t>
  </si>
  <si>
    <t>Maintenance and Repair, Engine Services</t>
  </si>
  <si>
    <t>Maintenance and Repair, Lifting Machines</t>
  </si>
  <si>
    <t>Maintenance and Repair, Non-University Owned Vehicles</t>
  </si>
  <si>
    <t>Maintenance and Repair, Other Infrastructure</t>
  </si>
  <si>
    <t>Maintenance and Repair, Transmission Service</t>
  </si>
  <si>
    <t>Other Contracted Services, Non Exempt</t>
  </si>
  <si>
    <t>Outsource Printing, Graphic Arts Only</t>
  </si>
  <si>
    <t>Postal Services, Campus Mail Service</t>
  </si>
  <si>
    <t>Rent, Exhibit Space Onsite</t>
  </si>
  <si>
    <t>Rent, Other Space Offsite</t>
  </si>
  <si>
    <t>Rent, Other Space Onsite</t>
  </si>
  <si>
    <t>Rent, Service Building Offsite</t>
  </si>
  <si>
    <t>Rent, Service Building Onsite</t>
  </si>
  <si>
    <t>Rent, Storage Space Onsite</t>
  </si>
  <si>
    <t>Rental of Aircraft, Aircraft Pooling</t>
  </si>
  <si>
    <t>Rental of Aircraft, University Exempt</t>
  </si>
  <si>
    <t>Rental of Animals</t>
  </si>
  <si>
    <t>Rental of Containers</t>
  </si>
  <si>
    <t>Rental of Dormitory Furniture</t>
  </si>
  <si>
    <t>Rental of Radio Towers</t>
  </si>
  <si>
    <t>Rental of Space System, Aircraft Only</t>
  </si>
  <si>
    <t>Rental of Video Equipment</t>
  </si>
  <si>
    <t>Use Fee for Equipment Repair and Replacement</t>
  </si>
  <si>
    <t>Wind Tunnel Services</t>
  </si>
  <si>
    <t>CONSULTING SERVICES</t>
  </si>
  <si>
    <t>Audio and Visual (A/V) Consulting</t>
  </si>
  <si>
    <t>Alcohol and Drug Abuse Consulting</t>
  </si>
  <si>
    <t>Accounting, Auditing, Budget Consulting</t>
  </si>
  <si>
    <t>Administrative Consulting</t>
  </si>
  <si>
    <t>Advertising Consulting</t>
  </si>
  <si>
    <t>Agricultural Consulting</t>
  </si>
  <si>
    <t>Air Quality Consulting</t>
  </si>
  <si>
    <t>Anthropology Consulting</t>
  </si>
  <si>
    <t>Analytical Predictive Studies and Surveys Consulting</t>
  </si>
  <si>
    <t>Asbestos Consulting</t>
  </si>
  <si>
    <t>Appraisals Consulting</t>
  </si>
  <si>
    <t>Architectural Consulting  (Inactive, please see commodity code 906-07 effective January 1, 2016)</t>
  </si>
  <si>
    <t>Archeological Consulting</t>
  </si>
  <si>
    <t>Aviation Consulting</t>
  </si>
  <si>
    <t>Boiler Chemistry Consulting</t>
  </si>
  <si>
    <t>Buildings, Structures and Components Consulting</t>
  </si>
  <si>
    <t>Business Consulting, Small  (Inactive, please see commodity code 918-21 effective January 1, 2016)</t>
  </si>
  <si>
    <t>Business Consulting</t>
  </si>
  <si>
    <t>Communications Consulting</t>
  </si>
  <si>
    <t>Compliance Consulting, Including American Disabilities Act (ADA)</t>
  </si>
  <si>
    <t>Public Relations Consulting</t>
  </si>
  <si>
    <t>Community Development Consulting</t>
  </si>
  <si>
    <t>*Computer Hardware Consulting</t>
  </si>
  <si>
    <t>*Computer Software Consulting</t>
  </si>
  <si>
    <t>*Computer Network Consulting</t>
  </si>
  <si>
    <t>Construction Consulting</t>
  </si>
  <si>
    <t>Consulting Services (Not Otherwise Classified)</t>
  </si>
  <si>
    <t>Disadvantaged Business Enterprise (DBE) or Historically Underutilized Business (HUB) Consulting Including Technical Assistance</t>
  </si>
  <si>
    <t>*E-Commerce Consulting</t>
  </si>
  <si>
    <t>Economy Consulting  (Inactive, please see commodity code 918-49 effective January 1, 2016)</t>
  </si>
  <si>
    <t>Education and Training Consulting</t>
  </si>
  <si>
    <t>Elevator, Escalator, Moving Walks Consulting</t>
  </si>
  <si>
    <t>Employee Benefits Consulting</t>
  </si>
  <si>
    <t>Energy Conservation Consulting</t>
  </si>
  <si>
    <t>Engineering Consulting  (Inactive, please see commodity code 907-40 effective January 1, 2016)</t>
  </si>
  <si>
    <t>Environmental Consulting</t>
  </si>
  <si>
    <t>E-Mail Archiving and Records Management Consulting</t>
  </si>
  <si>
    <t>Fashion Consulting</t>
  </si>
  <si>
    <t>*Feasibility Studies, Consulting</t>
  </si>
  <si>
    <t>Finance and Economics Consulting</t>
  </si>
  <si>
    <t>Food Service Consulting</t>
  </si>
  <si>
    <t>Furnishings Consulting</t>
  </si>
  <si>
    <t>Geological Consulting</t>
  </si>
  <si>
    <t>Governmental Consulting</t>
  </si>
  <si>
    <t>*Smart Technology Consulting Services</t>
  </si>
  <si>
    <t>Horticultural Consulting</t>
  </si>
  <si>
    <t>Housing Consulting</t>
  </si>
  <si>
    <t>Human Resources, Relations Consulting</t>
  </si>
  <si>
    <t>Human Resources Consulting  (Inactive, please see commodity code 918-65 effective January 1, 2016)</t>
  </si>
  <si>
    <t>Human Services Consulting, Including Mental Health Consulting</t>
  </si>
  <si>
    <t>Insurance Consulting</t>
  </si>
  <si>
    <t>Inventory Consulting</t>
  </si>
  <si>
    <t>*IT Consulting, (Not Otherwise Classified)</t>
  </si>
  <si>
    <t>Lakes, Rivers, and Other Waterway Management Consulting</t>
  </si>
  <si>
    <t>Landscaping Consulting</t>
  </si>
  <si>
    <t>Legal Consulting</t>
  </si>
  <si>
    <t>Management Consulting</t>
  </si>
  <si>
    <t>Marketing Consulting</t>
  </si>
  <si>
    <t>Mail Consulting</t>
  </si>
  <si>
    <t>Medical Consulting</t>
  </si>
  <si>
    <t>Minority, Women, Veteran and Small Business Consulting</t>
  </si>
  <si>
    <t>Moving and Relocation Consulting</t>
  </si>
  <si>
    <t>Natural Disasters, Fire, Flood, Wind, Quakes, Consulting</t>
  </si>
  <si>
    <t>Scientific and Technical Consulting</t>
  </si>
  <si>
    <t>Organizational Development Consulting</t>
  </si>
  <si>
    <t>Parking Consulting</t>
  </si>
  <si>
    <t>Personnel and Employment Consulting, Human Resources (Inactive, please see commodity code 918-65 effective January 1, 2016)</t>
  </si>
  <si>
    <t>Public Art Consulting</t>
  </si>
  <si>
    <t>Procurement Consulting, Including Specification Development and Contract Consulting</t>
  </si>
  <si>
    <t>Quality Assurance and Control Consulting</t>
  </si>
  <si>
    <t>Real Estate and Land Consulting, Including Land Survey Consulting and Land Developers</t>
  </si>
  <si>
    <t>*Strategic Planning and Consulting</t>
  </si>
  <si>
    <t>Roofing Consulting</t>
  </si>
  <si>
    <t>Urban Planning Consulting</t>
  </si>
  <si>
    <t>*Security and Safety Consulting</t>
  </si>
  <si>
    <t>Traffic Consulting</t>
  </si>
  <si>
    <t>*Telecommunications Consulting</t>
  </si>
  <si>
    <t>Transportation Consulting</t>
  </si>
  <si>
    <t>Utilities: Gas, Water, Electric Consulting</t>
  </si>
  <si>
    <t>DATA PROCESSING, COMPUTER, PROGRAMMING, AND SOFTWARE SERVICES</t>
  </si>
  <si>
    <t>*Access Services, Data</t>
  </si>
  <si>
    <t>*Application Service Provider (ASP), Web Based Hosted</t>
  </si>
  <si>
    <t>*Applications Software, Main Frame Server Systems</t>
  </si>
  <si>
    <t>*Application, Infrastructure, Hosting, Data Hosting and Cloud Computing Services, Vendor Hosted and Internally Hosted</t>
  </si>
  <si>
    <t>*Applications Software for Microcomputer Systems: Business, Mathematical and Statistical, Medical, Scientific, etc.</t>
  </si>
  <si>
    <t>*Advanced Authentication System Software Services, Including Maintenance and Repair</t>
  </si>
  <si>
    <t>*Applications Software, Mainframes and Servers</t>
  </si>
  <si>
    <t>*Assessment and Profiling Services of Software</t>
  </si>
  <si>
    <t>*Biometric Authentication System Software Services, Including Maintenance and Repair</t>
  </si>
  <si>
    <t>*Electronic Forms Services</t>
  </si>
  <si>
    <t>*Computer Aided Design (CAD) Services</t>
  </si>
  <si>
    <t>*Computer Digitizing Services</t>
  </si>
  <si>
    <t>*Computer Output to Microfilm/Microfiche  (COM) Processing Services</t>
  </si>
  <si>
    <t>*Data Entry Services</t>
  </si>
  <si>
    <t>*Data Preparation and Processing Services, Including Bates Coding</t>
  </si>
  <si>
    <t>*Data Recovery Services</t>
  </si>
  <si>
    <t>*Data Conversion Services</t>
  </si>
  <si>
    <t>*Diskette, CD Rom, DVD, Blu-ray, and Tape Duplicating Services</t>
  </si>
  <si>
    <t>*Desktop Publishing Services</t>
  </si>
  <si>
    <t>*Ecommerce Software Development Services</t>
  </si>
  <si>
    <t>*Emergency Back-up, Disaster Recovery Services and Facilities for Data Processing</t>
  </si>
  <si>
    <t>*Facilities Management Services, Computer</t>
  </si>
  <si>
    <t>*Image Processing and Conversion Services</t>
  </si>
  <si>
    <t>*Installation of Computers, Peripherals, and Related Equipment (Including Software)</t>
  </si>
  <si>
    <t>*Intelligent Transportation System (ITS) Software, Including Design, Development, and Maintenance Services</t>
  </si>
  <si>
    <t>*Mapping and Geographical Information Systems (GIS) Services, Digitized, Cartography (See 962-52 for Standard Mapping Services)</t>
  </si>
  <si>
    <t>*Media Conversion Services</t>
  </si>
  <si>
    <t>*Modification of Existing Equipment, Including Cost of Parts</t>
  </si>
  <si>
    <t>*Networking Services, Including Installation, Security, and Maintenance</t>
  </si>
  <si>
    <t>*Optical Scanning Services</t>
  </si>
  <si>
    <t>*Processing System Services, Data (Not Otherwise Classified)</t>
  </si>
  <si>
    <t>*Programming Services, Computer, Including Mobile Device Applications</t>
  </si>
  <si>
    <t>*Retrieval Services, Information</t>
  </si>
  <si>
    <t>*Recertification and Rehabilitation of Magnetic Media, Disk Packs, Tapes, etc.</t>
  </si>
  <si>
    <t>*Recharging and Remanufacturing of Printer and Fax Cartridges</t>
  </si>
  <si>
    <t>*Risk Management for Software Development</t>
  </si>
  <si>
    <t>*Software Maintenance and Support Services and Updates and Data Hosting Services</t>
  </si>
  <si>
    <t>*Software Updating and Upgrading Services</t>
  </si>
  <si>
    <t>*Support Services, Computer, Includes Computer Warranties</t>
  </si>
  <si>
    <t>*Storage Services, Data Media</t>
  </si>
  <si>
    <t>*Systems and Executive Software, Mainframe and Servers</t>
  </si>
  <si>
    <t>*Shredding Services, Computer Components and Peripherals</t>
  </si>
  <si>
    <t>*Redaction, De-identification Services, Automated</t>
  </si>
  <si>
    <t>*Systems and Executive Software, Microcomputer</t>
  </si>
  <si>
    <t>*System Implementation and Engineering Services</t>
  </si>
  <si>
    <t>*System Requirements Quality Assurance Review</t>
  </si>
  <si>
    <t>*System, Network, Database, DBA Administration Services</t>
  </si>
  <si>
    <t>*Technical Writing and Documentation, IT Services</t>
  </si>
  <si>
    <t>*Testing of Systems Infrastructure, Components or Software, IT Services</t>
  </si>
  <si>
    <t>*Teleprocessing Via Proprietary Data Bases</t>
  </si>
  <si>
    <t>*Teleprocessing, Business, Timesharing</t>
  </si>
  <si>
    <t>*Teleprocessing, Scientific, Industrial, Medical, etc., Timesharing</t>
  </si>
  <si>
    <t>*Training, Computer Based, Software Supported</t>
  </si>
  <si>
    <t>*Word Processing Software, Mainframe and Servers</t>
  </si>
  <si>
    <t>*Word Processing Software, Microcomputer</t>
  </si>
  <si>
    <t>*Word Processing Software, Minicomputer</t>
  </si>
  <si>
    <t>EDUCATIONAL AND TRAINING SERVICES</t>
  </si>
  <si>
    <t>Advisory Services, Educational</t>
  </si>
  <si>
    <t>Course Development Services, Instructional and Training</t>
  </si>
  <si>
    <t>Educational Services, Alternative</t>
  </si>
  <si>
    <t>Educational Research Services</t>
  </si>
  <si>
    <t>Examination and Testing Services</t>
  </si>
  <si>
    <t>For Credit Classes, Seminars, Workshops, etc.</t>
  </si>
  <si>
    <t>In-Service Training, Employees</t>
  </si>
  <si>
    <t>*Instructor-led, Classroom Training, Technical</t>
  </si>
  <si>
    <t>Instructor-led, Classroom Training, Non-Technical</t>
  </si>
  <si>
    <t>Instructors, Classes for the Public</t>
  </si>
  <si>
    <t>Not-For-Credit Classes, Seminars, Workshops, etc.</t>
  </si>
  <si>
    <t>Partnering Workshop Facilitation Services</t>
  </si>
  <si>
    <t>School Operation and Management Services</t>
  </si>
  <si>
    <t>*Special Education Services</t>
  </si>
  <si>
    <t>Special Education Consultant</t>
  </si>
  <si>
    <t>Student Activities Services</t>
  </si>
  <si>
    <t>Teacher Certification Services</t>
  </si>
  <si>
    <t>Teaching and Instruction Services: Elementary and Secondary Education, Higher Education and Adult Education</t>
  </si>
  <si>
    <t>Tutoring Services</t>
  </si>
  <si>
    <t>Vocational Training, All Types, Including Vocational Rehabilitation and Technical Education</t>
  </si>
  <si>
    <t>ENGINEERING SERVICES, PROFESSIONAL</t>
  </si>
  <si>
    <t>Aeronautical and Aerospace Engineering</t>
  </si>
  <si>
    <t>Agricultural Engineering</t>
  </si>
  <si>
    <t>Air Conditioning ,Heating and Ventilating Engineering</t>
  </si>
  <si>
    <t>Airports, Lighting, Fueling, Navaids Engineering</t>
  </si>
  <si>
    <t>Biomedical Engineering</t>
  </si>
  <si>
    <t>Bridge Engineering</t>
  </si>
  <si>
    <t>Chemical Processing and Storage Engineering</t>
  </si>
  <si>
    <t>Civil Engineering</t>
  </si>
  <si>
    <t>Concrete Engineering</t>
  </si>
  <si>
    <t>Cold Storage, Refrigeration, Fast Freeze Engineering</t>
  </si>
  <si>
    <t>Corrosion Control; Cathodic Protection; Electrolysis Engineering</t>
  </si>
  <si>
    <t>Control Systems Engineering</t>
  </si>
  <si>
    <t>Dam Engineering</t>
  </si>
  <si>
    <t>Desalinization, Process and Facilities Engineering</t>
  </si>
  <si>
    <t>Drainage Engineering</t>
  </si>
  <si>
    <t>Electric Utility Protection and Control Engineering</t>
  </si>
  <si>
    <t>Earthquake-Seismic Engineering</t>
  </si>
  <si>
    <t>Electrical Engineering, Including Cogeneration Design Services</t>
  </si>
  <si>
    <t>Electronic Engineering</t>
  </si>
  <si>
    <t>Engineer Services, Professional (Inactive, effective January 1, 2016)</t>
  </si>
  <si>
    <t>Energy Management Engineering</t>
  </si>
  <si>
    <t>Environmental Engineering</t>
  </si>
  <si>
    <t>Engineering Services (Not Otherwise Classified)</t>
  </si>
  <si>
    <t>Facilities Design Engineering</t>
  </si>
  <si>
    <t>Field Engineering</t>
  </si>
  <si>
    <t>Fire Protection Engineering</t>
  </si>
  <si>
    <t>Fisheries; Fish Ladders Engineering</t>
  </si>
  <si>
    <t>Forensic Engineering</t>
  </si>
  <si>
    <t>Foundation Engineering</t>
  </si>
  <si>
    <t>Gas Systems, Propane, Natural, etc. Engineering</t>
  </si>
  <si>
    <t>General Construction: Management, Scheduling, Cost Estimation Engineering</t>
  </si>
  <si>
    <t>Geological Engineering</t>
  </si>
  <si>
    <t>Geotechnical Engineering</t>
  </si>
  <si>
    <t>Harbors, Jetties. Piers, Docks, Marinas, Ship Terminal Facilities Engineering</t>
  </si>
  <si>
    <t>Highways, Streets, Airport Pay-Parking Lots Engineering</t>
  </si>
  <si>
    <t>Hydroelectric Engineering</t>
  </si>
  <si>
    <t>Hazardous Waste Engineering Services, Including Remedial Investigations and Feasibility Studies for Waste Sites</t>
  </si>
  <si>
    <t>Industrial Engineering</t>
  </si>
  <si>
    <t>Inspecting, General Engineering</t>
  </si>
  <si>
    <t>Inspecting, Structural Engineering</t>
  </si>
  <si>
    <t>Instrumentation Engineering</t>
  </si>
  <si>
    <t>Irrigation; Drainage; Flood Control Engineering</t>
  </si>
  <si>
    <t>Land Development and Planning Engineering</t>
  </si>
  <si>
    <t>Machine Design Engineering</t>
  </si>
  <si>
    <t>Manufacturing Engineering</t>
  </si>
  <si>
    <t>Mechanical Engineering</t>
  </si>
  <si>
    <t>Metallurgical Engineering</t>
  </si>
  <si>
    <t>Mining and Mineralogy Engineering</t>
  </si>
  <si>
    <t>Municipal Engineering</t>
  </si>
  <si>
    <t>Nuclear Engineering</t>
  </si>
  <si>
    <t>Ocean Engineering</t>
  </si>
  <si>
    <t>Petroleum and Fuel Storage and Distribution Engineering</t>
  </si>
  <si>
    <t>Pollution Control Engineering</t>
  </si>
  <si>
    <t>Power Generation, Transmission, Distribution Engineering</t>
  </si>
  <si>
    <t>Railroad; Rapid Transit; Monorail Engineering</t>
  </si>
  <si>
    <t>Rate Engineering</t>
  </si>
  <si>
    <t>Roofing Engineering</t>
  </si>
  <si>
    <t>Sanitary Engineering</t>
  </si>
  <si>
    <t>Security Systems; Intruder and Smoke Detection Engineering</t>
  </si>
  <si>
    <t>Surveyor Services, Land</t>
  </si>
  <si>
    <t>Sewage Collection, Treatment, and Disposal Engineering</t>
  </si>
  <si>
    <t>Structural Engineering</t>
  </si>
  <si>
    <t>*Telephone Systems Engineering</t>
  </si>
  <si>
    <t>Video and Audio Design Engineering</t>
  </si>
  <si>
    <t>Value Engineering and Value Analysis, Professional</t>
  </si>
  <si>
    <t>Traffic and Transportation Engineering</t>
  </si>
  <si>
    <t>Tunnels and Subways Engineering</t>
  </si>
  <si>
    <t>Utilities, Gas, Steam, Electric Engineering</t>
  </si>
  <si>
    <t>Waste Water Treatment Engineering</t>
  </si>
  <si>
    <t>Water Supply, Treatment, and Distribution Engineering</t>
  </si>
  <si>
    <t>ENVIRONMENTAL AND ECOLOGICAL SERVICES</t>
  </si>
  <si>
    <t>Air Pollution Control Services, Including Data Collection Research and Development, etc.</t>
  </si>
  <si>
    <t>Air Quality Monitoring Services</t>
  </si>
  <si>
    <t>Auditing Services, Environmental</t>
  </si>
  <si>
    <t>Carbon Offsets</t>
  </si>
  <si>
    <t>Contaminated Groundwater Services, Including Discharge Pipe Installation</t>
  </si>
  <si>
    <t>Contaminated Soil Services</t>
  </si>
  <si>
    <t>Ecological Services</t>
  </si>
  <si>
    <t>Ecosystems Development, Management and Protection Services</t>
  </si>
  <si>
    <t>Environmental Services (Not Otherwise Classified)</t>
  </si>
  <si>
    <t>Gas Analysis Services</t>
  </si>
  <si>
    <t>Hazardous Material and Waste Services, Including Emergency Response and Nuclear Wastes</t>
  </si>
  <si>
    <t>Hydraulic Push Probe, Geoprobe Services</t>
  </si>
  <si>
    <t>Impact Studies, Environmental</t>
  </si>
  <si>
    <t>Industrial Hygiene Testing Services</t>
  </si>
  <si>
    <t>Investigation Services, Pollution</t>
  </si>
  <si>
    <t>LEAD ABATEMENT PROJECT DESIGNER</t>
  </si>
  <si>
    <t>LEAD ABATEMENT SUPERVISOR</t>
  </si>
  <si>
    <t>LEAD ABATEMENT WORKER</t>
  </si>
  <si>
    <t>Lead and Asbestos Inspection Services</t>
  </si>
  <si>
    <t>RISK ASSESSOR</t>
  </si>
  <si>
    <t>Noise Testing Services</t>
  </si>
  <si>
    <t>Oil and Petroleum Spill Services, Including Removal of Used Petroleum Products</t>
  </si>
  <si>
    <t>Oil and Water Separator Inspection and Testing Services</t>
  </si>
  <si>
    <t>Permitting Services, Environmental</t>
  </si>
  <si>
    <t>Planning and Advisory Services, Environmental</t>
  </si>
  <si>
    <t>Radiation Dosimeter Services</t>
  </si>
  <si>
    <t>Radioactive Waste Disposal Services</t>
  </si>
  <si>
    <t>Recycling Services</t>
  </si>
  <si>
    <t>Remediation Services, Environmental, Including Rehabilitation Services Hazardous Waste and Mold Remediation</t>
  </si>
  <si>
    <t>Recovery, Recycling, and Reclamation of Refrigerants</t>
  </si>
  <si>
    <t>Sanitizing and Disinfecting Services</t>
  </si>
  <si>
    <t>Safety Services, Environmental</t>
  </si>
  <si>
    <t>Site Assessment, Environmental</t>
  </si>
  <si>
    <t>Soil Pollution Services</t>
  </si>
  <si>
    <t>Soil, Soil Vapor and Groundwater Sampling and Analysis, Including Disposal</t>
  </si>
  <si>
    <t>Storm Water Discharge Testing Services</t>
  </si>
  <si>
    <t>Subsurface Testing, Environmental</t>
  </si>
  <si>
    <t>Tank Testing and Disposal Services, Storage, Including Underground Types</t>
  </si>
  <si>
    <t>WASTEWATER FACILITY ODOR MONITORING</t>
  </si>
  <si>
    <t>Testing and Monitoring Services, Air, Gas, and Water</t>
  </si>
  <si>
    <t>Water Pollution Services</t>
  </si>
  <si>
    <t>Water and Wastewater Conservation Services</t>
  </si>
  <si>
    <t>Wetland Delineations, Including Assessments</t>
  </si>
  <si>
    <t>EQUIPMENT MAINTENANCE AND REPAIR SERVICES FOR AUTOMOBILES, TRUCKS, TRAILERS, TRANSIT BUSES AND OTHER VEHICLES</t>
  </si>
  <si>
    <t>Accessories Maintenance and Repair, (Not Otherwise Classified)</t>
  </si>
  <si>
    <t>Alignment and Wheel Balancing, Including Front-End Repair</t>
  </si>
  <si>
    <t>Ambulance and Rescue Vehicles Maintenance and Repair Services, Including Major Components and Accessory Items</t>
  </si>
  <si>
    <t>Automobile and Other Passenger Vehicles Maintenance and Repair (Not Otherwise Classified)</t>
  </si>
  <si>
    <t>Body and Frame Work, Including Undercoating</t>
  </si>
  <si>
    <t>Brake Maintenance and Repair</t>
  </si>
  <si>
    <t>Buses, School and Mass Transit Maintenance and Repair</t>
  </si>
  <si>
    <t>Charging Station Services</t>
  </si>
  <si>
    <t>*Communications Systems, Vehicle Maintenance and Repair, Including Installation and Removal Services</t>
  </si>
  <si>
    <t>Conversion of Gasoline Fuel Systems to Alternative Fuel Systems Including Maintenance and Repair Services</t>
  </si>
  <si>
    <t>Cooling, Heating, and Ventilating System, A/C System, Hoses, Water Pump, Radiator, Heater and Accessories, Ventilation, etc. Maintenance and Repair</t>
  </si>
  <si>
    <t>Customizing Services, Vehicle, Including Armoring of Vehicles, Handicapped and Van Conversions, etc.</t>
  </si>
  <si>
    <t>Drive Train, Clutch Assembly, Flywheel, etc. Maintenance and Repair</t>
  </si>
  <si>
    <t>Electrical, Alternator and Generator, Battery, Ignition System, Lights, etc. Maintenance and Repair</t>
  </si>
  <si>
    <t>Exhaust System Maintenance and Repair</t>
  </si>
  <si>
    <t>Fuel Site Maintenance and Repair</t>
  </si>
  <si>
    <t>Fuel System Maintenance and Repair</t>
  </si>
  <si>
    <t>Fueling Services, Mobile, Vehicle</t>
  </si>
  <si>
    <t>Glass Replacement and Repair Services, Windshield and Window, Automotive, Including Window Tinting Services</t>
  </si>
  <si>
    <t>General Maintenance and Repair, Vehicle (Not Otherwise Classified), Including Oil Changes, Lubrication, Guaranteed Maintenance Programs, etc. (See 928-88 for Tune-Ups)</t>
  </si>
  <si>
    <t>Hydraulics Pump, Hydraulic Motor, Valves, Gauges, etc. Maintenance and Repair</t>
  </si>
  <si>
    <t>License Identification System, Vehicle Maintenance and Repair</t>
  </si>
  <si>
    <t>Machine Shop Services, Automotive Type (See 929-48 for Industrial Type)</t>
  </si>
  <si>
    <t>Motor Homes and Recreational Vehicles, Maintenance and Repair</t>
  </si>
  <si>
    <t>Oil Collection Services, Waste</t>
  </si>
  <si>
    <t>Painting, Vehicle</t>
  </si>
  <si>
    <t>Parts Washing Services</t>
  </si>
  <si>
    <t>Power Plant, Engine, Belts, Heads, Intake, Rebuilding, etc. Maintenance and Repair</t>
  </si>
  <si>
    <t>Reconditioning and Refurbishing Vehicles</t>
  </si>
  <si>
    <t>Retrofitting Vehicles to Reduce Emissions and Improve Air Quality, Complete Service Including Parts Where Necessary to Meet Specifications</t>
  </si>
  <si>
    <t>*Road Services, Vehicle, Including Mobile Repair Services</t>
  </si>
  <si>
    <t>Suspension, Axles, Springs, Steering, etc., Maintenance and Repair</t>
  </si>
  <si>
    <t>Tire and Tube Mounting, Repair, Retreading, and Rotation, Including Tire Foam Filling Services</t>
  </si>
  <si>
    <t>Trailer Maintenance and Repair (Not Otherwise Classified)</t>
  </si>
  <si>
    <t>Transmission, Main, Transfer Case, Chain and Final Drives Maintenance and Repair</t>
  </si>
  <si>
    <t>Truck and Van Maintenance and Repair (Not Otherwise Classified)</t>
  </si>
  <si>
    <t>Truck Maintenance and Repair, Heavy</t>
  </si>
  <si>
    <t>Tune-ups</t>
  </si>
  <si>
    <t>Upholstery Maintenance and Repair</t>
  </si>
  <si>
    <t>Vehicle Inspection and Testing Services, Emissions, etc.</t>
  </si>
  <si>
    <t>Washing, Waxing, Polishing, Steam Cleaning, Disinfecting, Decal Removal, etc.</t>
  </si>
  <si>
    <t>Wheel Maintenance and Repair</t>
  </si>
  <si>
    <t>Welding Services, Automotive Transportation</t>
  </si>
  <si>
    <t>EQUIPMENT MAINTENANCE AND REPAIR SERVICES FOR AGRICULTURAL, CONSTRUCTION, HEAVY INDUSTRIAL, MATERIAL HANDLING, AND ROAD AND HIGHWAY EQUIPMENT</t>
  </si>
  <si>
    <t>Agricultural Implements, Parts and Accessories Maintenance and Repair</t>
  </si>
  <si>
    <t>Asphalt Distributors, Levelers, Mixers, etc. Maintenance and Repair</t>
  </si>
  <si>
    <t>Asphalt Heaters Maintenance and Repair</t>
  </si>
  <si>
    <t>Asphalt Pavers Maintenance and Repair</t>
  </si>
  <si>
    <t>Asphalt Scarifiers, Milling Machines, Scrapers, etc. Maintenance and Repair</t>
  </si>
  <si>
    <t>Automotive Shop Equipment Maintenance and Repair</t>
  </si>
  <si>
    <t>Car Wash Equipment Maintenance and Repair</t>
  </si>
  <si>
    <t>Concrete Equipment: Buckets, Screeding Machines, Curbers, Finishers, etc. Maintenance and Repair</t>
  </si>
  <si>
    <t>Concrete Mixers Maintenance and Repair</t>
  </si>
  <si>
    <t>Construction Equipment Maintenance and Repair (Not Otherwise Classified)</t>
  </si>
  <si>
    <t>Concrete and Asphalt Equipment Maintenance and Repair, (Not Otherwise Classified</t>
  </si>
  <si>
    <t>Cranes: Backhoe, Dragline, Clamshell, etc. Maintenance and Repair</t>
  </si>
  <si>
    <t>Earth Handling, Grading, Moving, and Packing Equipment Maintenance and Repair</t>
  </si>
  <si>
    <t>Engines And Motors, Industrial, Maintenance and Repair</t>
  </si>
  <si>
    <t>Hydraulics, Pump, Hydraulic Motor, Valves, Gauges, etc. Maintenance and Repair</t>
  </si>
  <si>
    <t>Hydraulic Tools Maintenance and Repair</t>
  </si>
  <si>
    <t>Lifts and Hoists Maintenance and Repair</t>
  </si>
  <si>
    <t>Machine Shop and Fabricating Services, Industrial (See 928-54 for Automotive Type)</t>
  </si>
  <si>
    <t>Machinery and Heavy Hardware, Not Lawn Equipment, Maintenance and Repair</t>
  </si>
  <si>
    <t>Material Handling Equipment Maintenance and Repair</t>
  </si>
  <si>
    <t>Motor and Engines, Small Gasoline Maintenance and Repair</t>
  </si>
  <si>
    <t>Motor Rewinding and Repairing, Electric</t>
  </si>
  <si>
    <t>Motorcycles, Bicycles, Motor Scooters, and Truckster, Including Golf Carts, Maintenance and Repair</t>
  </si>
  <si>
    <t>Oil Field Equipment Maintenance and Repair</t>
  </si>
  <si>
    <t>Pneumatic Tools Maintenance and Repair</t>
  </si>
  <si>
    <t>Refuse and Garbage Burning Equipment Maintenance and Repair</t>
  </si>
  <si>
    <t>Refuse and Garbage Collection/Dumping Equipment Maintenance and Repair</t>
  </si>
  <si>
    <t>Painting Services, Road and Heavy Industrial Equipment</t>
  </si>
  <si>
    <t>Road and Highway Equipment Maintenance and Repair, (Not Otherwise Classified)</t>
  </si>
  <si>
    <t>Scales, Including Weigh-In-Motion Type (See 938-79 for Hospital, Laboratory and Testing Types), Maintenance and Repair</t>
  </si>
  <si>
    <t>Snow Plow and Blower Maintenance and Repair</t>
  </si>
  <si>
    <t>Snow Melter Maintenance and Repair</t>
  </si>
  <si>
    <t>Tanks: Mobile, Portable, Stationary, Storage, etc., Including Relining Maintenance and Repair</t>
  </si>
  <si>
    <t>Taxiway and Runway Maintenance and Testing Equipment Maintenance and Repair</t>
  </si>
  <si>
    <t>Spreaders, Salt and Sand, Maintenance and Repair</t>
  </si>
  <si>
    <t>Sweepers, Street, Maintenance and Repair</t>
  </si>
  <si>
    <t>Tractors, Industrial: Bulldozers, Crawlers, Wheel Type, Maintenance and Repair</t>
  </si>
  <si>
    <t>Welding Services, Agricultural, Heavy Industrial and Similar Equipment (Not Otherwise Classified)</t>
  </si>
  <si>
    <t>EQUIPMENT MAINTENANCE AND REPAIR SERVICES FOR APPLIANCE, ATHLETIC, CAFETERIA, FURNITURE, MUSICAL INSTRUMENTS, AND SEWING EQUIPMENT</t>
  </si>
  <si>
    <t>Amusement Park Ride Equipment Maintenance and Repair</t>
  </si>
  <si>
    <t>Appliances and Equipment, Household, Not Laundry or HVAC, Maintenance and Repair</t>
  </si>
  <si>
    <t>Athletic and Sporting Goods Equipment and Accessories, Shoulder Pads, etc., Maintenance and Repair</t>
  </si>
  <si>
    <t>Bakery Equipment Maintenance and Repair</t>
  </si>
  <si>
    <t>Barber and Beauty Shop Equipment Maintenance and Repair</t>
  </si>
  <si>
    <t>Bedding, All Types, Maintenance and Repair</t>
  </si>
  <si>
    <t>Butcher Shop and Meat Processing Equipment Maintenance and Repair</t>
  </si>
  <si>
    <t>Cafeteria and Kitchen Equipment, Commercial, Maintenance and Repair</t>
  </si>
  <si>
    <t>Camping and Outdoor Equipment Maintenance and Repair</t>
  </si>
  <si>
    <t>Dairy Equipment Maintenance and Repair</t>
  </si>
  <si>
    <t>Food Processing and Canning Equipment Maintenance and Repair</t>
  </si>
  <si>
    <t>Furnishings, All Kinds, Maintenance and Repair</t>
  </si>
  <si>
    <t>Furniture, Not Office, Maintenance and Repair Including Refinishing and Reupholstering</t>
  </si>
  <si>
    <t>Furniture Installation and Reconfiguration Services, Including Systems Furniture</t>
  </si>
  <si>
    <t>Furniture, Office, Maintenance and Repair, Including Refinishing and Reupholstering</t>
  </si>
  <si>
    <t>Lighting Fixtures Maintenance and Repair</t>
  </si>
  <si>
    <t>Musical Instruments Maintenance and Repair, Including Piano Tuning</t>
  </si>
  <si>
    <t>Park, Playground, and Swimming Pool Equipment Maintenance and Repair</t>
  </si>
  <si>
    <t>Sewing Room and Textile Machinery Maintenance and Repair</t>
  </si>
  <si>
    <t>Skating Rink Equipment, Roller and Ice, Maintenance and Repair</t>
  </si>
  <si>
    <t>Vending Machine Maintenance, Repair, Installation or Removal, Including Lottery Vending Machines</t>
  </si>
  <si>
    <t>EQUIPMENT MAINTENANCE AND REPAIR SERVICES FOR LAUNDRY, LAWN, PAINTING, PLUMBING, AND SPRAYING EQUIPMENT</t>
  </si>
  <si>
    <t>Broom, Brush, and Mop Manufacturing Equipment Maintenance and Repair</t>
  </si>
  <si>
    <t>Floor Maintenance Machines, Floor Covering Equipment Maintenance and Repair</t>
  </si>
  <si>
    <t>Irrigation Systems Installation, Maintenance and Repair</t>
  </si>
  <si>
    <t>Janitorial Equipment Maintenance and Repair</t>
  </si>
  <si>
    <t>Laundry and Dry Cleaning Equipment, Commercial, Maintenance and Repair</t>
  </si>
  <si>
    <t>Laundry Equipment, Household Maintenance and Repair</t>
  </si>
  <si>
    <t>Lawn Equipment Maintenance and Repair</t>
  </si>
  <si>
    <t>Painting Equipment Maintenance and Repair</t>
  </si>
  <si>
    <t>Pipe and Pipe Fittings Maintenance and Repair</t>
  </si>
  <si>
    <t>Plumbing Equipment and Fixtures Maintenance and Repair</t>
  </si>
  <si>
    <t>Spraying Equipment Maintenance and Repair</t>
  </si>
  <si>
    <t>Toilets, Portable, Maintenance and Repair, Including Servicing</t>
  </si>
  <si>
    <t>EQUIPMENT MAINTENANCE AND REPAIR SERVICES FOR GENERAL EQUIPMENT</t>
  </si>
  <si>
    <t>Awards, Trophies, Collectibles, etc. Maintenance and Repair</t>
  </si>
  <si>
    <t>Atomic and Nuclear Energy Machines and Equipment Maintenance and Repair</t>
  </si>
  <si>
    <t>Air Compressors and Accessories Maintenance and Repair</t>
  </si>
  <si>
    <t>*Alarm Equipment, Fire, etc. Maintenance and Repair</t>
  </si>
  <si>
    <t>Bank Machines and Equipment, Including ATM Machines, Maintenance and Repair</t>
  </si>
  <si>
    <t>Bird Cage and Aquarium Maintenance and Repair</t>
  </si>
  <si>
    <t>Buildings and Structure Maintenance and Repair (portable, Modular, Fabricated, Pre-fabricated, Etc.)</t>
  </si>
  <si>
    <t>Clothing, Including Uniforms, Maintenance and Repair</t>
  </si>
  <si>
    <t>Containers: Barrels, Drums, etc., Maintenance and Repair</t>
  </si>
  <si>
    <t>Cemetery Maintenance Services</t>
  </si>
  <si>
    <t>Craft Equipment, All Types, Maintenance and Repair</t>
  </si>
  <si>
    <t>Diving and Scuba Equipment Maintenance and Repair</t>
  </si>
  <si>
    <t>Door Automatic Operator Installation, Maintenance and Repair</t>
  </si>
  <si>
    <t>Electrical Equipment, Except Cable and Wires, and Lighting Fixtures Maintenance and Repair</t>
  </si>
  <si>
    <t>*Emergency Warning Systems, Including Civil Defense and Natural Disaster Equipment Maintenance and Repair</t>
  </si>
  <si>
    <t>Energy Collecting Equipment and Accessories Maintenance and Repair</t>
  </si>
  <si>
    <t>Facility Energy Management Systems Maintenance and Repair</t>
  </si>
  <si>
    <t>Fare Collection Equipment Maintenance and Repair</t>
  </si>
  <si>
    <t>Foundry Equipment Maintenance and Repair</t>
  </si>
  <si>
    <t>Fire Fighting Equipment Maintenance and Repair</t>
  </si>
  <si>
    <t>*Fire Protection Equipment and Systems Including Fire Hydrants, Fire Sprinkler Systems, Smoke Detectors, Jaws of Life, Fire Protection Material Treatment, Firestop and Fire Barriers, etc. Inspection, Maintenance and Repair</t>
  </si>
  <si>
    <t>Fire Extinguisher Maintenance, Including Recharging and Repair</t>
  </si>
  <si>
    <t>Foundry Machine Shop Work</t>
  </si>
  <si>
    <t>Furniture, School, Including Student Lockers, Maintenance and Repair, Including Refinishing and Reupholster</t>
  </si>
  <si>
    <t>Gates, Electric, Card Reader, etc. Maintenance and Repair</t>
  </si>
  <si>
    <t>Glass and Glazing Equipment Maintenance and Repair</t>
  </si>
  <si>
    <t>Generators, Portable and Stationary, Including Parts and Accessories Maintenance and Repair</t>
  </si>
  <si>
    <t>Hand Tools, Powered, All Kinds, Including Electrical and Hydraulic Maintenance and Repair</t>
  </si>
  <si>
    <t>Hand Tools, Non-Powered, All Kinds, Maintenance and Repair</t>
  </si>
  <si>
    <t>Gunsmith Services</t>
  </si>
  <si>
    <t>*Hardware, Shelf Hardware, and Allied Items Maintenance and Repair</t>
  </si>
  <si>
    <t>Hearing Devices, Aids, Auditory Training Equipment, etc.</t>
  </si>
  <si>
    <t>Industrial Equipment, Not Construction and Repair, or HVAC Maintenance and Repair</t>
  </si>
  <si>
    <t>*Intelligent Transportation Systems Equipment Maintenance and Repair</t>
  </si>
  <si>
    <t>Jewelry, Badges, Nameplates, etc. Maintenance and Repair</t>
  </si>
  <si>
    <t>Leather Working Equipment Maintenance and Repair</t>
  </si>
  <si>
    <t>Luggage, Handbags, Purses Maintenance and Repair</t>
  </si>
  <si>
    <t>Parking Equipment Maintenance and Repair (See 936-37 for Parking Gates)</t>
  </si>
  <si>
    <t>Pipeline Equipment Maintenance and Repair</t>
  </si>
  <si>
    <t>Plastics Forming and Molding Equipment Maintenance and Repair</t>
  </si>
  <si>
    <t>Police Equipment Maintenance and Repair</t>
  </si>
  <si>
    <t>Poultry Equipment Maintenance and Repair</t>
  </si>
  <si>
    <t>Polygraph Equipment Maintenance and Repair</t>
  </si>
  <si>
    <t>Printing Plant and Bindery Equipment, Including Graphic Arts Equipment, Maintenance and Repair</t>
  </si>
  <si>
    <t>Power Supply Backup (UPS) Equipment Maintenance and Repair</t>
  </si>
  <si>
    <t>Pumps and Pump Accessories Maintenance and Repair</t>
  </si>
  <si>
    <t>Pumps, Vertical, Maintenance and Repair</t>
  </si>
  <si>
    <t>Purification and Filtering Devices Maintenance and Repair</t>
  </si>
  <si>
    <t>Refrigeration Equipment Maintenance and Repair</t>
  </si>
  <si>
    <t>Rifle Range Equipment Maintenance and Repair</t>
  </si>
  <si>
    <t>Roofing Equipment and Machinery Maintenance and Repair</t>
  </si>
  <si>
    <t>Scaffolding Maintenance and Repair</t>
  </si>
  <si>
    <t>School Equipment Maintenance and Repair, Including Resurfacing Slate Blackboards</t>
  </si>
  <si>
    <t>*Security and Access Systems Maintenance and Repair</t>
  </si>
  <si>
    <t>Signs, Message Centers, Scoreboards, etc., Including Sign Making Equipment, Maintenance and Repair (See 968-81 for Traffic Sign Maintenance)</t>
  </si>
  <si>
    <t>Stockman Equipment and Tools Maintenance and Repair</t>
  </si>
  <si>
    <t>Stone, Rock, and Ceramic Equipment Maintenance and Repair</t>
  </si>
  <si>
    <t>Substation High Voltage, Electrical Maintenance and Repair</t>
  </si>
  <si>
    <t>Tarpaulins, Tents, and Canvas Items, Maintenance and Repair</t>
  </si>
  <si>
    <t>Storage Equipment Maintenance and Repair</t>
  </si>
  <si>
    <t>Theatrical Equipment Maintenance and Repair</t>
  </si>
  <si>
    <t>Tools, Electric Maintenance and Repair</t>
  </si>
  <si>
    <t>Toll Collection Equipment Maintenance and Repair</t>
  </si>
  <si>
    <t>Towers, Radio/Radar, etc., Maintenance and Repair, Including Painting</t>
  </si>
  <si>
    <t>Traffic Counting Devices, Maintenance and Repair</t>
  </si>
  <si>
    <t>Traffic Control Devices, Maintenance and Repair</t>
  </si>
  <si>
    <t>Transformer, High Voltage Maintenance and Repair</t>
  </si>
  <si>
    <t>Upholstery and Drapery Maintenance and Repair, Including Cleaning</t>
  </si>
  <si>
    <t>Venetian Blinds Maintenance and Repair, Including Cleaning Services</t>
  </si>
  <si>
    <t>*Voting Machine Maintenance and Repair</t>
  </si>
  <si>
    <t>Water Supply and Sewage Treatment Equipment Maintenance and Repair</t>
  </si>
  <si>
    <t>Wagering and Gambling Equipment Maintenance and Repair</t>
  </si>
  <si>
    <t>Weapon Maintenance and Repair</t>
  </si>
  <si>
    <t>Weather Forecasting Equipment Maintenance and Repair</t>
  </si>
  <si>
    <t>Welding Equipment Maintenance and Repair</t>
  </si>
  <si>
    <t>EQUIPMENT MAINTENANCE AND REPAIR SERVICES FOR HOSPITAL, LABORATORY, AND TESTING EQUIPMENT</t>
  </si>
  <si>
    <t>Controlling, Indicating, and Recording Instruments and Supplies Maintenance and Repair</t>
  </si>
  <si>
    <t>CPR Equipment, Including CPR Manikins, Maintenance and Repair</t>
  </si>
  <si>
    <t>Dental Equipment Maintenance and Repair</t>
  </si>
  <si>
    <t>Engineering and Surveying Equipment, Drawing Instruments, etc., Including Photogrammetry Equipment Maintenance and Repair</t>
  </si>
  <si>
    <t>First Aid and Safety Equipment, Except Nuclear and Welding, Maintenance and Repair</t>
  </si>
  <si>
    <t>Forensic Equipment Maintenance and Repair</t>
  </si>
  <si>
    <t>Furniture, Hospital, Specialized, Maintenance and Repair, Including Refinishing and Reupholstering</t>
  </si>
  <si>
    <t>Furniture, Laboratory, Specialized, Maintenance and Repair, Including Refinishing and Reupholstering</t>
  </si>
  <si>
    <t>Gas Equipment, Hospital, Laboratory, and Welding Maintenance and Repair</t>
  </si>
  <si>
    <t>Hospital and Medical Equipment, General, Maintenance and Repair</t>
  </si>
  <si>
    <t>Hospital and Medical Equipment, Invalid, Maintenance and Repair</t>
  </si>
  <si>
    <t>Instrument, Measuring, Observing and Testing Maintenance and Repair</t>
  </si>
  <si>
    <t>Laboratory Equipment and Accessories, General and Analytical Research Use, Nuclear, Optical, Physical Maintenance and Repair</t>
  </si>
  <si>
    <t>Laboratory Equipment and Accessories: Specialized, Biochemistry, Biology, Chemistry, etc., Maintenance and Repair</t>
  </si>
  <si>
    <t>Optical Equipment Maintenance and Repair</t>
  </si>
  <si>
    <t>Pollution Control Equipment Maintenance and Repair</t>
  </si>
  <si>
    <t>Respiratory Equipment, Including Air Tanks, Breathers, Masks, etc., Maintenance and Repair</t>
  </si>
  <si>
    <t>Scales and Weighing Apparatus, Hospital, Laboratory and Testing Types Only, Maintenance and Repair</t>
  </si>
  <si>
    <t>Scientific Equipment Maintenance and Repair</t>
  </si>
  <si>
    <t>Semiconductor Devices and Components Maintenance and Repair</t>
  </si>
  <si>
    <t>Testing and Training Apparatus, Instruments and Machines, Maintenance and Repair</t>
  </si>
  <si>
    <t>Veterinary Equipment and Accessories, Including Cages and Kennels, Maintenance and Repair</t>
  </si>
  <si>
    <t>X-Ray Equipment Maintenance and Repair</t>
  </si>
  <si>
    <t>EQUIPMENT MAINTENANCE AND REPAIR SERVICES FOR COMPUTERS, OFFICE, PHOTOGRAPHIC, RADIO AND TELEVISION EQUIPMENT</t>
  </si>
  <si>
    <t>*Audio-Visual Equipment Maintenance and Repair</t>
  </si>
  <si>
    <t>Calculating Machine, Not Computer, Maintenance and Repair</t>
  </si>
  <si>
    <t>Clocks, Timers, Watches, and Jewelers' and Watchmakers' Tools and Equipment, Including Programming Timers, etc., Maintenance and Repair</t>
  </si>
  <si>
    <t>*Computers, Data Processing Equipment and Accessories, Not Word Processing Equipment, Maintenance and Repair</t>
  </si>
  <si>
    <t>Coolers, Drinking Water, Maintenance and Repair</t>
  </si>
  <si>
    <t>*Copy Machine Maintenance and Repair</t>
  </si>
  <si>
    <t>Dictating Machine Maintenance and Repair</t>
  </si>
  <si>
    <t>Electronic Equipment Maintenance and Repair</t>
  </si>
  <si>
    <t>Energy Systems, Solar, Installation Services</t>
  </si>
  <si>
    <t>*Intercom Equipment Maintenance and Repair</t>
  </si>
  <si>
    <t>Library Machines and Supplies, Maintenance and Repair</t>
  </si>
  <si>
    <t>Mailing Machines and Equipment Maintenance and Repair</t>
  </si>
  <si>
    <t>Microfilm and Microfiche Equipment Maintenance and Repair</t>
  </si>
  <si>
    <t>*Multi-Function Office Machine Maintenance and Repair</t>
  </si>
  <si>
    <t>Office Equipment, Filing Systems, etc., Maintenance and Repair</t>
  </si>
  <si>
    <t>Office Machines and Mechanical Aids, Small, Maintenance and Repair</t>
  </si>
  <si>
    <t>Photographic Equipment, Not Including Graphic Arts, Microfilm, and X-Ray, Maintenance and Repair</t>
  </si>
  <si>
    <t>*Radio, Telecommunications, Telephone Equipment, Including 911 Systems and Facsimile Transceivers, Maintenance and Repair</t>
  </si>
  <si>
    <t>Radio, Television, and Electronic Testing, Measuring, and Analyzing Equipment Maintenance and Repair</t>
  </si>
  <si>
    <t>*Satellite Systems Maintenance and Repair</t>
  </si>
  <si>
    <t>Sound Equipment, Including Microphones, Speakers, Recording Equipment, etc., Installation, Maintenance and Repair</t>
  </si>
  <si>
    <t>*Television Equipment and Accessories, Including Video and Closed Circuit Equipment, Maintenance and Repair</t>
  </si>
  <si>
    <t>Typewriters, Including Braille Writers, Maintenance and Repair</t>
  </si>
  <si>
    <t>Visual Education Equipment Maintenance and Repair</t>
  </si>
  <si>
    <t>Word Processing Equipment Maintenance and Repair</t>
  </si>
  <si>
    <t>EQUIPMENT MAINTENANCE, REPAIR, CONSTRUCTION, AND RELATED SERVICES FOR RAILROADS</t>
  </si>
  <si>
    <t>Cargo Transport Services, Rail</t>
  </si>
  <si>
    <t>Construction, Elevated Transit Station, Including Rehabilitation, Maintenance and Repair</t>
  </si>
  <si>
    <t>Construction, Rail Station and Shop, Including Rehabilitation, Maintenance and Repair</t>
  </si>
  <si>
    <t>Construction, Subway and Subway Station, Including Rehabilitation, Maintenance and Repair</t>
  </si>
  <si>
    <t>Construction, Transit Facility, Other, Including Rehabilitation, Maintenance and Repair)</t>
  </si>
  <si>
    <t>Passenger Transportation Services, Railroad</t>
  </si>
  <si>
    <t>Power Supply Installation, Electric</t>
  </si>
  <si>
    <t>Power Supply, Electric, Maintenance and Repair</t>
  </si>
  <si>
    <t>Rail Car Maintenance and Repair</t>
  </si>
  <si>
    <t>Rail Grinding</t>
  </si>
  <si>
    <t>Railroad Construction at Street Intersection, Including Maintenance and Repair</t>
  </si>
  <si>
    <t>Railroad Switching and Terminal Services</t>
  </si>
  <si>
    <t>Signal System Installation</t>
  </si>
  <si>
    <t>Signal System Maintenance and Repair</t>
  </si>
  <si>
    <t>Tower Construction</t>
  </si>
  <si>
    <t>Tower Maintenance and Repair</t>
  </si>
  <si>
    <t>Track Construction and Inspection</t>
  </si>
  <si>
    <t>Track Maintenance and Repair</t>
  </si>
  <si>
    <t>Tram Construction and Maintenance Services</t>
  </si>
  <si>
    <t>Weed and Brush Control Services</t>
  </si>
  <si>
    <t>EQUIPMENT MAINT., REPAIR, AND RELATED SERVICES FOR POWER GENERATION AND TRANSMISSION EQUIP.</t>
  </si>
  <si>
    <t>Babbiting Services, Industrial Bearing</t>
  </si>
  <si>
    <t>Blade Maintenance and Repair, Electric Power Generator</t>
  </si>
  <si>
    <t>Boiler Maintenance and Repair, Steam, Including Testing Services, (See 941-56 for Hydrostatic Testing)</t>
  </si>
  <si>
    <t>Burner Maintenance and Repair</t>
  </si>
  <si>
    <t>Cathodic Protection Services</t>
  </si>
  <si>
    <t>Circuit Breaker Services, Air</t>
  </si>
  <si>
    <t>Digital and Analog Testing Equipment Maintenance and Repair</t>
  </si>
  <si>
    <t>Gas Chromatagh Systems Maintenance and Repair</t>
  </si>
  <si>
    <t>Heat Exchanger Maintenance and Repair</t>
  </si>
  <si>
    <t>Heating, Steam, Equipment Maintenance and Repair</t>
  </si>
  <si>
    <t>HVAC Systems, Power Plant, Maintenance and Repair</t>
  </si>
  <si>
    <t>Hydrostatic Testing Services, Boiler</t>
  </si>
  <si>
    <t>Inspection and Examination Services, Non-Destructive, Ultrasonic Testing, Dye Penetrant Testing, Radiography, etc.</t>
  </si>
  <si>
    <t>Monitoring Services, Power Generation</t>
  </si>
  <si>
    <t>Motors, Vertical, Maintenance and Repair</t>
  </si>
  <si>
    <t>Pipeline Pressure Flushing Services</t>
  </si>
  <si>
    <t>Power Generating and Transmitting Control System Maintenance and Repair Services</t>
  </si>
  <si>
    <t>Power Plant Equipment Maintenance and Repair (Not Otherwise Classified)</t>
  </si>
  <si>
    <t>Refractory Services</t>
  </si>
  <si>
    <t>Teflon Coating and Lining Services</t>
  </si>
  <si>
    <t>Tube Pressure Testing Services</t>
  </si>
  <si>
    <t>Turbines, Gas, Maintenance and Repair</t>
  </si>
  <si>
    <t>Turbines, Steam, Maintenance and Repair</t>
  </si>
  <si>
    <t>Valves, Control, Fuel Modulation, etc., Maintenance and Repair</t>
  </si>
  <si>
    <t>FARMING AND RANCHING SERVICES, ANIMAL AND CROP</t>
  </si>
  <si>
    <t>Animal Farming and Ranching Services</t>
  </si>
  <si>
    <t>Bean and Pea Farming</t>
  </si>
  <si>
    <t>Citrus Fruit Farming</t>
  </si>
  <si>
    <t>Corn Farming</t>
  </si>
  <si>
    <t>Cotton Farming</t>
  </si>
  <si>
    <t>Crop Farming (Not Otherwise Classified)</t>
  </si>
  <si>
    <t>Fruit and Tree Nut Farming, Not Citrus</t>
  </si>
  <si>
    <t>Grain Farming (Not Otherwise Classified)</t>
  </si>
  <si>
    <t>Hay Farming</t>
  </si>
  <si>
    <t>Miscellaneous Farming Services</t>
  </si>
  <si>
    <t>Oilseed and Grain Farming</t>
  </si>
  <si>
    <t>Peanut Farming</t>
  </si>
  <si>
    <t>Potato Farming</t>
  </si>
  <si>
    <t>Poultry Farming</t>
  </si>
  <si>
    <t>Ranching Services (Not Otherwise Classified)</t>
  </si>
  <si>
    <t>Rice Farming</t>
  </si>
  <si>
    <t>Soybean Farming</t>
  </si>
  <si>
    <t>Sugarcane Farming</t>
  </si>
  <si>
    <t>Tobacco Farming</t>
  </si>
  <si>
    <t>Vegetable and Melon Farming</t>
  </si>
  <si>
    <t>Wheat Farming</t>
  </si>
  <si>
    <t>FISHING, HUNTING, TRAPPING, GAME PROPAGATION, AND RELATED SERVICES</t>
  </si>
  <si>
    <t>Aquaculture: Cultivation of Fish and Shellfish</t>
  </si>
  <si>
    <t>Commercial Fishing Services for Finfish</t>
  </si>
  <si>
    <t>Commercial Fishing Services for Shellfish</t>
  </si>
  <si>
    <t>Commercial Fishing Services for Misc. Marine Products</t>
  </si>
  <si>
    <t>Fish and Marine Life Hatching and Processing Services</t>
  </si>
  <si>
    <t>Game Propagation Services</t>
  </si>
  <si>
    <t>Guide Service: Hunting, Trapping, Fishing</t>
  </si>
  <si>
    <t>Maintenance and Repair, Fishing Equipment</t>
  </si>
  <si>
    <t>Maintenance and Repair, Hunting Equipment</t>
  </si>
  <si>
    <t>Maintenance and Repair, Trapping Equipment</t>
  </si>
  <si>
    <t>Processing Services, Wild Game: Fowl, Deer, Elk, etc.</t>
  </si>
  <si>
    <t>Taxidermy Services</t>
  </si>
  <si>
    <t>Trawling Services</t>
  </si>
  <si>
    <t>Whaling Services</t>
  </si>
  <si>
    <t>FINANCIAL SERVICES</t>
  </si>
  <si>
    <t>Accounting and Billing Services, Including Payroll Services, 3rd Party Reimbursement for Medicare, Medicaid, Private Insurance, etc.</t>
  </si>
  <si>
    <t>Accounting Services (Not Otherwise Classified)</t>
  </si>
  <si>
    <t>Actuarial Services</t>
  </si>
  <si>
    <t>Appraisal Services, Antique, Art, etc.</t>
  </si>
  <si>
    <t>Appraisal Services, Real Estate</t>
  </si>
  <si>
    <t>Appraisal Services (Not Otherwise Classified)</t>
  </si>
  <si>
    <t>Appraisal Services, Art</t>
  </si>
  <si>
    <t>Audit Services</t>
  </si>
  <si>
    <t>Automatic Teller Machine (ATM) Services</t>
  </si>
  <si>
    <t>Banking Services</t>
  </si>
  <si>
    <t>Cash Management Service, Including Budgeting Services</t>
  </si>
  <si>
    <t>Cash/Securities and Bonding Services</t>
  </si>
  <si>
    <t>Certified Public Accountant (CPA) Services</t>
  </si>
  <si>
    <t>Collection Services, Financial Debt</t>
  </si>
  <si>
    <t>Credit Card, Charge Card Services</t>
  </si>
  <si>
    <t>Credit Investigation and Reporting</t>
  </si>
  <si>
    <t>Custom Brokerage Services, Including Stocks and Bonds</t>
  </si>
  <si>
    <t>Employee Benefit Funds</t>
  </si>
  <si>
    <t>Escrow and Title Services</t>
  </si>
  <si>
    <t>Financial Advisor</t>
  </si>
  <si>
    <t>Financial Services (Not Otherwise Classified)</t>
  </si>
  <si>
    <t>Fund Raising Services</t>
  </si>
  <si>
    <t>Grant Writing Services</t>
  </si>
  <si>
    <t>*Installment and Lease Purchase Financing</t>
  </si>
  <si>
    <t>Inventory Services</t>
  </si>
  <si>
    <t>Investment Management Services</t>
  </si>
  <si>
    <t>Loan Administration</t>
  </si>
  <si>
    <t>Mortgage Banking Services</t>
  </si>
  <si>
    <t>Monetary Systems, Including Analysis, Liquidity, Policy, etc.</t>
  </si>
  <si>
    <t>Notary Public Services</t>
  </si>
  <si>
    <t>Payment Card Services</t>
  </si>
  <si>
    <t>Retirement Planning Services</t>
  </si>
  <si>
    <t>Securities and Commodities Market Services, Including Direct or Indirect Purchases, Sales and Transitions of Equities, Fixed Income, Options and Derivatives</t>
  </si>
  <si>
    <t>Smartcards, Limited and Standard Use Proximity Integrated Circuit Card (LU-PICC AND PICC)</t>
  </si>
  <si>
    <t>Statistical Services</t>
  </si>
  <si>
    <t>Tax Services, Including Tax Preparation, Advisory Services, etc.</t>
  </si>
  <si>
    <t>Trusts, Estates and Agency Accounts</t>
  </si>
  <si>
    <t>FORESTRY SERVICES</t>
  </si>
  <si>
    <t>Conservation Services, Forest</t>
  </si>
  <si>
    <t>Firefighting Services, Forestry</t>
  </si>
  <si>
    <t>Forest Nursery and Gathering Services</t>
  </si>
  <si>
    <t>Forestry Economic and Marketing Services, Including Forestry Resources Services</t>
  </si>
  <si>
    <t>Harvesting Services, Forest</t>
  </si>
  <si>
    <t>Logging Services</t>
  </si>
  <si>
    <t>Maintenance and Repair, Forestry Equipment</t>
  </si>
  <si>
    <t>Raking Services, Pine Straw</t>
  </si>
  <si>
    <t>Timber Production Services</t>
  </si>
  <si>
    <t>Tree Farm Operation and Management Services</t>
  </si>
  <si>
    <t>HEALTH RELATED SERVICES (SEE CLASS 952 FOR HUMAN SERVICES)</t>
  </si>
  <si>
    <t>Administration Services, Health</t>
  </si>
  <si>
    <t>Ambulance Services, Non-emergency (See 990-37 for Emergency Ambulance Services)</t>
  </si>
  <si>
    <t>Audiology Services, Including Hearing Aid Services</t>
  </si>
  <si>
    <t>Cytology Screening Services</t>
  </si>
  <si>
    <t>Dental Laboratory Services</t>
  </si>
  <si>
    <t>Dental Services</t>
  </si>
  <si>
    <t>Dental Prosthetic Manufacturing Services</t>
  </si>
  <si>
    <t>Dietician Services</t>
  </si>
  <si>
    <t>Disease Prevention and Control Services, Non-Contagious (See 948-92 for Vaccination Services)</t>
  </si>
  <si>
    <t>Disease Prevention and Control Services, Contagious (See 948-92 for Vaccination Services)</t>
  </si>
  <si>
    <t>Exercise Program Services (Inactive, please see commodity code 948-73 effective January 1, 2016)</t>
  </si>
  <si>
    <t>Experimental Medical Services</t>
  </si>
  <si>
    <t>Health Information Services</t>
  </si>
  <si>
    <t>Health Physics Services</t>
  </si>
  <si>
    <t>Home Health Care Services</t>
  </si>
  <si>
    <t>Hospital Services, Inpatient and Outpatient</t>
  </si>
  <si>
    <t>Health Care Center Services</t>
  </si>
  <si>
    <t>Health Care Services (Not Otherwise Classified)</t>
  </si>
  <si>
    <t>Hygiene Services, Industrial</t>
  </si>
  <si>
    <t>Imaging and Diagnostic Services</t>
  </si>
  <si>
    <t>Infant Mortality Reduction Initiative</t>
  </si>
  <si>
    <t>Laser Light and Electro Stimulation Services, Including Acupuncture Services</t>
  </si>
  <si>
    <t>Massage Services</t>
  </si>
  <si>
    <t>Medical and Laboratory Services, Non-Physician</t>
  </si>
  <si>
    <t>MEDICAL SERVICES, SURGICAL</t>
  </si>
  <si>
    <t>Nursing Services</t>
  </si>
  <si>
    <t>Nursing Home Services</t>
  </si>
  <si>
    <t>Optician and Optometrical Services. Non-Physician</t>
  </si>
  <si>
    <t>Physician Credentialing Services</t>
  </si>
  <si>
    <t>Pharmaceutical Services</t>
  </si>
  <si>
    <t>Physical Fitness Programs</t>
  </si>
  <si>
    <t>Professional Medical Services: Physicians, Pharmacists, and All Specialties</t>
  </si>
  <si>
    <t>Prosthetic Manufacturing Services, Other Than Dental</t>
  </si>
  <si>
    <t>Psychologists, Psychological and Psychiatric Services, Including Behavioral Management Services</t>
  </si>
  <si>
    <t>Radiation Control and Leak Detection Services</t>
  </si>
  <si>
    <t>Radiation Therapy Treatment Services</t>
  </si>
  <si>
    <t>Research and Science Services, Medical</t>
  </si>
  <si>
    <t>Sanitizing and Disinfecting Services, Health Related Services</t>
  </si>
  <si>
    <t>Sanitary Napkin Disposal Services</t>
  </si>
  <si>
    <t>Therapy and Rehabilitation Services</t>
  </si>
  <si>
    <t>*Telemedical Professional Services</t>
  </si>
  <si>
    <t>Vaccination Program Services</t>
  </si>
  <si>
    <t>Waste Disposal Services, Medical</t>
  </si>
  <si>
    <t>X-Ray Services (Incl. Dental)</t>
  </si>
  <si>
    <t>FINANCIAL SERVICES, HIGHER EDUCATION</t>
  </si>
  <si>
    <t>Arbitrage</t>
  </si>
  <si>
    <t>Assets-Doctoral Fees, University Funded</t>
  </si>
  <si>
    <t>Assets-Doctoral Tuition, University Funded</t>
  </si>
  <si>
    <t>Assets-Masters Fees, University Funded</t>
  </si>
  <si>
    <t>Assets-Masters Tuition, University Funded</t>
  </si>
  <si>
    <t>Bad Debt Expense, C and G Private and Other</t>
  </si>
  <si>
    <t>Bad Debt Expense, Fees</t>
  </si>
  <si>
    <t>Bad Debt Expense, Gift and Pledges</t>
  </si>
  <si>
    <t>Bad Debt Expense, Other Sales</t>
  </si>
  <si>
    <t>Bad Debt Expense, Professional Fees</t>
  </si>
  <si>
    <t>Bad Debt Expense, Tuition</t>
  </si>
  <si>
    <t>Defeasance of State Bonds</t>
  </si>
  <si>
    <t>Development Fee</t>
  </si>
  <si>
    <t>Development Fee Return</t>
  </si>
  <si>
    <t>Dormitory Charges for Students</t>
  </si>
  <si>
    <t>Financial and Accounting Services, Bonds</t>
  </si>
  <si>
    <t>Financial and Accounting Services, Notes and Loans</t>
  </si>
  <si>
    <t>Fines and Penalties</t>
  </si>
  <si>
    <t>Increase and Decrease in Self Insured Liability</t>
  </si>
  <si>
    <t>Inter-Agency Contracts and Transactions</t>
  </si>
  <si>
    <t>Interest, Other</t>
  </si>
  <si>
    <t>Interest on Other, Notes and Loans</t>
  </si>
  <si>
    <t>Interest on State Bonds</t>
  </si>
  <si>
    <t>Interest on State Notes and Loans</t>
  </si>
  <si>
    <t>Inventory Adjustment, Resale Items</t>
  </si>
  <si>
    <t>Investment Fees</t>
  </si>
  <si>
    <t>Loan Repayment to Other State Agencies</t>
  </si>
  <si>
    <t>Named Recipient Deposit</t>
  </si>
  <si>
    <t>Named Recipient Scholarship Expense</t>
  </si>
  <si>
    <t>Other Expenses, Local Only</t>
  </si>
  <si>
    <t>Other Intangible Assets-Term &gt;$100K</t>
  </si>
  <si>
    <t>Penalty on Late Payment to Vendor</t>
  </si>
  <si>
    <t>Principal on Other Indebtedness</t>
  </si>
  <si>
    <t>Principal on Other Notes and Loans</t>
  </si>
  <si>
    <t>Principal on State Bonds</t>
  </si>
  <si>
    <t>Principal on State Notes and Loans</t>
  </si>
  <si>
    <t>Procard Expense to be Allocated</t>
  </si>
  <si>
    <t>Return of Loan Funds, Financial Aid Only</t>
  </si>
  <si>
    <t>Royalty Distribution Services</t>
  </si>
  <si>
    <t>Scholar Loan</t>
  </si>
  <si>
    <t>Scholarship Discounts</t>
  </si>
  <si>
    <t>Scholarships, Graduate</t>
  </si>
  <si>
    <t>Scholarships, Post Doctoral</t>
  </si>
  <si>
    <t>Scholarships, Undergraduate</t>
  </si>
  <si>
    <t>Self Insured Program, Authorization Fee</t>
  </si>
  <si>
    <t>Self Insured Program, Administrative COBRA</t>
  </si>
  <si>
    <t>Self Insured Program, Administrative Fee</t>
  </si>
  <si>
    <t>Self Insured Program, Auto Plan</t>
  </si>
  <si>
    <t>Self Insured Program, Dental</t>
  </si>
  <si>
    <t>Self Insured Program, Disease Management</t>
  </si>
  <si>
    <t>Self Insured Program, Medical</t>
  </si>
  <si>
    <t>Self Insured Program, Prescription Drug</t>
  </si>
  <si>
    <t>Self Insured Property Claims Paid</t>
  </si>
  <si>
    <t>Service Charges, Bonds</t>
  </si>
  <si>
    <t>Service Charges, Notes and Loans</t>
  </si>
  <si>
    <t>Stipends for Sponsored Research, Teacher</t>
  </si>
  <si>
    <t>Stop Loss Insurance</t>
  </si>
  <si>
    <t>Teacher Tuition and Fees, Federal and Non-Professional</t>
  </si>
  <si>
    <t>Teacher Tuition and Fees, Private for Professors</t>
  </si>
  <si>
    <t>Travel and Other Part Expense, Teacher</t>
  </si>
  <si>
    <t>Tuition and Fee Remissions and Exemptions</t>
  </si>
  <si>
    <t>Tuition Rebates</t>
  </si>
  <si>
    <t>Unemployment Compensation Claims</t>
  </si>
  <si>
    <t>Visa Processing Fees</t>
  </si>
  <si>
    <t>Worker's Comp., Employee Mileage, Lodging and Other</t>
  </si>
  <si>
    <t>Worker's Comp., Indemnity Claims</t>
  </si>
  <si>
    <t>Worker's Comp., Medical Services</t>
  </si>
  <si>
    <t>Worker's Comp., Other Contracted Services</t>
  </si>
  <si>
    <t>GRANTS, HIGHER EDUCATION</t>
  </si>
  <si>
    <t>Administrative Cost Recovery.</t>
  </si>
  <si>
    <t>Grants, Cities</t>
  </si>
  <si>
    <t>Grants, Cities, Indirect Cost</t>
  </si>
  <si>
    <t>Grants, Community Service Projects, IDC</t>
  </si>
  <si>
    <t>Grants, Community Service Programs</t>
  </si>
  <si>
    <t>Grants, Conferences and Seminars</t>
  </si>
  <si>
    <t>Grants, Counties</t>
  </si>
  <si>
    <t>Grants, Counties, IDC, HIGHER EDUCATION</t>
  </si>
  <si>
    <t>Grants, Individuals</t>
  </si>
  <si>
    <t>Grants, Individuals, IDC</t>
  </si>
  <si>
    <t>Grants, Junior Colleges</t>
  </si>
  <si>
    <t>Grants, Junior Colleges, IDC</t>
  </si>
  <si>
    <t>Grants, Other Political Subdivisions, IDC</t>
  </si>
  <si>
    <t>Grants, Other Political Subdivisions</t>
  </si>
  <si>
    <t>Grants, Senior Colleges and Universities</t>
  </si>
  <si>
    <t>Grants, Senior Colleges and Universities, IDC</t>
  </si>
  <si>
    <t>Grants, Student Tuition and Fees, No IDC</t>
  </si>
  <si>
    <t>Grants, Student Stipends on SPR</t>
  </si>
  <si>
    <t>Grants, Student Tuition and Fees</t>
  </si>
  <si>
    <t>Grants, Travel and Other Related Expenses</t>
  </si>
  <si>
    <t>Subawards, Federal, Other First $25,000</t>
  </si>
  <si>
    <t>Subawards, Federal, State, First $25,000</t>
  </si>
  <si>
    <t>Subawards, Federal, First $25.000</t>
  </si>
  <si>
    <t>Subawards, State, First $25,000</t>
  </si>
  <si>
    <t>Subawards, Other Srcs-Oth Ents-First $25.000</t>
  </si>
  <si>
    <t>Subs Fed Other After First $25,000</t>
  </si>
  <si>
    <t>Subs Other Feds, Other After First $25,000</t>
  </si>
  <si>
    <t>Subs-Fed-State, After First $25,000</t>
  </si>
  <si>
    <t>Subs-Fed, After First $25,000</t>
  </si>
  <si>
    <t>Subs-Other, After First $25,000</t>
  </si>
  <si>
    <t>Subs-Other, First $25,000</t>
  </si>
  <si>
    <t>Subs-State, State after first $25,000</t>
  </si>
  <si>
    <t>Subs-State, State first $25,000</t>
  </si>
  <si>
    <t>Subs-State, After First $25,000</t>
  </si>
  <si>
    <t>SWCAP Reimbursement to GR</t>
  </si>
  <si>
    <t>HIGHER EDUCATION MISCELLANEOUS</t>
  </si>
  <si>
    <t>Administrative Allowance, Higher Education</t>
  </si>
  <si>
    <t>Auxiliary Administrative Cost</t>
  </si>
  <si>
    <t>Employee Comp Training, Tuition</t>
  </si>
  <si>
    <t>Employment Contract Payout (SAGO only)</t>
  </si>
  <si>
    <t>Facilities and Other Improvements, Drives, Parking Lots, Paths, Trails</t>
  </si>
  <si>
    <t>Facilities and Other Improvements, Fences</t>
  </si>
  <si>
    <t>Facilities and Other Improvements, Sports Facilities</t>
  </si>
  <si>
    <t>Filing Fees, Documents</t>
  </si>
  <si>
    <t>Game Guarantee Expense</t>
  </si>
  <si>
    <t>Infrastructure, Preservation Costs</t>
  </si>
  <si>
    <t>Infrastructure, Telecommunications</t>
  </si>
  <si>
    <t>Infrastructure and Infrastructure Improvements</t>
  </si>
  <si>
    <t>Infrastructure Support</t>
  </si>
  <si>
    <t>Inter Divisional Services</t>
  </si>
  <si>
    <t>Items for Resale, Books</t>
  </si>
  <si>
    <t>Items for Resale, Rebates</t>
  </si>
  <si>
    <t>Items Purchased for Resale</t>
  </si>
  <si>
    <t>Items Purchased for Resale, Exempt</t>
  </si>
  <si>
    <t>Land Improvements</t>
  </si>
  <si>
    <t>Leasehold Improvements</t>
  </si>
  <si>
    <t>Materials Resold to Department, Physical Plant Only</t>
  </si>
  <si>
    <t>Net Change in Pollution Rem Oblig</t>
  </si>
  <si>
    <t>Proving Grounds Services</t>
  </si>
  <si>
    <t>Raw Materials Purchased</t>
  </si>
  <si>
    <t>Raw Materials Purchased, Exempt</t>
  </si>
  <si>
    <t>Recreational Facility Fee</t>
  </si>
  <si>
    <t>Residents</t>
  </si>
  <si>
    <t>Service Charges</t>
  </si>
  <si>
    <t>Student Organization Finance Center, Clothing</t>
  </si>
  <si>
    <t>Student Organization Finance Center, Other Expenses</t>
  </si>
  <si>
    <t>Student Organization Finance Center, Rent</t>
  </si>
  <si>
    <t>Subs-State-State-After First $25,000</t>
  </si>
  <si>
    <t>Subs-State-State-First $25,000</t>
  </si>
  <si>
    <t>TIPS Services</t>
  </si>
  <si>
    <t>HUMAN SERVICES</t>
  </si>
  <si>
    <t>Adoption Services</t>
  </si>
  <si>
    <t>Alcohol and Drug Detoxification, Including Rehabilitation)</t>
  </si>
  <si>
    <t>Alcohol and Drug Prevention</t>
  </si>
  <si>
    <t>Alcohol and Drug Testing Services</t>
  </si>
  <si>
    <t>Assisted Living Services</t>
  </si>
  <si>
    <t>Autopsy and Other Coroner Type Services</t>
  </si>
  <si>
    <t>Barber and Beautician Services</t>
  </si>
  <si>
    <t>Babysitting or Nanny Services</t>
  </si>
  <si>
    <t>Bioethical Services</t>
  </si>
  <si>
    <t>Big Brother, Big Sister, and Similar Type Program Services</t>
  </si>
  <si>
    <t>Cemetery Services, Including Operation, Management, and Maintenance</t>
  </si>
  <si>
    <t>Case Management</t>
  </si>
  <si>
    <t>Chaplain and Minister Services</t>
  </si>
  <si>
    <t>Child Abuse: Identification, Treatment, and Prevention, Including Sexual Abuse</t>
  </si>
  <si>
    <t>Child Care Services, Including  Food Programs</t>
  </si>
  <si>
    <t>Community Garden Program</t>
  </si>
  <si>
    <t>Correctional Services</t>
  </si>
  <si>
    <t>Counseling Services</t>
  </si>
  <si>
    <t>Community Service Campaigns, Anti-Litter Programs, Bicycle Share Programs etc.</t>
  </si>
  <si>
    <t>Court Intervention Services</t>
  </si>
  <si>
    <t>Cultural Administration and Promotion Services</t>
  </si>
  <si>
    <t>Day Care, Preschool</t>
  </si>
  <si>
    <t>Day Care, Adult</t>
  </si>
  <si>
    <t>Day Care Training Consortium</t>
  </si>
  <si>
    <t xml:space="preserve">Dating and Escort Services                                                                                                                                                                                                                                </t>
  </si>
  <si>
    <t>Delivered Meals</t>
  </si>
  <si>
    <t>Discrimination Investigation</t>
  </si>
  <si>
    <t>Domicile Services</t>
  </si>
  <si>
    <t>Elder Abuse Prevention Services</t>
  </si>
  <si>
    <t>Emergency Food Services</t>
  </si>
  <si>
    <t>Emergency Shelter Services</t>
  </si>
  <si>
    <t>Employee Assistance Programs, Including Unemployment Compensation Administration Services and Try-out Employment</t>
  </si>
  <si>
    <t>Employment Generating Activities</t>
  </si>
  <si>
    <t>Elderly Assistance Services</t>
  </si>
  <si>
    <t>Face and Body Beauty Treatment Services</t>
  </si>
  <si>
    <t>Family Planning</t>
  </si>
  <si>
    <t>Family and Social Services, Including Shopping and Buying Services</t>
  </si>
  <si>
    <t>Fire Fighting and Prevention Services, Buildings, Homes, etc., (See 990-43 for Oil and Gas Well Fires)</t>
  </si>
  <si>
    <t>Food Stamps and Coupons</t>
  </si>
  <si>
    <t>Foster Care Services</t>
  </si>
  <si>
    <t>Genetic Parentage Testing Services (DNA)</t>
  </si>
  <si>
    <t>Housing Services</t>
  </si>
  <si>
    <t>Head Start Program</t>
  </si>
  <si>
    <t>Home Management</t>
  </si>
  <si>
    <t>Homemaker Services</t>
  </si>
  <si>
    <t>Homelessness Prevention Services</t>
  </si>
  <si>
    <t>Housekeeping Services</t>
  </si>
  <si>
    <t>Human Population Census Services</t>
  </si>
  <si>
    <t>Human Resources Development Services</t>
  </si>
  <si>
    <t>Human Services (Not Otherwise Classified)</t>
  </si>
  <si>
    <t>Job Search Workshop</t>
  </si>
  <si>
    <t>Law Enforcement, Community Relations Services, Including Victim Notification Services</t>
  </si>
  <si>
    <t>Mental Health Services: Vocational, Residential, Etc.</t>
  </si>
  <si>
    <t>Mortuary and Funeral Services, Including Crematory Services</t>
  </si>
  <si>
    <t>Musical Awareness Services</t>
  </si>
  <si>
    <t>Parenting Intervention Services</t>
  </si>
  <si>
    <t>Personal Care Services</t>
  </si>
  <si>
    <t>Rape and Sexual Assault Prevention Services</t>
  </si>
  <si>
    <t>Reading Services for the Blind</t>
  </si>
  <si>
    <t>Referral Services</t>
  </si>
  <si>
    <t>Refugee Assistance Services</t>
  </si>
  <si>
    <t>Respite Care Services</t>
  </si>
  <si>
    <t>*Research and Evaluation, Human Services, Including Productivity Audits</t>
  </si>
  <si>
    <t>Safe Housing</t>
  </si>
  <si>
    <t>Senior Aides Program</t>
  </si>
  <si>
    <t>Community Redevelopment Services</t>
  </si>
  <si>
    <t>SUICIDE PREVENTION SERVICES</t>
  </si>
  <si>
    <t>Youth Program Services</t>
  </si>
  <si>
    <t>Supplemental Food Services</t>
  </si>
  <si>
    <t>Support Services</t>
  </si>
  <si>
    <t>Teenage Pregnancy Services</t>
  </si>
  <si>
    <t>*Training and Instruction Services, Clients, Not Staff</t>
  </si>
  <si>
    <t>Transitional Domicile Services</t>
  </si>
  <si>
    <t>Transitional Living Services</t>
  </si>
  <si>
    <t>Try-out Employment Services</t>
  </si>
  <si>
    <t>Transportation Services: Elderly, Handicapped, Incapacitated, Prisoners, Juries, Students. Etc.</t>
  </si>
  <si>
    <t>Youth Care Services</t>
  </si>
  <si>
    <t>Urban and Regional Development Services</t>
  </si>
  <si>
    <t>INSURANCE AND INSURANCE SERVICES, ALL TYPES</t>
  </si>
  <si>
    <t>Accident Insurance</t>
  </si>
  <si>
    <t>Aviation Insurance</t>
  </si>
  <si>
    <t>Boiler Insurance</t>
  </si>
  <si>
    <t>Claims Processing</t>
  </si>
  <si>
    <t>Collision Insurance, Automotive</t>
  </si>
  <si>
    <t>Comprehensive Insurance, Automotive</t>
  </si>
  <si>
    <t>Crime Insurance</t>
  </si>
  <si>
    <t>Disability Insurance</t>
  </si>
  <si>
    <t>Fidelity and Surety Insurance</t>
  </si>
  <si>
    <t>Fire Insurance</t>
  </si>
  <si>
    <t>Flood Insurance</t>
  </si>
  <si>
    <t>Health and Hospitalization Insurance, Including Dental and Visual Insurance</t>
  </si>
  <si>
    <t>Inland Marine Insurance</t>
  </si>
  <si>
    <t>Insurance and Insurance Services (Not Otherwise Classified)</t>
  </si>
  <si>
    <t>Investigation Services</t>
  </si>
  <si>
    <t>Liability Insurance, Automotive</t>
  </si>
  <si>
    <t>Liability Insurance, General</t>
  </si>
  <si>
    <t>Liability Insurance, Professional</t>
  </si>
  <si>
    <t>Liability Insurance, Public Official and Government</t>
  </si>
  <si>
    <t>Life Insurance</t>
  </si>
  <si>
    <t>Malpractice Insurance, General</t>
  </si>
  <si>
    <t>Malpractice Insurance, Legal</t>
  </si>
  <si>
    <t>Malpractice Insurance, Medical</t>
  </si>
  <si>
    <t>Property and Casualty Insurance</t>
  </si>
  <si>
    <t>Receiver Services, Special Deputy, Insurance</t>
  </si>
  <si>
    <t>Reinsurance Services</t>
  </si>
  <si>
    <t>Retirement Benefit Plan Insurance</t>
  </si>
  <si>
    <t>Sports Insurance</t>
  </si>
  <si>
    <t>Title Insurance</t>
  </si>
  <si>
    <t>Unemployment Insurance</t>
  </si>
  <si>
    <t>Worker's Compensation</t>
  </si>
  <si>
    <t>LAUNDRY AND DRY CLEANING SERVICES</t>
  </si>
  <si>
    <t>Cloth Towel Service</t>
  </si>
  <si>
    <t>Laundry Services, Clothing, Hats and Uniforms</t>
  </si>
  <si>
    <t>Laundry and Linen Service, (Not Otherwise Classified)</t>
  </si>
  <si>
    <t>Mop Cleaning Service</t>
  </si>
  <si>
    <t>Dry Cleaning Service</t>
  </si>
  <si>
    <t>Shop Towels, Shop Aprons, Floor Mats, etc. Cleaning Services</t>
  </si>
  <si>
    <t>LIBRARY AND SUBSCRIPTION SERVICES, INCLUDING RESEARCH SERVICES, INTERNET AND PERIODICAL SUBSCRIPTIONS</t>
  </si>
  <si>
    <t>*Business Research Services</t>
  </si>
  <si>
    <t>Cataloging Services</t>
  </si>
  <si>
    <t>Historical Studies and Services</t>
  </si>
  <si>
    <t>*Internet Database Subscriptions</t>
  </si>
  <si>
    <t>Library Services, (Not Otherwise Classified)</t>
  </si>
  <si>
    <t>Magazine Subscriptions</t>
  </si>
  <si>
    <t>Microfilm Subscriptions</t>
  </si>
  <si>
    <t>Newsletter Subscriptions</t>
  </si>
  <si>
    <t>Newspaper Subscriptions</t>
  </si>
  <si>
    <t>Professional Document and Publication Subscriptions: Legal, Medical, etc.</t>
  </si>
  <si>
    <t>Professional Journal Subscriptions</t>
  </si>
  <si>
    <t>Research Services, Other Than Business</t>
  </si>
  <si>
    <t>Scientific Research Services</t>
  </si>
  <si>
    <t>Talking Books, Cassettes, etc.</t>
  </si>
  <si>
    <t>Training Material Subscriptions</t>
  </si>
  <si>
    <t>MANAGEMENT AND OPERATION SERVICES</t>
  </si>
  <si>
    <t>Agricultural Management Services (Not Otherwise Classified)</t>
  </si>
  <si>
    <t>Airport Management Services</t>
  </si>
  <si>
    <t>*Asset Management Services</t>
  </si>
  <si>
    <t>Wastewater Mud Treatment Services</t>
  </si>
  <si>
    <t>Bio-Solids Management Services</t>
  </si>
  <si>
    <t>Bookstore Management Services</t>
  </si>
  <si>
    <t>Border Security Management and Operation Services</t>
  </si>
  <si>
    <t>Building and Facilities Management Services</t>
  </si>
  <si>
    <t>Business Management Services</t>
  </si>
  <si>
    <t>Cemetery Management Services</t>
  </si>
  <si>
    <t>Child Care Center Management and Operation Services</t>
  </si>
  <si>
    <t>*Computer Management Services</t>
  </si>
  <si>
    <t>Conservation/Resource Management Services</t>
  </si>
  <si>
    <t>Construction Management Services</t>
  </si>
  <si>
    <t>Corrections Management Services</t>
  </si>
  <si>
    <t>Crop Management Services, Including Production, Protection, etc.</t>
  </si>
  <si>
    <t>Exhibition/Exposition Management Services</t>
  </si>
  <si>
    <t>Farm Management Services, Including Dairy, Pasture and Range Management</t>
  </si>
  <si>
    <t>Financial Management Services</t>
  </si>
  <si>
    <t>Fishery Management Services, Including Data Collection, Research and Experimentation, Resources Protection, etc.</t>
  </si>
  <si>
    <t>*Fleet Management Services</t>
  </si>
  <si>
    <t>Food Management Services, Including Hygiene, Contamination, Preservation, Research, etc.</t>
  </si>
  <si>
    <t>Forestry Management Services, Including Inventory, Monitoring, Extension, Pest Control, etc.</t>
  </si>
  <si>
    <t>Freight Management Services</t>
  </si>
  <si>
    <t>*Fuel Management Services</t>
  </si>
  <si>
    <t>Health Care Management Services, Including Managed Care Services</t>
  </si>
  <si>
    <t>Housekeeping Management Services</t>
  </si>
  <si>
    <t>Hospital Management Services</t>
  </si>
  <si>
    <t>Industrial Management Services</t>
  </si>
  <si>
    <t>Incentive Management Program Services, Safety, etc.</t>
  </si>
  <si>
    <t>Insurance and Risk Management Services</t>
  </si>
  <si>
    <t>Irrigation System Management Services</t>
  </si>
  <si>
    <t>Janitorial Management Services</t>
  </si>
  <si>
    <t>Laundry Management Services</t>
  </si>
  <si>
    <t>Livestock Management and Industry Services</t>
  </si>
  <si>
    <t>Lottery Management Services</t>
  </si>
  <si>
    <t>Mental Health Management Services, Including Operations, Facilities Maintenance, Nursing, Food Service, etc. 24/7</t>
  </si>
  <si>
    <t>*Support Services, Management</t>
  </si>
  <si>
    <t>Lakes, Rivers, and Other Waterways Management</t>
  </si>
  <si>
    <t>*Outsourcing Services for Management, Operation, Purchasing, etc.</t>
  </si>
  <si>
    <t>Orchard and Vineyard Management Services</t>
  </si>
  <si>
    <t>Parking Management Services, Including Operations, Admissions, and Supervision</t>
  </si>
  <si>
    <t>*Human Resources Management Services</t>
  </si>
  <si>
    <t>Pipeline Management Services</t>
  </si>
  <si>
    <t>*Project Management Services</t>
  </si>
  <si>
    <t>Property Management Services</t>
  </si>
  <si>
    <t>Racing Management Services</t>
  </si>
  <si>
    <t>*Records Management Services, Including Document Management Services and Technology Integration</t>
  </si>
  <si>
    <t>Real Estate Management Services, Including Listing, Sales And Broker Services</t>
  </si>
  <si>
    <t>*Social Media Management Services</t>
  </si>
  <si>
    <t>Soil and Land Management Services, Including Testing, Protection, Preparation, Planning, etc.</t>
  </si>
  <si>
    <t>Storage/Impound Lot Management Services</t>
  </si>
  <si>
    <t>Storage Tank Management Services</t>
  </si>
  <si>
    <t>Supply Chain Management Services</t>
  </si>
  <si>
    <t>*Telecommunications Management Services</t>
  </si>
  <si>
    <t>Traffic Safety Program Management Services</t>
  </si>
  <si>
    <t>Transit Management Services</t>
  </si>
  <si>
    <t>Travel Management Services</t>
  </si>
  <si>
    <t>Toll Management and Operations Services</t>
  </si>
  <si>
    <t>Warehouse Management Services</t>
  </si>
  <si>
    <t>Utility Management Services</t>
  </si>
  <si>
    <t>Waste Management Services</t>
  </si>
  <si>
    <t>Wildlife and Fish Management Services, Including Endangered Species and Wildlife Census</t>
  </si>
  <si>
    <t>MARINE CONSTRUCTION AND RELATED SERVICES; MARINE EQUIPMENT MAINTENANCE AND REPAIR</t>
  </si>
  <si>
    <t>Aquatic Planting and Harvesting Services</t>
  </si>
  <si>
    <t>Barge Maintenance and Repair</t>
  </si>
  <si>
    <t>Boats and Motors Maintenance and Repair</t>
  </si>
  <si>
    <t>Breakwater Construction, Maintenance, and Repair</t>
  </si>
  <si>
    <t>Buoys and Light Services Including Lighthouses, etc., Maintenance and Repair</t>
  </si>
  <si>
    <t>Cargo Handling Services, Marine</t>
  </si>
  <si>
    <t>Cargo Transport Services, Marine:  Air-Ocean, Ocean-Rail, Ocean-Truck Intermodal Cargo Services</t>
  </si>
  <si>
    <t>Construction Services: Boats, Barges, Ferries, Ships, etc.</t>
  </si>
  <si>
    <t>Construction Services, General Marine</t>
  </si>
  <si>
    <t>Crane Maintenance and Repair, Marine</t>
  </si>
  <si>
    <t>Dam and Levee Construction, Maintenance, Management and Repair</t>
  </si>
  <si>
    <t>Docking and Stevedoring Services</t>
  </si>
  <si>
    <t>Drawbridge Operations Services</t>
  </si>
  <si>
    <t>Electronic and Communication Equipment Services, Including Installation, Maintenance and Repair</t>
  </si>
  <si>
    <t>Ferry Maintenance and Repair</t>
  </si>
  <si>
    <t>Marina Services</t>
  </si>
  <si>
    <t>Marine Equipment Maintenance and Repair, (Not Otherwise Classified)</t>
  </si>
  <si>
    <t>Marine Life Services</t>
  </si>
  <si>
    <t>Marine Survey Services: Sonar Radar, Location/Recovery of Sunken Objects, etc.</t>
  </si>
  <si>
    <t>Passenger Transportation Services, Ship and Ferry, Including Water Taxis</t>
  </si>
  <si>
    <t>Port and Harbor Operation Services</t>
  </si>
  <si>
    <t>Reef Services, Artificial</t>
  </si>
  <si>
    <t>Reef Construction Services Including Maintenance and Repair</t>
  </si>
  <si>
    <t>Reservoir Maintenance and Management Services</t>
  </si>
  <si>
    <t>Seeding Services, Clam and Oyster Bed</t>
  </si>
  <si>
    <t>Ship Maintenance and Repair</t>
  </si>
  <si>
    <t>Storage, Lifting, and Launching of Boats</t>
  </si>
  <si>
    <t>Sunken Vessel Services, Raising, etc.</t>
  </si>
  <si>
    <t>Touring Transportation, Marine</t>
  </si>
  <si>
    <t>Towing Services, Marine</t>
  </si>
  <si>
    <t>Waterfront Construction Services: Piers, Docks, Decking, etc., Including Maintenance and Repair</t>
  </si>
  <si>
    <t>MISCELLANEOUS SERVICES, NO. 1 (NOT OTHERWISE CLASSIFIED)</t>
  </si>
  <si>
    <t>Archeological Services, Other than Consulting</t>
  </si>
  <si>
    <t>Administrative Services, All Kinds</t>
  </si>
  <si>
    <t>Agricultural Services, Including Environmental</t>
  </si>
  <si>
    <t>Artists: Digital, CAD,  Disk Jockey, cultural designs and visual designs</t>
  </si>
  <si>
    <t>Arbitration, Mediation, and Alternative Dispute Resolution Services</t>
  </si>
  <si>
    <t>Beef, Pork, and Other Meat Processing Services (See 961-59 for Poultry Processing and 962-75 for Seafood Processing) (Inactive, please see commodity code 961-38 effective January 1, 2016)</t>
  </si>
  <si>
    <t>Beverage Processing Services All Types</t>
  </si>
  <si>
    <t>Building Permit Services</t>
  </si>
  <si>
    <t>Business Plan Development Services  (Inactive, please see commodity code 918-21 effective January 1, 2016)</t>
  </si>
  <si>
    <t>Chartering Services, Other than services included in 961-13 (Inactive, effective January 1, 2016)</t>
  </si>
  <si>
    <t>Codification of Government Codes, Including Code Conversion and Code Maintenance Services</t>
  </si>
  <si>
    <t>Chartering Services for Aircraft, Boats, Buses, School Buses, and other Transportation</t>
  </si>
  <si>
    <t>Commissioning of Facilities Service, Functional and Prefunctional (Inactive, effective January 1, 2016)</t>
  </si>
  <si>
    <t>Concessions, Catering, Vending: Mobile and Stationary (See Class 905 for Airport Concessions)</t>
  </si>
  <si>
    <t>Claims Processing Services</t>
  </si>
  <si>
    <t>*Interpreter Services - Electronically Assisted - Foreign Language, Hearing Impaired, etc., (See Item 46 For Interpreter Services - Not Electronically Assisted)</t>
  </si>
  <si>
    <t>Refinishing and Resurfacing Services, Concrete, Swimming Pools, Driveways, Patios, etc.</t>
  </si>
  <si>
    <t>Food Trucks and Mobile Catering Carts</t>
  </si>
  <si>
    <t>Customer Service Evaluation Services</t>
  </si>
  <si>
    <t>Cost Estimating</t>
  </si>
  <si>
    <t>Costume Design and Creation Services  (Inactive, please see commodity code 961-73 effective January 1, 2016)</t>
  </si>
  <si>
    <t>Cryogenic Treatment Services for Metals, Plastics, and Glass</t>
  </si>
  <si>
    <t>Court Reporting Services, Including Electronic</t>
  </si>
  <si>
    <t>Dairy Products Processing Services  (Inactive, please see commodity code 961-38 effective January 1, 2016)</t>
  </si>
  <si>
    <t>Material Handling Services: Crating and Packing Services for Transportation</t>
  </si>
  <si>
    <t>Decontamination Services, Including Hazardous Material Decontamination</t>
  </si>
  <si>
    <t>Economic Development, Domestic and Foreign</t>
  </si>
  <si>
    <t>Economic Impact Studies  (Inactive, please see commodity code 918-49 effective January 1, 2016)</t>
  </si>
  <si>
    <t>Employment Agency and Search Firm Service, Including Background Investigations and Drug Testing for Employment</t>
  </si>
  <si>
    <t>Energy Comprehensive Performance Services, Complete Conservation Program (Inactive, please see commodity code 918-41 effective January 1, 2016)</t>
  </si>
  <si>
    <t>Environmental Impact Studies  (Inactive, please see commodity code 918-43 effective January 1, 2016)</t>
  </si>
  <si>
    <t>Geese Control Services  (Inactive, please see commodity code 962-06 effective January 1, 2016)</t>
  </si>
  <si>
    <t>Escort Services, Public Safety</t>
  </si>
  <si>
    <t>Lock Box, Caging Services</t>
  </si>
  <si>
    <t>Food Administrative Services, Including Policy, Standards, Evaluation, etc. (Inactive, please see commodity code 958-44 effective January 1, 2016)</t>
  </si>
  <si>
    <t>Fruit and Vegetable Processing Services  (Inactive, please see commodity code 961-18 effective January 1, 2016)</t>
  </si>
  <si>
    <t>Food Preparation Services, Including Food Canning Services</t>
  </si>
  <si>
    <t>Floral Designing and Arranging Services</t>
  </si>
  <si>
    <t>Forensic Services</t>
  </si>
  <si>
    <t>*Global Positioning Systems (GPS) Surveying Services (Inactive, please see commodity code 961-64 effective January 1, 2016)</t>
  </si>
  <si>
    <t>Grains, Sugar, Oils and Fats Processing Services (Inactive, please see commodity code 961-18 effective January 1, 2016)</t>
  </si>
  <si>
    <t>Hydrological and Oceanography Services</t>
  </si>
  <si>
    <t>Industrial Development and Planning Services</t>
  </si>
  <si>
    <t>Inspection and Certification Services</t>
  </si>
  <si>
    <t>*Interpreter Services for Foreign Language</t>
  </si>
  <si>
    <t>Law Enforcement Services, Including Process Server Services</t>
  </si>
  <si>
    <t>Laboratory and Field Testing Services, Including Hazardous Waste, (Not Otherwise Classified)</t>
  </si>
  <si>
    <t>Legal Services, Attorneys</t>
  </si>
  <si>
    <t>Legal Services Including Depositions and Expert Witness Testimony</t>
  </si>
  <si>
    <t>Lobby Services</t>
  </si>
  <si>
    <t>Laboratory Services which Monitor the Equipment that uses Lubricating Oil or Grease</t>
  </si>
  <si>
    <t>*Marketing Service, Including Distribution, Public Opinion Surveys, Research, Sales Promotions, etc.</t>
  </si>
  <si>
    <t>Milling Services: Asphalt, Grain, Cottonseed, Vegetable, Wood, etc.</t>
  </si>
  <si>
    <t>Mining and Quarrying Services</t>
  </si>
  <si>
    <t>*Program and Project Development and Management Services (Inactive, please see commodity code 958-77 effective January 1, 2016)</t>
  </si>
  <si>
    <t>Musical Production Services (Inactive, please see commodity code 915-09 effective January 1, 2016)</t>
  </si>
  <si>
    <t>Negotiation Services</t>
  </si>
  <si>
    <t>Poultry Hatching and Processing Services  (Inactive, please see commodity code 961-38 effective January 1, 2016)</t>
  </si>
  <si>
    <t>Public Opinion Surveys  (Inactive, please see commodity code 961-53 effective January 1, 2016)</t>
  </si>
  <si>
    <t>Public Speaking Services</t>
  </si>
  <si>
    <t>Human Resource Services</t>
  </si>
  <si>
    <t>Relocation Services for Personnel  (Inactive, please see commodity code 962-56 effective January 1, 2016)</t>
  </si>
  <si>
    <t>*Satellite Global Positioning System Information Services (GPS), Including Surveying Services</t>
  </si>
  <si>
    <t>Scanning and Testing for Electrical Hot-Spots, etc.</t>
  </si>
  <si>
    <t>Sign Making and Painting Services</t>
  </si>
  <si>
    <t>Sign Language Services for the Hearing Impaired  (Inactive, please see commodity code 961-46 effective January 1, 2016)</t>
  </si>
  <si>
    <t>Sports Professionals Services, Including Sports and Recreational Programs, Referee and Umpire Services, Athletic Training</t>
  </si>
  <si>
    <t>*Reverse Auction Services (Inactive, please see commodity code 962-09 effective January 1, 2016)</t>
  </si>
  <si>
    <t>Sugar Refining Services (Inactive, please see commodity code 961-38 effective January 1, 2016)</t>
  </si>
  <si>
    <t>Talent Agency Services</t>
  </si>
  <si>
    <t>Transcription Services: Academic, Braille, Legal, Medical, Electronic Duplication, etc.</t>
  </si>
  <si>
    <t>Theatrical Services, Including Costume Design and Creation, Production, Scenery Design, Stage, etc.</t>
  </si>
  <si>
    <t>Scientist Services: Geology, Geophysics, etc.</t>
  </si>
  <si>
    <t>Translation Services, All Languages</t>
  </si>
  <si>
    <t>*Telemetry Services  (Inactive, please see commodity code 948-55 effective January 1, 2016)</t>
  </si>
  <si>
    <t>Treatment Services, Material, Anticorrosion, Fire Protection, Waterproofing, etc.</t>
  </si>
  <si>
    <t>Travel Agency Services (Inactive, please see commodity code 958-92 effective January 1, 2016)</t>
  </si>
  <si>
    <t>Trade Services, Facilitation, Information, Marketing, Promotion, Trade Agents and Brokers, etc.(Inactive, please see commodity code 918-21 effective January 1, 2016)</t>
  </si>
  <si>
    <t>Tour Guide Services</t>
  </si>
  <si>
    <t>Submarine Services, Including Unmanned Type</t>
  </si>
  <si>
    <t>Transportation Services (Not Otherwise Classified) (Inactive, please see commodity code 962-86 effective January 1, 2016)</t>
  </si>
  <si>
    <t>Utility Services, Electric</t>
  </si>
  <si>
    <t>Utility Services, Gas</t>
  </si>
  <si>
    <t>Utility Services, Water</t>
  </si>
  <si>
    <t>Veterinary Services</t>
  </si>
  <si>
    <t>Volunteer Services</t>
  </si>
  <si>
    <t>Weather Forecasting Services</t>
  </si>
  <si>
    <t>Weatherization Audit Services</t>
  </si>
  <si>
    <t>Writing Services, All Kinds, Including Resumes, Calligrapher and Engrosser Services</t>
  </si>
  <si>
    <t>Water and Petroleum Pipeline Services</t>
  </si>
  <si>
    <t>*Interpreter Services for American Sign Language and other forms of sign language for deaf/hard of hearing whose first language is sign language</t>
  </si>
  <si>
    <t>*Communication Access Realtime Translation (CART) as further explained here in the ADA Requirements for Effective Communication and Closed Captioning for Broadcast Television/Webcasts</t>
  </si>
  <si>
    <t>Zoning, Land Use Studies</t>
  </si>
  <si>
    <t>Modeling Services, Live</t>
  </si>
  <si>
    <t>Non-Professional Services (Not Otherwise Classified)</t>
  </si>
  <si>
    <t>Yarn, Thread, and Related Notions Processing Services (Inactive, effective January 1, 2016)</t>
  </si>
  <si>
    <t>MISCELLANEOUS SERVICES, NO. 2 (NOT OTHERWISE CLASSIFIED)</t>
  </si>
  <si>
    <t>Actor and Thespian Services (Inactive, please see commodity code 962-05 effective January 1, 2016)</t>
  </si>
  <si>
    <t>Air Freshener Services (Inactive, effective January 1, 2016)</t>
  </si>
  <si>
    <t>Amusement and Entertainment Services, Including Performing Arts Professionals and DJ Services</t>
  </si>
  <si>
    <t>Animal Care, Animal Control, Animal Health, Animal Shelter, Animal Trapping, Animal Production (Breeding), Animal Training Services, etc., Including Pet Services, All Types</t>
  </si>
  <si>
    <t>Arts Services, Cultural, Design, Visual, etc.(Inactive, please see commodity code 961-04 effective January 1, 2016)</t>
  </si>
  <si>
    <t>Athletic Training (Inactive, please see commodity code 961-68 effective January 1, 2016)</t>
  </si>
  <si>
    <t>Auctioneering Services, Including On-line and Reverse Auctions</t>
  </si>
  <si>
    <t>Animal Trapping Services (Inactive, please see commodity code 962-06 effective January 1, 2016)</t>
  </si>
  <si>
    <t>Ballistic Testing</t>
  </si>
  <si>
    <t>Vehicle Sharing (Bike, Car, Scooter, etc) and Related Services</t>
  </si>
  <si>
    <t>Hospitality Services (Inactive, please see commodity code 961-15 effective January 1, 2016)</t>
  </si>
  <si>
    <t>Blue Printing Services: Blue Prints, Blue Line, Large Engineering</t>
  </si>
  <si>
    <t>Bomb and Other Explosives Detection Services</t>
  </si>
  <si>
    <t>Bus Transportation Services, School (Inactive, please see commodity code 961-13 effective January 1, 2016)</t>
  </si>
  <si>
    <t>Bus, Taxi, Limousines and Van Transportation Services, Including Operations, Management, and Terminal Services (Inactive, please see commodity code 961-13 effective January 1, 2016)</t>
  </si>
  <si>
    <t>*Cable Construction, Installation and Maintenance, Fiber Optic, Communication, Computer, etc.</t>
  </si>
  <si>
    <t>Cafeteria and Restaurant Services</t>
  </si>
  <si>
    <t>Cesspool Cleaning and Maintenance (Inactive, please see commodity code 910-63 effective January 1, 2016)</t>
  </si>
  <si>
    <t>Cleaning Services, Steam and Pressure</t>
  </si>
  <si>
    <t>Chemical Laboratory Services</t>
  </si>
  <si>
    <t>Chemical Treatment of Boiler and Tower Water</t>
  </si>
  <si>
    <t>Courier/Delivery Services, Including Air Courier Services)</t>
  </si>
  <si>
    <t>Disposal and Removal, Dead Animals</t>
  </si>
  <si>
    <t>Diving Services</t>
  </si>
  <si>
    <t>Document Shredding Services</t>
  </si>
  <si>
    <t>Dump Site Services, Resource Recovery</t>
  </si>
  <si>
    <t>Distribution and Collection of Waste Food for Animals</t>
  </si>
  <si>
    <t>Export/Import Services</t>
  </si>
  <si>
    <t>Electrostatic Painting Services</t>
  </si>
  <si>
    <t>Etching and Stained Glass Services</t>
  </si>
  <si>
    <t>Engraving Services</t>
  </si>
  <si>
    <t>Event Planning Services  (Inactive, please see commodity code 962-60 effective January 1, 2016)</t>
  </si>
  <si>
    <t>Framing Services, Picture</t>
  </si>
  <si>
    <t>Fireworks Display and Carnival Services</t>
  </si>
  <si>
    <t>Flagpole Services</t>
  </si>
  <si>
    <t>Galvanizing, Hot and Cold Dip; Plating Services</t>
  </si>
  <si>
    <t>Hauling Services</t>
  </si>
  <si>
    <t>Food Distribution Services</t>
  </si>
  <si>
    <t>Heat Treating and Tracing Services, Including Induction and Refractory Dryout</t>
  </si>
  <si>
    <t>Heating and Related Services, Induction (Inactive, please see commodity code 962-41 effective January 1, 2016)</t>
  </si>
  <si>
    <t>Hose Testing Services, Fire, Water, etc.</t>
  </si>
  <si>
    <t>Hat Renovation and Reblocking Services, Including Hat Cleaning Service (Inactive, please see commodity code 954-04 effective January 1, 2016)</t>
  </si>
  <si>
    <t>Industrial Services, Electroplating, etc., (Not Otherwise Classified)</t>
  </si>
  <si>
    <t>Installation and Removal Services (Not Otherwise Classified)</t>
  </si>
  <si>
    <t>Hoisting and Lifting Services (Inactive, effective January 1, 2016)</t>
  </si>
  <si>
    <t>Interior Design (Inactive, please see commodity code 906-52 effective January 1, 2016)</t>
  </si>
  <si>
    <t>Leather Tanning and Finishing Services</t>
  </si>
  <si>
    <t>Leak Detection Services: Gas, Water, Chemical</t>
  </si>
  <si>
    <t>Laminating Services</t>
  </si>
  <si>
    <t>Mapping and Geographical Information Systems (GIS) Services, Including Cartography and Surveying Services, Not Aerial, (See 920-33 for Digitized Mapping Services and 905-10 for Aerial Mapping and Survey Services)</t>
  </si>
  <si>
    <t>Marking and Stenciling Services</t>
  </si>
  <si>
    <t>Mattress and Bedspring Renovation and Repair</t>
  </si>
  <si>
    <t>Metal Coating Services: Thermal Spray, High Velocity Oxy-Fuel (H.V.O.F.), Powder Coating</t>
  </si>
  <si>
    <t>Moving and Relocation Services</t>
  </si>
  <si>
    <t>Moving: House, Portable Building, etc.</t>
  </si>
  <si>
    <t>Professional Services (Not Otherwise Classified)</t>
  </si>
  <si>
    <t>Processing Services, Food (Not Otherwise Classified in Classes 961 or 962) (Inactive, please see commodity code 961-38 effective January 1, 2016)</t>
  </si>
  <si>
    <t>Party, Holiday, and Event Decorating and Planning Services</t>
  </si>
  <si>
    <t>Petroleum Production, Refining, Transmission, and Distribution Services for Oil and Gas Wells, (Including Drilling, Exploration, Extraction, Project Management, etc.</t>
  </si>
  <si>
    <t>Pneumatic Tube, Maintenance and Repair</t>
  </si>
  <si>
    <t>Piano Tuning and Repair Services (Inactive, please see commodity code 931-58 effective January 1, 2016)</t>
  </si>
  <si>
    <t>Packaging and Wrapping Services, Including Shrink Wrapping (Inactive, please see commodity code 961-26 effective January 1, 2016)</t>
  </si>
  <si>
    <t>Protection Services, Not Including Buildings (Inactive, please see commodity code 990-46 effective January 1, 2016)</t>
  </si>
  <si>
    <t>Petroleum Refining Services (Inactive, please see commodity code 962-61 effective January 1, 2016)</t>
  </si>
  <si>
    <t>Purification Services for Contaminated Petroleum Products (Inactive, please see commodity code 962-61 effective January 1, 2016)</t>
  </si>
  <si>
    <t>Removal of Wood, Wood Chips, Bark, etc.</t>
  </si>
  <si>
    <t>*Personnel Services, Temporary</t>
  </si>
  <si>
    <t>Removal and Pickup of Dead Bodies</t>
  </si>
  <si>
    <t>Religious Services</t>
  </si>
  <si>
    <t>Restoration and Preservation Services: Antiques, Costumes, Paintings, and Other Objects</t>
  </si>
  <si>
    <t>Restoration and Reclamation Services: Land and Other Properties</t>
  </si>
  <si>
    <t>Ribbons, Re-Inking (Inactive, effective January 1, 2016)</t>
  </si>
  <si>
    <t>Seafood Processing Services (Inactive, please see commodity code 961-38 effective January 1, 2016)</t>
  </si>
  <si>
    <t>Seating and Meeting Services, Public</t>
  </si>
  <si>
    <t>Screenings and Grit Removal Services</t>
  </si>
  <si>
    <t>Sewing, Embroidery, Embossing, and Alteration Services</t>
  </si>
  <si>
    <t>Sign Making Services  (Inactive, please see commodity code 961-66 effective January 1, 2016)</t>
  </si>
  <si>
    <t>Shoe and Boot Repairs, Including Maintenance and Shining</t>
  </si>
  <si>
    <t>Steeplejack Services</t>
  </si>
  <si>
    <t>Silver Recovery Services (Inactive, effective January 1, 2016)</t>
  </si>
  <si>
    <t>Stack Work Services (Inactive, effective January 1, 2016)</t>
  </si>
  <si>
    <t>Tire Shredding, Disposal and Recycling Services</t>
  </si>
  <si>
    <t>Tinting And Coating Services, Glass, Automobile and Building</t>
  </si>
  <si>
    <t>Transportation of Goods, Shipping and Handling, and Other Freight Services</t>
  </si>
  <si>
    <t>Travel, Local, Provided by Third Party</t>
  </si>
  <si>
    <t>Travel, Non-Local, Provided by Third Party</t>
  </si>
  <si>
    <t>Vehicle Transporting Services  (Inactive, please see commodity code 962-86 effective January 1, 2016)</t>
  </si>
  <si>
    <t>Upholstering Services (See Class 928 for Vehicle)</t>
  </si>
  <si>
    <t>Utility Locator Service, Underground</t>
  </si>
  <si>
    <t>Video Scanning of Sewers, Water Wells, etc., Electronic</t>
  </si>
  <si>
    <t>Vehicle Registration Services</t>
  </si>
  <si>
    <t>Water Services, Bottled and Bulk Delivery, Tanker Services</t>
  </si>
  <si>
    <t>Warehousing and Storage Services, Not Storage Space Rental, Including Farm Product Storage in Silos and Grain Elevators</t>
  </si>
  <si>
    <t>Well Services, Including Oil, Gas, and Water): Drilling, Plugging, Consulting, Maintenance, Repair, etc.</t>
  </si>
  <si>
    <t>Weighing and Loading Services (Inactive, please see commodity code 96286 effective January 1, 2016)</t>
  </si>
  <si>
    <t>MISCELLANEOUS FEES, DUES, PERMITS, REGISTRATIONS, REBATES, POSTAGE, TAXES</t>
  </si>
  <si>
    <t>Accreditation Fees</t>
  </si>
  <si>
    <t>Associations</t>
  </si>
  <si>
    <t>Allowances, Stipends, All Types</t>
  </si>
  <si>
    <t>Bonds, Notary</t>
  </si>
  <si>
    <t>Contribution and Donations</t>
  </si>
  <si>
    <t>Fees, Bank</t>
  </si>
  <si>
    <t>Fees, Conference/Convention</t>
  </si>
  <si>
    <t>Fees, Credit Card</t>
  </si>
  <si>
    <t>Fees (Not Otherwise Classified)</t>
  </si>
  <si>
    <t>Fees, Symposium</t>
  </si>
  <si>
    <t>Fees, Tournament</t>
  </si>
  <si>
    <t>Incentives, Rebates and Refunds</t>
  </si>
  <si>
    <t>Intergovernmental and Inter-Agency Contracts</t>
  </si>
  <si>
    <t>Licensing Fees</t>
  </si>
  <si>
    <t>Meals</t>
  </si>
  <si>
    <t>Membership Dues</t>
  </si>
  <si>
    <t>Payments and Fees to Sub-Recipients</t>
  </si>
  <si>
    <t>Permits (Not Otherwise Classified)</t>
  </si>
  <si>
    <t>Postage Related Purchases, Including Postage Stamps, Pre-Sort 1st Class Inscriptions, Postage by Phone for Meters, etc.</t>
  </si>
  <si>
    <t>Registration Fees, (Not Otherwise Classified)</t>
  </si>
  <si>
    <t>Scholarships</t>
  </si>
  <si>
    <t>Sponsorships, All Types</t>
  </si>
  <si>
    <t>Surcharges, Fuel Surcharges and Taxes</t>
  </si>
  <si>
    <t>Toll and Bridge Fees</t>
  </si>
  <si>
    <t>Tours (Inactive, please see commodity code 962-88 effective January 1, 2016)</t>
  </si>
  <si>
    <t>Tuitions</t>
  </si>
  <si>
    <t>Warranties</t>
  </si>
  <si>
    <t>PRINTING: PREPARATIONS, ETCHING, PHOTOENGRAVING, PREPARATION OF MATS, NEGATIVES AND PLATES AND PRINTING SERVICES</t>
  </si>
  <si>
    <t>Alterations, Printing</t>
  </si>
  <si>
    <t>Artwork, Camera Ready</t>
  </si>
  <si>
    <t>Desk Top Publishing Services</t>
  </si>
  <si>
    <t>Etchings, Copper</t>
  </si>
  <si>
    <t>Etchings, Zinc, Ben Day Type</t>
  </si>
  <si>
    <t>Etchings, Zinc or Magnesium Alloy</t>
  </si>
  <si>
    <t>Graphic Design Services for Printing</t>
  </si>
  <si>
    <t>Mat Preparation, Stereotype</t>
  </si>
  <si>
    <t>Negative and Plate Preparation for Offset Printing</t>
  </si>
  <si>
    <t>Plate Preparation, Color Process</t>
  </si>
  <si>
    <t>Plate Preparation, Color, Flat Zinc, Magnesium Alloy, or Plastic</t>
  </si>
  <si>
    <t>Plate Preparation, Copper, Halftone</t>
  </si>
  <si>
    <t>Plate Preparation, Zinc or Magnesium Alloy, Combination and Halftone and Line</t>
  </si>
  <si>
    <t>Plate Preparation, Zinc, Halftone</t>
  </si>
  <si>
    <t>Pre-Press: Color Separations, Composite Film, Stripping, Chromolin or Match-Print Proof, etc.</t>
  </si>
  <si>
    <t>PRINTING AND TYPESETTING SERVICES</t>
  </si>
  <si>
    <t>Bar Code Printing</t>
  </si>
  <si>
    <t>Bumper Stickers Printing</t>
  </si>
  <si>
    <t>Business Cards Printing</t>
  </si>
  <si>
    <t>Card Printing: Tab, Post, Form, etc.</t>
  </si>
  <si>
    <t>Check Printing</t>
  </si>
  <si>
    <t>Continuous Form Printing</t>
  </si>
  <si>
    <t>Copying Service, Reproduction</t>
  </si>
  <si>
    <t>Decal Printing</t>
  </si>
  <si>
    <t>*Digital Printing</t>
  </si>
  <si>
    <t>Electrostatic Printing Services</t>
  </si>
  <si>
    <t>Engraved and Embossed Awards, Bonds, Certificates, Diplomas, Stationery, etc.</t>
  </si>
  <si>
    <t>Envelope and Mailer Printing</t>
  </si>
  <si>
    <t>Forms Printing, Not Continuous</t>
  </si>
  <si>
    <t>Imprinting Services</t>
  </si>
  <si>
    <t>Intaglio Printing (e.g., The Process by Which U.S. Currency is Printed): Birth Certificates, Car Titles, etc.</t>
  </si>
  <si>
    <t>Letterhead Printing</t>
  </si>
  <si>
    <t>Licenses and Back Tags Printing Services (Hunting, Fishing, etc.)</t>
  </si>
  <si>
    <t>Numbering Services, Printing</t>
  </si>
  <si>
    <t>Offset Printing, General, Small Press Work (Quan. up to 25,000), One or More Colors, No 4 Color Processes or Large Solids or Close Registration; up to 11 x 17 In.: Brochures, Newsletters, Covers, Posters, etc.</t>
  </si>
  <si>
    <t>Offset Printing, General, Large Press Work (Quan. up to 100,000); One or More Colors, No 4 Color Processes or Close Registration Required, Finished Sizes May Exceed 11 x 17 In., May Have Large Solids</t>
  </si>
  <si>
    <t>Offset Printing, General, Large Production Runs on Large or Web Press (Quan. Over 100,000), One or More Colors, No 4 Color Processes or Close Registration Required, May Exceed 11 x 17 In. and Have Large Solids</t>
  </si>
  <si>
    <t>Offset Printing, Large Production Runs (Quan. up to 100,000); 4 Color Process or Close Registration Required: Color Brochures, Maps, etc.</t>
  </si>
  <si>
    <t>Offset Printing, Large Production Runs (Quan. Over 100,000); 4 Color Process or Close Registration Required: Color Brochures, Maps, etc.</t>
  </si>
  <si>
    <t>Offset Printing, Booklets, Saddle Stitch Binding (Quan. Under 100,000): Books and Magazines</t>
  </si>
  <si>
    <t>Offset Printing, Booklets, Saddle Stitch Binding (Quantities up to 100,000; 4 Color Process or Tight Registration Required): Books, Magazines, etc.</t>
  </si>
  <si>
    <t>Offset Printing, Booklets, Saddle Stitch Binding (Quantities over 100,000): Books and Magazines</t>
  </si>
  <si>
    <t>Offset Printing, Books, Perfect Bound (Quan. up to 10,000); 4 Color Process Acceptable: College Catalogues, Telephone Books, etc.</t>
  </si>
  <si>
    <t>Offset Printing, Books, Perfect Bound (Quan. Over 10,000); 4 Color Process Acceptable</t>
  </si>
  <si>
    <t>Offset Printing, Custom Bound, Hardback, Leather, etc.: Books</t>
  </si>
  <si>
    <t>Offset Printing, General, Large Press Work (Quan. up to 100,000); One or More Colors, Close Registration Required, No 4-Color Processes, Finished Sizes May Exceed 8-1/2 x 11 in., Newsletters, etc.</t>
  </si>
  <si>
    <t>Offset Printing, General, Large Press Work (Quan. up to 100,000); One or More Colors, Close Registration Required, No 4-Color Processes, Finished Sizes May Exceed 11 x 17 in., May Have Large Solids</t>
  </si>
  <si>
    <t>Optical Scanning Form Printing</t>
  </si>
  <si>
    <t>Paper Cutting, Drilling, Folding, Punching, Shredding, Trimming, etc.</t>
  </si>
  <si>
    <t>Printing of Annotated Laws, Rules, and Changes from the Legislature, Courts, etc. (Copyrighted)</t>
  </si>
  <si>
    <t>Publications Printed on Newsprint or Ground wood Paper Stock (Quan. up to 100,000)</t>
  </si>
  <si>
    <t>Publications Printed on Newsprint or Ground wood Paper Stock (Quan. Over 100,000)</t>
  </si>
  <si>
    <t>Printing on Recycled Stock</t>
  </si>
  <si>
    <t>Print-On-Demand Printing Services, Including Print and Distribute Services</t>
  </si>
  <si>
    <t>Receipt and Voucher Book Printing</t>
  </si>
  <si>
    <t>Security Paper, Custom Printed (Quan. Over 100,000)</t>
  </si>
  <si>
    <t>Silk Screen Printing</t>
  </si>
  <si>
    <t>Snap-Out Form Printing (See 395-70,80 for Continuous Shelf Items)</t>
  </si>
  <si>
    <t>Specialty Printing: Die Cutting, Laser, Plastic, Thermography, etc., Folders, Invitations, Tabs, Binders, Banners, Banner Displays, etc.</t>
  </si>
  <si>
    <t>Tickets, Special Labels and Tapes, Printed, Not Continuous, Prescription Drugs, etc., Pressure Sensitive or Dry Gummed Adhesion Flats, Rolls, Tablets, etc.</t>
  </si>
  <si>
    <t>Tickets, Special Tags, Labels, Printed: Continuous, Gang or Single</t>
  </si>
  <si>
    <t>Typesetting, Hot Type, Linotype</t>
  </si>
  <si>
    <t>Typesetting, Laser</t>
  </si>
  <si>
    <t>Typesetting, Photocomposition, Cold Type</t>
  </si>
  <si>
    <t>Typesetting with Modem Capability</t>
  </si>
  <si>
    <t>PRODUCTION AND MANUFACTURING SERVICES</t>
  </si>
  <si>
    <t>Athletic, Sporting, Recreational, Fishing, Hunting, and Camping Equipment Manufacturing Services</t>
  </si>
  <si>
    <t>Air Conditioning, Heating, and Ventilating Equipment (HVAC) Manufacturing Services</t>
  </si>
  <si>
    <t>Animal Food Manufacturing Services</t>
  </si>
  <si>
    <t>Abrasives Manufacturing Services</t>
  </si>
  <si>
    <t>Aggregate, Concrete or Stone Products: Clay, Refractory Materials and Tile Products, Manufacturing Services</t>
  </si>
  <si>
    <t>Asbestos Products, Manufacturing Services</t>
  </si>
  <si>
    <t>Assembly Line Services</t>
  </si>
  <si>
    <t>Asphalt and Saturated Materials Manufacturing Services</t>
  </si>
  <si>
    <t>Automotive Equipment and Supply Manufacturing Services</t>
  </si>
  <si>
    <t>Building Equipment and Supply Manufacturing Services</t>
  </si>
  <si>
    <t>*Computer Hardware Manufacturing Services</t>
  </si>
  <si>
    <t>*Computer Software Manufacturing Services</t>
  </si>
  <si>
    <t>Container Manufacturing Services: Boxes, Bottles, Bags, Cans, Pouches, etc.</t>
  </si>
  <si>
    <t>Cement, Lime, Plaster or Stucco Products, Manufacturing Services</t>
  </si>
  <si>
    <t>Classroom and Educational Furnishings and Equipment, Manufacturing Services</t>
  </si>
  <si>
    <t>Chemical Products, Including Biochemical, Petrochemical, etc.</t>
  </si>
  <si>
    <t>China, Earthenware or Pottery Products, Manufacturing Services</t>
  </si>
  <si>
    <t>Clothing, Apparel and Accessory Manufacturing Services</t>
  </si>
  <si>
    <t>*Communications Equipment Manufacturing Services</t>
  </si>
  <si>
    <t>Drilling Equipment and Supply Manufacturing Services</t>
  </si>
  <si>
    <t>*Electrical and Electronic Products, Manufacturing Services</t>
  </si>
  <si>
    <t>Food Manufacturing Services, Including Beverages</t>
  </si>
  <si>
    <t>Fabric Manufacturing Services</t>
  </si>
  <si>
    <t>Fertilizer and Soil Conditioner Products, Manufacturing Services</t>
  </si>
  <si>
    <t>Fiber Products, Manufacturing Services</t>
  </si>
  <si>
    <t>Furniture and Furnishings Manufacturing and Production Services</t>
  </si>
  <si>
    <t>Glass Products, Manufacturing Services</t>
  </si>
  <si>
    <t>Hardware Manufacturing Services</t>
  </si>
  <si>
    <t>Janitorial Products Manufacturing Services</t>
  </si>
  <si>
    <t>Leather Manufacturing Services</t>
  </si>
  <si>
    <t>Machinery, All Types</t>
  </si>
  <si>
    <t>Metals and Metal Products, Manufacturing Services</t>
  </si>
  <si>
    <t>Manufacturing Services (Not Otherwise Classified)</t>
  </si>
  <si>
    <t>Nursery Products and Accessories, Manufacturing Services</t>
  </si>
  <si>
    <t>Office Equipment and Supply Manufacturing Services</t>
  </si>
  <si>
    <t>Paper and Pulp Products, Manufacturing Services</t>
  </si>
  <si>
    <t>Paint, Varnish, Lacquer and Related Products Production Services</t>
  </si>
  <si>
    <t>Petroleum Products Manufacturing Services (Including Coal, etc.)</t>
  </si>
  <si>
    <t>Pharmaceutical and Medical Equipment and Products Manufacturing Services</t>
  </si>
  <si>
    <t>Plastics and Plastic Products, Including Fiberglass, Poly, etc., Manufacturing Services</t>
  </si>
  <si>
    <t>Plumbing Equipment, Pipe, Fittings and Fixtures Manufacturing Services</t>
  </si>
  <si>
    <t>*Precision Instruments, Including Scientific, Measuring, Photographic, Optical, Laboratory, etc.</t>
  </si>
  <si>
    <t>Prefabricated and Manufactured Buildings or Homes Manufacturing Services</t>
  </si>
  <si>
    <t>Production Planning and Control</t>
  </si>
  <si>
    <t>Remanufacturing Services (Not Otherwise Classified)</t>
  </si>
  <si>
    <t>Rubber and Rubber Products, Manufacturing Services</t>
  </si>
  <si>
    <t>Safety and Security Equipment Manufacturing Services</t>
  </si>
  <si>
    <t>Semiconductor and Related Equipment Manufacturing Services</t>
  </si>
  <si>
    <t>Shoe, Boot and Footwear Manufacturing Services, All Kinds</t>
  </si>
  <si>
    <t>Tobacco Manufacturing and Processing Services</t>
  </si>
  <si>
    <t>Transport Equipment</t>
  </si>
  <si>
    <t>Tool Manufacturing Services</t>
  </si>
  <si>
    <t>Warehouse and Storage Equipment Manufacturing Services</t>
  </si>
  <si>
    <t>Well Equipment and Supply Manufacturing Services, Oil, Gas, Water, etc.</t>
  </si>
  <si>
    <t>Wood and Wood Products, Manufacturing Services</t>
  </si>
  <si>
    <t>PUBLIC WORKS AND RELATED SERVICES</t>
  </si>
  <si>
    <t>Back Flow Preventer Testing Services</t>
  </si>
  <si>
    <t>Corrosion Analysis Services</t>
  </si>
  <si>
    <t>Corrosion Control Services</t>
  </si>
  <si>
    <t>Crushing, Screening, etc. All types New or Recycled Aggregate, Brick or Stone Products Including Road Materials</t>
  </si>
  <si>
    <t>Ditch Maintenance</t>
  </si>
  <si>
    <t>Dredging Services</t>
  </si>
  <si>
    <t>Dust Control Watering</t>
  </si>
  <si>
    <t>Foundry Services</t>
  </si>
  <si>
    <t>Graffiti Removal Services</t>
  </si>
  <si>
    <t>Incinerator Services, Including Ash Vacuuming</t>
  </si>
  <si>
    <t>Inspection Services, Construction Type</t>
  </si>
  <si>
    <t>Inspection Services, Electrical Instrumentation and Control</t>
  </si>
  <si>
    <t>Leaf, Bush, Tree Limb Collection</t>
  </si>
  <si>
    <t>*Meter Reading Services</t>
  </si>
  <si>
    <t>Property Boundary Line Maintenance and Blue stake Services</t>
  </si>
  <si>
    <t>Parking Meter Services, Including Collection, Installation, and Removal</t>
  </si>
  <si>
    <t>Pavement Marking Services, Including Removal of Markings</t>
  </si>
  <si>
    <t>Pavement Data Collection Services</t>
  </si>
  <si>
    <t>Relocation and or Removal Services for Utility Works</t>
  </si>
  <si>
    <t>Response and Recovery Services, Roadway Incident</t>
  </si>
  <si>
    <t>Right of Way Services, Including Title, Relocation, Condemnation, etc.</t>
  </si>
  <si>
    <t>Sandblasting Services (See 910-83 for Sandblasting of Buildings)</t>
  </si>
  <si>
    <t>Solid or Liquid Waste Disposal, Including Management Services. (See 926-45 for Hazardous Waste Disposal)</t>
  </si>
  <si>
    <t>Snow and Ice Removal Services</t>
  </si>
  <si>
    <t>Storm Drain Cleaning, Repair, and Sludge Removal Services</t>
  </si>
  <si>
    <t>Street Sweeping Services</t>
  </si>
  <si>
    <t>Streetscaping Services (Inactive, effective January 1, 2016)</t>
  </si>
  <si>
    <t>Street Light Maintenance and Repair</t>
  </si>
  <si>
    <t>Traffic Safety Services</t>
  </si>
  <si>
    <t>Tank Installation, Removal, Disposal, and Related Services, Including Septic and Underground Type</t>
  </si>
  <si>
    <t>Telephone, Utility, Light Pole Installation, and Relocation Service</t>
  </si>
  <si>
    <t>Traffic Sign Installation and Removal Services</t>
  </si>
  <si>
    <t>Traffic Sign Maintenance and Repair</t>
  </si>
  <si>
    <t>Traffic Signal Installation</t>
  </si>
  <si>
    <t>Traffic Signal Maintenance and Repair</t>
  </si>
  <si>
    <t>Traffic Control Services, Including Placement and Removal of Control Devices</t>
  </si>
  <si>
    <t>Traffic Counting Services</t>
  </si>
  <si>
    <t>Roadside Assistance; flat tire, dead battery, out of fuel type situations</t>
  </si>
  <si>
    <t>Tree and Shrub Removal Services</t>
  </si>
  <si>
    <t>*Traffic Studies and Analysis Services</t>
  </si>
  <si>
    <t>Vehicle Towing and Storage</t>
  </si>
  <si>
    <t>Water Supply Analysis, Infrastructure Analysis, Water Quality Analysis, and Long Term Planning</t>
  </si>
  <si>
    <t>Water Supply Plant Operating and Monitoring System Services, Including Water Resources Development and Water Quality Management Services</t>
  </si>
  <si>
    <t>Well Pointing Services, Dewatering</t>
  </si>
  <si>
    <t>Waterproofing Systems and Repair</t>
  </si>
  <si>
    <t>Wastewater Treatment Plant, Operations, and Testing</t>
  </si>
  <si>
    <t>Water and Wastewater Treatment Services</t>
  </si>
  <si>
    <t>Wrecking and Removal Services</t>
  </si>
  <si>
    <t>PROFESSIONAL SERVICES, HIGHER EDUCATION</t>
  </si>
  <si>
    <t>Computer Programing Services, CIS</t>
  </si>
  <si>
    <t>Judgments, Extraordinary Items</t>
  </si>
  <si>
    <t>Judgments, Special Items</t>
  </si>
  <si>
    <t>Judgments and Settlements, Attorney Fees</t>
  </si>
  <si>
    <t>Judgments and Settlements, Claimant</t>
  </si>
  <si>
    <t>Judgments and Settlements, Claimant &amp; Attorney</t>
  </si>
  <si>
    <t>Judgments and Settlements (SAGO), HIGHER EDUCATION</t>
  </si>
  <si>
    <t>Judgments and Settlements, Other Legal Expenses</t>
  </si>
  <si>
    <t>Professional Services/Contract Sponsorships</t>
  </si>
  <si>
    <t>Other Services Contracts, Power Plant</t>
  </si>
  <si>
    <t>Patent, Legal Expenses</t>
  </si>
  <si>
    <t>Professional Services, Physical Plant only</t>
  </si>
  <si>
    <t>Professional Services w/receipts (not 1099)</t>
  </si>
  <si>
    <t>Professional Services, Subcontractor and Contractor &gt;$25,000</t>
  </si>
  <si>
    <t>Witness Fees and Allowances (Crime and Administrative Process)</t>
  </si>
  <si>
    <t>REAL PROPERTY RENTAL OR LEASE</t>
  </si>
  <si>
    <t>Athletic Facility Rental or Lease</t>
  </si>
  <si>
    <t>Boat Dock and Marina Space, Rental or Lease</t>
  </si>
  <si>
    <t>Booth, Convention and Exhibit, Rental or Lease</t>
  </si>
  <si>
    <t>Building, Fabricated, Pre-Fabricated or Pre-Manufactured, Rental or Lease</t>
  </si>
  <si>
    <t>Camping and Wilderness Facility Rental or Lease</t>
  </si>
  <si>
    <t>Hangar Facilities for Aircraft, Rental or Lease</t>
  </si>
  <si>
    <t>Hotel and Motel Accommodations, Including Lodges, Resorts, Bed/Breakfast Inns, etc., Rental or Lease</t>
  </si>
  <si>
    <t>Laboratory Space Rental or Lease</t>
  </si>
  <si>
    <t>Land, Rental or Lease</t>
  </si>
  <si>
    <t>Locker Rental or Lease</t>
  </si>
  <si>
    <t>Medical and Health Care Office Space Rental or Lease</t>
  </si>
  <si>
    <t>Mobile Home Rental or Lease</t>
  </si>
  <si>
    <t>Mobile Office Rental or Lease</t>
  </si>
  <si>
    <t>Office Space Rental or Lease</t>
  </si>
  <si>
    <t>Parking Spaces in a Parking Lot or Garage, Rental or Lease</t>
  </si>
  <si>
    <t>Photographic and Recording Facility Rental or Lease</t>
  </si>
  <si>
    <t>Real Estate: Land and Improvements</t>
  </si>
  <si>
    <t>Residential Space Rental or Lease</t>
  </si>
  <si>
    <t>Room Rental or Lease for Conferences, Seminars, etc.</t>
  </si>
  <si>
    <t>Safety Deposit Box Rental or Lease</t>
  </si>
  <si>
    <t>Storage Space Rental or Lease</t>
  </si>
  <si>
    <t>Toilets, Portable, Rental or Lease</t>
  </si>
  <si>
    <t>Warehouse Rental or Lease</t>
  </si>
  <si>
    <t>RESEARCH AND EDUCATIONAL SERVICES, HIGHER EDUCATION</t>
  </si>
  <si>
    <t>Chemical Instrumentation Services</t>
  </si>
  <si>
    <t>DNA Sequencing</t>
  </si>
  <si>
    <t>Dosimetry Services</t>
  </si>
  <si>
    <t>Education Research Center Fees</t>
  </si>
  <si>
    <t>Food Services for Classes</t>
  </si>
  <si>
    <t>Food Services for Instructors</t>
  </si>
  <si>
    <t>Housing for Guest Instructors</t>
  </si>
  <si>
    <t>Lecturers, Higher Education</t>
  </si>
  <si>
    <t>Living Allowance, Non-Employee</t>
  </si>
  <si>
    <t>Materials for Conference Expenses</t>
  </si>
  <si>
    <t>Non-Related Research Services (1099)</t>
  </si>
  <si>
    <t>Participant Costs, Books</t>
  </si>
  <si>
    <t>Participant Costs, Conference and Short Class</t>
  </si>
  <si>
    <t>Participant Costs, Fees</t>
  </si>
  <si>
    <t>Participant Costs, Foreign Travel</t>
  </si>
  <si>
    <t>Participant Costs, Materials</t>
  </si>
  <si>
    <t>Participant Costs, Other</t>
  </si>
  <si>
    <t>Participant Costs, Room and Board</t>
  </si>
  <si>
    <t>Participant Costs, Stipends</t>
  </si>
  <si>
    <t>Participant Costs, Travel</t>
  </si>
  <si>
    <t>Participant Costs, Travel Out of State</t>
  </si>
  <si>
    <t>Participant Costs, Tuition</t>
  </si>
  <si>
    <t>Participant Support Costs, Sponsored</t>
  </si>
  <si>
    <t>Qatar Children Education Spaces</t>
  </si>
  <si>
    <t>Regulatory Services</t>
  </si>
  <si>
    <t>Research Equipment Testing</t>
  </si>
  <si>
    <t>Services for Conference Expenses</t>
  </si>
  <si>
    <t>Training, Non-State Employees</t>
  </si>
  <si>
    <t>Trans Path Research Lab Services</t>
  </si>
  <si>
    <t>Visiting Speakers</t>
  </si>
  <si>
    <t>RENTAL OR LEASE SERVICES OF AGRICULTURAL, AIRCRAFT, AIRPORT, AUTOMOTIVE, MARINE, AND HEAVY EQUIPMENT</t>
  </si>
  <si>
    <t>Aerial Device Rental or Lease</t>
  </si>
  <si>
    <t>Agricultural Tractors, Mowers, Implements and Accessories Rental or Lease</t>
  </si>
  <si>
    <t>Airport Equipment and Accessories Rental or Lease</t>
  </si>
  <si>
    <t>Airplanes, Gliders, Helicopters, and Accessories Rental or Lease</t>
  </si>
  <si>
    <t>Animal Rental or Lease</t>
  </si>
  <si>
    <t>Asphalt Equipment and Accessory Rental or Lease</t>
  </si>
  <si>
    <t>Automobiles and Other Passenger Vehicles, Including Emergency Type Rental or Lease</t>
  </si>
  <si>
    <t>Automotive Shop Equipment Rental or Lease</t>
  </si>
  <si>
    <t>Automotive Accessories Rental or Lease, Automobiles, Buses, Trucks, Vans, etc.</t>
  </si>
  <si>
    <t>Boats, Motors, and Marine and Wildlife Equipment and Supplies Rental or Lease</t>
  </si>
  <si>
    <t>Hot Air Balloons Rental or Lease</t>
  </si>
  <si>
    <t>Construction Equipment (Not Otherwise Classified) Rental or Lease</t>
  </si>
  <si>
    <t>Cranes and Buckets Rental or Lease</t>
  </si>
  <si>
    <t>Concrete Equipment and Accessory Rental or Lease</t>
  </si>
  <si>
    <t>Earth Moving Equipment, Graders, Dozers, Loaders, etc. Rental or Lease</t>
  </si>
  <si>
    <t>Equipment With Operator, Rental or Lease</t>
  </si>
  <si>
    <t>Forestry Equipment Rental or Lease</t>
  </si>
  <si>
    <t>Garbage/Refuse Equipment, Dumpsters, etc. Rental or Lease</t>
  </si>
  <si>
    <t>Golf Cart Rental or Lease</t>
  </si>
  <si>
    <t>Hydraulic Tools and Equipment Rental or Lease</t>
  </si>
  <si>
    <t>Industrial Equipment Rental or Lease</t>
  </si>
  <si>
    <t>Machinery and Heavy Hardware Rental or Lease</t>
  </si>
  <si>
    <t>Mass Transit Bus, School Bus, and Rail Vehicle Rental or Lease</t>
  </si>
  <si>
    <t>Material Handling Equipment and Allied Item Rental or Lease</t>
  </si>
  <si>
    <t>Motorcycles, Motor Scooters, and Trucksters Rental or Lease</t>
  </si>
  <si>
    <t>Pneumatic Tools and Equipment Rental or Lease</t>
  </si>
  <si>
    <t>Recreational Vehicle Rental or Lease, Including Motor Homes</t>
  </si>
  <si>
    <t>Road and Highway Equipment Rental or Lease, (Not Otherwise Classified)</t>
  </si>
  <si>
    <t>Roofing Equipment and Machine Rental or Lease</t>
  </si>
  <si>
    <t>Snow Plows and Accessory Rental or Lease</t>
  </si>
  <si>
    <t>Spacecraft and/or Satellite Rental or Lease</t>
  </si>
  <si>
    <t>Sprinkler Equipment Rental or Lease, Street</t>
  </si>
  <si>
    <t>Sweepers, Street, Rental or Lease</t>
  </si>
  <si>
    <t>Tires and Tubes, Rental or Lease</t>
  </si>
  <si>
    <t>Tracking Equipment, Rental or Lease</t>
  </si>
  <si>
    <t>Tractors, Industrial and Construction, Rental or Lease</t>
  </si>
  <si>
    <t>Trailer Rental or Lease</t>
  </si>
  <si>
    <t>Tram Rental or Lease, Touring, etc.</t>
  </si>
  <si>
    <t>Truck and Van, Including Fire and Garbage Trucks Rental or Lease</t>
  </si>
  <si>
    <t>Utility Vehicle Rental or Lease</t>
  </si>
  <si>
    <t>Wrecker Rental or Lease</t>
  </si>
  <si>
    <t>RENTAL OR LEASE SERVICES OF APPLIANCES, CAFETERIA, FILM, FURNITURE, HARDWARE, MUSICAL, SEWING, AND WINDOW AND FLOOR COVERINGS</t>
  </si>
  <si>
    <t>Albums, Tapes, Compact Disks, etc. Rental or Lease</t>
  </si>
  <si>
    <t>Appliances and Equipment, Household, Rental or Lease</t>
  </si>
  <si>
    <t>Cafeteria, Food Service, and Kitchen Equipment Rental or Lease</t>
  </si>
  <si>
    <t>Drapery and Curtain Rental or Lease</t>
  </si>
  <si>
    <t>Entertainment and Hospitality Equipment Rental or Lease</t>
  </si>
  <si>
    <t>Film, Movie and Video Tape Rental or Lease</t>
  </si>
  <si>
    <t>Floor Covering and Carpet Equipment Rental or Lease</t>
  </si>
  <si>
    <t>Furniture, Not Office, Rental or Lease</t>
  </si>
  <si>
    <t>Furniture, Office, Rental or Lease</t>
  </si>
  <si>
    <t>Hand Tool Rental or Lease</t>
  </si>
  <si>
    <t>Hardware, Shelf Hardware, and Allied Items Rental or Lease</t>
  </si>
  <si>
    <t>Musical Instrument Rental or Lease</t>
  </si>
  <si>
    <t>Scaffolding and Ladders Rental or Lease</t>
  </si>
  <si>
    <t>Sewing and Textile Machine Rental or Lease</t>
  </si>
  <si>
    <t>Toilets and Showers, Portable, Rental or Lease</t>
  </si>
  <si>
    <t>Vending Machine Rental or Lease</t>
  </si>
  <si>
    <t>Venetian Blinds, Awnings, and Shades Rental or Lease</t>
  </si>
  <si>
    <t>RENTAL OR LEASE SERVICES OF ENGINEERING, HOSPITAL, LABORATORY, PRECISION INSTRUMENTS, REFRIGERATION, SCALES, AND TESTING EQUIPMENT</t>
  </si>
  <si>
    <t>Chemical Laboratory Equipment and Supplies Rental or Lease</t>
  </si>
  <si>
    <t>Controlling, Indicating, and Recording Instrument Rental or Lease</t>
  </si>
  <si>
    <t>Engineering Equipment and Supplies Rental or Lease</t>
  </si>
  <si>
    <t>First Aid and Safety Equipment, Including Manikins and Models Rental or Lease</t>
  </si>
  <si>
    <t>Furniture, Hospital, Specialized, Rental or Lease</t>
  </si>
  <si>
    <t>Hospital Equipment, General, Rental or Lease</t>
  </si>
  <si>
    <t>Hospital Equipment, Invalid, Rental or Lease</t>
  </si>
  <si>
    <t>Hospital Surgical and Operating Equipment Rental or Lease</t>
  </si>
  <si>
    <t>Laboratory Equipment and Accessory Rental or Lease: General and Analytical Research Use, Nuclear, Optical, Physical</t>
  </si>
  <si>
    <t>Laboratory Equipment and Accessories, Rental or Lease: Biochemistry, Biology, Environmental Science, etc.</t>
  </si>
  <si>
    <t>Refrigeration Equipment and Accessory Rental or Lease</t>
  </si>
  <si>
    <t>Sanitizing and Disinfecting Equipment, Rental or Lease</t>
  </si>
  <si>
    <t>Scales and Weighing Apparatus Rental or Lease</t>
  </si>
  <si>
    <t>Testing and Training Apparatus, Instruments, and Machines Rental or Lease</t>
  </si>
  <si>
    <t>X-Ray Equipment, Medical, Rental or Lease</t>
  </si>
  <si>
    <t>RENTAL OR LEASE OF GENERAL EQUIPMENT (HVAC, ATHLETIC, FIRE AND POLICE PROTECTION, ETC.)</t>
  </si>
  <si>
    <t>Air Compressors and Accessories Rental or Lease</t>
  </si>
  <si>
    <t>Air Conditioning Equipment and Accessories Rental or Lease</t>
  </si>
  <si>
    <t>Amusement Park Ride Equipment Rental or Lease</t>
  </si>
  <si>
    <t>Athletic Equipment and Sporting Goods and Accessories Rental or Lease</t>
  </si>
  <si>
    <t>Book and Publication Rental or Lease</t>
  </si>
  <si>
    <t>Containers, All Kinds, Including Recycling Collection Containers Rental or Lease</t>
  </si>
  <si>
    <t>Electrical Equipment and Supply Rental or Lease</t>
  </si>
  <si>
    <t>Energy Collecting Equipment Rental or Lease: Solar and Wind</t>
  </si>
  <si>
    <t>Fencing Rental or Lease</t>
  </si>
  <si>
    <t>Fire Protection Systems and Supplies Rental or Lease</t>
  </si>
  <si>
    <t>Fishing, Hunting, and Camping Equipment Rental or Lease</t>
  </si>
  <si>
    <t>Garden, Greenhouse, and Nursery Equipment Rental or Lease</t>
  </si>
  <si>
    <t>Gas Equipment Rental or Lease</t>
  </si>
  <si>
    <t>Generator Rental or Lease and Maintenance Services</t>
  </si>
  <si>
    <t>Guard Dog Rental or Lease</t>
  </si>
  <si>
    <t>Heating Units, Ventilating Equipment, and Accessories Rental or Lease</t>
  </si>
  <si>
    <t>Irrigation Systems Rental or Lease (See 975-08 for Farm Type)</t>
  </si>
  <si>
    <t>Meeting Room Equipment and Accessories, Rental or Lease</t>
  </si>
  <si>
    <t>Plumbing Equipment Rental or Lease</t>
  </si>
  <si>
    <t>Police Equipment Supplies Rental or Lease</t>
  </si>
  <si>
    <t>Pumps and Pump Accessory Rental or Lease</t>
  </si>
  <si>
    <t>Recreational, Park, Picnic and Playground Equipment and Accessories Rental or Lease</t>
  </si>
  <si>
    <t>School Equipment and Supplies Rental or Lease</t>
  </si>
  <si>
    <t>Security and Access Systems, Airport, Library, Hospitals, etc. Rental or Lease</t>
  </si>
  <si>
    <t>Steam Boilers, Steam Heating, and Power Plant Items Rental or Lease</t>
  </si>
  <si>
    <t>Storage Tank Rental or Lease</t>
  </si>
  <si>
    <t>Tents, Tarpaulins and Supplies Rental or Lease</t>
  </si>
  <si>
    <t>Timepieces Rental or Lease</t>
  </si>
  <si>
    <t>Theatrical Equipment and Supplies, Including Costumes Rental or Lease</t>
  </si>
  <si>
    <t>Traffic Control Equipment and Accessories Rental or Lease</t>
  </si>
  <si>
    <t>Weather Instrument, Equipment, and Accessory, Rental or Lease</t>
  </si>
  <si>
    <t>Washers, Pressure, All Types Rental or Lease</t>
  </si>
  <si>
    <t>Water and Sewer Equipment, Including Well Pointing Equipment Rental or Lease</t>
  </si>
  <si>
    <t>Welding Equipment and Supplies Rental or Lease</t>
  </si>
  <si>
    <t>RENTAL OR LEASE SERVICES OF CLOTHING, JANITORIAL, LAUNDRY, LAWN, PAINTING, SPRAYING, LABORATORY AND TEXTILE EQUIPMENT</t>
  </si>
  <si>
    <t>Broom, Brush, and Mop Manufacturing Machinery Rental or Lease</t>
  </si>
  <si>
    <t>Clothing, Including Formal Wear and Diapers Rental or Lease</t>
  </si>
  <si>
    <t>Floor Maintenance Machine Rental or Lease</t>
  </si>
  <si>
    <t>Janitorial Equipment Rental or Lease</t>
  </si>
  <si>
    <t>Laundry and Dry Cleaning Equipment, Commercial, Rental or Lease</t>
  </si>
  <si>
    <t>Lawn Equipment Rental or Lease</t>
  </si>
  <si>
    <t>Painting Equipment and Supplies Rental or Lease</t>
  </si>
  <si>
    <t>Robes, Caps, and Gowns, Choir and Graduation, Rental or Lease</t>
  </si>
  <si>
    <t>Spraying Equipment Rental or Lease</t>
  </si>
  <si>
    <t>Textiles, Linens, etc. Including Shop Towels, Rental or Lease</t>
  </si>
  <si>
    <t>Treated and Dry Mops and Rugs, Including Floor Mats, Rental or Lease</t>
  </si>
  <si>
    <t>Treated and Dry Sweeping and Dust Cloth Rental or Lease</t>
  </si>
  <si>
    <t>Uniform Rental or Lease</t>
  </si>
  <si>
    <t>RENTAL OR LEASE SERVICES OF COMPUTERS, DATA PROCESSING, AND WORD PROCESSING EQUIPMENT</t>
  </si>
  <si>
    <t>*Bursters, Decollators, Detachers, etc., Rental or Lease</t>
  </si>
  <si>
    <t>*Communication Boards, Control Units, Modems, Processors and Protocol Converters, etc., Rental or Lease</t>
  </si>
  <si>
    <t>*Computers, Microcomputer, Rental or Lease</t>
  </si>
  <si>
    <t>Computers, Microcomputer, Handheld, Laptop and Notebook, Rental or Lease</t>
  </si>
  <si>
    <t>*Computers, Mainframe, Rental or Lease</t>
  </si>
  <si>
    <t>*Computer Accessories (Not Otherwise Classified) Rental or Lease: CRT Holders, Forms Tractors, Wrist Supports, etc.</t>
  </si>
  <si>
    <t>*Covers and Enclosures, Acoustical and Protective, Computer Equipment Rental or Lease</t>
  </si>
  <si>
    <t>*Drives, Rental or Lease: CDROM, Hard, Floppy and Tape</t>
  </si>
  <si>
    <t>*Peripheral Miscellaneous Rental or Lease: Keyboards, Mice, Monitors, etc.</t>
  </si>
  <si>
    <t>*Power Supplies Rental or Lease: Surge Protectors, UPS, etc.</t>
  </si>
  <si>
    <t>*Printers and Plotters, Computer, All Types, Rental or Lease</t>
  </si>
  <si>
    <t>*Scanner and Reader Rental or Lease</t>
  </si>
  <si>
    <t>Servers, Rental or Lease</t>
  </si>
  <si>
    <t>*Terminals, CRTs and Remote Job Entry Devices Rental or Lease</t>
  </si>
  <si>
    <t>*Word Processing Equipment Rental or Lease</t>
  </si>
  <si>
    <t>RENTAL OR LEASE SERVICES OF OFFICE, PHOTOGRAPHIC, PRINTING, RADIO/TELEVISION/TELEPHONE EQUIPMENT</t>
  </si>
  <si>
    <t>Audio and Video Equipment and Accessory Rental or Lease</t>
  </si>
  <si>
    <t>*Copy Machines, Thermal Type, Rental or Lease</t>
  </si>
  <si>
    <t>*Copy Machines, Coated or Treated Paper Type, Rental or Lease</t>
  </si>
  <si>
    <t>*Copy Machines, For use by Engineers, Rental or Lease</t>
  </si>
  <si>
    <t>*Copy Machine, Plain Paper Type, Including Cost-Per-Copy Type Leases, Rental or Lease</t>
  </si>
  <si>
    <t>*Copy Machines, Digital and Analog Types, Rental or Lease</t>
  </si>
  <si>
    <t>Coolers, Drinking Water, Rental or Lease</t>
  </si>
  <si>
    <t>*Digital Printing and Graphic System, Rental or Lease</t>
  </si>
  <si>
    <t>*Duplicating Machines, All Types, Rental or Lease</t>
  </si>
  <si>
    <t>Filing Systems Rental or Lease</t>
  </si>
  <si>
    <t>Intercom and Other Sound Equipment Rental or Lease</t>
  </si>
  <si>
    <t>Library Machine Rental or Lease</t>
  </si>
  <si>
    <t>Mailing Equipment Including Postage Meter Rental or Lease</t>
  </si>
  <si>
    <t>*Microfiche/Microfilm Equipment and Accessory Rental or Lease</t>
  </si>
  <si>
    <t>*Office Machines, Multi-Function, Rental or Lease</t>
  </si>
  <si>
    <t>*Office Machines, Equipment, and Accessories Rental or Lease (Not Otherwise Classified)</t>
  </si>
  <si>
    <t>Postal Equipment, Rental or Lease, Including Post Office Box Rentals</t>
  </si>
  <si>
    <t>Photographic and Recording Equipment Rental or Lease</t>
  </si>
  <si>
    <t>Plants, Nursery Stock, Rental and Leasing Services</t>
  </si>
  <si>
    <t>*Printing Plant Equipment and Supplies Rental or Lease</t>
  </si>
  <si>
    <t>*Radio and Telecommunications Equipment and Accessory Rental or Lease, Including Radio Towers and Telephone Poles</t>
  </si>
  <si>
    <t>Signs, Message Boards and Centers, etc., Rental or Lease</t>
  </si>
  <si>
    <t>*Software, Computer, Rental or Lease</t>
  </si>
  <si>
    <t>*Teleconference Systems Rental or Lease</t>
  </si>
  <si>
    <t>*Telephone Systems and Portable Phones, Including Pagers, Rental or Lease</t>
  </si>
  <si>
    <t>Television Equipment and Accessories Rental or Lease</t>
  </si>
  <si>
    <t>Ticket Dispensing and Collection Equipment Rental or Lease</t>
  </si>
  <si>
    <t>Visual Education Equipment and Supplies Rental or Lease</t>
  </si>
  <si>
    <t>*Voice Mail Systems Rental or Lease</t>
  </si>
  <si>
    <t>*Voting Machine Rental or Lease</t>
  </si>
  <si>
    <t>ROADSIDE, GROUNDS, RECREATIONAL AND PARK AREA SERVICES</t>
  </si>
  <si>
    <t>Arborist Services</t>
  </si>
  <si>
    <t>Athletic Field Maintenance (Inactive, please see commodity code 909-17 effective January 1, 2016)</t>
  </si>
  <si>
    <t>Cleaning of Amusement Areas, Exposition Centers, Grounds, Parks, Picnic Areas, Rest Areas, Etc.</t>
  </si>
  <si>
    <t>Cleaning of Roadside Park, Rest Stop Areas Including Privy Vaults, Septic Tanks and Trash Cans</t>
  </si>
  <si>
    <t>Erosion Control Services</t>
  </si>
  <si>
    <t>Fence Installation, Maintenance and Repair</t>
  </si>
  <si>
    <t>Fire Break Services</t>
  </si>
  <si>
    <t>Flood Control Services</t>
  </si>
  <si>
    <t>Flora Protection Services</t>
  </si>
  <si>
    <t>Golf Course Management and Operation</t>
  </si>
  <si>
    <t>Grading, Parking Lots, etc., Not Road Building</t>
  </si>
  <si>
    <t>Grounds and Roadside Maintenance: Mowing, Edging, Plant, Not Tree Trimming, etc.</t>
  </si>
  <si>
    <t>Hydromulching Services</t>
  </si>
  <si>
    <t>Ice Production Services for Skating Rinks</t>
  </si>
  <si>
    <t>Landfill Services</t>
  </si>
  <si>
    <t>Landscaping, Including Design, Fertilizing, Planting, etc., Not Grounds Maintenance or Tree Trimming Services</t>
  </si>
  <si>
    <t>Lighting Services for Parks, Athletic Fields, Parking Lots, etc.</t>
  </si>
  <si>
    <t>Litter Removal Services, Including Beach Cleaning, (See 910-27 For Buildings)</t>
  </si>
  <si>
    <t>Mulch and Compost Production Services</t>
  </si>
  <si>
    <t>Park Area Construction and Renovation</t>
  </si>
  <si>
    <t>Parks Systems Administrative Services</t>
  </si>
  <si>
    <t>Parks Systems Technical Services</t>
  </si>
  <si>
    <t>Pest Control, Other Than Buildings, Including Spraying Trees and Shrubs</t>
  </si>
  <si>
    <t>Playground Equipment Maintenance and Repair, Including Installation and Removal</t>
  </si>
  <si>
    <t>Roadside Maintenance Services, Including Mowing, etc. (Inactive, please see commodity code 988-36 effective January 1, 2016)</t>
  </si>
  <si>
    <t>Skating Rink and Ski Trail Maintenance and Repair, Including Resurfacing, Ice</t>
  </si>
  <si>
    <t>Skating Rink Maintenance and Repair, Including Resurfacing, Roller</t>
  </si>
  <si>
    <t>Ski Trail Maintenance and Repair (Inactive, please see commodity code 988-77 effective January 1, 2016)</t>
  </si>
  <si>
    <t>Swimming Pool Management and Operation</t>
  </si>
  <si>
    <t>Tennis Court Management and Opersations</t>
  </si>
  <si>
    <t>Tree Trimming and Pruning Services, Utility Lines, Energized</t>
  </si>
  <si>
    <t>Tree Trimming and Pruning Services</t>
  </si>
  <si>
    <t>Weed and Vegetation Control, Including Trees, Shrubs and Aquatic Weed Control</t>
  </si>
  <si>
    <t>SAMPLING AND SAMPLE PREPARATION SERVICE, FOR TESTING</t>
  </si>
  <si>
    <t>Asphalt Sampling and Inspection Services</t>
  </si>
  <si>
    <t>Chemical Sampling and Preparation Services</t>
  </si>
  <si>
    <t>Food Sampling and Preparation Services</t>
  </si>
  <si>
    <t>Grain Sampling and Preparation Services</t>
  </si>
  <si>
    <t>Metal Sampling and Analysis Services</t>
  </si>
  <si>
    <t>Oil Well Sampling and Core Sample, Billets, Preparation Services</t>
  </si>
  <si>
    <t>Soil Sampling and Preparation Services</t>
  </si>
  <si>
    <t>*Water Sampling and Analysis Services</t>
  </si>
  <si>
    <t>SECURITY, FIRE, SAFETY, AND EMERGENCY SERVICES, INCLUDING DISASTER DOCUMENT RECOVERY</t>
  </si>
  <si>
    <t>*Alarm Services</t>
  </si>
  <si>
    <t>Armored Car Services</t>
  </si>
  <si>
    <t>Bomb and Explosives Disposal Services</t>
  </si>
  <si>
    <t>*Card Access Security Services</t>
  </si>
  <si>
    <t>*Crime Prevention Services</t>
  </si>
  <si>
    <t>Crossing Guard Services</t>
  </si>
  <si>
    <t>*Document Recovery Services, Disaster, Including Paper Documents, Film, Tapes etc.</t>
  </si>
  <si>
    <t>*Disaster Preparedness and Emergency Planning Services</t>
  </si>
  <si>
    <t>Disaster Relief Services</t>
  </si>
  <si>
    <t>*Dispatching Services, Including Fire, Police and Medical Services</t>
  </si>
  <si>
    <t>Driver's License Services</t>
  </si>
  <si>
    <t>Drug Detection Services, Including Use of Drug Sniffing Dogs</t>
  </si>
  <si>
    <t>Emergency Facility Support Management</t>
  </si>
  <si>
    <t>Emergency Medical Services, Including Emergency Ambulance Services, (See 948-12 for Non-emergency Ambulance Services)</t>
  </si>
  <si>
    <t>*Emergency Personnel Recall Service</t>
  </si>
  <si>
    <t>*Emergency Systems Monitoring Service, Including Alarms and Operational Readiness Reporting</t>
  </si>
  <si>
    <t>Fingerprinting Services</t>
  </si>
  <si>
    <t>*Fire Alarm and Safety Services, Including Installation of Equipment</t>
  </si>
  <si>
    <t>Fire Fighting Services, Oil and Gas Wells (See 952-44 for other Fire Fighting Services)</t>
  </si>
  <si>
    <t>Guard and Security Services</t>
  </si>
  <si>
    <t>*Identity Theft Protection and Data Security Services</t>
  </si>
  <si>
    <t>*Incident Management Response Services, Including Patient Tracking, Responder Credentialing, Asset and Inventory Management</t>
  </si>
  <si>
    <t>*Installation of Security and Alarm Equipment</t>
  </si>
  <si>
    <t>*Investigative Services</t>
  </si>
  <si>
    <t>*Lie Detection Services</t>
  </si>
  <si>
    <t>Lifeguard Services</t>
  </si>
  <si>
    <t>Disaster Site Clean-up and Recovery Services</t>
  </si>
  <si>
    <t>Patrol Services</t>
  </si>
  <si>
    <t>Playground Safety Certification Services</t>
  </si>
  <si>
    <t>*Polygraph Testing Services</t>
  </si>
  <si>
    <t>Rescue and Search Team Services</t>
  </si>
  <si>
    <t>Safety Training and Awareness Services, Including Highway Safety, Boating, Seat Belt, CPR and AED Training</t>
  </si>
  <si>
    <t>Security Services, Hazardous Waste Site</t>
  </si>
  <si>
    <t>Sanitizing and Disinfecting Services, Security, Fire, Safety and Emergency</t>
  </si>
  <si>
    <t>*Surveillance Services</t>
  </si>
  <si>
    <t>X-Ray Film Badge Services</t>
  </si>
  <si>
    <t>TESTING AND CALIBRATION SERVICES</t>
  </si>
  <si>
    <t>Air Quality Monitoring Equipment Testing and Calibration Services</t>
  </si>
  <si>
    <t>Automotive and Road Equipment Testing and Calibration Services</t>
  </si>
  <si>
    <t>Ballistics Testing Services</t>
  </si>
  <si>
    <t>Biological and Microbiological Testing Services</t>
  </si>
  <si>
    <t>Chemical Testing Services (See 962-22 For Laboratory Testing)</t>
  </si>
  <si>
    <t>Concrete Testing Services</t>
  </si>
  <si>
    <t>Core Sample, Not Concrete, Testing Services</t>
  </si>
  <si>
    <t>Electrical Systems Testing Services</t>
  </si>
  <si>
    <t>Electronic and Electrical Cable Testing Services</t>
  </si>
  <si>
    <t>Gaseous Fuel Tank Testing Services, Vehicular</t>
  </si>
  <si>
    <t>HVAC System Testing, Balancing and Troubleshooting Services</t>
  </si>
  <si>
    <t>Light Measurement Equipment Testing and Calibration Services</t>
  </si>
  <si>
    <t>Medical Equipment Testing and Calibration Services, Not X-Ray</t>
  </si>
  <si>
    <t>Miscellaneous Testing and Calibration Services</t>
  </si>
  <si>
    <t>Office Equipment Testing Services</t>
  </si>
  <si>
    <t>Oil Field Equipment Testing Services</t>
  </si>
  <si>
    <t>Paint Testing Services</t>
  </si>
  <si>
    <t>Pressure Testing Services, Fuel Tanks, Pressure Tanks, etc.</t>
  </si>
  <si>
    <t>Radar Equipment Testing and Calibration Services</t>
  </si>
  <si>
    <t>Radio Instrument Testing and Calibration Services</t>
  </si>
  <si>
    <t>Return Merchandising Authorization Testing Services</t>
  </si>
  <si>
    <t>Safety Equipment Testing and Calibration Services</t>
  </si>
  <si>
    <t>*Scientific Equipment Testing and Calibration Services</t>
  </si>
  <si>
    <t>Textile Testing Services</t>
  </si>
  <si>
    <t>Underground Leak Testing Services</t>
  </si>
  <si>
    <t>Video Instrument Testing and Calibration Services</t>
  </si>
  <si>
    <t>X-Ray Equipment Testing and Calibration Services</t>
  </si>
  <si>
    <t>TRAVEL, HIGHER EDUCATION</t>
  </si>
  <si>
    <t>Travel, Business</t>
  </si>
  <si>
    <t>Travel, Foreign, Employee</t>
  </si>
  <si>
    <t>Travel Agency Fees, Foreign Travel</t>
  </si>
  <si>
    <t>Travel Agency Fees, Prospective Employee</t>
  </si>
  <si>
    <t>Travel Agency Fees, Students</t>
  </si>
  <si>
    <t>Travel, Faculty</t>
  </si>
  <si>
    <t>Travel, Professional Development, Employee</t>
  </si>
  <si>
    <t>Travel, Prospective State Employee</t>
  </si>
  <si>
    <t>Travel, Prospective Students, Local</t>
  </si>
  <si>
    <t>Travel, Students, Including Meals</t>
  </si>
  <si>
    <t>Travel-In, Actual Expenses Overnight</t>
  </si>
  <si>
    <t>Travel-In, Apartments and House Rent Expense</t>
  </si>
  <si>
    <t>Travel-In, Incidental Expenses</t>
  </si>
  <si>
    <t>Travel-In, Lodging</t>
  </si>
  <si>
    <t>Travel-In, Lodging, Overage of Allowed Per Diem</t>
  </si>
  <si>
    <t>Travel-In, Meals</t>
  </si>
  <si>
    <t>Travel-In, Mileage</t>
  </si>
  <si>
    <t>Travel-In, Mileage, Aircraft</t>
  </si>
  <si>
    <t>Travel-In, Parking Fees</t>
  </si>
  <si>
    <t>Travel-In, Public Transportation, Auto Rental</t>
  </si>
  <si>
    <t>Travel-In, Public Transportation, Other</t>
  </si>
  <si>
    <t>Travel-In, University and Agency Transportation Fleet Operations</t>
  </si>
  <si>
    <t>Travel-In, Travel Agency Fees</t>
  </si>
  <si>
    <t>Travel-Out, Actual Expenses, Overnight</t>
  </si>
  <si>
    <t>Travel-Out, Apartment and House Rent Expense</t>
  </si>
  <si>
    <t>Travel-Out, Incidental Expenses</t>
  </si>
  <si>
    <t>Travel-Out, Lodging</t>
  </si>
  <si>
    <t>Travel-Out, Lodging, Overage of Allowed Per Diem</t>
  </si>
  <si>
    <t>Travel-Out, Meals-Non-Overnight</t>
  </si>
  <si>
    <t>Travel-Out, Meals</t>
  </si>
  <si>
    <t>Travel-Out, Mileage</t>
  </si>
  <si>
    <t>Travel-Out, Mileage, Aircraft</t>
  </si>
  <si>
    <t>Travel-Out, Parking Fees</t>
  </si>
  <si>
    <t>Travel-Out, Public Transportation</t>
  </si>
  <si>
    <t>Travel-Out, Public Transportation, Auto Rental</t>
  </si>
  <si>
    <t>Travel-Out, Public Transportation, Other</t>
  </si>
  <si>
    <t>Travel-Out, University and Agency Transportation Fleet Operations</t>
  </si>
  <si>
    <t>Travel-Out, Travel Agency Fees</t>
  </si>
  <si>
    <t>SALE OF SURPLUS AND OBSOLETE ITEMS</t>
  </si>
  <si>
    <t>Aircraft and Aviation Equipment and Parts, Sale of Surplus and Obsolete Items</t>
  </si>
  <si>
    <t>Agriculture Equipment and Commodities, Sale of Surplus and Obsolete Items</t>
  </si>
  <si>
    <t>Ammunition, Explosives, and Weapons, Licensed Dealers Only, Sale of Surplus and Obsolete Items</t>
  </si>
  <si>
    <t>Animals and Livestock, Sale of Surplus and Obsolete Items</t>
  </si>
  <si>
    <t>Arts and Crafts, Sale of Surplus and Obsolete Items</t>
  </si>
  <si>
    <t>Automobile, Truck and Bus Parts and Equipment, Sale of Surplus and Obsolete Items</t>
  </si>
  <si>
    <t>Bags, All Types, Sale of Surplus and Obsolete Items</t>
  </si>
  <si>
    <t>Barber and Beauty Shop Equipment, Sale of Surplus and Obsolete Items</t>
  </si>
  <si>
    <t>Barrels, Drums, Cans, Pails, etc., Sale of Surplus and Obsolete Items</t>
  </si>
  <si>
    <t>Batteries, All Types, Sale of Surplus and Obsolete Items</t>
  </si>
  <si>
    <t>Boats and Marine Equipment, Sale of Surplus and Obsolete Items</t>
  </si>
  <si>
    <t>Books, All Types (Library, School, etc.), Sale of Surplus and Obsolete Items</t>
  </si>
  <si>
    <t>Builders Supplies, Sale of Surplus and Obsolete Items</t>
  </si>
  <si>
    <t>Buses, Transit and School, Sale of Surplus and Obsolete Items</t>
  </si>
  <si>
    <t>Cafeteria and Kitchen Equipment, Including Food Service Equipment), Sale of Surplus and Obsolete Items</t>
  </si>
  <si>
    <t>Chemicals, All Types, Sale of Surplus and Obsolete Items</t>
  </si>
  <si>
    <t>Clocks, Watches, Timepieces, All Types, Sale of Surplus and Obsolete Items</t>
  </si>
  <si>
    <t>Clothing, Sale of Surplus and Obsolete Items</t>
  </si>
  <si>
    <t>Communication Equipment, Including Radio, Television, Telephone, VCR, Video and Audio Equipment, etc., Sale of Surplus and Obsolete Items</t>
  </si>
  <si>
    <t>Computers, Parts and Supplies, Sale of Surplus and Obsolete Items</t>
  </si>
  <si>
    <t>Confiscated and Personal Merchandise, Sale of Surplus and Obsolete Items</t>
  </si>
  <si>
    <t>Photocopier Machines and Multi-functional Devices, Sale of Surplus and Obsolete Items</t>
  </si>
  <si>
    <t>Dairy Equipment, Sale of Surplus and Obsolete Items</t>
  </si>
  <si>
    <t>Drugs, First Aid, Veterinary, Sale of Surplus and Obsolete Items</t>
  </si>
  <si>
    <t>Equipment, Heavy, Sale of Surplus and Obsolete Items</t>
  </si>
  <si>
    <t>Electrical Equipment and Supplies, Sale of Surplus and Obsolete Items</t>
  </si>
  <si>
    <t>Engineering Equipment and Supplies, Including Survey Equipment and Instruments, Sale of Surplus and Obsolete Items</t>
  </si>
  <si>
    <t>Escalators, Elevators, and Moving Walks, Sale of Surplus and Obsolete Items</t>
  </si>
  <si>
    <t>Fertilizer, Sale of Surplus and Obsolete Items</t>
  </si>
  <si>
    <t>Fire and Police Equipment (Not Otherwise Classified), Sale of Surplus and Obsolete Items</t>
  </si>
  <si>
    <t>Food, Sale of Surplus and Obsolete Items</t>
  </si>
  <si>
    <t>Furniture, Sale of Surplus and Obsolete Items</t>
  </si>
  <si>
    <t>Glass, Sale of Surplus and Obsolete Items</t>
  </si>
  <si>
    <t>Garbage, Sale of Surplus and Obsolete Items</t>
  </si>
  <si>
    <t>Garbage and Refuse Containers, Sale of Surplus and Obsolete Items</t>
  </si>
  <si>
    <t>Hardware, Sale of Surplus and Obsolete Items</t>
  </si>
  <si>
    <t>Heating, Air Conditioning, Ventilating &amp; Refrigeration Equipment, Sale of Surplus and Obsolete Items</t>
  </si>
  <si>
    <t>Highway Equipment, Tractors, Loaders, Graders, Dozers, etc., Sale of Surplus and Obsolete Items</t>
  </si>
  <si>
    <t>Laboratory Equipment, Sale of Surplus and Obsolete Items</t>
  </si>
  <si>
    <t>Laundry Equipment, Sale of Surplus and Obsolete Items</t>
  </si>
  <si>
    <t>Library Equipment, Sale of Surplus and Obsolete Items</t>
  </si>
  <si>
    <t>Lumber and Pilings, Sale of Surplus and Obsolete Items</t>
  </si>
  <si>
    <t>Machinery, Industrial, Sale of Surplus and Obsolete Items</t>
  </si>
  <si>
    <t>Mailing Equipment, Including Shipping Containers, Sale of Surplus and Obsolete Items</t>
  </si>
  <si>
    <t>Medical and Dental Equipment and Supplies, Sale of Surplus and Obsolete Items</t>
  </si>
  <si>
    <t>Metal, Scrap, Sale of Surplus and Obsolete Items</t>
  </si>
  <si>
    <t>Metals, Precious, Sale of Surplus and Obsolete Items</t>
  </si>
  <si>
    <t>Musical Equipment, Sale of Surplus and Obsolete Items</t>
  </si>
  <si>
    <t>Metals other than Scrap, All Types, Sale of Surplus and Obsolete Items</t>
  </si>
  <si>
    <t>Office Equipment, Not Copiers, Sale of Surplus and Obsolete Items</t>
  </si>
  <si>
    <t>Oils and Other Petroleum Products, Waste, Sale of Surplus and Obsolete Items</t>
  </si>
  <si>
    <t>Paper and Paper Products, Including Boxes, Sale of Surplus and Obsolete Items</t>
  </si>
  <si>
    <t>Photographic Equipment, Sale of Surplus and Obsolete Items</t>
  </si>
  <si>
    <t>Parking and Water Meters, Sale of Surplus and Obsolete Items</t>
  </si>
  <si>
    <t>Plumbing Equipment and Supplies, Sale of Surplus and Obsolete Items</t>
  </si>
  <si>
    <t>Pipe, Valves and Fittings, Sale of Surplus and Obsolete Items</t>
  </si>
  <si>
    <t>Public Utility Equipment, Sale of Surplus and Obsolete Items</t>
  </si>
  <si>
    <t>Printing Equipment, Sale of Surplus and Obsolete Items</t>
  </si>
  <si>
    <t>Rags, Sale of Surplus and Obsolete Items</t>
  </si>
  <si>
    <t>Rail Equipment and Accessories, Sale of Surplus and Obsolete Items</t>
  </si>
  <si>
    <t>Real Estate, Including Buildings, Houses, Land, et), Sale of Surplus and Obsolete Items</t>
  </si>
  <si>
    <t>Recyclable Materials: Books, Paper, Glass, Metal, etc., Sale of Surplus and Obsolete Items</t>
  </si>
  <si>
    <t>Road and Highway Materials, Including Testing Equipment, Sale of Surplus and Obsolete Items</t>
  </si>
  <si>
    <t>Scales and Weighing Apparatus, Sale of Surplus and Obsolete Items</t>
  </si>
  <si>
    <t>School Equipment, Sale of Surplus and Obsolete Items</t>
  </si>
  <si>
    <t>Tools, All Types, Sale of Surplus and Obsolete Items</t>
  </si>
  <si>
    <t>Sporting and Athletic Equipment, Sale of Surplus and Obsolete Items</t>
  </si>
  <si>
    <t>Traffic Signals and Control Equipment, Sale of Surplus and Obsolete Items</t>
  </si>
  <si>
    <t>Tires and Tubes, Including Retreading Material and Equipment, Sale of Surplus and Obsolete Items</t>
  </si>
  <si>
    <t>Vehicles, Including Automobiles, Trucks, Trailers, Vans, Motor Homes, Motorcycles and Scooters, etc. (See 998-20 for Buses), Sale of Surplus and Obsolete Items</t>
  </si>
  <si>
    <t>Welding Equipment, Sale of Surplus and Obsolete Items</t>
  </si>
  <si>
    <t>*Voting Machines and Other Election Equipment, Sale of Surplus and Obsolete Items</t>
  </si>
  <si>
    <t>Classification Code</t>
  </si>
  <si>
    <t xml:space="preserve">Enter Keyword Description of your Company Product or Service Here: </t>
  </si>
  <si>
    <t>Lookup Value</t>
  </si>
  <si>
    <t>Classification Keyword Results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</si>
</sst>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i/>
      <u/>
      <sz val="11"/>
      <color theme="1"/>
      <name val="Calibri"/>
      <family val="2"/>
      <scheme val="minor"/>
    </font>
    <font>
      <i/>
      <sz val="11"/>
      <color theme="1"/>
      <name val="Calibri"/>
      <family val="2"/>
      <scheme val="minor"/>
    </font>
    <font>
      <sz val="8"/>
      <name val="Calibri"/>
      <family val="2"/>
      <scheme val="minor"/>
    </font>
    <font>
      <b/>
      <sz val="14"/>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1"/>
        <bgColor indexed="64"/>
      </patternFill>
    </fill>
    <fill>
      <patternFill patternType="solid">
        <fgColor theme="3" tint="0.59999389629810485"/>
        <bgColor indexed="64"/>
      </patternFill>
    </fill>
    <fill>
      <patternFill patternType="solid">
        <fgColor theme="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9">
    <xf numFmtId="0" fontId="0" fillId="0" borderId="0" xfId="0"/>
    <xf numFmtId="0" fontId="0" fillId="0" borderId="0" xfId="0" applyAlignment="1">
      <alignment horizontal="center"/>
    </xf>
    <xf numFmtId="0" fontId="18" fillId="33" borderId="0" xfId="0" applyFont="1" applyFill="1"/>
    <xf numFmtId="0" fontId="18" fillId="0" borderId="0" xfId="0" applyFont="1" applyAlignment="1">
      <alignment horizontal="center"/>
    </xf>
    <xf numFmtId="0" fontId="19" fillId="34" borderId="10" xfId="0" applyFont="1" applyFill="1" applyBorder="1" applyAlignment="1">
      <alignment horizontal="center" vertical="center"/>
    </xf>
    <xf numFmtId="0" fontId="18" fillId="33" borderId="0" xfId="0" applyFont="1" applyFill="1" applyAlignment="1">
      <alignment horizontal="center"/>
    </xf>
    <xf numFmtId="0" fontId="19" fillId="35" borderId="10" xfId="0" applyFont="1" applyFill="1" applyBorder="1" applyAlignment="1">
      <alignment horizontal="center" vertical="center" wrapText="1"/>
    </xf>
    <xf numFmtId="0" fontId="0" fillId="35" borderId="10" xfId="0" applyFill="1" applyBorder="1"/>
    <xf numFmtId="0" fontId="0" fillId="0" borderId="0" xfId="0" applyAlignment="1">
      <alignment vertical="center"/>
    </xf>
    <xf numFmtId="0" fontId="0" fillId="38" borderId="0" xfId="0" applyFill="1"/>
    <xf numFmtId="0" fontId="0" fillId="0" borderId="11" xfId="0" applyBorder="1"/>
    <xf numFmtId="0" fontId="18" fillId="0" borderId="12" xfId="0" applyFont="1" applyBorder="1" applyAlignment="1">
      <alignment horizontal="center"/>
    </xf>
    <xf numFmtId="0" fontId="0" fillId="0" borderId="13" xfId="0" applyBorder="1"/>
    <xf numFmtId="0" fontId="18" fillId="0" borderId="14" xfId="0" applyFont="1" applyBorder="1" applyAlignment="1">
      <alignment horizontal="center"/>
    </xf>
    <xf numFmtId="0" fontId="0" fillId="0" borderId="14" xfId="0" applyBorder="1"/>
    <xf numFmtId="0" fontId="20" fillId="0" borderId="15" xfId="0" applyFont="1" applyBorder="1" applyAlignment="1">
      <alignment horizontal="center" vertical="center"/>
    </xf>
    <xf numFmtId="0" fontId="0" fillId="37" borderId="13" xfId="0" applyFill="1" applyBorder="1"/>
    <xf numFmtId="0" fontId="0" fillId="37" borderId="14" xfId="0" applyFill="1" applyBorder="1" applyAlignment="1">
      <alignment vertical="center" wrapText="1"/>
    </xf>
    <xf numFmtId="0" fontId="20" fillId="0" borderId="13" xfId="0" applyFont="1" applyBorder="1" applyAlignment="1">
      <alignment horizontal="left" vertical="center"/>
    </xf>
    <xf numFmtId="0" fontId="0" fillId="0" borderId="14" xfId="0" applyBorder="1" applyAlignment="1">
      <alignment vertical="center" wrapText="1"/>
    </xf>
    <xf numFmtId="0" fontId="0" fillId="38" borderId="13" xfId="0" applyFill="1" applyBorder="1"/>
    <xf numFmtId="0" fontId="0" fillId="38" borderId="14" xfId="0" applyFill="1" applyBorder="1" applyAlignment="1">
      <alignment vertical="center" wrapText="1"/>
    </xf>
    <xf numFmtId="0" fontId="0" fillId="0" borderId="14" xfId="0" applyBorder="1" applyAlignment="1">
      <alignment wrapText="1"/>
    </xf>
    <xf numFmtId="0" fontId="0" fillId="38" borderId="0" xfId="0" applyFill="1" applyAlignment="1">
      <alignment wrapText="1"/>
    </xf>
    <xf numFmtId="0" fontId="22" fillId="36" borderId="16" xfId="0" applyFont="1" applyFill="1" applyBorder="1" applyAlignment="1" applyProtection="1">
      <alignment horizontal="center" vertical="center"/>
      <protection locked="0"/>
    </xf>
    <xf numFmtId="0" fontId="0" fillId="39" borderId="13" xfId="0" applyFill="1" applyBorder="1"/>
    <xf numFmtId="0" fontId="0" fillId="39" borderId="14" xfId="0" applyFill="1" applyBorder="1" applyAlignment="1">
      <alignment wrapText="1"/>
    </xf>
    <xf numFmtId="0" fontId="0" fillId="39" borderId="17" xfId="0" applyFill="1" applyBorder="1"/>
    <xf numFmtId="0" fontId="0" fillId="39" borderId="18" xfId="0" applyFill="1" applyBorder="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patternFill>
          <bgColor theme="4" tint="0.59996337778862885"/>
        </patternFill>
      </fill>
    </dxf>
    <dxf>
      <fill>
        <patternFill>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1</xdr:row>
      <xdr:rowOff>190500</xdr:rowOff>
    </xdr:from>
    <xdr:to>
      <xdr:col>1</xdr:col>
      <xdr:colOff>2484071</xdr:colOff>
      <xdr:row>3</xdr:row>
      <xdr:rowOff>152400</xdr:rowOff>
    </xdr:to>
    <xdr:pic>
      <xdr:nvPicPr>
        <xdr:cNvPr id="3" name="Picture 2">
          <a:extLst>
            <a:ext uri="{FF2B5EF4-FFF2-40B4-BE49-F238E27FC236}">
              <a16:creationId xmlns:a16="http://schemas.microsoft.com/office/drawing/2014/main" id="{9E756645-878E-1E75-4931-AFD59AA1A7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2425" y="190500"/>
          <a:ext cx="2271346" cy="590550"/>
        </a:xfrm>
        <a:prstGeom prst="rect">
          <a:avLst/>
        </a:prstGeom>
      </xdr:spPr>
    </xdr:pic>
    <xdr:clientData/>
  </xdr:twoCellAnchor>
  <xdr:oneCellAnchor>
    <xdr:from>
      <xdr:col>1</xdr:col>
      <xdr:colOff>3000375</xdr:colOff>
      <xdr:row>1</xdr:row>
      <xdr:rowOff>204118</xdr:rowOff>
    </xdr:from>
    <xdr:ext cx="3343275" cy="561949"/>
    <xdr:sp macro="" textlink="">
      <xdr:nvSpPr>
        <xdr:cNvPr id="4" name="TextBox 3">
          <a:extLst>
            <a:ext uri="{FF2B5EF4-FFF2-40B4-BE49-F238E27FC236}">
              <a16:creationId xmlns:a16="http://schemas.microsoft.com/office/drawing/2014/main" id="{E3B0A4D2-4FE3-B2A3-4D22-358DE5146E82}"/>
            </a:ext>
          </a:extLst>
        </xdr:cNvPr>
        <xdr:cNvSpPr txBox="1"/>
      </xdr:nvSpPr>
      <xdr:spPr>
        <a:xfrm>
          <a:off x="6076950" y="404143"/>
          <a:ext cx="3343275"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500" b="1" i="1"/>
            <a:t>NCTCOG Vendor Classification Code Search for Public Purchase Registration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181"/>
  <sheetViews>
    <sheetView showGridLines="0" showRowColHeaders="0" tabSelected="1" workbookViewId="0">
      <pane ySplit="7" topLeftCell="A8" activePane="bottomLeft" state="frozen"/>
      <selection pane="bottomLeft" activeCell="C5" sqref="C5"/>
    </sheetView>
  </sheetViews>
  <sheetFormatPr defaultRowHeight="15" x14ac:dyDescent="0.25"/>
  <cols>
    <col min="2" max="2" width="80" customWidth="1"/>
    <col min="3" max="3" width="42.28515625" customWidth="1"/>
  </cols>
  <sheetData>
    <row r="1" spans="1:26" ht="15.75" thickBot="1" x14ac:dyDescent="0.3">
      <c r="A1" s="9"/>
      <c r="B1" s="9"/>
      <c r="C1" s="9"/>
      <c r="D1" s="9"/>
      <c r="E1" s="9"/>
      <c r="F1" s="9"/>
      <c r="G1" s="9"/>
      <c r="H1" s="9"/>
      <c r="I1" s="9"/>
      <c r="J1" s="9"/>
      <c r="K1" s="9"/>
      <c r="L1" s="9"/>
      <c r="M1" s="9"/>
      <c r="N1" s="9"/>
      <c r="O1" s="9"/>
      <c r="P1" s="9"/>
      <c r="Q1" s="9"/>
      <c r="R1" s="9"/>
      <c r="S1" s="9"/>
      <c r="T1" s="9"/>
      <c r="U1" s="9"/>
      <c r="V1" s="9"/>
      <c r="W1" s="9"/>
      <c r="X1" s="9"/>
      <c r="Y1" s="9"/>
      <c r="Z1" s="9"/>
    </row>
    <row r="2" spans="1:26" ht="34.5" customHeight="1" x14ac:dyDescent="0.25">
      <c r="A2" s="9"/>
      <c r="B2" s="10"/>
      <c r="C2" s="11"/>
      <c r="D2" s="9"/>
      <c r="E2" s="9"/>
      <c r="F2" s="9"/>
      <c r="G2" s="9"/>
      <c r="H2" s="9"/>
      <c r="I2" s="9"/>
      <c r="J2" s="9"/>
      <c r="K2" s="9"/>
      <c r="L2" s="9"/>
      <c r="M2" s="9"/>
      <c r="N2" s="9"/>
      <c r="O2" s="9"/>
      <c r="P2" s="9"/>
      <c r="Q2" s="9"/>
      <c r="R2" s="9"/>
      <c r="S2" s="9"/>
      <c r="T2" s="9"/>
      <c r="U2" s="9"/>
      <c r="V2" s="9"/>
      <c r="W2" s="9"/>
      <c r="X2" s="9"/>
      <c r="Y2" s="9"/>
      <c r="Z2" s="9"/>
    </row>
    <row r="3" spans="1:26" x14ac:dyDescent="0.25">
      <c r="A3" s="9"/>
      <c r="B3" s="12"/>
      <c r="C3" s="13"/>
      <c r="D3" s="9"/>
      <c r="E3" s="9"/>
      <c r="F3" s="9"/>
      <c r="G3" s="9"/>
      <c r="H3" s="9"/>
      <c r="I3" s="9"/>
      <c r="J3" s="9"/>
      <c r="K3" s="9"/>
      <c r="L3" s="9"/>
      <c r="M3" s="9"/>
      <c r="N3" s="9"/>
      <c r="O3" s="9"/>
      <c r="P3" s="9"/>
      <c r="Q3" s="9"/>
      <c r="R3" s="9"/>
      <c r="S3" s="9"/>
      <c r="T3" s="9"/>
      <c r="U3" s="9"/>
      <c r="V3" s="9"/>
      <c r="W3" s="9"/>
      <c r="X3" s="9"/>
      <c r="Y3" s="9"/>
      <c r="Z3" s="9"/>
    </row>
    <row r="4" spans="1:26" ht="27" customHeight="1" x14ac:dyDescent="0.25">
      <c r="A4" s="9"/>
      <c r="B4" s="12"/>
      <c r="C4" s="14"/>
      <c r="D4" s="9"/>
      <c r="E4" s="9"/>
      <c r="F4" s="9"/>
      <c r="G4" s="9"/>
      <c r="H4" s="9"/>
      <c r="I4" s="9"/>
      <c r="J4" s="9"/>
      <c r="K4" s="9"/>
      <c r="L4" s="9"/>
      <c r="M4" s="9"/>
      <c r="N4" s="9"/>
      <c r="O4" s="9"/>
      <c r="P4" s="9"/>
      <c r="Q4" s="9"/>
      <c r="R4" s="9"/>
      <c r="S4" s="9"/>
      <c r="T4" s="9"/>
      <c r="U4" s="9"/>
      <c r="V4" s="9"/>
      <c r="W4" s="9"/>
      <c r="X4" s="9"/>
      <c r="Y4" s="9"/>
      <c r="Z4" s="9"/>
    </row>
    <row r="5" spans="1:26" ht="29.25" customHeight="1" x14ac:dyDescent="0.25">
      <c r="A5" s="9"/>
      <c r="B5" s="15" t="s">
        <v>9425</v>
      </c>
      <c r="C5" s="24"/>
      <c r="D5" s="9"/>
      <c r="E5" s="9"/>
      <c r="F5" s="9"/>
      <c r="G5" s="9"/>
      <c r="H5" s="9"/>
      <c r="I5" s="9"/>
      <c r="J5" s="9"/>
      <c r="K5" s="9"/>
      <c r="L5" s="9"/>
      <c r="M5" s="9"/>
      <c r="N5" s="9"/>
      <c r="O5" s="9"/>
      <c r="P5" s="9"/>
      <c r="Q5" s="9"/>
      <c r="R5" s="9"/>
      <c r="S5" s="9"/>
      <c r="T5" s="9"/>
      <c r="U5" s="9"/>
      <c r="V5" s="9"/>
      <c r="W5" s="9"/>
      <c r="X5" s="9"/>
      <c r="Y5" s="9"/>
      <c r="Z5" s="9"/>
    </row>
    <row r="6" spans="1:26" ht="4.5" customHeight="1" x14ac:dyDescent="0.25">
      <c r="A6" s="9"/>
      <c r="B6" s="16"/>
      <c r="C6" s="17"/>
      <c r="D6" s="9"/>
      <c r="E6" s="9"/>
      <c r="F6" s="9"/>
      <c r="G6" s="9"/>
      <c r="H6" s="9"/>
      <c r="I6" s="9"/>
      <c r="J6" s="9"/>
      <c r="K6" s="9"/>
      <c r="L6" s="9"/>
      <c r="M6" s="9"/>
      <c r="N6" s="9"/>
      <c r="O6" s="9"/>
      <c r="P6" s="9"/>
      <c r="Q6" s="9"/>
      <c r="R6" s="9"/>
      <c r="S6" s="9"/>
      <c r="T6" s="9"/>
      <c r="U6" s="9"/>
      <c r="V6" s="9"/>
      <c r="W6" s="9"/>
      <c r="X6" s="9"/>
      <c r="Y6" s="9"/>
      <c r="Z6" s="9"/>
    </row>
    <row r="7" spans="1:26" ht="24.6" customHeight="1" x14ac:dyDescent="0.25">
      <c r="A7" s="9"/>
      <c r="B7" s="18" t="s">
        <v>9427</v>
      </c>
      <c r="C7" s="19"/>
      <c r="D7" s="9"/>
      <c r="E7" s="9"/>
      <c r="F7" s="9"/>
      <c r="G7" s="9"/>
      <c r="H7" s="9"/>
      <c r="I7" s="9"/>
      <c r="J7" s="9"/>
      <c r="K7" s="9"/>
      <c r="L7" s="9"/>
      <c r="M7" s="9"/>
      <c r="N7" s="9"/>
      <c r="O7" s="9"/>
      <c r="P7" s="9"/>
      <c r="Q7" s="9"/>
      <c r="R7" s="9"/>
      <c r="S7" s="9"/>
      <c r="T7" s="9"/>
      <c r="U7" s="9"/>
      <c r="V7" s="9"/>
      <c r="W7" s="9"/>
      <c r="X7" s="9"/>
      <c r="Y7" s="9"/>
      <c r="Z7" s="9"/>
    </row>
    <row r="8" spans="1:26" ht="5.25" customHeight="1" x14ac:dyDescent="0.25">
      <c r="A8" s="9"/>
      <c r="B8" s="20"/>
      <c r="C8" s="21"/>
      <c r="D8" s="9"/>
      <c r="E8" s="9"/>
      <c r="F8" s="9"/>
      <c r="G8" s="9"/>
      <c r="H8" s="9"/>
      <c r="I8" s="9"/>
      <c r="J8" s="9"/>
      <c r="K8" s="9"/>
      <c r="L8" s="9"/>
      <c r="M8" s="9"/>
      <c r="N8" s="9"/>
      <c r="O8" s="9"/>
      <c r="P8" s="9"/>
      <c r="Q8" s="9"/>
      <c r="R8" s="9"/>
      <c r="S8" s="9"/>
      <c r="T8" s="9"/>
      <c r="U8" s="9"/>
      <c r="V8" s="9"/>
      <c r="W8" s="9"/>
      <c r="X8" s="9"/>
      <c r="Y8" s="9"/>
      <c r="Z8" s="9"/>
    </row>
    <row r="9" spans="1:26" x14ac:dyDescent="0.25">
      <c r="A9" s="9"/>
      <c r="B9" s="12" t="str" cm="1">
        <f t="array" ref="B9:B9181">_xlfn._xlws.FILTER('NIGP Full List'!$G$3:$G$10000,'NIGP Full List'!$H$1='NIGP Full List'!$E$3:$E$10000)</f>
        <v>005-05: Abrasives Equipment and Tools</v>
      </c>
      <c r="C9" s="19"/>
      <c r="D9" s="9"/>
      <c r="E9" s="9"/>
      <c r="F9" s="9"/>
      <c r="G9" s="9"/>
      <c r="H9" s="9"/>
      <c r="I9" s="9"/>
      <c r="J9" s="9"/>
      <c r="K9" s="9"/>
      <c r="L9" s="9"/>
      <c r="M9" s="9"/>
      <c r="N9" s="9"/>
      <c r="O9" s="9"/>
      <c r="P9" s="9"/>
      <c r="Q9" s="9"/>
      <c r="R9" s="9"/>
      <c r="S9" s="9"/>
      <c r="T9" s="9"/>
      <c r="U9" s="9"/>
      <c r="V9" s="9"/>
      <c r="W9" s="9"/>
      <c r="X9" s="9"/>
      <c r="Y9" s="9"/>
      <c r="Z9" s="9"/>
    </row>
    <row r="10" spans="1:26" x14ac:dyDescent="0.25">
      <c r="A10" s="9"/>
      <c r="B10" s="12" t="str">
        <v>005-14: Abrasives, Coated: Cloth, Fiber, Sandpaper, etc.</v>
      </c>
      <c r="C10" s="1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12" t="str">
        <v>005-21: Abrasives, Sandblasting, Metal</v>
      </c>
      <c r="C11" s="1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12" t="str">
        <v>005-28: Abrasives, Sandblasting, Other than Metal</v>
      </c>
      <c r="C12" s="1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12" t="str">
        <v>005-42: Abrasives, Solid: Wheels, Stones, etc.</v>
      </c>
      <c r="C13" s="1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12" t="str">
        <v>005-56: Abrasives, Tumbling (Wheel)</v>
      </c>
      <c r="C14" s="1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12" t="str">
        <v>005-63: Compounds, Grinding and Polishing: Carborundum, Diamond, etc. (See Class 075 For Valve Grinding Compounds)</v>
      </c>
      <c r="C15" s="1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12" t="str">
        <v>005-70: Pumice Stone  (Inactive, effective January 1, 2016)</v>
      </c>
      <c r="C16" s="1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12" t="str">
        <v>005-75: Recycled Abrasives, Products and Supplies</v>
      </c>
      <c r="C17" s="1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12" t="str">
        <v>005-84: Wool, Steel, Aluminum, Copper, and Lead</v>
      </c>
      <c r="C18" s="1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12" t="str">
        <v>010-05: Acoustical Tile, All Types, Including Recycled Types</v>
      </c>
      <c r="C19" s="1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12" t="str">
        <v>010-08: Acoustical Tile Accessories: Channels, Grids, Mounting Hardware, Rods, Runners, Suspension Brackets, Tees, Wall Angles, and Wires</v>
      </c>
      <c r="C20" s="1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12" t="str">
        <v>010-09: Acoustical Tile Insulation</v>
      </c>
      <c r="C21" s="1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12" t="str">
        <v>010-11: Adhesives and Cements, Acoustical Tile</v>
      </c>
      <c r="C22" s="1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12" t="str">
        <v>010-14: Adhesives and Cements, Insulation</v>
      </c>
      <c r="C23" s="1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12" t="str">
        <v>010-17: Insulation, Aluminum Foil</v>
      </c>
      <c r="C24" s="1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12" t="str">
        <v>010-30: Hardware, Pipe Insulation: Bands, Clips, and Wires</v>
      </c>
      <c r="C25" s="1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12" t="str">
        <v>010-38: Hardware, Duct Insulation: Clips, Pins, etc.</v>
      </c>
      <c r="C26" s="1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12" t="str">
        <v>010-41: Insulation: Cork, Blocks, Boards, Sheets, etc.</v>
      </c>
      <c r="C27" s="1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12" t="str">
        <v>010-45: Insulation and Finish Systems, Exterior</v>
      </c>
      <c r="C28" s="1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12" t="str">
        <v>010-53: Insulation, Fiberglass: Batts, Blankets and Rolls</v>
      </c>
      <c r="C29" s="1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12" t="str">
        <v>010-56: Foam Glass: Blocks, Sheets, etc.</v>
      </c>
      <c r="C30" s="1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12" t="str">
        <v>010-57: Insulation, Foam-in-Place: Phenolic, Urethane, etc.</v>
      </c>
      <c r="C31" s="1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12" t="str">
        <v>010-59: Insulation, Foam Plastics: Blocks, Boards, Sheets, etc.</v>
      </c>
      <c r="C32" s="1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12" t="str">
        <v>010-61: Insulation, Reflective, Radiant Barrier</v>
      </c>
      <c r="C33" s="22"/>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12" t="str">
        <v>010-62: Insulation, Interior</v>
      </c>
      <c r="C34" s="22"/>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12" t="str">
        <v>010-63: Insulation, Blown Type</v>
      </c>
      <c r="C35" s="22"/>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12" t="str">
        <v>010-64: Insulation, Loose Fill</v>
      </c>
      <c r="C36" s="22"/>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12" t="str">
        <v>010-65: Insulation Jacketing, Canvas, Osnaburg, etc.</v>
      </c>
      <c r="C37" s="22"/>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12" t="str">
        <v>010-70: Insulation, Magnesia, Blocks, Sheets, etc.</v>
      </c>
      <c r="C38" s="22"/>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12" t="str">
        <v>010-72: Insulation, Mineral Wool: Blankets, Blocks, Boards</v>
      </c>
      <c r="C39" s="22"/>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12" t="str">
        <v>010-75: Insulation Paints, Primers, Sealers, etc.</v>
      </c>
      <c r="C40" s="22"/>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12" t="str">
        <v>010-76: Insulation, Paper Type Material, Cellulose, etc.</v>
      </c>
      <c r="C41" s="22"/>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12" t="str">
        <v>010-78: Insulation, Pipe and Tubing, All Types</v>
      </c>
      <c r="C42" s="22"/>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12" t="str">
        <v>010-81: Insulation, Preformed, All Types, Ells, Tees, Valves, etc.</v>
      </c>
      <c r="C43" s="22"/>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12" t="str">
        <v>010-83: Recycled Insulation Materials and Supplies, All Types</v>
      </c>
      <c r="C44" s="22"/>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12" t="str">
        <v>010-84: Insulation, Rubber</v>
      </c>
      <c r="C45" s="22"/>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12" t="str">
        <v>015-06: Addressing Machine Supplies, Metal and Plastic Plate Type</v>
      </c>
      <c r="C46" s="22"/>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12" t="str">
        <v>015-10: Addressing Machine Supplies, Paper Plate Type</v>
      </c>
      <c r="C47" s="22"/>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12" t="str">
        <v>015-15: Chemicals and Supplies, Dry, Bond Paper Type Copying Machines</v>
      </c>
      <c r="C48" s="22"/>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12" t="str">
        <v>015-16: Chemicals and Supplies, Wet, Bond Paper Type Copying Machines</v>
      </c>
      <c r="C49" s="22"/>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12" t="str">
        <v>015-20: Chemicals and Supplies, Duplicating Machines</v>
      </c>
      <c r="C50" s="22"/>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12" t="str">
        <v>015-25: Chemicals, Inks, and Supplies, Mimeograph Machines)</v>
      </c>
      <c r="C51" s="22"/>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12" t="str">
        <v>015-38: Paper, Chemicals, and Supplies, Blueline Machines</v>
      </c>
      <c r="C52" s="22"/>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12" t="str">
        <v>015-39: Paper, Chemicals, and Supplies, Coated or Treated Paper Type Copying Machines, (See 305-39 for Diazo Process Copy Machines</v>
      </c>
      <c r="C53" s="22"/>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12" t="str">
        <v>015-45: Paper, Chemicals, and Supplies, Diffusion Transfer Type Copying Machines, (See 305-39 for Diazo Process Copy Machines)</v>
      </c>
      <c r="C54" s="22"/>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12" t="str">
        <v>015-55: Paper and Supplies, Dual Spectrum Process Copying Machines, (See 305-39 for Diazo Process Copy Machines)</v>
      </c>
      <c r="C55" s="22"/>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12" t="str">
        <v>015-70: Paper, Chemicals, and Supplies. Thermal Process Copying Machines, (See 305-39 for Diazo Process Copy Machines)</v>
      </c>
      <c r="C56" s="22"/>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12" t="str">
        <v>015-77: Recycled Copying and Duplicating Supplies</v>
      </c>
      <c r="C57" s="22"/>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12" t="str">
        <v>019-20: Barley</v>
      </c>
      <c r="C58" s="22"/>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12" t="str">
        <v>019-21: Berry Crops</v>
      </c>
      <c r="C59" s="22"/>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25" t="str">
        <v>019-24: Buckwheat</v>
      </c>
      <c r="C60" s="26"/>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25" t="str">
        <v>019-30: Corn</v>
      </c>
      <c r="C61" s="26"/>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25" t="str">
        <v>019-32: Cotton</v>
      </c>
      <c r="C62" s="26"/>
      <c r="D62" s="9"/>
      <c r="E62" s="9"/>
      <c r="F62" s="9"/>
      <c r="G62" s="9"/>
      <c r="H62" s="9"/>
      <c r="I62" s="9"/>
      <c r="J62" s="9"/>
      <c r="K62" s="9"/>
      <c r="L62" s="9"/>
      <c r="M62" s="9"/>
      <c r="N62" s="9"/>
      <c r="O62" s="9"/>
      <c r="P62" s="9"/>
      <c r="Q62" s="9"/>
      <c r="R62" s="9"/>
      <c r="S62" s="9"/>
      <c r="T62" s="9"/>
      <c r="U62" s="9"/>
      <c r="V62" s="9"/>
      <c r="W62" s="9"/>
      <c r="X62" s="9"/>
      <c r="Y62" s="9"/>
      <c r="Z62" s="9"/>
    </row>
    <row r="63" spans="1:26" ht="9.75" customHeight="1" x14ac:dyDescent="0.25">
      <c r="A63" s="9"/>
      <c r="B63" s="25" t="str">
        <v>019-41: Fruits, Citrus</v>
      </c>
      <c r="C63" s="26"/>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25" t="str">
        <v>019-42: Fruits, Deciduous Tree</v>
      </c>
      <c r="C64" s="26"/>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25" t="str">
        <v>019-47: Grapes</v>
      </c>
      <c r="C65" s="26"/>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25" t="str">
        <v>019-50: Hops</v>
      </c>
      <c r="C66" s="26"/>
      <c r="D66" s="9"/>
      <c r="E66" s="9"/>
      <c r="F66" s="9"/>
      <c r="G66" s="9"/>
      <c r="H66" s="9"/>
      <c r="I66" s="9"/>
      <c r="J66" s="9"/>
      <c r="K66" s="9"/>
      <c r="L66" s="9"/>
      <c r="M66" s="9"/>
      <c r="N66" s="9"/>
      <c r="O66" s="9"/>
      <c r="P66" s="9"/>
      <c r="Q66" s="9"/>
      <c r="R66" s="9"/>
      <c r="S66" s="9"/>
      <c r="T66" s="9"/>
      <c r="U66" s="9"/>
      <c r="V66" s="9"/>
      <c r="W66" s="9"/>
      <c r="X66" s="9"/>
      <c r="Y66" s="9"/>
      <c r="Z66" s="9"/>
    </row>
    <row r="67" spans="1:26" x14ac:dyDescent="0.25">
      <c r="A67" s="9"/>
      <c r="B67" s="25" t="str">
        <v>019-53: Melons</v>
      </c>
      <c r="C67" s="26"/>
      <c r="D67" s="9"/>
      <c r="E67" s="9"/>
      <c r="F67" s="9"/>
      <c r="G67" s="9"/>
      <c r="H67" s="9"/>
      <c r="I67" s="9"/>
      <c r="J67" s="9"/>
      <c r="K67" s="9"/>
      <c r="L67" s="9"/>
      <c r="M67" s="9"/>
      <c r="N67" s="9"/>
      <c r="O67" s="9"/>
      <c r="P67" s="9"/>
      <c r="Q67" s="9"/>
      <c r="R67" s="9"/>
      <c r="S67" s="9"/>
      <c r="T67" s="9"/>
      <c r="U67" s="9"/>
      <c r="V67" s="9"/>
      <c r="W67" s="9"/>
      <c r="X67" s="9"/>
      <c r="Y67" s="9"/>
      <c r="Z67" s="9"/>
    </row>
    <row r="68" spans="1:26" x14ac:dyDescent="0.25">
      <c r="A68" s="9"/>
      <c r="B68" s="25" t="str">
        <v>019-54: Millet</v>
      </c>
      <c r="C68" s="26"/>
      <c r="D68" s="9"/>
      <c r="E68" s="9"/>
      <c r="F68" s="9"/>
      <c r="G68" s="9"/>
      <c r="H68" s="9"/>
      <c r="I68" s="9"/>
      <c r="J68" s="9"/>
      <c r="K68" s="9"/>
      <c r="L68" s="9"/>
      <c r="M68" s="9"/>
      <c r="N68" s="9"/>
      <c r="O68" s="9"/>
      <c r="P68" s="9"/>
      <c r="Q68" s="9"/>
      <c r="R68" s="9"/>
      <c r="S68" s="9"/>
      <c r="T68" s="9"/>
      <c r="U68" s="9"/>
      <c r="V68" s="9"/>
      <c r="W68" s="9"/>
      <c r="X68" s="9"/>
      <c r="Y68" s="9"/>
      <c r="Z68" s="9"/>
    </row>
    <row r="69" spans="1:26" x14ac:dyDescent="0.25">
      <c r="A69" s="9"/>
      <c r="B69" s="25" t="str">
        <v>019-56: Nuts, Tree</v>
      </c>
      <c r="C69" s="26"/>
      <c r="D69" s="9"/>
      <c r="E69" s="9"/>
      <c r="F69" s="9"/>
      <c r="G69" s="9"/>
      <c r="H69" s="9"/>
      <c r="I69" s="9"/>
      <c r="J69" s="9"/>
      <c r="K69" s="9"/>
      <c r="L69" s="9"/>
      <c r="M69" s="9"/>
      <c r="N69" s="9"/>
      <c r="O69" s="9"/>
      <c r="P69" s="9"/>
      <c r="Q69" s="9"/>
      <c r="R69" s="9"/>
      <c r="S69" s="9"/>
      <c r="T69" s="9"/>
      <c r="U69" s="9"/>
      <c r="V69" s="9"/>
      <c r="W69" s="9"/>
      <c r="X69" s="9"/>
      <c r="Y69" s="9"/>
      <c r="Z69" s="9"/>
    </row>
    <row r="70" spans="1:26" x14ac:dyDescent="0.25">
      <c r="A70" s="9"/>
      <c r="B70" s="25" t="str">
        <v>019-58: Oats</v>
      </c>
      <c r="C70" s="26"/>
      <c r="D70" s="9"/>
      <c r="E70" s="9"/>
      <c r="F70" s="9"/>
      <c r="G70" s="9"/>
      <c r="H70" s="9"/>
      <c r="I70" s="9"/>
      <c r="J70" s="9"/>
      <c r="K70" s="9"/>
      <c r="L70" s="9"/>
      <c r="M70" s="9"/>
      <c r="N70" s="9"/>
      <c r="O70" s="9"/>
      <c r="P70" s="9"/>
      <c r="Q70" s="9"/>
      <c r="R70" s="9"/>
      <c r="S70" s="9"/>
      <c r="T70" s="9"/>
      <c r="U70" s="9"/>
      <c r="V70" s="9"/>
      <c r="W70" s="9"/>
      <c r="X70" s="9"/>
      <c r="Y70" s="9"/>
      <c r="Z70" s="9"/>
    </row>
    <row r="71" spans="1:26" x14ac:dyDescent="0.25">
      <c r="A71" s="9"/>
      <c r="B71" s="25" t="str">
        <v>019-60: Potatoes</v>
      </c>
      <c r="C71" s="26"/>
      <c r="D71" s="9"/>
      <c r="E71" s="9"/>
      <c r="F71" s="9"/>
      <c r="G71" s="9"/>
      <c r="H71" s="9"/>
      <c r="I71" s="9"/>
      <c r="J71" s="9"/>
      <c r="K71" s="9"/>
      <c r="L71" s="9"/>
      <c r="M71" s="9"/>
      <c r="N71" s="9"/>
      <c r="O71" s="9"/>
      <c r="P71" s="9"/>
      <c r="Q71" s="9"/>
      <c r="R71" s="9"/>
      <c r="S71" s="9"/>
      <c r="T71" s="9"/>
      <c r="U71" s="9"/>
      <c r="V71" s="9"/>
      <c r="W71" s="9"/>
      <c r="X71" s="9"/>
      <c r="Y71" s="9"/>
      <c r="Z71" s="9"/>
    </row>
    <row r="72" spans="1:26" x14ac:dyDescent="0.25">
      <c r="A72" s="9"/>
      <c r="B72" s="25" t="str">
        <v>019-62: Pumpkins</v>
      </c>
      <c r="C72" s="26"/>
      <c r="D72" s="9"/>
      <c r="E72" s="9"/>
      <c r="F72" s="9"/>
      <c r="G72" s="9"/>
      <c r="H72" s="9"/>
      <c r="I72" s="9"/>
      <c r="J72" s="9"/>
      <c r="K72" s="9"/>
      <c r="L72" s="9"/>
      <c r="M72" s="9"/>
      <c r="N72" s="9"/>
      <c r="O72" s="9"/>
      <c r="P72" s="9"/>
      <c r="Q72" s="9"/>
      <c r="R72" s="9"/>
      <c r="S72" s="9"/>
      <c r="T72" s="9"/>
      <c r="U72" s="9"/>
      <c r="V72" s="9"/>
      <c r="W72" s="9"/>
      <c r="X72" s="9"/>
      <c r="Y72" s="9"/>
      <c r="Z72" s="9"/>
    </row>
    <row r="73" spans="1:26" x14ac:dyDescent="0.25">
      <c r="A73" s="9"/>
      <c r="B73" s="25" t="str">
        <v>019-66: Rice</v>
      </c>
      <c r="C73" s="26"/>
      <c r="D73" s="9"/>
      <c r="E73" s="9"/>
      <c r="F73" s="9"/>
      <c r="G73" s="9"/>
      <c r="H73" s="9"/>
      <c r="I73" s="9"/>
      <c r="J73" s="9"/>
      <c r="K73" s="9"/>
      <c r="L73" s="9"/>
      <c r="M73" s="9"/>
      <c r="N73" s="9"/>
      <c r="O73" s="9"/>
      <c r="P73" s="9"/>
      <c r="Q73" s="9"/>
      <c r="R73" s="9"/>
      <c r="S73" s="9"/>
      <c r="T73" s="9"/>
      <c r="U73" s="9"/>
      <c r="V73" s="9"/>
      <c r="W73" s="9"/>
      <c r="X73" s="9"/>
      <c r="Y73" s="9"/>
      <c r="Z73" s="9"/>
    </row>
    <row r="74" spans="1:26" x14ac:dyDescent="0.25">
      <c r="A74" s="9"/>
      <c r="B74" s="25" t="str">
        <v>019-67: Rye</v>
      </c>
      <c r="C74" s="26"/>
      <c r="D74" s="9"/>
      <c r="E74" s="9"/>
      <c r="F74" s="9"/>
      <c r="G74" s="9"/>
      <c r="H74" s="9"/>
      <c r="I74" s="9"/>
      <c r="J74" s="9"/>
      <c r="K74" s="9"/>
      <c r="L74" s="9"/>
      <c r="M74" s="9"/>
      <c r="N74" s="9"/>
      <c r="O74" s="9"/>
      <c r="P74" s="9"/>
      <c r="Q74" s="9"/>
      <c r="R74" s="9"/>
      <c r="S74" s="9"/>
      <c r="T74" s="9"/>
      <c r="U74" s="9"/>
      <c r="V74" s="9"/>
      <c r="W74" s="9"/>
      <c r="X74" s="9"/>
      <c r="Y74" s="9"/>
      <c r="Z74" s="9"/>
    </row>
    <row r="75" spans="1:26" x14ac:dyDescent="0.25">
      <c r="A75" s="9"/>
      <c r="B75" s="25" t="str">
        <v>019-72: Sorghum</v>
      </c>
      <c r="C75" s="26"/>
      <c r="D75" s="9"/>
      <c r="E75" s="9"/>
      <c r="F75" s="9"/>
      <c r="G75" s="9"/>
      <c r="H75" s="9"/>
      <c r="I75" s="9"/>
      <c r="J75" s="9"/>
      <c r="K75" s="9"/>
      <c r="L75" s="9"/>
      <c r="M75" s="9"/>
      <c r="N75" s="9"/>
      <c r="O75" s="9"/>
      <c r="P75" s="9"/>
      <c r="Q75" s="9"/>
      <c r="R75" s="9"/>
      <c r="S75" s="9"/>
      <c r="T75" s="9"/>
      <c r="U75" s="9"/>
      <c r="V75" s="9"/>
      <c r="W75" s="9"/>
      <c r="X75" s="9"/>
      <c r="Y75" s="9"/>
      <c r="Z75" s="9"/>
    </row>
    <row r="76" spans="1:26" x14ac:dyDescent="0.25">
      <c r="A76" s="9"/>
      <c r="B76" s="25" t="str">
        <v>019-73: Soybeans</v>
      </c>
      <c r="C76" s="26"/>
      <c r="D76" s="9"/>
      <c r="E76" s="9"/>
      <c r="F76" s="9"/>
      <c r="G76" s="9"/>
      <c r="H76" s="9"/>
      <c r="I76" s="9"/>
      <c r="J76" s="9"/>
      <c r="K76" s="9"/>
      <c r="L76" s="9"/>
      <c r="M76" s="9"/>
      <c r="N76" s="9"/>
      <c r="O76" s="9"/>
      <c r="P76" s="9"/>
      <c r="Q76" s="9"/>
      <c r="R76" s="9"/>
      <c r="S76" s="9"/>
      <c r="T76" s="9"/>
      <c r="U76" s="9"/>
      <c r="V76" s="9"/>
      <c r="W76" s="9"/>
      <c r="X76" s="9"/>
      <c r="Y76" s="9"/>
      <c r="Z76" s="9"/>
    </row>
    <row r="77" spans="1:26" x14ac:dyDescent="0.25">
      <c r="A77" s="9"/>
      <c r="B77" s="25" t="str">
        <v>019-78: Sugarcane and Sugarbeets</v>
      </c>
      <c r="C77" s="26"/>
      <c r="D77" s="9"/>
      <c r="E77" s="9"/>
      <c r="F77" s="9"/>
      <c r="G77" s="9"/>
      <c r="H77" s="9"/>
      <c r="I77" s="9"/>
      <c r="J77" s="9"/>
      <c r="K77" s="9"/>
      <c r="L77" s="9"/>
      <c r="M77" s="9"/>
      <c r="N77" s="9"/>
      <c r="O77" s="9"/>
      <c r="P77" s="9"/>
      <c r="Q77" s="9"/>
      <c r="R77" s="9"/>
      <c r="S77" s="9"/>
      <c r="T77" s="9"/>
      <c r="U77" s="9"/>
      <c r="V77" s="9"/>
      <c r="W77" s="9"/>
      <c r="X77" s="9"/>
      <c r="Y77" s="9"/>
      <c r="Z77" s="9"/>
    </row>
    <row r="78" spans="1:26" x14ac:dyDescent="0.25">
      <c r="A78" s="9"/>
      <c r="B78" s="25" t="str">
        <v>019-85: Tobacco</v>
      </c>
      <c r="C78" s="26"/>
      <c r="D78" s="9"/>
      <c r="E78" s="9"/>
      <c r="F78" s="9"/>
      <c r="G78" s="9"/>
      <c r="H78" s="9"/>
      <c r="I78" s="9"/>
      <c r="J78" s="9"/>
      <c r="K78" s="9"/>
      <c r="L78" s="9"/>
      <c r="M78" s="9"/>
      <c r="N78" s="9"/>
      <c r="O78" s="9"/>
      <c r="P78" s="9"/>
      <c r="Q78" s="9"/>
      <c r="R78" s="9"/>
      <c r="S78" s="9"/>
      <c r="T78" s="9"/>
      <c r="U78" s="9"/>
      <c r="V78" s="9"/>
      <c r="W78" s="9"/>
      <c r="X78" s="9"/>
      <c r="Y78" s="9"/>
      <c r="Z78" s="9"/>
    </row>
    <row r="79" spans="1:26" x14ac:dyDescent="0.25">
      <c r="A79" s="9"/>
      <c r="B79" s="25" t="str">
        <v>019-90: Vegetables, (Not Otherwise Classified)</v>
      </c>
      <c r="C79" s="26"/>
      <c r="D79" s="9"/>
      <c r="E79" s="9"/>
      <c r="F79" s="9"/>
      <c r="G79" s="9"/>
      <c r="H79" s="9"/>
      <c r="I79" s="9"/>
      <c r="J79" s="9"/>
      <c r="K79" s="9"/>
      <c r="L79" s="9"/>
      <c r="M79" s="9"/>
      <c r="N79" s="9"/>
      <c r="O79" s="9"/>
      <c r="P79" s="9"/>
      <c r="Q79" s="9"/>
      <c r="R79" s="9"/>
      <c r="S79" s="9"/>
      <c r="T79" s="9"/>
      <c r="U79" s="9"/>
      <c r="V79" s="9"/>
      <c r="W79" s="9"/>
      <c r="X79" s="9"/>
      <c r="Y79" s="9"/>
      <c r="Z79" s="9"/>
    </row>
    <row r="80" spans="1:26" x14ac:dyDescent="0.25">
      <c r="A80" s="9"/>
      <c r="B80" s="25" t="str">
        <v>019-94: Wheat</v>
      </c>
      <c r="C80" s="26"/>
      <c r="D80" s="9"/>
      <c r="E80" s="9"/>
      <c r="F80" s="9"/>
      <c r="G80" s="9"/>
      <c r="H80" s="9"/>
      <c r="I80" s="9"/>
      <c r="J80" s="9"/>
      <c r="K80" s="9"/>
      <c r="L80" s="9"/>
      <c r="M80" s="9"/>
      <c r="N80" s="9"/>
      <c r="O80" s="9"/>
      <c r="P80" s="9"/>
      <c r="Q80" s="9"/>
      <c r="R80" s="9"/>
      <c r="S80" s="9"/>
      <c r="T80" s="9"/>
      <c r="U80" s="9"/>
      <c r="V80" s="9"/>
      <c r="W80" s="9"/>
      <c r="X80" s="9"/>
      <c r="Y80" s="9"/>
      <c r="Z80" s="9"/>
    </row>
    <row r="81" spans="1:26" x14ac:dyDescent="0.25">
      <c r="A81" s="9"/>
      <c r="B81" s="25" t="str">
        <v>020-02: Backhoe, Farm Tractor</v>
      </c>
      <c r="C81" s="26"/>
      <c r="D81" s="9"/>
      <c r="E81" s="9"/>
      <c r="F81" s="9"/>
      <c r="G81" s="9"/>
      <c r="H81" s="9"/>
      <c r="I81" s="9"/>
      <c r="J81" s="9"/>
      <c r="K81" s="9"/>
      <c r="L81" s="9"/>
      <c r="M81" s="9"/>
      <c r="N81" s="9"/>
      <c r="O81" s="9"/>
      <c r="P81" s="9"/>
      <c r="Q81" s="9"/>
      <c r="R81" s="9"/>
      <c r="S81" s="9"/>
      <c r="T81" s="9"/>
      <c r="U81" s="9"/>
      <c r="V81" s="9"/>
      <c r="W81" s="9"/>
      <c r="X81" s="9"/>
      <c r="Y81" s="9"/>
      <c r="Z81" s="9"/>
    </row>
    <row r="82" spans="1:26" x14ac:dyDescent="0.25">
      <c r="A82" s="9"/>
      <c r="B82" s="25" t="str">
        <v>020-04: Brush and Tree Chippers</v>
      </c>
      <c r="C82" s="26"/>
      <c r="D82" s="9"/>
      <c r="E82" s="9"/>
      <c r="F82" s="9"/>
      <c r="G82" s="9"/>
      <c r="H82" s="9"/>
      <c r="I82" s="9"/>
      <c r="J82" s="9"/>
      <c r="K82" s="9"/>
      <c r="L82" s="9"/>
      <c r="M82" s="9"/>
      <c r="N82" s="9"/>
      <c r="O82" s="9"/>
      <c r="P82" s="9"/>
      <c r="Q82" s="9"/>
      <c r="R82" s="9"/>
      <c r="S82" s="9"/>
      <c r="T82" s="9"/>
      <c r="U82" s="9"/>
      <c r="V82" s="9"/>
      <c r="W82" s="9"/>
      <c r="X82" s="9"/>
      <c r="Y82" s="9"/>
      <c r="Z82" s="9"/>
    </row>
    <row r="83" spans="1:26" x14ac:dyDescent="0.25">
      <c r="A83" s="9"/>
      <c r="B83" s="25" t="str">
        <v>020-06: Brush Cutters and Saws, Motor Driven</v>
      </c>
      <c r="C83" s="26"/>
      <c r="D83" s="9"/>
      <c r="E83" s="9"/>
      <c r="F83" s="9"/>
      <c r="G83" s="9"/>
      <c r="H83" s="9"/>
      <c r="I83" s="9"/>
      <c r="J83" s="9"/>
      <c r="K83" s="9"/>
      <c r="L83" s="9"/>
      <c r="M83" s="9"/>
      <c r="N83" s="9"/>
      <c r="O83" s="9"/>
      <c r="P83" s="9"/>
      <c r="Q83" s="9"/>
      <c r="R83" s="9"/>
      <c r="S83" s="9"/>
      <c r="T83" s="9"/>
      <c r="U83" s="9"/>
      <c r="V83" s="9"/>
      <c r="W83" s="9"/>
      <c r="X83" s="9"/>
      <c r="Y83" s="9"/>
      <c r="Z83" s="9"/>
    </row>
    <row r="84" spans="1:26" x14ac:dyDescent="0.25">
      <c r="A84" s="9"/>
      <c r="B84" s="25" t="str">
        <v>020-10: Counters, Acre</v>
      </c>
      <c r="C84" s="26"/>
      <c r="D84" s="9"/>
      <c r="E84" s="9"/>
      <c r="F84" s="9"/>
      <c r="G84" s="9"/>
      <c r="H84" s="9"/>
      <c r="I84" s="9"/>
      <c r="J84" s="9"/>
      <c r="K84" s="9"/>
      <c r="L84" s="9"/>
      <c r="M84" s="9"/>
      <c r="N84" s="9"/>
      <c r="O84" s="9"/>
      <c r="P84" s="9"/>
      <c r="Q84" s="9"/>
      <c r="R84" s="9"/>
      <c r="S84" s="9"/>
      <c r="T84" s="9"/>
      <c r="U84" s="9"/>
      <c r="V84" s="9"/>
      <c r="W84" s="9"/>
      <c r="X84" s="9"/>
      <c r="Y84" s="9"/>
      <c r="Z84" s="9"/>
    </row>
    <row r="85" spans="1:26" x14ac:dyDescent="0.25">
      <c r="A85" s="9"/>
      <c r="B85" s="25" t="str">
        <v>020-13: Cultivating Equipment, Farm: Go-Devils, Row Type Shovel Cultivators, Tooth and Spring Harrows, etc.</v>
      </c>
      <c r="C85" s="26"/>
      <c r="D85" s="9"/>
      <c r="E85" s="9"/>
      <c r="F85" s="9"/>
      <c r="G85" s="9"/>
      <c r="H85" s="9"/>
      <c r="I85" s="9"/>
      <c r="J85" s="9"/>
      <c r="K85" s="9"/>
      <c r="L85" s="9"/>
      <c r="M85" s="9"/>
      <c r="N85" s="9"/>
      <c r="O85" s="9"/>
      <c r="P85" s="9"/>
      <c r="Q85" s="9"/>
      <c r="R85" s="9"/>
      <c r="S85" s="9"/>
      <c r="T85" s="9"/>
      <c r="U85" s="9"/>
      <c r="V85" s="9"/>
      <c r="W85" s="9"/>
      <c r="X85" s="9"/>
      <c r="Y85" s="9"/>
      <c r="Z85" s="9"/>
    </row>
    <row r="86" spans="1:26" x14ac:dyDescent="0.25">
      <c r="A86" s="9"/>
      <c r="B86" s="25" t="str">
        <v>020-14: Curb Edger, Heavy Duty, Tractor Mounted</v>
      </c>
      <c r="C86" s="26"/>
      <c r="D86" s="9"/>
      <c r="E86" s="9"/>
      <c r="F86" s="9"/>
      <c r="G86" s="9"/>
      <c r="H86" s="9"/>
      <c r="I86" s="9"/>
      <c r="J86" s="9"/>
      <c r="K86" s="9"/>
      <c r="L86" s="9"/>
      <c r="M86" s="9"/>
      <c r="N86" s="9"/>
      <c r="O86" s="9"/>
      <c r="P86" s="9"/>
      <c r="Q86" s="9"/>
      <c r="R86" s="9"/>
      <c r="S86" s="9"/>
      <c r="T86" s="9"/>
      <c r="U86" s="9"/>
      <c r="V86" s="9"/>
      <c r="W86" s="9"/>
      <c r="X86" s="9"/>
      <c r="Y86" s="9"/>
      <c r="Z86" s="9"/>
    </row>
    <row r="87" spans="1:26" x14ac:dyDescent="0.25">
      <c r="A87" s="9"/>
      <c r="B87" s="25" t="str">
        <v>020-15: Cutters and Shredders, Mowers, Heavy Duty, Flail: Tow Type and Center Mount Type</v>
      </c>
      <c r="C87" s="26"/>
      <c r="D87" s="9"/>
      <c r="E87" s="9"/>
      <c r="F87" s="9"/>
      <c r="G87" s="9"/>
      <c r="H87" s="9"/>
      <c r="I87" s="9"/>
      <c r="J87" s="9"/>
      <c r="K87" s="9"/>
      <c r="L87" s="9"/>
      <c r="M87" s="9"/>
      <c r="N87" s="9"/>
      <c r="O87" s="9"/>
      <c r="P87" s="9"/>
      <c r="Q87" s="9"/>
      <c r="R87" s="9"/>
      <c r="S87" s="9"/>
      <c r="T87" s="9"/>
      <c r="U87" s="9"/>
      <c r="V87" s="9"/>
      <c r="W87" s="9"/>
      <c r="X87" s="9"/>
      <c r="Y87" s="9"/>
      <c r="Z87" s="9"/>
    </row>
    <row r="88" spans="1:26" x14ac:dyDescent="0.25">
      <c r="A88" s="9"/>
      <c r="B88" s="25" t="str">
        <v>020-16: Cutters and Shredders, Mowers, Heavy Duty, Reel and Rotary: Tow Type and Center Mount Type</v>
      </c>
      <c r="C88" s="26"/>
      <c r="D88" s="9"/>
      <c r="E88" s="9"/>
      <c r="F88" s="9"/>
      <c r="G88" s="9"/>
      <c r="H88" s="9"/>
      <c r="I88" s="9"/>
      <c r="J88" s="9"/>
      <c r="K88" s="9"/>
      <c r="L88" s="9"/>
      <c r="M88" s="9"/>
      <c r="N88" s="9"/>
      <c r="O88" s="9"/>
      <c r="P88" s="9"/>
      <c r="Q88" s="9"/>
      <c r="R88" s="9"/>
      <c r="S88" s="9"/>
      <c r="T88" s="9"/>
      <c r="U88" s="9"/>
      <c r="V88" s="9"/>
      <c r="W88" s="9"/>
      <c r="X88" s="9"/>
      <c r="Y88" s="9"/>
      <c r="Z88" s="9"/>
    </row>
    <row r="89" spans="1:26" x14ac:dyDescent="0.25">
      <c r="A89" s="9"/>
      <c r="B89" s="25" t="str">
        <v>020-18: Dozer Blades. Farm Tractors</v>
      </c>
      <c r="C89" s="26"/>
      <c r="D89" s="9"/>
      <c r="E89" s="9"/>
      <c r="F89" s="9"/>
      <c r="G89" s="9"/>
      <c r="H89" s="9"/>
      <c r="I89" s="9"/>
      <c r="J89" s="9"/>
      <c r="K89" s="9"/>
      <c r="L89" s="9"/>
      <c r="M89" s="9"/>
      <c r="N89" s="9"/>
      <c r="O89" s="9"/>
      <c r="P89" s="9"/>
      <c r="Q89" s="9"/>
      <c r="R89" s="9"/>
      <c r="S89" s="9"/>
      <c r="T89" s="9"/>
      <c r="U89" s="9"/>
      <c r="V89" s="9"/>
      <c r="W89" s="9"/>
      <c r="X89" s="9"/>
      <c r="Y89" s="9"/>
      <c r="Z89" s="9"/>
    </row>
    <row r="90" spans="1:26" x14ac:dyDescent="0.25">
      <c r="A90" s="9"/>
      <c r="B90" s="25" t="str">
        <v>020-20: Drying Equipment, Grain</v>
      </c>
      <c r="C90" s="26"/>
      <c r="D90" s="9"/>
      <c r="E90" s="9"/>
      <c r="F90" s="9"/>
      <c r="G90" s="9"/>
      <c r="H90" s="9"/>
      <c r="I90" s="9"/>
      <c r="J90" s="9"/>
      <c r="K90" s="9"/>
      <c r="L90" s="9"/>
      <c r="M90" s="9"/>
      <c r="N90" s="9"/>
      <c r="O90" s="9"/>
      <c r="P90" s="9"/>
      <c r="Q90" s="9"/>
      <c r="R90" s="9"/>
      <c r="S90" s="9"/>
      <c r="T90" s="9"/>
      <c r="U90" s="9"/>
      <c r="V90" s="9"/>
      <c r="W90" s="9"/>
      <c r="X90" s="9"/>
      <c r="Y90" s="9"/>
      <c r="Z90" s="9"/>
    </row>
    <row r="91" spans="1:26" x14ac:dyDescent="0.25">
      <c r="A91" s="9"/>
      <c r="B91" s="25" t="str">
        <v>020-23: Ensilage Cutters</v>
      </c>
      <c r="C91" s="26"/>
      <c r="D91" s="9"/>
      <c r="E91" s="9"/>
      <c r="F91" s="9"/>
      <c r="G91" s="9"/>
      <c r="H91" s="9"/>
      <c r="I91" s="9"/>
      <c r="J91" s="9"/>
      <c r="K91" s="9"/>
      <c r="L91" s="9"/>
      <c r="M91" s="9"/>
      <c r="N91" s="9"/>
      <c r="O91" s="9"/>
      <c r="P91" s="9"/>
      <c r="Q91" s="9"/>
      <c r="R91" s="9"/>
      <c r="S91" s="9"/>
      <c r="T91" s="9"/>
      <c r="U91" s="9"/>
      <c r="V91" s="9"/>
      <c r="W91" s="9"/>
      <c r="X91" s="9"/>
      <c r="Y91" s="9"/>
      <c r="Z91" s="9"/>
    </row>
    <row r="92" spans="1:26" x14ac:dyDescent="0.25">
      <c r="A92" s="9"/>
      <c r="B92" s="25" t="str">
        <v>020-25: Farm Wagons</v>
      </c>
      <c r="C92" s="26"/>
      <c r="D92" s="9"/>
      <c r="E92" s="9"/>
      <c r="F92" s="9"/>
      <c r="G92" s="9"/>
      <c r="H92" s="9"/>
      <c r="I92" s="9"/>
      <c r="J92" s="9"/>
      <c r="K92" s="9"/>
      <c r="L92" s="9"/>
      <c r="M92" s="9"/>
      <c r="N92" s="9"/>
      <c r="O92" s="9"/>
      <c r="P92" s="9"/>
      <c r="Q92" s="9"/>
      <c r="R92" s="9"/>
      <c r="S92" s="9"/>
      <c r="T92" s="9"/>
      <c r="U92" s="9"/>
      <c r="V92" s="9"/>
      <c r="W92" s="9"/>
      <c r="X92" s="9"/>
      <c r="Y92" s="9"/>
      <c r="Z92" s="9"/>
    </row>
    <row r="93" spans="1:26" x14ac:dyDescent="0.25">
      <c r="A93" s="9"/>
      <c r="B93" s="25" t="str">
        <v>020-27: Feed Mills and Mixers</v>
      </c>
      <c r="C93" s="26"/>
      <c r="D93" s="9"/>
      <c r="E93" s="9"/>
      <c r="F93" s="9"/>
      <c r="G93" s="9"/>
      <c r="H93" s="9"/>
      <c r="I93" s="9"/>
      <c r="J93" s="9"/>
      <c r="K93" s="9"/>
      <c r="L93" s="9"/>
      <c r="M93" s="9"/>
      <c r="N93" s="9"/>
      <c r="O93" s="9"/>
      <c r="P93" s="9"/>
      <c r="Q93" s="9"/>
      <c r="R93" s="9"/>
      <c r="S93" s="9"/>
      <c r="T93" s="9"/>
      <c r="U93" s="9"/>
      <c r="V93" s="9"/>
      <c r="W93" s="9"/>
      <c r="X93" s="9"/>
      <c r="Y93" s="9"/>
      <c r="Z93" s="9"/>
    </row>
    <row r="94" spans="1:26" ht="15.75" thickBot="1" x14ac:dyDescent="0.3">
      <c r="A94" s="9"/>
      <c r="B94" s="27" t="str">
        <v>020-28: Feed Wagons</v>
      </c>
      <c r="C94" s="28"/>
      <c r="D94" s="9"/>
      <c r="E94" s="9"/>
      <c r="F94" s="9"/>
      <c r="G94" s="9"/>
      <c r="H94" s="9"/>
      <c r="I94" s="9"/>
      <c r="J94" s="9"/>
      <c r="K94" s="9"/>
      <c r="L94" s="9"/>
      <c r="M94" s="9"/>
      <c r="N94" s="9"/>
      <c r="O94" s="9"/>
      <c r="P94" s="9"/>
      <c r="Q94" s="9"/>
      <c r="R94" s="9"/>
      <c r="S94" s="9"/>
      <c r="T94" s="9"/>
      <c r="U94" s="9"/>
      <c r="V94" s="9"/>
      <c r="W94" s="9"/>
      <c r="X94" s="9"/>
      <c r="Y94" s="9"/>
      <c r="Z94" s="9"/>
    </row>
    <row r="95" spans="1:26" x14ac:dyDescent="0.25">
      <c r="A95" s="9"/>
      <c r="B95" s="9" t="str">
        <v>020-30: Fertilizer Applicators and Fittings: Liquid and Gas</v>
      </c>
      <c r="C95" s="23"/>
      <c r="D95" s="9"/>
      <c r="E95" s="9"/>
      <c r="F95" s="9"/>
      <c r="G95" s="9"/>
      <c r="H95" s="9"/>
      <c r="I95" s="9"/>
      <c r="J95" s="9"/>
      <c r="K95" s="9"/>
      <c r="L95" s="9"/>
      <c r="M95" s="9"/>
      <c r="N95" s="9"/>
      <c r="O95" s="9"/>
      <c r="P95" s="9"/>
      <c r="Q95" s="9"/>
      <c r="R95" s="9"/>
      <c r="S95" s="9"/>
      <c r="T95" s="9"/>
      <c r="U95" s="9"/>
      <c r="V95" s="9"/>
      <c r="W95" s="9"/>
      <c r="X95" s="9"/>
      <c r="Y95" s="9"/>
      <c r="Z95" s="9"/>
    </row>
    <row r="96" spans="1:26" x14ac:dyDescent="0.25">
      <c r="A96" s="9"/>
      <c r="B96" s="9" t="str">
        <v>020-31: Fertilizer Distributors, Dry, Commercial (See Class 515 for Lawn Type Distributors)</v>
      </c>
      <c r="C96" s="23"/>
      <c r="D96" s="9"/>
      <c r="E96" s="9"/>
      <c r="F96" s="9"/>
      <c r="G96" s="9"/>
      <c r="H96" s="9"/>
      <c r="I96" s="9"/>
      <c r="J96" s="9"/>
      <c r="K96" s="9"/>
      <c r="L96" s="9"/>
      <c r="M96" s="9"/>
      <c r="N96" s="9"/>
      <c r="O96" s="9"/>
      <c r="P96" s="9"/>
      <c r="Q96" s="9"/>
      <c r="R96" s="9"/>
      <c r="S96" s="9"/>
      <c r="T96" s="9"/>
      <c r="U96" s="9"/>
      <c r="V96" s="9"/>
      <c r="W96" s="9"/>
      <c r="X96" s="9"/>
      <c r="Y96" s="9"/>
      <c r="Z96" s="9"/>
    </row>
    <row r="97" spans="1:26" x14ac:dyDescent="0.25">
      <c r="A97" s="9"/>
      <c r="B97" s="9" t="str">
        <v>020-33: Garden Tractors, Cultivators, and Plows</v>
      </c>
      <c r="C97" s="23"/>
      <c r="D97" s="9"/>
      <c r="E97" s="9"/>
      <c r="F97" s="9"/>
      <c r="G97" s="9"/>
      <c r="H97" s="9"/>
      <c r="I97" s="9"/>
      <c r="J97" s="9"/>
      <c r="K97" s="9"/>
      <c r="L97" s="9"/>
      <c r="M97" s="9"/>
      <c r="N97" s="9"/>
      <c r="O97" s="9"/>
      <c r="P97" s="9"/>
      <c r="Q97" s="9"/>
      <c r="R97" s="9"/>
      <c r="S97" s="9"/>
      <c r="T97" s="9"/>
      <c r="U97" s="9"/>
      <c r="V97" s="9"/>
      <c r="W97" s="9"/>
      <c r="X97" s="9"/>
      <c r="Y97" s="9"/>
      <c r="Z97" s="9"/>
    </row>
    <row r="98" spans="1:26" x14ac:dyDescent="0.25">
      <c r="A98" s="9"/>
      <c r="B98" s="9" t="str">
        <v>020-34: Gang Mowers, Reel Type, Towed</v>
      </c>
      <c r="C98" s="23"/>
      <c r="D98" s="9"/>
      <c r="E98" s="9"/>
      <c r="F98" s="9"/>
      <c r="G98" s="9"/>
      <c r="H98" s="9"/>
      <c r="I98" s="9"/>
      <c r="J98" s="9"/>
      <c r="K98" s="9"/>
      <c r="L98" s="9"/>
      <c r="M98" s="9"/>
      <c r="N98" s="9"/>
      <c r="O98" s="9"/>
      <c r="P98" s="9"/>
      <c r="Q98" s="9"/>
      <c r="R98" s="9"/>
      <c r="S98" s="9"/>
      <c r="T98" s="9"/>
      <c r="U98" s="9"/>
      <c r="V98" s="9"/>
      <c r="W98" s="9"/>
      <c r="X98" s="9"/>
      <c r="Y98" s="9"/>
      <c r="Z98" s="9"/>
    </row>
    <row r="99" spans="1:26" x14ac:dyDescent="0.25">
      <c r="A99" s="9"/>
      <c r="B99" s="9" t="str">
        <v>020-35: Grain Bins and Tanks</v>
      </c>
      <c r="C99" s="23"/>
      <c r="D99" s="9"/>
      <c r="E99" s="9"/>
      <c r="F99" s="9"/>
      <c r="G99" s="9"/>
      <c r="H99" s="9"/>
      <c r="I99" s="9"/>
      <c r="J99" s="9"/>
      <c r="K99" s="9"/>
      <c r="L99" s="9"/>
      <c r="M99" s="9"/>
      <c r="N99" s="9"/>
      <c r="O99" s="9"/>
      <c r="P99" s="9"/>
      <c r="Q99" s="9"/>
      <c r="R99" s="9"/>
      <c r="S99" s="9"/>
      <c r="T99" s="9"/>
      <c r="U99" s="9"/>
      <c r="V99" s="9"/>
      <c r="W99" s="9"/>
      <c r="X99" s="9"/>
      <c r="Y99" s="9"/>
      <c r="Z99" s="9"/>
    </row>
    <row r="100" spans="1:26" x14ac:dyDescent="0.25">
      <c r="A100" s="9"/>
      <c r="B100" s="9" t="str">
        <v>020-36: Grading Machines for Seeds, Grains and Dried Vegetables</v>
      </c>
      <c r="C100" s="23"/>
      <c r="D100" s="9"/>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9"/>
      <c r="B101" s="9" t="str">
        <v>020-37: Grass Seed Strippers and Cleaners</v>
      </c>
      <c r="C101" s="23"/>
      <c r="D101" s="9"/>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9"/>
      <c r="B102" s="9" t="str">
        <v>020-39: Grass Spriggers and Seeders</v>
      </c>
      <c r="C102" s="23"/>
      <c r="D102" s="9"/>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9"/>
      <c r="B103" s="9" t="str">
        <v>020-40: Grinding Mills: Seed, Grain, Dried Vegetable</v>
      </c>
      <c r="C103" s="23"/>
      <c r="D103" s="9"/>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9"/>
      <c r="B104" s="9" t="str">
        <v>020-41: Harvesting Equipment: Bean, Corn, and Pea Pickers and Shellers, Combines, Cotton and Fruit Pickers, Headers, Sled Cutters and Threshers</v>
      </c>
      <c r="C104" s="23"/>
      <c r="D104" s="9"/>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9"/>
      <c r="B105" s="9" t="str">
        <v>020-43: Haying Equipment: Balers, Dryers, Elevators and Rakes, etc.</v>
      </c>
      <c r="C105" s="23"/>
      <c r="D105" s="9"/>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9"/>
      <c r="B106" s="9" t="str">
        <v>020-46: Herbicide, Insecticide and Fungicide Applicators and Distributors</v>
      </c>
      <c r="C106" s="23"/>
      <c r="D106" s="9"/>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9"/>
      <c r="B107" s="9" t="str">
        <v>020-49: Irrigation Equipment and Supplies, Agricultural</v>
      </c>
      <c r="C107" s="23"/>
      <c r="D107" s="9"/>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9"/>
      <c r="B108" s="9" t="str">
        <v>020-59: Land Levelers</v>
      </c>
      <c r="C108" s="23"/>
      <c r="D108" s="9"/>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9"/>
      <c r="B109" s="9" t="str">
        <v>020-61: Loaders, Tractor Mounted, Farm</v>
      </c>
      <c r="C109" s="23"/>
      <c r="D109" s="9"/>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9"/>
      <c r="B110" s="9" t="str">
        <v>020-62: Log Splitters</v>
      </c>
      <c r="C110" s="23"/>
      <c r="D110" s="9"/>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9"/>
      <c r="B111" s="9" t="str">
        <v>020-63: Manure Spreaders</v>
      </c>
      <c r="C111" s="23"/>
      <c r="D111" s="9"/>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9"/>
      <c r="B112" s="9" t="str">
        <v>020-64: Mower, Articulated Boom: Flail, Rotary, or Sickle Head</v>
      </c>
      <c r="C112" s="23"/>
      <c r="D112" s="9"/>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9"/>
      <c r="B113" s="9" t="str">
        <v>020-65: Mower, Steep Slope Type with Cutter Head on Telescoping Boom: Flail, Rotary, or Sickle Bar Cutter Heads, For Mounting on Tractors or Trucks (See Class 515 for Lawn Type Mowers)</v>
      </c>
      <c r="C113" s="23"/>
      <c r="D113" s="9"/>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9"/>
      <c r="B114" s="9" t="str">
        <v>020-66: Mower, Tractor Mounted, Steep Slope Type with Cutter Head on Telescoping Boom): Flail, Rotary, or Sickle Bar Cutter Heads (See Class 515 for Lawn Type Mowers)</v>
      </c>
      <c r="C114" s="23"/>
      <c r="D114" s="9"/>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9"/>
      <c r="B115" s="9" t="str">
        <v>020-67: Mower-Tractor Unit or Self-Propelled Mower, for Slope Mowing (See Class 515 for Lawn Type Mowers)</v>
      </c>
      <c r="C115" s="23"/>
      <c r="D115" s="9"/>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9"/>
      <c r="B116" s="9" t="str">
        <v>020-68: Mower, Center Mounted; and Tractor (See Class 515 for Lawn Type Mowers)</v>
      </c>
      <c r="C116" s="23"/>
      <c r="D116" s="9"/>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9"/>
      <c r="B117" s="9" t="str">
        <v>020-69: Pasture Renovators</v>
      </c>
      <c r="C117" s="23"/>
      <c r="D117" s="9"/>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9"/>
      <c r="B118" s="9" t="str">
        <v>020-71: Planting Equipment, Broadcasting</v>
      </c>
      <c r="C118" s="23"/>
      <c r="D118" s="9"/>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9"/>
      <c r="B119" s="9" t="str">
        <v>020-72: Planting Equipment, Drilling</v>
      </c>
      <c r="C119" s="23"/>
      <c r="D119" s="9"/>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9"/>
      <c r="B120" s="9" t="str">
        <v>020-73: Planting Equipment, Row Crop</v>
      </c>
      <c r="C120" s="23"/>
      <c r="D120" s="9"/>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9"/>
      <c r="B121" s="9" t="str">
        <v>020-74: Processing Machinery and Equipment, Agricultural</v>
      </c>
      <c r="C121" s="23"/>
      <c r="D121" s="9"/>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9"/>
      <c r="B122" s="9" t="str">
        <v>020-75: Posthole Diggers, Tractor Mounted</v>
      </c>
      <c r="C122" s="23"/>
      <c r="D122" s="9"/>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9"/>
      <c r="B123" s="9" t="str">
        <v>020-76: Protection Structures, Rollover (ROPS)</v>
      </c>
      <c r="C123" s="23"/>
      <c r="D123" s="9"/>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9"/>
      <c r="B124" s="9" t="str">
        <v>020-77: Pulverizers and Rotary Tillers, Soil</v>
      </c>
      <c r="C124" s="23"/>
      <c r="D124" s="9"/>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9"/>
      <c r="B125" s="9" t="str">
        <v>020-78: Recycled Agricultural Equipment Accessories and Supplies</v>
      </c>
      <c r="C125" s="23"/>
      <c r="D125" s="9"/>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9"/>
      <c r="B126" s="9" t="str">
        <v>020-79: Rock Pickers and Rakes</v>
      </c>
      <c r="C126" s="23"/>
      <c r="D126" s="9"/>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9"/>
      <c r="B127" s="9" t="str">
        <v>020-80: Processing Machinery and Equipment Agricultural Environmental: Anerobic Digesters, Waste to Energy</v>
      </c>
      <c r="C127" s="23"/>
      <c r="D127" s="9"/>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9"/>
      <c r="B128" s="9" t="str">
        <v>020-81: Rodent Control Equipment, Tractor Operated</v>
      </c>
      <c r="C128" s="23"/>
      <c r="D128" s="9"/>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9"/>
      <c r="B129" s="9" t="str">
        <v>020-82: Spade, Tree (Truck or Trailer Mounted, or Three-Point Hook-Up for Tractor Mounting) and Other Tree Transplanting and Diggers</v>
      </c>
      <c r="C129" s="23"/>
      <c r="D129" s="9"/>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9"/>
      <c r="B130" s="9" t="str">
        <v>020-83: Sweeps and Other Steel Shapes</v>
      </c>
      <c r="C130" s="23"/>
      <c r="D130" s="9"/>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9"/>
      <c r="B131" s="9" t="str">
        <v>020-84: Soil Mixers and Samplers</v>
      </c>
      <c r="C131" s="23"/>
      <c r="D131" s="9"/>
      <c r="E131" s="9"/>
      <c r="F131" s="9"/>
      <c r="G131" s="9"/>
      <c r="H131" s="9"/>
      <c r="I131" s="9"/>
      <c r="J131" s="9"/>
      <c r="K131" s="9"/>
      <c r="L131" s="9"/>
      <c r="M131" s="9"/>
      <c r="N131" s="9"/>
      <c r="O131" s="9"/>
      <c r="P131" s="9"/>
      <c r="Q131" s="9"/>
      <c r="R131" s="9"/>
      <c r="S131" s="9"/>
      <c r="T131" s="9"/>
      <c r="U131" s="9"/>
      <c r="V131" s="9"/>
      <c r="W131" s="9"/>
      <c r="X131" s="9"/>
      <c r="Y131" s="9"/>
      <c r="Z131" s="9"/>
    </row>
    <row r="132" spans="1:26" x14ac:dyDescent="0.25">
      <c r="A132" s="9"/>
      <c r="B132" s="9" t="str">
        <v>020-85: Terracing Equipment</v>
      </c>
      <c r="C132" s="23"/>
      <c r="D132" s="9"/>
      <c r="E132" s="9"/>
      <c r="F132" s="9"/>
      <c r="G132" s="9"/>
      <c r="H132" s="9"/>
      <c r="I132" s="9"/>
      <c r="J132" s="9"/>
      <c r="K132" s="9"/>
      <c r="L132" s="9"/>
      <c r="M132" s="9"/>
      <c r="N132" s="9"/>
      <c r="O132" s="9"/>
      <c r="P132" s="9"/>
      <c r="Q132" s="9"/>
      <c r="R132" s="9"/>
      <c r="S132" s="9"/>
      <c r="T132" s="9"/>
      <c r="U132" s="9"/>
      <c r="V132" s="9"/>
      <c r="W132" s="9"/>
      <c r="X132" s="9"/>
      <c r="Y132" s="9"/>
      <c r="Z132" s="9"/>
    </row>
    <row r="133" spans="1:26" x14ac:dyDescent="0.25">
      <c r="A133" s="9"/>
      <c r="B133" s="9" t="str">
        <v>020-87: Tillage Equipment, Heavy Duty, Farm: Blade Plows, Disc Harrows, Listers, Rotary Hoes, Tool Bars, etc.</v>
      </c>
      <c r="C133" s="23"/>
      <c r="D133" s="9"/>
      <c r="E133" s="9"/>
      <c r="F133" s="9"/>
      <c r="G133" s="9"/>
      <c r="H133" s="9"/>
      <c r="I133" s="9"/>
      <c r="J133" s="9"/>
      <c r="K133" s="9"/>
      <c r="L133" s="9"/>
      <c r="M133" s="9"/>
      <c r="N133" s="9"/>
      <c r="O133" s="9"/>
      <c r="P133" s="9"/>
      <c r="Q133" s="9"/>
      <c r="R133" s="9"/>
      <c r="S133" s="9"/>
      <c r="T133" s="9"/>
      <c r="U133" s="9"/>
      <c r="V133" s="9"/>
      <c r="W133" s="9"/>
      <c r="X133" s="9"/>
      <c r="Y133" s="9"/>
      <c r="Z133" s="9"/>
    </row>
    <row r="134" spans="1:26" x14ac:dyDescent="0.25">
      <c r="A134" s="9"/>
      <c r="B134" s="9" t="str">
        <v>020-89: Tractors, Farm, Wheel Type</v>
      </c>
      <c r="C134" s="23"/>
      <c r="D134" s="9"/>
      <c r="E134" s="9"/>
      <c r="F134" s="9"/>
      <c r="G134" s="9"/>
      <c r="H134" s="9"/>
      <c r="I134" s="9"/>
      <c r="J134" s="9"/>
      <c r="K134" s="9"/>
      <c r="L134" s="9"/>
      <c r="M134" s="9"/>
      <c r="N134" s="9"/>
      <c r="O134" s="9"/>
      <c r="P134" s="9"/>
      <c r="Q134" s="9"/>
      <c r="R134" s="9"/>
      <c r="S134" s="9"/>
      <c r="T134" s="9"/>
      <c r="U134" s="9"/>
      <c r="V134" s="9"/>
      <c r="W134" s="9"/>
      <c r="X134" s="9"/>
      <c r="Y134" s="9"/>
      <c r="Z134" s="9"/>
    </row>
    <row r="135" spans="1:26" x14ac:dyDescent="0.25">
      <c r="A135" s="9"/>
      <c r="B135" s="9" t="str">
        <v>020-90: Tree and Root Cutters and Stump Grinders, Tractor Mounted</v>
      </c>
      <c r="C135" s="23"/>
      <c r="D135" s="9"/>
      <c r="E135" s="9"/>
      <c r="F135" s="9"/>
      <c r="G135" s="9"/>
      <c r="H135" s="9"/>
      <c r="I135" s="9"/>
      <c r="J135" s="9"/>
      <c r="K135" s="9"/>
      <c r="L135" s="9"/>
      <c r="M135" s="9"/>
      <c r="N135" s="9"/>
      <c r="O135" s="9"/>
      <c r="P135" s="9"/>
      <c r="Q135" s="9"/>
      <c r="R135" s="9"/>
      <c r="S135" s="9"/>
      <c r="T135" s="9"/>
      <c r="U135" s="9"/>
      <c r="V135" s="9"/>
      <c r="W135" s="9"/>
      <c r="X135" s="9"/>
      <c r="Y135" s="9"/>
      <c r="Z135" s="9"/>
    </row>
    <row r="136" spans="1:26" x14ac:dyDescent="0.25">
      <c r="A136" s="9"/>
      <c r="B136" s="9" t="str">
        <v>020-91: Tree Girdlers and Timber Tongs</v>
      </c>
      <c r="C136" s="23"/>
      <c r="D136" s="9"/>
      <c r="E136" s="9"/>
      <c r="F136" s="9"/>
      <c r="G136" s="9"/>
      <c r="H136" s="9"/>
      <c r="I136" s="9"/>
      <c r="J136" s="9"/>
      <c r="K136" s="9"/>
      <c r="L136" s="9"/>
      <c r="M136" s="9"/>
      <c r="N136" s="9"/>
      <c r="O136" s="9"/>
      <c r="P136" s="9"/>
      <c r="Q136" s="9"/>
      <c r="R136" s="9"/>
      <c r="S136" s="9"/>
      <c r="T136" s="9"/>
      <c r="U136" s="9"/>
      <c r="V136" s="9"/>
      <c r="W136" s="9"/>
      <c r="X136" s="9"/>
      <c r="Y136" s="9"/>
      <c r="Z136" s="9"/>
    </row>
    <row r="137" spans="1:26" x14ac:dyDescent="0.25">
      <c r="A137" s="9"/>
      <c r="B137" s="9" t="str">
        <v>020-93: Umbrellas, Tractor</v>
      </c>
      <c r="C137" s="23"/>
      <c r="D137" s="9"/>
      <c r="E137" s="9"/>
      <c r="F137" s="9"/>
      <c r="G137" s="9"/>
      <c r="H137" s="9"/>
      <c r="I137" s="9"/>
      <c r="J137" s="9"/>
      <c r="K137" s="9"/>
      <c r="L137" s="9"/>
      <c r="M137" s="9"/>
      <c r="N137" s="9"/>
      <c r="O137" s="9"/>
      <c r="P137" s="9"/>
      <c r="Q137" s="9"/>
      <c r="R137" s="9"/>
      <c r="S137" s="9"/>
      <c r="T137" s="9"/>
      <c r="U137" s="9"/>
      <c r="V137" s="9"/>
      <c r="W137" s="9"/>
      <c r="X137" s="9"/>
      <c r="Y137" s="9"/>
      <c r="Z137" s="9"/>
    </row>
    <row r="138" spans="1:26" x14ac:dyDescent="0.25">
      <c r="A138" s="9"/>
      <c r="B138" s="9" t="str">
        <v>020-95: Unloaders and Elevators, Grain</v>
      </c>
      <c r="C138" s="23"/>
      <c r="D138" s="9"/>
      <c r="E138" s="9"/>
      <c r="F138" s="9"/>
      <c r="G138" s="9"/>
      <c r="H138" s="9"/>
      <c r="I138" s="9"/>
      <c r="J138" s="9"/>
      <c r="K138" s="9"/>
      <c r="L138" s="9"/>
      <c r="M138" s="9"/>
      <c r="N138" s="9"/>
      <c r="O138" s="9"/>
      <c r="P138" s="9"/>
      <c r="Q138" s="9"/>
      <c r="R138" s="9"/>
      <c r="S138" s="9"/>
      <c r="T138" s="9"/>
      <c r="U138" s="9"/>
      <c r="V138" s="9"/>
      <c r="W138" s="9"/>
      <c r="X138" s="9"/>
      <c r="Y138" s="9"/>
      <c r="Z138" s="9"/>
    </row>
    <row r="139" spans="1:26" x14ac:dyDescent="0.25">
      <c r="A139" s="9"/>
      <c r="B139" s="9" t="str">
        <v>020-96: Wedges, Steel, Tree Felling and Splitting</v>
      </c>
      <c r="C139" s="23"/>
      <c r="D139" s="9"/>
      <c r="E139" s="9"/>
      <c r="F139" s="9"/>
      <c r="G139" s="9"/>
      <c r="H139" s="9"/>
      <c r="I139" s="9"/>
      <c r="J139" s="9"/>
      <c r="K139" s="9"/>
      <c r="L139" s="9"/>
      <c r="M139" s="9"/>
      <c r="N139" s="9"/>
      <c r="O139" s="9"/>
      <c r="P139" s="9"/>
      <c r="Q139" s="9"/>
      <c r="R139" s="9"/>
      <c r="S139" s="9"/>
      <c r="T139" s="9"/>
      <c r="U139" s="9"/>
      <c r="V139" s="9"/>
      <c r="W139" s="9"/>
      <c r="X139" s="9"/>
      <c r="Y139" s="9"/>
      <c r="Z139" s="9"/>
    </row>
    <row r="140" spans="1:26" x14ac:dyDescent="0.25">
      <c r="B140" t="str">
        <v>020-98: Operations/Grounds Field Equipment less than $750</v>
      </c>
    </row>
    <row r="141" spans="1:26" x14ac:dyDescent="0.25">
      <c r="B141" t="str">
        <v>020-99: Other Operations/Grounds Field Equipment over $5,000</v>
      </c>
    </row>
    <row r="142" spans="1:26" x14ac:dyDescent="0.25">
      <c r="B142" t="str">
        <v>022-04: Brush Chipper, Cutter and Saw Parts</v>
      </c>
    </row>
    <row r="143" spans="1:26" x14ac:dyDescent="0.25">
      <c r="B143" t="str">
        <v>022-13: Cultivating Equipment Parts</v>
      </c>
    </row>
    <row r="144" spans="1:26" x14ac:dyDescent="0.25">
      <c r="B144" t="str">
        <v>022-15: Cutter and Shredder, Mower: Flail, Rotary, Reel, and Sickle Bar Parts</v>
      </c>
    </row>
    <row r="145" spans="2:2" x14ac:dyDescent="0.25">
      <c r="B145" t="str">
        <v>022-30: Fertilizer Distributor Parts</v>
      </c>
    </row>
    <row r="146" spans="2:2" x14ac:dyDescent="0.25">
      <c r="B146" t="str">
        <v>022-41: Harvesting Equipment Parts</v>
      </c>
    </row>
    <row r="147" spans="2:2" x14ac:dyDescent="0.25">
      <c r="B147" t="str">
        <v>022-42: Haying Equipment Parts</v>
      </c>
    </row>
    <row r="148" spans="2:2" x14ac:dyDescent="0.25">
      <c r="B148" t="str">
        <v>022-43: Herbicide, Insecticide and Fungicide Applicator and Distributor Parts</v>
      </c>
    </row>
    <row r="149" spans="2:2" x14ac:dyDescent="0.25">
      <c r="B149" t="str">
        <v>022-49: Implement Parts, John Deere</v>
      </c>
    </row>
    <row r="150" spans="2:2" x14ac:dyDescent="0.25">
      <c r="B150" t="str">
        <v>022-51: Implement Parts. Ford, New Holland</v>
      </c>
    </row>
    <row r="151" spans="2:2" x14ac:dyDescent="0.25">
      <c r="B151" t="str">
        <v>022-53: Implement Parts, Case/IH International Harvester</v>
      </c>
    </row>
    <row r="152" spans="2:2" x14ac:dyDescent="0.25">
      <c r="B152" t="str">
        <v>022-54: Implement Parts, Kubota</v>
      </c>
    </row>
    <row r="153" spans="2:2" x14ac:dyDescent="0.25">
      <c r="B153" t="str">
        <v>022-58: Implement Parts, Farm Equipment, (Not Otherwise Classified)</v>
      </c>
    </row>
    <row r="154" spans="2:2" x14ac:dyDescent="0.25">
      <c r="B154" t="str">
        <v>022-62: Irrigation System Parts, Agricultural</v>
      </c>
    </row>
    <row r="155" spans="2:2" x14ac:dyDescent="0.25">
      <c r="B155" t="str">
        <v>022-70: Planting Equipment Parts</v>
      </c>
    </row>
    <row r="156" spans="2:2" x14ac:dyDescent="0.25">
      <c r="B156" t="str">
        <v>022-71: Processing Machinery Parts, Environmental</v>
      </c>
    </row>
    <row r="157" spans="2:2" x14ac:dyDescent="0.25">
      <c r="B157" t="str">
        <v>022-73: Posthole Digger, Tractor Mounted Parts</v>
      </c>
    </row>
    <row r="158" spans="2:2" x14ac:dyDescent="0.25">
      <c r="B158" t="str">
        <v>022-74: Recycled Agricultural and Implement Parts</v>
      </c>
    </row>
    <row r="159" spans="2:2" x14ac:dyDescent="0.25">
      <c r="B159" t="str">
        <v>022-75: Sprigger and Seeder Parts, Grass</v>
      </c>
    </row>
    <row r="160" spans="2:2" x14ac:dyDescent="0.25">
      <c r="B160" t="str">
        <v>022-77: Tillage Equipment Parts</v>
      </c>
    </row>
    <row r="161" spans="2:2" x14ac:dyDescent="0.25">
      <c r="B161" t="str">
        <v>022-80: Tractor (Farm and Garden) Parts</v>
      </c>
    </row>
    <row r="162" spans="2:2" x14ac:dyDescent="0.25">
      <c r="B162" t="str">
        <v>022-82: Tree Spade and Forestry Equipment Parts</v>
      </c>
    </row>
    <row r="163" spans="2:2" x14ac:dyDescent="0.25">
      <c r="B163" t="str">
        <v>022-95: Unloader and Elevator, Grain Equipment Parts</v>
      </c>
    </row>
    <row r="164" spans="2:2" x14ac:dyDescent="0.25">
      <c r="B164" t="str">
        <v>022-97: Wagon Parts</v>
      </c>
    </row>
    <row r="165" spans="2:2" x14ac:dyDescent="0.25">
      <c r="B165" t="str">
        <v>025-10: Compressor, Bare Unit, Not Mounted or Powered: 15 HP and less</v>
      </c>
    </row>
    <row r="166" spans="2:2" x14ac:dyDescent="0.25">
      <c r="B166" t="str">
        <v>025-20: Compressor, Bare Unit, Not Mounted or Powered: over 15 HP</v>
      </c>
    </row>
    <row r="167" spans="2:2" x14ac:dyDescent="0.25">
      <c r="B167" t="str">
        <v>025-30: Compressor, Base or Tank Mounted: Electric Motor or Engine Driven, 15 HP and less, Including Parts and Accessories</v>
      </c>
    </row>
    <row r="168" spans="2:2" x14ac:dyDescent="0.25">
      <c r="B168" t="str">
        <v>025-40: Compressor, Base or Tank Mounted: Electric Motor or Engine Driven, Over 15 HP, Including Parts and Accessories</v>
      </c>
    </row>
    <row r="169" spans="2:2" x14ac:dyDescent="0.25">
      <c r="B169" t="str">
        <v>025-43: Compressor: High Pressure, All Sizes and Models</v>
      </c>
    </row>
    <row r="170" spans="2:2" x14ac:dyDescent="0.25">
      <c r="B170" t="str">
        <v>025-45: Compressor, Portable: Electric Motor or Engine Driven, 5 HP and less, Including Parts and Accessories</v>
      </c>
    </row>
    <row r="171" spans="2:2" x14ac:dyDescent="0.25">
      <c r="B171" t="str">
        <v>025-50: Compressor, Portable, Electric Motor or Engine Driven: over 25 CFM at 100 PSI, Including Parts and Accessories</v>
      </c>
    </row>
    <row r="172" spans="2:2" x14ac:dyDescent="0.25">
      <c r="B172" t="str">
        <v>025-55: Dryers, Desiccant Air</v>
      </c>
    </row>
    <row r="173" spans="2:2" x14ac:dyDescent="0.25">
      <c r="B173" t="str">
        <v>025-60: Filters, Air Gauges and Valves, Pressure Regulators, Shock Mounts, etc.</v>
      </c>
    </row>
    <row r="174" spans="2:2" x14ac:dyDescent="0.25">
      <c r="B174" t="str">
        <v>025-70: Moisture Separators, Non-Refrigerated</v>
      </c>
    </row>
    <row r="175" spans="2:2" x14ac:dyDescent="0.25">
      <c r="B175" t="str">
        <v>025-80: Moisture Separators, Refrigerated</v>
      </c>
    </row>
    <row r="176" spans="2:2" x14ac:dyDescent="0.25">
      <c r="B176" t="str">
        <v>025-85: Motors, Air Compressor</v>
      </c>
    </row>
    <row r="177" spans="2:2" x14ac:dyDescent="0.25">
      <c r="B177" t="str">
        <v>025-90: Recycled Air Compressor Accessories and Supplies</v>
      </c>
    </row>
    <row r="178" spans="2:2" x14ac:dyDescent="0.25">
      <c r="B178" t="str">
        <v>031-02: Air Conditioning Units, Portable or Room AC Units, Computer Rooms, Hospital Rooms, Sporting Events, etc.</v>
      </c>
    </row>
    <row r="179" spans="2:2" x14ac:dyDescent="0.25">
      <c r="B179" t="str">
        <v>031-03: Air Conditioners Systems, Commercial and Industrial, Including Parts and Accessories, (Not Otherwise Classified)</v>
      </c>
    </row>
    <row r="180" spans="2:2" x14ac:dyDescent="0.25">
      <c r="B180" t="str">
        <v>031-04: Air Conditioners: Controlled Environment, Computer Rooms, etc., Including  Parts and Accessories, (Not Otherwise Classified)</v>
      </c>
    </row>
    <row r="181" spans="2:2" x14ac:dyDescent="0.25">
      <c r="B181" t="str">
        <v>031-05: Air Conditioning and Heating Systems, Window and Wall Mounted, Ductless, Including Parts and Accessories, (Not Otherwise Classified)</v>
      </c>
    </row>
    <row r="182" spans="2:2" x14ac:dyDescent="0.25">
      <c r="B182" t="str">
        <v>031-06: Air Conditioning and Heating Central Air Systems, Including Parts and Accessories, (Not Otherwise Classified)</v>
      </c>
    </row>
    <row r="183" spans="2:2" x14ac:dyDescent="0.25">
      <c r="B183" t="str">
        <v>031-07: Air Circulation Equipment (Not Otherwise Classified)</v>
      </c>
    </row>
    <row r="184" spans="2:2" x14ac:dyDescent="0.25">
      <c r="B184" t="str">
        <v>031-08: Air Curtains</v>
      </c>
    </row>
    <row r="185" spans="2:2" x14ac:dyDescent="0.25">
      <c r="B185" t="str">
        <v>031-09: Air Flow Meters</v>
      </c>
    </row>
    <row r="186" spans="2:2" x14ac:dyDescent="0.25">
      <c r="B186" t="str">
        <v>031-10: Air Purifiers, Accessories and Supplies</v>
      </c>
    </row>
    <row r="187" spans="2:2" x14ac:dyDescent="0.25">
      <c r="B187" t="str">
        <v>031-11: Blowers, Industrial Types</v>
      </c>
    </row>
    <row r="188" spans="2:2" x14ac:dyDescent="0.25">
      <c r="B188" t="str">
        <v>031-13: Chillers, Heat Exchangers and Receivers</v>
      </c>
    </row>
    <row r="189" spans="2:2" x14ac:dyDescent="0.25">
      <c r="B189" t="str">
        <v>031-14: Chilled Water System, Portable</v>
      </c>
    </row>
    <row r="190" spans="2:2" x14ac:dyDescent="0.25">
      <c r="B190" t="str">
        <v>031-15: Chilled Water Meter System</v>
      </c>
    </row>
    <row r="191" spans="2:2" x14ac:dyDescent="0.25">
      <c r="B191" t="str">
        <v>031-16: Coatings and Sealants, Duct</v>
      </c>
    </row>
    <row r="192" spans="2:2" x14ac:dyDescent="0.25">
      <c r="B192" t="str">
        <v>031-17: Coils, Chilled or Heated Water, and Direct Expansion</v>
      </c>
    </row>
    <row r="193" spans="2:2" x14ac:dyDescent="0.25">
      <c r="B193" t="str">
        <v>031-18: Coil and Fan Units, Air Conditioning</v>
      </c>
    </row>
    <row r="194" spans="2:2" x14ac:dyDescent="0.25">
      <c r="B194" t="str">
        <v>031-20: Compressors, Air Conditioning, Window Unit Type Including Parts and Accessories</v>
      </c>
    </row>
    <row r="195" spans="2:2" x14ac:dyDescent="0.25">
      <c r="B195" t="str">
        <v>031-21: Compressors, Air Conditioning, Industrial Type, and Parts</v>
      </c>
    </row>
    <row r="196" spans="2:2" x14ac:dyDescent="0.25">
      <c r="B196" t="str">
        <v>031-23: Condensing Units (For Air Conditioners)</v>
      </c>
    </row>
    <row r="197" spans="2:2" x14ac:dyDescent="0.25">
      <c r="B197" t="str">
        <v>031-24: Controls, Cooling Tower Water Treatment: pH, Conductivity, Corrosion Sensors</v>
      </c>
    </row>
    <row r="198" spans="2:2" x14ac:dyDescent="0.25">
      <c r="B198" t="str">
        <v>031-25: Controls, Limit Switches, Relays, Thermostats, Gas Valves, etc.</v>
      </c>
    </row>
    <row r="199" spans="2:2" x14ac:dyDescent="0.25">
      <c r="B199" t="str">
        <v>031-26: Control Systems: Complete, Automatic Temperature Control</v>
      </c>
    </row>
    <row r="200" spans="2:2" x14ac:dyDescent="0.25">
      <c r="B200" t="str">
        <v>031-27: Cooling Tower Water Treatment: Non-chemical Ozone, Centrifugal Separators, Magnetic Descaling Equip. (See Class 885 for Chemical Types)</v>
      </c>
    </row>
    <row r="201" spans="2:2" x14ac:dyDescent="0.25">
      <c r="B201" t="str">
        <v>031-28: Cooling Towers, Forced Air, Gravity, etc.</v>
      </c>
    </row>
    <row r="202" spans="2:2" x14ac:dyDescent="0.25">
      <c r="B202" t="str">
        <v>031-29: Dampers, Motorized</v>
      </c>
    </row>
    <row r="203" spans="2:2" x14ac:dyDescent="0.25">
      <c r="B203" t="str">
        <v>031-30: Dehumidifiers and Humidifiers</v>
      </c>
    </row>
    <row r="204" spans="2:2" x14ac:dyDescent="0.25">
      <c r="B204" t="str">
        <v>031-31: Duct Cleaning Equipment, Air</v>
      </c>
    </row>
    <row r="205" spans="2:2" x14ac:dyDescent="0.25">
      <c r="B205" t="str">
        <v>031-32: Duct, Prefabricated, Flexible or Rigid: Glass Fiber, Plastic, etc.</v>
      </c>
    </row>
    <row r="206" spans="2:2" x14ac:dyDescent="0.25">
      <c r="B206" t="str">
        <v>031-33: Duct, Fabricated, Metal</v>
      </c>
    </row>
    <row r="207" spans="2:2" x14ac:dyDescent="0.25">
      <c r="B207" t="str">
        <v>031-34: Dust Collectors, Industrial Type</v>
      </c>
    </row>
    <row r="208" spans="2:2" x14ac:dyDescent="0.25">
      <c r="B208" t="str">
        <v>031-36: Electronic Air Cleaners, Electrostatic Precipitators, Ozonators, Including Parts and Accessories</v>
      </c>
    </row>
    <row r="209" spans="2:2" x14ac:dyDescent="0.25">
      <c r="B209" t="str">
        <v>031-38: Evaporative Coolers</v>
      </c>
    </row>
    <row r="210" spans="2:2" x14ac:dyDescent="0.25">
      <c r="B210" t="str">
        <v>031-40: Fans, Industrial Types: Attic, Exhaust, Forced Draft, etc., Including Fan Blades and Fan Parts</v>
      </c>
    </row>
    <row r="211" spans="2:2" x14ac:dyDescent="0.25">
      <c r="B211" t="str">
        <v>031-41: Fans, Room Type: Ceiling and Portable Type, Stationary and Oscillating</v>
      </c>
    </row>
    <row r="212" spans="2:2" x14ac:dyDescent="0.25">
      <c r="B212" t="str">
        <v>031-43: Filter Coating, Adhesive, Coil Cleaners, Degreasing Solvents, etc.</v>
      </c>
    </row>
    <row r="213" spans="2:2" x14ac:dyDescent="0.25">
      <c r="B213" t="str">
        <v>031-44: Filters, Air Conditioning and Furnace, Permanent Type</v>
      </c>
    </row>
    <row r="214" spans="2:2" x14ac:dyDescent="0.25">
      <c r="B214" t="str">
        <v>031-45: Filters, Air Conditioning and Furnace, Disposable Type</v>
      </c>
    </row>
    <row r="215" spans="2:2" x14ac:dyDescent="0.25">
      <c r="B215" t="str">
        <v>031-46: Filters and Filter Media, Evaporative Cooler</v>
      </c>
    </row>
    <row r="216" spans="2:2" x14ac:dyDescent="0.25">
      <c r="B216" t="str">
        <v>031-49: Filter Frames, Metal</v>
      </c>
    </row>
    <row r="217" spans="2:2" x14ac:dyDescent="0.25">
      <c r="B217" t="str">
        <v>031-50: Freon</v>
      </c>
    </row>
    <row r="218" spans="2:2" x14ac:dyDescent="0.25">
      <c r="B218" t="str">
        <v>031-51: Furnaces, Central Heating Type, Forced Air, Gas Fired</v>
      </c>
    </row>
    <row r="219" spans="2:2" x14ac:dyDescent="0.25">
      <c r="B219" t="str">
        <v>031-53: Grilles, Diffusers, Registers, etc.</v>
      </c>
    </row>
    <row r="220" spans="2:2" x14ac:dyDescent="0.25">
      <c r="B220" t="str">
        <v>031-55: Hand Tools, HVAC Maintenance, Testing, Recording, Detection, etc.</v>
      </c>
    </row>
    <row r="221" spans="2:2" x14ac:dyDescent="0.25">
      <c r="B221" t="str">
        <v>031-56: Heat Pumps</v>
      </c>
    </row>
    <row r="222" spans="2:2" x14ac:dyDescent="0.25">
      <c r="B222" t="str">
        <v>031-57: Heaters, Electric, Baseboard Type, Including Parts and Accessories (Inactive, please see commodity code 031-58 effective January 1, 2016)</v>
      </c>
    </row>
    <row r="223" spans="2:2" x14ac:dyDescent="0.25">
      <c r="B223" t="str">
        <v>031-58: Heaters, Electric, Baseboard, Panel or Wall Type, Including Parts and Accessories</v>
      </c>
    </row>
    <row r="224" spans="2:2" x14ac:dyDescent="0.25">
      <c r="B224" t="str">
        <v>031-59: Heaters, Electric, Portable, Including Parts and Accessories</v>
      </c>
    </row>
    <row r="225" spans="2:2" x14ac:dyDescent="0.25">
      <c r="B225" t="str">
        <v>031-60: Heaters, Gas-Fired: Space, All Types, Including Parts and Accessories</v>
      </c>
    </row>
    <row r="226" spans="2:2" x14ac:dyDescent="0.25">
      <c r="B226" t="str">
        <v>031-61: Heaters, Gas-Fired: Wall Type, Vented and Unvented, Including Parts and Accessories</v>
      </c>
    </row>
    <row r="227" spans="2:2" x14ac:dyDescent="0.25">
      <c r="B227" t="str">
        <v>031-62: Heaters, Kerosene or Oil Fired: Space Type, Vented and Unvented, Including Parts and Accessories</v>
      </c>
    </row>
    <row r="228" spans="2:2" x14ac:dyDescent="0.25">
      <c r="B228" t="str">
        <v>031-63: Heaters, Space, Steam</v>
      </c>
    </row>
    <row r="229" spans="2:2" x14ac:dyDescent="0.25">
      <c r="B229" t="str">
        <v>031-65: Heating Elements, Electric</v>
      </c>
    </row>
    <row r="230" spans="2:2" x14ac:dyDescent="0.25">
      <c r="B230" t="str">
        <v>031-66: Hydronic Specialties</v>
      </c>
    </row>
    <row r="231" spans="2:2" x14ac:dyDescent="0.25">
      <c r="B231" t="str">
        <v>031-67: HVAC Equipment, Accessories and Supplies (Not Otherwise Classified)</v>
      </c>
    </row>
    <row r="232" spans="2:2" x14ac:dyDescent="0.25">
      <c r="B232" t="str">
        <v>031-69: Odor Control Equipment, Room or Portable Type, Including Parts and Accessories</v>
      </c>
    </row>
    <row r="233" spans="2:2" x14ac:dyDescent="0.25">
      <c r="B233" t="str">
        <v>031-70: Odor Control Equipment, Duct Air, Including Ozone Type</v>
      </c>
    </row>
    <row r="234" spans="2:2" x14ac:dyDescent="0.25">
      <c r="B234" t="str">
        <v>031-72: Pumps, Descaling Acid</v>
      </c>
    </row>
    <row r="235" spans="2:2" x14ac:dyDescent="0.25">
      <c r="B235" t="str">
        <v>031-73: Pumps, Refrigerant Circulating</v>
      </c>
    </row>
    <row r="236" spans="2:2" x14ac:dyDescent="0.25">
      <c r="B236" t="str">
        <v>031-74: Pumps, Refrigerant Vacuum</v>
      </c>
    </row>
    <row r="237" spans="2:2" x14ac:dyDescent="0.25">
      <c r="B237" t="str">
        <v>031-75: Radiators, Heating</v>
      </c>
    </row>
    <row r="238" spans="2:2" x14ac:dyDescent="0.25">
      <c r="B238" t="str">
        <v>031-76: Refurbished HVAC Products, Including Parts and Accessories</v>
      </c>
    </row>
    <row r="239" spans="2:2" x14ac:dyDescent="0.25">
      <c r="B239" t="str">
        <v>031-78: Roof Ventilators, Power Driven, Including Refurbished Types</v>
      </c>
    </row>
    <row r="240" spans="2:2" x14ac:dyDescent="0.25">
      <c r="B240" t="str">
        <v>031-79: Roof Ventilators, Wind Driven, Including Refurbished Types</v>
      </c>
    </row>
    <row r="241" spans="2:2" x14ac:dyDescent="0.25">
      <c r="B241" t="str">
        <v>031-80: Solar Heating Units</v>
      </c>
    </row>
    <row r="242" spans="2:2" x14ac:dyDescent="0.25">
      <c r="B242" t="str">
        <v>031-82: Stoves, Wood or Coal</v>
      </c>
    </row>
    <row r="243" spans="2:2" x14ac:dyDescent="0.25">
      <c r="B243" t="str">
        <v>031-87: Testing and Recording Instruments, AC and Heating (Inactive, see commodity code 031-55, effective January 1, 2016)</v>
      </c>
    </row>
    <row r="244" spans="2:2" x14ac:dyDescent="0.25">
      <c r="B244" t="str">
        <v>031-89: Thermometers and Gauges, AC and Heating</v>
      </c>
    </row>
    <row r="245" spans="2:2" x14ac:dyDescent="0.25">
      <c r="B245" t="str">
        <v>031-91: Unit Heaters, Electric, Duct and Suspended Types</v>
      </c>
    </row>
    <row r="246" spans="2:2" x14ac:dyDescent="0.25">
      <c r="B246" t="str">
        <v>031-92: Unit Heaters, Gas-Fired, Duct and Suspended Types</v>
      </c>
    </row>
    <row r="247" spans="2:2" x14ac:dyDescent="0.25">
      <c r="B247" t="str">
        <v>031-93: Unit Heaters, Gas-Fire, Radiant and Infrared, Portable and Stationary</v>
      </c>
    </row>
    <row r="248" spans="2:2" x14ac:dyDescent="0.25">
      <c r="B248" t="str">
        <v>031-94: Unit Heaters, Steam and Hot Water Types</v>
      </c>
    </row>
    <row r="249" spans="2:2" x14ac:dyDescent="0.25">
      <c r="B249" t="str">
        <v>031-95: Ventilation Equipment and Systems (See 031-78, 79 for Roof Ventilators)</v>
      </c>
    </row>
    <row r="250" spans="2:2" x14ac:dyDescent="0.25">
      <c r="B250" t="str">
        <v>031-96: Vent Pipes, Fittings, and Accessories</v>
      </c>
    </row>
    <row r="251" spans="2:2" x14ac:dyDescent="0.25">
      <c r="B251" t="str">
        <v>031-97: Vacuum System, Central, Including Filters, Parts and Accessories</v>
      </c>
    </row>
    <row r="252" spans="2:2" x14ac:dyDescent="0.25">
      <c r="B252" t="str">
        <v>035-02: Air Conditioning Units, Aircraft, Cooling Interiors While at the Gate</v>
      </c>
    </row>
    <row r="253" spans="2:2" x14ac:dyDescent="0.25">
      <c r="B253" t="str">
        <v>035-03: *Aeronautical Charts and Maps</v>
      </c>
    </row>
    <row r="254" spans="2:2" x14ac:dyDescent="0.25">
      <c r="B254" t="str">
        <v>035-04: Aircraft Avionics, (Not Otherwise Classified): Navigation Instruments, Transponders, Global Positioning Systems, etc.</v>
      </c>
    </row>
    <row r="255" spans="2:2" x14ac:dyDescent="0.25">
      <c r="B255" t="str">
        <v>035-05: Aircraft Crash Locators, Including Parts and Accessories</v>
      </c>
    </row>
    <row r="256" spans="2:2" x14ac:dyDescent="0.25">
      <c r="B256" t="str">
        <v>035-06: Aircraft Accessories (Not Otherwise Classified)</v>
      </c>
    </row>
    <row r="257" spans="2:2" x14ac:dyDescent="0.25">
      <c r="B257" t="str">
        <v>035-07: Aircraft Fuselage and Components</v>
      </c>
    </row>
    <row r="258" spans="2:2" x14ac:dyDescent="0.25">
      <c r="B258" t="str">
        <v>035-08: Aircraft Fenders</v>
      </c>
    </row>
    <row r="259" spans="2:2" x14ac:dyDescent="0.25">
      <c r="B259" t="str">
        <v>035-09: Aircraft Communications Radio</v>
      </c>
    </row>
    <row r="260" spans="2:2" x14ac:dyDescent="0.25">
      <c r="B260" t="str">
        <v>035-10: Aircraft Navigation Radio</v>
      </c>
    </row>
    <row r="261" spans="2:2" x14ac:dyDescent="0.25">
      <c r="B261" t="str">
        <v>035-11: Aircraft Master Control Systems, Computer, etc.</v>
      </c>
    </row>
    <row r="262" spans="2:2" x14ac:dyDescent="0.25">
      <c r="B262" t="str">
        <v>035-15: Aircraft Radar</v>
      </c>
    </row>
    <row r="263" spans="2:2" x14ac:dyDescent="0.25">
      <c r="B263" t="str">
        <v>035-16: Aircraft, Remotely Operated: Surveillance, Search and Rescue</v>
      </c>
    </row>
    <row r="264" spans="2:2" x14ac:dyDescent="0.25">
      <c r="B264" t="str">
        <v>035-20: Airplanes</v>
      </c>
    </row>
    <row r="265" spans="2:2" x14ac:dyDescent="0.25">
      <c r="B265" t="str">
        <v>035-21: Airships</v>
      </c>
    </row>
    <row r="266" spans="2:2" x14ac:dyDescent="0.25">
      <c r="B266" t="str">
        <v>035-22: Airport Equipment (Not Otherwise Classified)</v>
      </c>
    </row>
    <row r="267" spans="2:2" x14ac:dyDescent="0.25">
      <c r="B267" t="str">
        <v>035-23: Airport Equipment Ground Power for Aircraft at the Gates</v>
      </c>
    </row>
    <row r="268" spans="2:2" x14ac:dyDescent="0.25">
      <c r="B268" t="str">
        <v>035-25: Automatic Pilot Systems</v>
      </c>
    </row>
    <row r="269" spans="2:2" x14ac:dyDescent="0.25">
      <c r="B269" t="str">
        <v>035-26: Baggage Handling Equipment, Including Parts and Accessories</v>
      </c>
    </row>
    <row r="270" spans="2:2" x14ac:dyDescent="0.25">
      <c r="B270" t="str">
        <v>035-27: Beacons, Visual and Runway Lights</v>
      </c>
    </row>
    <row r="271" spans="2:2" x14ac:dyDescent="0.25">
      <c r="B271" t="str">
        <v>035-28: Cameras and Accessories, Aerial Photograph</v>
      </c>
    </row>
    <row r="272" spans="2:2" x14ac:dyDescent="0.25">
      <c r="B272" t="str">
        <v>035-29: Drop Equipment and Supplies, Aerial</v>
      </c>
    </row>
    <row r="273" spans="2:2" x14ac:dyDescent="0.25">
      <c r="B273" t="str">
        <v>035-30: Engines and Parts, Airplane</v>
      </c>
    </row>
    <row r="274" spans="2:2" x14ac:dyDescent="0.25">
      <c r="B274" t="str">
        <v>035-31: Encryption/Decryption Systems, Aircraft</v>
      </c>
    </row>
    <row r="275" spans="2:2" x14ac:dyDescent="0.25">
      <c r="B275" t="str">
        <v>035-32: Ejection or Escape Systems, Aircraft</v>
      </c>
    </row>
    <row r="276" spans="2:2" x14ac:dyDescent="0.25">
      <c r="B276" t="str">
        <v>035-35: Engines and Parts, Helicopter</v>
      </c>
    </row>
    <row r="277" spans="2:2" x14ac:dyDescent="0.25">
      <c r="B277" t="str">
        <v>035-37: Engine Instruments: Fuel, Manifold and Oil Pressure, Oil Temperature, Tachometers, etc.</v>
      </c>
    </row>
    <row r="278" spans="2:2" x14ac:dyDescent="0.25">
      <c r="B278" t="str">
        <v>035-40: Equipment and Supplies, Airplane (Not Otherwise Classified)</v>
      </c>
    </row>
    <row r="279" spans="2:2" x14ac:dyDescent="0.25">
      <c r="B279" t="str">
        <v>035-44: Fire Control Systems, Aircraft</v>
      </c>
    </row>
    <row r="280" spans="2:2" x14ac:dyDescent="0.25">
      <c r="B280" t="str">
        <v>035-45: Equipment and Supplies, Navigation, Helicopter (Not Otherwise Classified)</v>
      </c>
    </row>
    <row r="281" spans="2:2" x14ac:dyDescent="0.25">
      <c r="B281" t="str">
        <v>035-46: Flight Instruments: Airspeed, Altimeters, Attitude and Turn and Bank Indicators, etc.</v>
      </c>
    </row>
    <row r="282" spans="2:2" x14ac:dyDescent="0.25">
      <c r="B282" t="str">
        <v>035-47: Flight Simulator</v>
      </c>
    </row>
    <row r="283" spans="2:2" x14ac:dyDescent="0.25">
      <c r="B283" t="str">
        <v>035-48: Gliders</v>
      </c>
    </row>
    <row r="284" spans="2:2" x14ac:dyDescent="0.25">
      <c r="B284" t="str">
        <v>035-49: Hydraulic Systems, Aircraft</v>
      </c>
    </row>
    <row r="285" spans="2:2" x14ac:dyDescent="0.25">
      <c r="B285" t="str">
        <v>035-50: Helicopters</v>
      </c>
    </row>
    <row r="286" spans="2:2" x14ac:dyDescent="0.25">
      <c r="B286" t="str">
        <v>035-52: Hot Air Balloons</v>
      </c>
    </row>
    <row r="287" spans="2:2" x14ac:dyDescent="0.25">
      <c r="B287" t="str">
        <v>035-54: Information Display Systems, Flight (F.I.D.S. - Airport)</v>
      </c>
    </row>
    <row r="288" spans="2:2" x14ac:dyDescent="0.25">
      <c r="B288" t="str">
        <v>035-55: Instrument Landing Systems</v>
      </c>
    </row>
    <row r="289" spans="2:2" x14ac:dyDescent="0.25">
      <c r="B289" t="str">
        <v>035-60: Instruments and Testers, Airplane</v>
      </c>
    </row>
    <row r="290" spans="2:2" x14ac:dyDescent="0.25">
      <c r="B290" t="str">
        <v>035-65: Instruments and Testers, Helicopter</v>
      </c>
    </row>
    <row r="291" spans="2:2" x14ac:dyDescent="0.25">
      <c r="B291" t="str">
        <v>035-66: Landing and Braking Systems and Components, Aircraft</v>
      </c>
    </row>
    <row r="292" spans="2:2" x14ac:dyDescent="0.25">
      <c r="B292" t="str">
        <v>035-67: Lights: Anti-Collision, Landing, Navigations, etc.</v>
      </c>
    </row>
    <row r="293" spans="2:2" x14ac:dyDescent="0.25">
      <c r="B293" t="str">
        <v>035-68: Metal Crack Detection Dyes</v>
      </c>
    </row>
    <row r="294" spans="2:2" x14ac:dyDescent="0.25">
      <c r="B294" t="str">
        <v>035-69: Magnetometers, Security Screening Equipment</v>
      </c>
    </row>
    <row r="295" spans="2:2" x14ac:dyDescent="0.25">
      <c r="B295" t="str">
        <v>035-70: Parts, Airplane, Except Engine</v>
      </c>
    </row>
    <row r="296" spans="2:2" x14ac:dyDescent="0.25">
      <c r="B296" t="str">
        <v>035-71: Oxygen Equipment, Aircraft</v>
      </c>
    </row>
    <row r="297" spans="2:2" x14ac:dyDescent="0.25">
      <c r="B297" t="str">
        <v>035-72: Parachutes and Drag Chutes</v>
      </c>
    </row>
    <row r="298" spans="2:2" x14ac:dyDescent="0.25">
      <c r="B298" t="str">
        <v>035-75: Parts (Except Engine), Helicopter</v>
      </c>
    </row>
    <row r="299" spans="2:2" x14ac:dyDescent="0.25">
      <c r="B299" t="str">
        <v>035-76: Power Systems, Aircraft</v>
      </c>
    </row>
    <row r="300" spans="2:2" x14ac:dyDescent="0.25">
      <c r="B300" t="str">
        <v>035-77: Photographs, Aerial</v>
      </c>
    </row>
    <row r="301" spans="2:2" x14ac:dyDescent="0.25">
      <c r="B301" t="str">
        <v>035-78: Ramps and Passenger Transportation Vehicles, Aircraft Boarding</v>
      </c>
    </row>
    <row r="302" spans="2:2" x14ac:dyDescent="0.25">
      <c r="B302" t="str">
        <v>035-79: Recycled Aircraft and Airport Equipment, Accessories and Supplies</v>
      </c>
    </row>
    <row r="303" spans="2:2" x14ac:dyDescent="0.25">
      <c r="B303" t="str">
        <v>035-80: Snow Melters for Runways, Taxiways, Roads and Streets (See Class 765 for other types of Snow Equipment)</v>
      </c>
    </row>
    <row r="304" spans="2:2" x14ac:dyDescent="0.25">
      <c r="B304" t="str">
        <v>035-81: Sweepers, Runway (See 765-77 for Street Sweepers)</v>
      </c>
    </row>
    <row r="305" spans="2:2" x14ac:dyDescent="0.25">
      <c r="B305" t="str">
        <v>035-82: Taxiway and Runway Testing Equipment and Supplies</v>
      </c>
    </row>
    <row r="306" spans="2:2" x14ac:dyDescent="0.25">
      <c r="B306" t="str">
        <v>035-83: Tanks, Fuel, Aircraft, Including Parts and Accessories</v>
      </c>
    </row>
    <row r="307" spans="2:2" x14ac:dyDescent="0.25">
      <c r="B307" t="str">
        <v>035-85: Tools, Airplane</v>
      </c>
    </row>
    <row r="308" spans="2:2" x14ac:dyDescent="0.25">
      <c r="B308" t="str">
        <v>035-90: Tools, Helicopter</v>
      </c>
    </row>
    <row r="309" spans="2:2" x14ac:dyDescent="0.25">
      <c r="B309" t="str">
        <v>035-91: Tow Bars for Moving Aircraft at the Airport</v>
      </c>
    </row>
    <row r="310" spans="2:2" x14ac:dyDescent="0.25">
      <c r="B310" t="str">
        <v>035-92: Wind Tees and Wind Socks, Airport</v>
      </c>
    </row>
    <row r="311" spans="2:2" x14ac:dyDescent="0.25">
      <c r="B311" t="str">
        <v>035-93: Tugs and Tractors for Moving Aircraft at the Airport</v>
      </c>
    </row>
    <row r="312" spans="2:2" x14ac:dyDescent="0.25">
      <c r="B312" t="str">
        <v>035-94: Warning Systems, Aircraft: Emergency, Fire, Escape, Ejection, etc.</v>
      </c>
    </row>
    <row r="313" spans="2:2" x14ac:dyDescent="0.25">
      <c r="B313" t="str">
        <v>035-95: X-Ray Scanner, Passenger Baggage</v>
      </c>
    </row>
    <row r="314" spans="2:2" x14ac:dyDescent="0.25">
      <c r="B314" t="str">
        <v>035-96: *Unmanned Aerial Vehicles (UAV), Drones</v>
      </c>
    </row>
    <row r="315" spans="2:2" x14ac:dyDescent="0.25">
      <c r="B315" t="str">
        <v>037-18: Bar, Snack and Soda, Equipment and Accessories</v>
      </c>
    </row>
    <row r="316" spans="2:2" x14ac:dyDescent="0.25">
      <c r="B316" t="str">
        <v>037-23: Cards: Greeting and Gift, Including Recycled Types</v>
      </c>
    </row>
    <row r="317" spans="2:2" x14ac:dyDescent="0.25">
      <c r="B317" t="str">
        <v>037-25: Carnival and Fair Equipment: Inflatables, Bounce Houses, Interactive Games</v>
      </c>
    </row>
    <row r="318" spans="2:2" x14ac:dyDescent="0.25">
      <c r="B318" t="str">
        <v>037-28: Collections: Coin, Stamp, Comic Books, etc.</v>
      </c>
    </row>
    <row r="319" spans="2:2" x14ac:dyDescent="0.25">
      <c r="B319" t="str">
        <v>037-34: Decorations: Holiday, Party, etc.</v>
      </c>
    </row>
    <row r="320" spans="2:2" x14ac:dyDescent="0.25">
      <c r="B320" t="str">
        <v>037-35: Decorative Household or Office Items, (Not Otherwise Classified)</v>
      </c>
    </row>
    <row r="321" spans="2:2" x14ac:dyDescent="0.25">
      <c r="B321" t="str">
        <v>037-43: Gifts, Including Gift Cards and Gift Certificates</v>
      </c>
    </row>
    <row r="322" spans="2:2" x14ac:dyDescent="0.25">
      <c r="B322" t="str">
        <v>037-52: Novelties, Promotional and Specialty Products, Including Biodegradable</v>
      </c>
    </row>
    <row r="323" spans="2:2" x14ac:dyDescent="0.25">
      <c r="B323" t="str">
        <v>037-56: Paper, Crepe</v>
      </c>
    </row>
    <row r="324" spans="2:2" x14ac:dyDescent="0.25">
      <c r="B324" t="str">
        <v>037-63: Recycled Decorations, Games and Toys</v>
      </c>
    </row>
    <row r="325" spans="2:2" x14ac:dyDescent="0.25">
      <c r="B325" t="str">
        <v>037-64: Replicas: Food, Fruit, etc.</v>
      </c>
    </row>
    <row r="326" spans="2:2" x14ac:dyDescent="0.25">
      <c r="B326" t="str">
        <v>037-75: Soda Fountain Equipment and Accessories, Including Slush Machines, (See 165-50 for Malt and Milkshake Machines)</v>
      </c>
    </row>
    <row r="327" spans="2:2" x14ac:dyDescent="0.25">
      <c r="B327" t="str">
        <v>037-78: Souvenirs and Prizes: Promotional, Advertising, etc.</v>
      </c>
    </row>
    <row r="328" spans="2:2" x14ac:dyDescent="0.25">
      <c r="B328" t="str">
        <v>037-84: Toys and Games, Including Coloring Books and Activity Items, Not Educational Type, (See 208-47; 209-48; 785-53; and 805-51 for other type games)</v>
      </c>
    </row>
    <row r="329" spans="2:2" x14ac:dyDescent="0.25">
      <c r="B329" t="str">
        <v>037-88: Video Game Machines</v>
      </c>
    </row>
    <row r="330" spans="2:2" x14ac:dyDescent="0.25">
      <c r="B330" t="str">
        <v>037-89: Video and On-line Games</v>
      </c>
    </row>
    <row r="331" spans="2:2" x14ac:dyDescent="0.25">
      <c r="B331" t="str">
        <v>040-01: Amphibia: Frogs, Toads, Salamanders and Other Cold Blooded Vertebrates, Live</v>
      </c>
    </row>
    <row r="332" spans="2:2" x14ac:dyDescent="0.25">
      <c r="B332" t="str">
        <v>040-02: Animal Carriers</v>
      </c>
    </row>
    <row r="333" spans="2:2" x14ac:dyDescent="0.25">
      <c r="B333" t="str">
        <v>040-03: Animal Care Supplies: Collars, Clothing, Leashes, Litter Boxes, etc.</v>
      </c>
    </row>
    <row r="334" spans="2:2" x14ac:dyDescent="0.25">
      <c r="B334" t="str">
        <v>040-04: Animal Training Equipment and Supplies</v>
      </c>
    </row>
    <row r="335" spans="2:2" x14ac:dyDescent="0.25">
      <c r="B335" t="str">
        <v>040-05: Bees</v>
      </c>
    </row>
    <row r="336" spans="2:2" x14ac:dyDescent="0.25">
      <c r="B336" t="str">
        <v>040-07: Birds</v>
      </c>
    </row>
    <row r="337" spans="2:2" x14ac:dyDescent="0.25">
      <c r="B337" t="str">
        <v>040-08: Cages and Shelters, Animal and Marine Life (See Class 495 for Laboratory Type)</v>
      </c>
    </row>
    <row r="338" spans="2:2" x14ac:dyDescent="0.25">
      <c r="B338" t="str">
        <v>040-09: Cats, All Types</v>
      </c>
    </row>
    <row r="339" spans="2:2" x14ac:dyDescent="0.25">
      <c r="B339" t="str">
        <v>040-10: Cattle, Beef, Breeding Stock</v>
      </c>
    </row>
    <row r="340" spans="2:2" x14ac:dyDescent="0.25">
      <c r="B340" t="str">
        <v>040-11: Cattle, Beef, Commercial</v>
      </c>
    </row>
    <row r="341" spans="2:2" x14ac:dyDescent="0.25">
      <c r="B341" t="str">
        <v>040-20: Cattle, Dairy</v>
      </c>
    </row>
    <row r="342" spans="2:2" x14ac:dyDescent="0.25">
      <c r="B342" t="str">
        <v>040-21: Chickens</v>
      </c>
    </row>
    <row r="343" spans="2:2" x14ac:dyDescent="0.25">
      <c r="B343" t="str">
        <v>040-22: Chicks, Meat Type, Baby</v>
      </c>
    </row>
    <row r="344" spans="2:2" x14ac:dyDescent="0.25">
      <c r="B344" t="str">
        <v>040-24: Chicks, Meat Type, Starter</v>
      </c>
    </row>
    <row r="345" spans="2:2" x14ac:dyDescent="0.25">
      <c r="B345" t="str">
        <v>040-26: Cockerels, All Types, Baby</v>
      </c>
    </row>
    <row r="346" spans="2:2" x14ac:dyDescent="0.25">
      <c r="B346" t="str">
        <v>040-28: Cockerels, All Types, Starter</v>
      </c>
    </row>
    <row r="347" spans="2:2" x14ac:dyDescent="0.25">
      <c r="B347" t="str">
        <v>040-30: Dogs, All Types</v>
      </c>
    </row>
    <row r="348" spans="2:2" x14ac:dyDescent="0.25">
      <c r="B348" t="str">
        <v>040-35: Earthworms</v>
      </c>
    </row>
    <row r="349" spans="2:2" x14ac:dyDescent="0.25">
      <c r="B349" t="str">
        <v>040-37: Electronic Identification Systems Used for Inventory and Tracking of Animals</v>
      </c>
    </row>
    <row r="350" spans="2:2" x14ac:dyDescent="0.25">
      <c r="B350" t="str">
        <v>040-40: Fish, Brood and Fingerling</v>
      </c>
    </row>
    <row r="351" spans="2:2" x14ac:dyDescent="0.25">
      <c r="B351" t="str">
        <v>040-42: Fish (Not Otherwise Classified)</v>
      </c>
    </row>
    <row r="352" spans="2:2" x14ac:dyDescent="0.25">
      <c r="B352" t="str">
        <v>040-45: Fish, Tropical</v>
      </c>
    </row>
    <row r="353" spans="2:2" x14ac:dyDescent="0.25">
      <c r="B353" t="str">
        <v>040-48: Fur Bearing Animals (Not Otherwise Classified)</v>
      </c>
    </row>
    <row r="354" spans="2:2" x14ac:dyDescent="0.25">
      <c r="B354" t="str">
        <v>040-50: Goats</v>
      </c>
    </row>
    <row r="355" spans="2:2" x14ac:dyDescent="0.25">
      <c r="B355" t="str">
        <v>040-58: Hibernation Boxes, Butterfly, Ladybug, etc.</v>
      </c>
    </row>
    <row r="356" spans="2:2" x14ac:dyDescent="0.25">
      <c r="B356" t="str">
        <v>040-60: Hogs, Pigs and Swine, Breeding Stock</v>
      </c>
    </row>
    <row r="357" spans="2:2" x14ac:dyDescent="0.25">
      <c r="B357" t="str">
        <v>040-61: Hogs, Pigs and Swine, Commercial</v>
      </c>
    </row>
    <row r="358" spans="2:2" x14ac:dyDescent="0.25">
      <c r="B358" t="str">
        <v>040-70: Horses</v>
      </c>
    </row>
    <row r="359" spans="2:2" x14ac:dyDescent="0.25">
      <c r="B359" t="str">
        <v>040-71: Houses and Cages, Bird</v>
      </c>
    </row>
    <row r="360" spans="2:2" x14ac:dyDescent="0.25">
      <c r="B360" t="str">
        <v>040-72: Insects, (Not Otherwise Classified)</v>
      </c>
    </row>
    <row r="361" spans="2:2" x14ac:dyDescent="0.25">
      <c r="B361" t="str">
        <v>040-75: Marine Life (Not Otherwise Classified)</v>
      </c>
    </row>
    <row r="362" spans="2:2" x14ac:dyDescent="0.25">
      <c r="B362" t="str">
        <v>040-80: Mules and Donkeys</v>
      </c>
    </row>
    <row r="363" spans="2:2" x14ac:dyDescent="0.25">
      <c r="B363" t="str">
        <v>040-82: Pullets</v>
      </c>
    </row>
    <row r="364" spans="2:2" x14ac:dyDescent="0.25">
      <c r="B364" t="str">
        <v>040-83: Pullets, Laying Types, Baby</v>
      </c>
    </row>
    <row r="365" spans="2:2" x14ac:dyDescent="0.25">
      <c r="B365" t="str">
        <v>040-84: Pullets, Laying Types, Starter</v>
      </c>
    </row>
    <row r="366" spans="2:2" x14ac:dyDescent="0.25">
      <c r="B366" t="str">
        <v>040-85: Rabbits</v>
      </c>
    </row>
    <row r="367" spans="2:2" x14ac:dyDescent="0.25">
      <c r="B367" t="str">
        <v>040-86: Recycled Animal, Bird, and Marine Life Accessories and Supplies</v>
      </c>
    </row>
    <row r="368" spans="2:2" x14ac:dyDescent="0.25">
      <c r="B368" t="str">
        <v>040-87: Rodents (See 495-12,13 for Experimental Types)</v>
      </c>
    </row>
    <row r="369" spans="2:2" x14ac:dyDescent="0.25">
      <c r="B369" t="str">
        <v>040-88: Reptiles, Live</v>
      </c>
    </row>
    <row r="370" spans="2:2" x14ac:dyDescent="0.25">
      <c r="B370" t="str">
        <v>040-90: Sheep</v>
      </c>
    </row>
    <row r="371" spans="2:2" x14ac:dyDescent="0.25">
      <c r="B371" t="str">
        <v>040-91: Specialty Items for Shows and Entertainment, Perches, Hoods, Hoops, etc.</v>
      </c>
    </row>
    <row r="372" spans="2:2" x14ac:dyDescent="0.25">
      <c r="B372" t="str">
        <v>040-92: Toys for Pets and Zoo Animals</v>
      </c>
    </row>
    <row r="373" spans="2:2" x14ac:dyDescent="0.25">
      <c r="B373" t="str">
        <v>040-93: Turkeys, Baby</v>
      </c>
    </row>
    <row r="374" spans="2:2" x14ac:dyDescent="0.25">
      <c r="B374" t="str">
        <v>040-94: Turkeys, Starter</v>
      </c>
    </row>
    <row r="375" spans="2:2" x14ac:dyDescent="0.25">
      <c r="B375" t="str">
        <v>040-95: Wildlife and Pet Bands, Labels and Tags, Not Electronic</v>
      </c>
    </row>
    <row r="376" spans="2:2" x14ac:dyDescent="0.25">
      <c r="B376" t="str">
        <v>040-96: Zoo Animals, All Types</v>
      </c>
    </row>
    <row r="377" spans="2:2" x14ac:dyDescent="0.25">
      <c r="B377" t="str">
        <v>045-06: Appliances, Small, Electric, Household (Not Otherwise Classified)</v>
      </c>
    </row>
    <row r="378" spans="2:2" x14ac:dyDescent="0.25">
      <c r="B378" t="str">
        <v>045-12: Appliances, Small, Non-Electric, Household (Not Otherwise Classified)</v>
      </c>
    </row>
    <row r="379" spans="2:2" x14ac:dyDescent="0.25">
      <c r="B379" t="str">
        <v>045-14: Blenders, Household</v>
      </c>
    </row>
    <row r="380" spans="2:2" x14ac:dyDescent="0.25">
      <c r="B380" t="str">
        <v>045-15: Bread Makers, Household</v>
      </c>
    </row>
    <row r="381" spans="2:2" x14ac:dyDescent="0.25">
      <c r="B381" t="str">
        <v>045-17: Can Openers, Household</v>
      </c>
    </row>
    <row r="382" spans="2:2" x14ac:dyDescent="0.25">
      <c r="B382" t="str">
        <v>045-18: Cleaners and Sweepers, Hand-Operated, Household</v>
      </c>
    </row>
    <row r="383" spans="2:2" x14ac:dyDescent="0.25">
      <c r="B383" t="str">
        <v>045-20: Coffeemakers, All Types, Household</v>
      </c>
    </row>
    <row r="384" spans="2:2" x14ac:dyDescent="0.25">
      <c r="B384" t="str">
        <v>045-21: Cooking and Food Preparation Utensils, All Types, Household</v>
      </c>
    </row>
    <row r="385" spans="2:2" x14ac:dyDescent="0.25">
      <c r="B385" t="str">
        <v>045-22: Cookware and Bakeware, Household (Not Otherwise Classified)</v>
      </c>
    </row>
    <row r="386" spans="2:2" x14ac:dyDescent="0.25">
      <c r="B386" t="str">
        <v>045-24: Dishwashers, Household</v>
      </c>
    </row>
    <row r="387" spans="2:2" x14ac:dyDescent="0.25">
      <c r="B387" t="str">
        <v>045-25: Dishes, Drinking Utensils, and Serving ware, Household</v>
      </c>
    </row>
    <row r="388" spans="2:2" x14ac:dyDescent="0.25">
      <c r="B388" t="str">
        <v>045-30: Disposal Units, Household</v>
      </c>
    </row>
    <row r="389" spans="2:2" x14ac:dyDescent="0.25">
      <c r="B389" t="str">
        <v>045-40: Flatware and Cutlery, Household</v>
      </c>
    </row>
    <row r="390" spans="2:2" x14ac:dyDescent="0.25">
      <c r="B390" t="str">
        <v>045-46: Hot Plates and Burners, Gas or Electric, Household</v>
      </c>
    </row>
    <row r="391" spans="2:2" x14ac:dyDescent="0.25">
      <c r="B391" t="str">
        <v>045-47: Irons, Clothes, Household</v>
      </c>
    </row>
    <row r="392" spans="2:2" x14ac:dyDescent="0.25">
      <c r="B392" t="str">
        <v>045-48: Ironing Tables and Boards, Household</v>
      </c>
    </row>
    <row r="393" spans="2:2" x14ac:dyDescent="0.25">
      <c r="B393" t="str">
        <v>045-49: Ironing Table (Board) Pads and Covers (Inactive, please see commodity code 045-48 effective January 1, 2016)</v>
      </c>
    </row>
    <row r="394" spans="2:2" x14ac:dyDescent="0.25">
      <c r="B394" t="str">
        <v>045-50: Kitchen Units, Compact, Complete, Household (Inactive, effective January 1, 2016)</v>
      </c>
    </row>
    <row r="395" spans="2:2" x14ac:dyDescent="0.25">
      <c r="B395" t="str">
        <v>045-51: Mixers, Food, Household</v>
      </c>
    </row>
    <row r="396" spans="2:2" x14ac:dyDescent="0.25">
      <c r="B396" t="str">
        <v>045-52: Ovens, Microwave and Convection, Household</v>
      </c>
    </row>
    <row r="397" spans="2:2" x14ac:dyDescent="0.25">
      <c r="B397" t="str">
        <v>045-54: Ranges, Stove Tops, and Ovens, Electric, Household</v>
      </c>
    </row>
    <row r="398" spans="2:2" x14ac:dyDescent="0.25">
      <c r="B398" t="str">
        <v>045-60: Ranges, Stove Tops, and Ovens, Gas, Household</v>
      </c>
    </row>
    <row r="399" spans="2:2" x14ac:dyDescent="0.25">
      <c r="B399" t="str">
        <v>045-64: Recycled Appliances and Accessories, Household</v>
      </c>
    </row>
    <row r="400" spans="2:2" x14ac:dyDescent="0.25">
      <c r="B400" t="str">
        <v>045-66: Refrigerators and Freezers, Household</v>
      </c>
    </row>
    <row r="401" spans="2:2" x14ac:dyDescent="0.25">
      <c r="B401" t="str">
        <v>045-70: Skillets, Electric, Household</v>
      </c>
    </row>
    <row r="402" spans="2:2" x14ac:dyDescent="0.25">
      <c r="B402" t="str">
        <v>045-72: Storage Baskets: Metal and Plastic (For Freezers), Household</v>
      </c>
    </row>
    <row r="403" spans="2:2" x14ac:dyDescent="0.25">
      <c r="B403" t="str">
        <v>045-73: Toasters and Toaster Ovens, Household</v>
      </c>
    </row>
    <row r="404" spans="2:2" x14ac:dyDescent="0.25">
      <c r="B404" t="str">
        <v>045-74: Tools, Appliance, Household</v>
      </c>
    </row>
    <row r="405" spans="2:2" x14ac:dyDescent="0.25">
      <c r="B405" t="str">
        <v>045-75: Trash Compactors, Household (See 165 and 545 for Other Types)</v>
      </c>
    </row>
    <row r="406" spans="2:2" x14ac:dyDescent="0.25">
      <c r="B406" t="str">
        <v>045-77: Vacuum Cleaners, Manual, Including Parts and Accessories, Household</v>
      </c>
    </row>
    <row r="407" spans="2:2" x14ac:dyDescent="0.25">
      <c r="B407" t="str">
        <v>045-78: Vacuum Cleaners, Electric, Including Parts and Accessories, Household</v>
      </c>
    </row>
    <row r="408" spans="2:2" x14ac:dyDescent="0.25">
      <c r="B408" t="str">
        <v>045-84: Vent Hoods, Ranges, Household</v>
      </c>
    </row>
    <row r="409" spans="2:2" x14ac:dyDescent="0.25">
      <c r="B409" t="str">
        <v>045-85: Vent Kits, Household Laundry Dryer</v>
      </c>
    </row>
    <row r="410" spans="2:2" x14ac:dyDescent="0.25">
      <c r="B410" t="str">
        <v>045-92: Washers and Dryers, Coin-Operated Type (Inactive, please see commodity code 500-96 effective January 1, 2016)</v>
      </c>
    </row>
    <row r="411" spans="2:2" x14ac:dyDescent="0.25">
      <c r="B411" t="str">
        <v>045-94: Washers and Dryers, Household</v>
      </c>
    </row>
    <row r="412" spans="2:2" x14ac:dyDescent="0.25">
      <c r="B412" t="str">
        <v>045-95: Water Softeners, Household</v>
      </c>
    </row>
    <row r="413" spans="2:2" x14ac:dyDescent="0.25">
      <c r="B413" t="str">
        <v>050-10: Block Printing Supplies</v>
      </c>
    </row>
    <row r="414" spans="2:2" x14ac:dyDescent="0.25">
      <c r="B414" t="str">
        <v>050-20: Casters, Drying Racks</v>
      </c>
    </row>
    <row r="415" spans="2:2" x14ac:dyDescent="0.25">
      <c r="B415" t="str">
        <v>050-23: Coatings, Protective, Artwork</v>
      </c>
    </row>
    <row r="416" spans="2:2" x14ac:dyDescent="0.25">
      <c r="B416" t="str">
        <v>050-30: Cloth (For Application of Designs and Transfers): Burlap, Linen, etc.</v>
      </c>
    </row>
    <row r="417" spans="2:2" x14ac:dyDescent="0.25">
      <c r="B417" t="str">
        <v>050-40: Drawing and Painting Supplies: Brushes, Canvas, Chalk, Colors (Acrylic, Oil, Water, etc.), Crayons, Palettes, Paper and Pads, Staples, etc.</v>
      </c>
    </row>
    <row r="418" spans="2:2" x14ac:dyDescent="0.25">
      <c r="B418" t="str">
        <v>050-43: Glue, Paste, etc., Art</v>
      </c>
    </row>
    <row r="419" spans="2:2" x14ac:dyDescent="0.25">
      <c r="B419" t="str">
        <v>050-46: Letter Cutting Machine</v>
      </c>
    </row>
    <row r="420" spans="2:2" x14ac:dyDescent="0.25">
      <c r="B420" t="str">
        <v>050-50: Engraving, Etching, and Lithography Equipment and Supplies, Burins, etc.</v>
      </c>
    </row>
    <row r="421" spans="2:2" x14ac:dyDescent="0.25">
      <c r="B421" t="str">
        <v>050-59: Paper, Art, Various Types</v>
      </c>
    </row>
    <row r="422" spans="2:2" x14ac:dyDescent="0.25">
      <c r="B422" t="str">
        <v>050-60: Picture Frames and Framing Supplies: Mat Cutters, Mats, Molding, Stretcher Strips, etc.</v>
      </c>
    </row>
    <row r="423" spans="2:2" x14ac:dyDescent="0.25">
      <c r="B423" t="str">
        <v>050-67: Racks, Art Drying, Portable and Stationary</v>
      </c>
    </row>
    <row r="424" spans="2:2" x14ac:dyDescent="0.25">
      <c r="B424" t="str">
        <v>050-69: Recycled Art Equipment and Supplies</v>
      </c>
    </row>
    <row r="425" spans="2:2" x14ac:dyDescent="0.25">
      <c r="B425" t="str">
        <v>050-80: Sculpturing Equipment and Supplies: Carving Boards, Casting Materials, Modeling Clay, Sculptor's Tools, etc.</v>
      </c>
    </row>
    <row r="426" spans="2:2" x14ac:dyDescent="0.25">
      <c r="B426" t="str">
        <v>050-82: Shapes, Strings, Tapes, Twists, etc. Decorative Art Items</v>
      </c>
    </row>
    <row r="427" spans="2:2" x14ac:dyDescent="0.25">
      <c r="B427" t="str">
        <v>050-85: Silk Screen Process Supplies</v>
      </c>
    </row>
    <row r="428" spans="2:2" x14ac:dyDescent="0.25">
      <c r="B428" t="str">
        <v>050-87: Stained Glass Supplies</v>
      </c>
    </row>
    <row r="429" spans="2:2" x14ac:dyDescent="0.25">
      <c r="B429" t="str">
        <v>050-98: Art Equipment &lt;$750</v>
      </c>
    </row>
    <row r="430" spans="2:2" x14ac:dyDescent="0.25">
      <c r="B430" t="str">
        <v>050-99: Art Equipment $750-$5,000</v>
      </c>
    </row>
    <row r="431" spans="2:2" x14ac:dyDescent="0.25">
      <c r="B431" t="str">
        <v>052-02: Antiques</v>
      </c>
    </row>
    <row r="432" spans="2:2" x14ac:dyDescent="0.25">
      <c r="B432" t="str">
        <v>052-08: Ceramic and Glass Objects: Shadow Boxes, Stained Glass, etc.</v>
      </c>
    </row>
    <row r="433" spans="2:2" x14ac:dyDescent="0.25">
      <c r="B433" t="str">
        <v>052-12: Collectibles, Museum Pieces, etc., (Not Otherwise Classified)</v>
      </c>
    </row>
    <row r="434" spans="2:2" x14ac:dyDescent="0.25">
      <c r="B434" t="str">
        <v>052-14: Cut-Outs, Life Size and Oversized, of Animals and Symbols</v>
      </c>
    </row>
    <row r="435" spans="2:2" x14ac:dyDescent="0.25">
      <c r="B435" t="str">
        <v>052-16: Drawings, Originals</v>
      </c>
    </row>
    <row r="436" spans="2:2" x14ac:dyDescent="0.25">
      <c r="B436" t="str">
        <v>052-24: Engravings, Etchings, Linocuts, Lithographs, Scrolls, Serigraphs, and Similar Reproductions</v>
      </c>
    </row>
    <row r="437" spans="2:2" x14ac:dyDescent="0.25">
      <c r="B437" t="str">
        <v>052-32: Fabric Designs: Silk Screen, etc.</v>
      </c>
    </row>
    <row r="438" spans="2:2" x14ac:dyDescent="0.25">
      <c r="B438" t="str">
        <v>052-40: Masks</v>
      </c>
    </row>
    <row r="439" spans="2:2" x14ac:dyDescent="0.25">
      <c r="B439" t="str">
        <v>052-48: Mixed Media</v>
      </c>
    </row>
    <row r="440" spans="2:2" x14ac:dyDescent="0.25">
      <c r="B440" t="str">
        <v>052-50: Murals</v>
      </c>
    </row>
    <row r="441" spans="2:2" x14ac:dyDescent="0.25">
      <c r="B441" t="str">
        <v>052-51: Murals, Clay</v>
      </c>
    </row>
    <row r="442" spans="2:2" x14ac:dyDescent="0.25">
      <c r="B442" t="str">
        <v>052-52: Murals, Glass</v>
      </c>
    </row>
    <row r="443" spans="2:2" x14ac:dyDescent="0.25">
      <c r="B443" t="str">
        <v>052-53: Murals, Photographic: Kiln Fired, Image Sublimation</v>
      </c>
    </row>
    <row r="444" spans="2:2" x14ac:dyDescent="0.25">
      <c r="B444" t="str">
        <v>052-54: Murals: Stone, Tile</v>
      </c>
    </row>
    <row r="445" spans="2:2" x14ac:dyDescent="0.25">
      <c r="B445" t="str">
        <v>052-55: Murals, Wall</v>
      </c>
    </row>
    <row r="446" spans="2:2" x14ac:dyDescent="0.25">
      <c r="B446" t="str">
        <v>052-56: Paintings, Originals: Oil, Acrylic, Water Color, etc.</v>
      </c>
    </row>
    <row r="447" spans="2:2" x14ac:dyDescent="0.25">
      <c r="B447" t="str">
        <v>052-64: Photographs</v>
      </c>
    </row>
    <row r="448" spans="2:2" x14ac:dyDescent="0.25">
      <c r="B448" t="str">
        <v>052-72: Posters and Prints, Not Originals</v>
      </c>
    </row>
    <row r="449" spans="2:2" x14ac:dyDescent="0.25">
      <c r="B449" t="str">
        <v>052-76: Recycled Art Objects</v>
      </c>
    </row>
    <row r="450" spans="2:2" x14ac:dyDescent="0.25">
      <c r="B450" t="str">
        <v>052-80: Sculptures: Marble, Metal, Plastic, etc.</v>
      </c>
    </row>
    <row r="451" spans="2:2" x14ac:dyDescent="0.25">
      <c r="B451" t="str">
        <v>052-88: Wood Carvings and Woodcuts</v>
      </c>
    </row>
    <row r="452" spans="2:2" x14ac:dyDescent="0.25">
      <c r="B452" t="str">
        <v>055-02: Air Bags, Automotive</v>
      </c>
    </row>
    <row r="453" spans="2:2" x14ac:dyDescent="0.25">
      <c r="B453" t="str">
        <v>055-04: Air Conditioners, Automotive, Including Parts and Accessories</v>
      </c>
    </row>
    <row r="454" spans="2:2" x14ac:dyDescent="0.25">
      <c r="B454" t="str">
        <v>055-05: Anti-theft and Security Devices, Automotive</v>
      </c>
    </row>
    <row r="455" spans="2:2" x14ac:dyDescent="0.25">
      <c r="B455" t="str">
        <v>055-06: Top Carriers, Automotive</v>
      </c>
    </row>
    <row r="456" spans="2:2" x14ac:dyDescent="0.25">
      <c r="B456" t="str">
        <v>055-08: Belts, Safety, Child Restraint Systems, Car Seats, Automotive</v>
      </c>
    </row>
    <row r="457" spans="2:2" x14ac:dyDescent="0.25">
      <c r="B457" t="str">
        <v>055-10: Brake Adjusters (Inactive, please see commodity code 060-14 effective January 1, 2016)</v>
      </c>
    </row>
    <row r="458" spans="2:2" x14ac:dyDescent="0.25">
      <c r="B458" t="str">
        <v>055-11: Bug Screens and Protective Shields, Automotive</v>
      </c>
    </row>
    <row r="459" spans="2:2" x14ac:dyDescent="0.25">
      <c r="B459" t="str">
        <v>055-12: Cameras, Video, Automotive</v>
      </c>
    </row>
    <row r="460" spans="2:2" x14ac:dyDescent="0.25">
      <c r="B460" t="str">
        <v>055-13: Car Seats for Infants (Inactive, please see commodity code 055-08 effective January 1, 2016)</v>
      </c>
    </row>
    <row r="461" spans="2:2" x14ac:dyDescent="0.25">
      <c r="B461" t="str">
        <v>055-15: Chains and Traction Belts, Tire, Automotive</v>
      </c>
    </row>
    <row r="462" spans="2:2" x14ac:dyDescent="0.25">
      <c r="B462" t="str">
        <v>055-16: Consoles, Police, Automobiles (Includes Controls for P.A., Sirens, Warning Devices)</v>
      </c>
    </row>
    <row r="463" spans="2:2" x14ac:dyDescent="0.25">
      <c r="B463" t="str">
        <v>055-17: Console Accessories, Emergency Response Automobiles</v>
      </c>
    </row>
    <row r="464" spans="2:2" x14ac:dyDescent="0.25">
      <c r="B464" t="str">
        <v>055-18: Controls, Physically Impaired, Automotive</v>
      </c>
    </row>
    <row r="465" spans="2:2" x14ac:dyDescent="0.25">
      <c r="B465" t="str">
        <v>055-20: Conversion Kits and Systems: CNG, LPG, etc. Gases, Automotive</v>
      </c>
    </row>
    <row r="466" spans="2:2" x14ac:dyDescent="0.25">
      <c r="B466" t="str">
        <v>055-21: Couplings and Hitches, Automotive</v>
      </c>
    </row>
    <row r="467" spans="2:2" x14ac:dyDescent="0.25">
      <c r="B467" t="str">
        <v>055-24: Cushions and Covers, Seat, Automotive</v>
      </c>
    </row>
    <row r="468" spans="2:2" x14ac:dyDescent="0.25">
      <c r="B468" t="str">
        <v>055-27: Emergency Kits: First Aid Kit, Tools, etc., Automotive</v>
      </c>
    </row>
    <row r="469" spans="2:2" x14ac:dyDescent="0.25">
      <c r="B469" t="str">
        <v>055-28: Fans, Cab (Inactive, effective January 1, 2016)</v>
      </c>
    </row>
    <row r="470" spans="2:2" x14ac:dyDescent="0.25">
      <c r="B470" t="str">
        <v>055-30: Fifth Wheels (Inactive, effective January 1, 2016)</v>
      </c>
    </row>
    <row r="471" spans="2:2" x14ac:dyDescent="0.25">
      <c r="B471" t="str">
        <v>055-32: Gauges, Automotive, Including Speedometers</v>
      </c>
    </row>
    <row r="472" spans="2:2" x14ac:dyDescent="0.25">
      <c r="B472" t="str">
        <v>055-33: Grease Guns, Automotive</v>
      </c>
    </row>
    <row r="473" spans="2:2" x14ac:dyDescent="0.25">
      <c r="B473" t="str">
        <v>055-34: Generators, 110V, Attached to and Operated by Automotive Engine</v>
      </c>
    </row>
    <row r="474" spans="2:2" x14ac:dyDescent="0.25">
      <c r="B474" t="str">
        <v>055-35: *Global Positioning Systems for Tracking Vehicles</v>
      </c>
    </row>
    <row r="475" spans="2:2" x14ac:dyDescent="0.25">
      <c r="B475" t="str">
        <v>055-36: Grille Guards and Crash Cushions, Automotive</v>
      </c>
    </row>
    <row r="476" spans="2:2" x14ac:dyDescent="0.25">
      <c r="B476" t="str">
        <v>055-37: Headlights, Lamps, Automotive, Including Parts and Accessories</v>
      </c>
    </row>
    <row r="477" spans="2:2" x14ac:dyDescent="0.25">
      <c r="B477" t="str">
        <v>055-38: Heaters, Defrosters, and Defogging Systems, Automotive</v>
      </c>
    </row>
    <row r="478" spans="2:2" x14ac:dyDescent="0.25">
      <c r="B478" t="str">
        <v>055-39: Immobilizer Devices, Automotive</v>
      </c>
    </row>
    <row r="479" spans="2:2" x14ac:dyDescent="0.25">
      <c r="B479" t="str">
        <v>055-40: Interior Trim Items, Automotive</v>
      </c>
    </row>
    <row r="480" spans="2:2" x14ac:dyDescent="0.25">
      <c r="B480" t="str">
        <v>055-43: Labeling Systems, Automotive</v>
      </c>
    </row>
    <row r="481" spans="2:2" x14ac:dyDescent="0.25">
      <c r="B481" t="str">
        <v>055-46: Lights and Lens: Back-up, Stop, Tail, and Parking, Automotive</v>
      </c>
    </row>
    <row r="482" spans="2:2" x14ac:dyDescent="0.25">
      <c r="B482" t="str">
        <v>055-48: Lights and Lens: Clearance and Marker, Including License Plate Lights, Automotive</v>
      </c>
    </row>
    <row r="483" spans="2:2" x14ac:dyDescent="0.25">
      <c r="B483" t="str">
        <v>055-51: Lights and Lens: Directional and Turn Signal, Automotive</v>
      </c>
    </row>
    <row r="484" spans="2:2" x14ac:dyDescent="0.25">
      <c r="B484" t="str">
        <v>055-54: Lights and Lens: Emergency, Flood, Trouble and Spotlights, Automotive</v>
      </c>
    </row>
    <row r="485" spans="2:2" x14ac:dyDescent="0.25">
      <c r="B485" t="str">
        <v>055-56: Lights and Lens: Miniature, Automotive</v>
      </c>
    </row>
    <row r="486" spans="2:2" x14ac:dyDescent="0.25">
      <c r="B486" t="str">
        <v>055-57: Lights and Accessories: Flashing, Light Bars, Revolving, and Warning, Including Strobe/Warning Lights, Automotive</v>
      </c>
    </row>
    <row r="487" spans="2:2" x14ac:dyDescent="0.25">
      <c r="B487" t="str">
        <v>055-58: Lights and Lens, Automotive (Not Otherwise Classified)</v>
      </c>
    </row>
    <row r="488" spans="2:2" x14ac:dyDescent="0.25">
      <c r="B488" t="str">
        <v>055-61: Mats, Floor (See 760-56 for Heavy Equipment Type), Automotive</v>
      </c>
    </row>
    <row r="489" spans="2:2" x14ac:dyDescent="0.25">
      <c r="B489" t="str">
        <v>055-64: Mirrors: Rearview, Interior and Exterior, Automotive</v>
      </c>
    </row>
    <row r="490" spans="2:2" x14ac:dyDescent="0.25">
      <c r="B490" t="str">
        <v>055-66: Moisture Separators, Automotive</v>
      </c>
    </row>
    <row r="491" spans="2:2" x14ac:dyDescent="0.25">
      <c r="B491" t="str">
        <v>055-67: Mounting Hardware: Laptops, GPS, Cameras, Electronic Devices, etc. Automotive.</v>
      </c>
    </row>
    <row r="492" spans="2:2" x14ac:dyDescent="0.25">
      <c r="B492" t="str">
        <v>055-68: Monitors, Computerized and Wireless, Including Equipment Utilization, Engine/Driver Performance, Brakes, Lights, RPM, Temperature, etc.</v>
      </c>
    </row>
    <row r="493" spans="2:2" x14ac:dyDescent="0.25">
      <c r="B493" t="str">
        <v>055-69: Organizers: Cup Holders, Tissue Dispenser, etc., Automotive</v>
      </c>
    </row>
    <row r="494" spans="2:2" x14ac:dyDescent="0.25">
      <c r="B494" t="str">
        <v>055-70: Power Takeoff, Automotive</v>
      </c>
    </row>
    <row r="495" spans="2:2" x14ac:dyDescent="0.25">
      <c r="B495" t="str">
        <v>055-72: Propane/Butane or Natural Gas Conversion Equipment, Automotive</v>
      </c>
    </row>
    <row r="496" spans="2:2" x14ac:dyDescent="0.25">
      <c r="B496" t="str">
        <v>055-74: Racks: Gun, Hat, etc., Automotive</v>
      </c>
    </row>
    <row r="497" spans="2:2" x14ac:dyDescent="0.25">
      <c r="B497" t="str">
        <v>055-75: Reel Assembly, Cable, Mounted, Automotive</v>
      </c>
    </row>
    <row r="498" spans="2:2" x14ac:dyDescent="0.25">
      <c r="B498" t="str">
        <v>055-76: Reflectors, Automotive</v>
      </c>
    </row>
    <row r="499" spans="2:2" x14ac:dyDescent="0.25">
      <c r="B499" t="str">
        <v>055-78: Seats, Including Parts and Accessories, Automotive</v>
      </c>
    </row>
    <row r="500" spans="2:2" x14ac:dyDescent="0.25">
      <c r="B500" t="str">
        <v>055-79: Sirens, Horns and Back-up Alarms, Automotive</v>
      </c>
    </row>
    <row r="501" spans="2:2" x14ac:dyDescent="0.25">
      <c r="B501" t="str">
        <v>055-82: Splash Guards, Automotive</v>
      </c>
    </row>
    <row r="502" spans="2:2" x14ac:dyDescent="0.25">
      <c r="B502" t="str">
        <v>055-83: Switches and Flashers, Automotive</v>
      </c>
    </row>
    <row r="503" spans="2:2" x14ac:dyDescent="0.25">
      <c r="B503" t="str">
        <v>055-85: Tanks, Fuel, Auxiliary, Automotive</v>
      </c>
    </row>
    <row r="504" spans="2:2" x14ac:dyDescent="0.25">
      <c r="B504" t="str">
        <v>055-86: Tanks, Miscellaneous, Including Parts and Accessories (Not Otherwise Classified)</v>
      </c>
    </row>
    <row r="505" spans="2:2" x14ac:dyDescent="0.25">
      <c r="B505" t="str">
        <v>055-88: Tops and Covers, Short Wheelbase Vehicles</v>
      </c>
    </row>
    <row r="506" spans="2:2" x14ac:dyDescent="0.25">
      <c r="B506" t="str">
        <v>055-89: Warning Devices, Triangular, Including Slow Moving Vehicle Signs</v>
      </c>
    </row>
    <row r="507" spans="2:2" x14ac:dyDescent="0.25">
      <c r="B507" t="str">
        <v>055-90: Wheelchair Lift and Accessories, Vehicle-Mounted</v>
      </c>
    </row>
    <row r="508" spans="2:2" x14ac:dyDescent="0.25">
      <c r="B508" t="str">
        <v>055-91: Vehicle Safety Systems: Collision Avoidance and Impact Sensing, Automotive</v>
      </c>
    </row>
    <row r="509" spans="2:2" x14ac:dyDescent="0.25">
      <c r="B509" t="str">
        <v>055-95: Recycled Automotive Accessory Items</v>
      </c>
    </row>
    <row r="510" spans="2:2" x14ac:dyDescent="0.25">
      <c r="B510" t="str">
        <v>060-01: Adapters and Clevises, Automotive Parts</v>
      </c>
    </row>
    <row r="511" spans="2:2" x14ac:dyDescent="0.25">
      <c r="B511" t="str">
        <v>060-02: Accessories, Freightliner</v>
      </c>
    </row>
    <row r="512" spans="2:2" x14ac:dyDescent="0.25">
      <c r="B512" t="str">
        <v>060-03: Antifreeze</v>
      </c>
    </row>
    <row r="513" spans="2:2" x14ac:dyDescent="0.25">
      <c r="B513" t="str">
        <v>060-06: Axles, Trailers and Trucks, Tandem and Single</v>
      </c>
    </row>
    <row r="514" spans="2:2" x14ac:dyDescent="0.25">
      <c r="B514" t="str">
        <v>060-09: Batteries and Charging Stations for Electric Automobiles, Including Recycled Types</v>
      </c>
    </row>
    <row r="515" spans="2:2" x14ac:dyDescent="0.25">
      <c r="B515" t="str">
        <v>060-12: Batteries, Storage, Including Electrolyte and Recycled Types, Automotive</v>
      </c>
    </row>
    <row r="516" spans="2:2" x14ac:dyDescent="0.25">
      <c r="B516" t="str">
        <v>060-14: Brake Adjusters</v>
      </c>
    </row>
    <row r="517" spans="2:2" x14ac:dyDescent="0.25">
      <c r="B517" t="str">
        <v>060-15: Brakes, Electric Controller</v>
      </c>
    </row>
    <row r="518" spans="2:2" x14ac:dyDescent="0.25">
      <c r="B518" t="str">
        <v>060-18: Brake Fluid, Hydraulic</v>
      </c>
    </row>
    <row r="519" spans="2:2" x14ac:dyDescent="0.25">
      <c r="B519" t="str">
        <v>060-21: Brakes, Repairs, and Replacements, Not Electric Controller</v>
      </c>
    </row>
    <row r="520" spans="2:2" x14ac:dyDescent="0.25">
      <c r="B520" t="str">
        <v>060-23: Bushings and Related Items</v>
      </c>
    </row>
    <row r="521" spans="2:2" x14ac:dyDescent="0.25">
      <c r="B521" t="str">
        <v>060-24: Cables, Looms, and Terminals, Including Fuse Holders, (See 280-75 for Cable and Wire Ties)</v>
      </c>
    </row>
    <row r="522" spans="2:2" x14ac:dyDescent="0.25">
      <c r="B522" t="str">
        <v>060-27: Cement, Radiator</v>
      </c>
    </row>
    <row r="523" spans="2:2" x14ac:dyDescent="0.25">
      <c r="B523" t="str">
        <v>060-33: Clamps, Hose</v>
      </c>
    </row>
    <row r="524" spans="2:2" x14ac:dyDescent="0.25">
      <c r="B524" t="str">
        <v>060-35: Cooling System: Radiators, Complete and Cores; Thermostats; Water Pumps; etc.</v>
      </c>
    </row>
    <row r="525" spans="2:2" x14ac:dyDescent="0.25">
      <c r="B525" t="str">
        <v>060-36: Electrical Accessories: Alternators, Ammeters, Distributors, Generators, Regulators, Starters, etc.</v>
      </c>
    </row>
    <row r="526" spans="2:2" x14ac:dyDescent="0.25">
      <c r="B526" t="str">
        <v>060-37: Electrical Parts, Not Ignition, (Not Otherwise Classified)</v>
      </c>
    </row>
    <row r="527" spans="2:2" x14ac:dyDescent="0.25">
      <c r="B527" t="str">
        <v>060-38: Engines, Diesel, Including Replacement Parts, Automotive</v>
      </c>
    </row>
    <row r="528" spans="2:2" x14ac:dyDescent="0.25">
      <c r="B528" t="str">
        <v>060-39: Engines, Dual Fuel, Including Replacement Part, Automotive</v>
      </c>
    </row>
    <row r="529" spans="2:2" x14ac:dyDescent="0.25">
      <c r="B529" t="str">
        <v>060-40: Engines, Gasoline: Complete, Short Block, and Parts</v>
      </c>
    </row>
    <row r="530" spans="2:2" x14ac:dyDescent="0.25">
      <c r="B530" t="str">
        <v>060-41: Exhaust System: Clamps, Exhaust Pipes, Mufflers, Tailpipes, Catalytic Converters, etc.</v>
      </c>
    </row>
    <row r="531" spans="2:2" x14ac:dyDescent="0.25">
      <c r="B531" t="str">
        <v>060-42: Filters, Air, Fuel, Oil, Power Steering, Transmission and Water, and PCV Valves</v>
      </c>
    </row>
    <row r="532" spans="2:2" x14ac:dyDescent="0.25">
      <c r="B532" t="str">
        <v>060-43: ENGINES, LPG, INCLUDING REPLACEMENT PARTS, AUTOMOTIVE</v>
      </c>
    </row>
    <row r="533" spans="2:2" x14ac:dyDescent="0.25">
      <c r="B533" t="str">
        <v>060-45: Fittings, For Copper Tubing</v>
      </c>
    </row>
    <row r="534" spans="2:2" x14ac:dyDescent="0.25">
      <c r="B534" t="str">
        <v>060-46: Front End Alignment Parts and Accessories (See 075 for Equipment)</v>
      </c>
    </row>
    <row r="535" spans="2:2" x14ac:dyDescent="0.25">
      <c r="B535" t="str">
        <v>060-47: Fuel System: Carburetors and Kits, Fuel Pumps, Tanks and Caps, etc.</v>
      </c>
    </row>
    <row r="536" spans="2:2" x14ac:dyDescent="0.25">
      <c r="B536" t="str">
        <v>060-50: Fuses, Automotive</v>
      </c>
    </row>
    <row r="537" spans="2:2" x14ac:dyDescent="0.25">
      <c r="B537" t="str">
        <v>060-54: Gaskets and Gasket Material, Automotive</v>
      </c>
    </row>
    <row r="538" spans="2:2" x14ac:dyDescent="0.25">
      <c r="B538" t="str">
        <v>060-57: Glass and Supplies: Door, Windshield, etc., Automotive</v>
      </c>
    </row>
    <row r="539" spans="2:2" x14ac:dyDescent="0.25">
      <c r="B539" t="str">
        <v>060-58: Governors, Engine and Road Speed</v>
      </c>
    </row>
    <row r="540" spans="2:2" x14ac:dyDescent="0.25">
      <c r="B540" t="str">
        <v>060-60: Hose and Hose Fittings: Brake, Heater, Radiator, Vacuum, Washer, Wiper, etc.</v>
      </c>
    </row>
    <row r="541" spans="2:2" x14ac:dyDescent="0.25">
      <c r="B541" t="str">
        <v>060-61: Hydraulic System Components and Parts</v>
      </c>
    </row>
    <row r="542" spans="2:2" x14ac:dyDescent="0.25">
      <c r="B542" t="str">
        <v>060-63: Ignition System: Coils, Condensers, Points, Rotors, Spark Plugs (Not Aircraft), Spark Plug Wires, etc.</v>
      </c>
    </row>
    <row r="543" spans="2:2" x14ac:dyDescent="0.25">
      <c r="B543" t="str">
        <v>060-64: Lubricating System and Parts (See 060-42 for Filters and Class 075 for Equipment)</v>
      </c>
    </row>
    <row r="544" spans="2:2" x14ac:dyDescent="0.25">
      <c r="B544" t="str">
        <v>060-65: Power and Drive Train Components and Parts</v>
      </c>
    </row>
    <row r="545" spans="2:2" x14ac:dyDescent="0.25">
      <c r="B545" t="str">
        <v>060-66: Parts and Accessories, Automotive, Miscellaneous (Not Otherwise Classified)</v>
      </c>
    </row>
    <row r="546" spans="2:2" x14ac:dyDescent="0.25">
      <c r="B546" t="str">
        <v>060-67: Recycled Automotive Parts</v>
      </c>
    </row>
    <row r="547" spans="2:2" x14ac:dyDescent="0.25">
      <c r="B547" t="str">
        <v>060-69: Remanufactured Engines, Transmissions, Differentials and Rear Axle Assemblies</v>
      </c>
    </row>
    <row r="548" spans="2:2" x14ac:dyDescent="0.25">
      <c r="B548" t="str">
        <v>060-70: Replacement Parts for Chrysler (Mopar)</v>
      </c>
    </row>
    <row r="549" spans="2:2" x14ac:dyDescent="0.25">
      <c r="B549" t="str">
        <v>060-71: Replacement Parts for Ford</v>
      </c>
    </row>
    <row r="550" spans="2:2" x14ac:dyDescent="0.25">
      <c r="B550" t="str">
        <v>060-72: Replacement Parts for General Motors</v>
      </c>
    </row>
    <row r="551" spans="2:2" x14ac:dyDescent="0.25">
      <c r="B551" t="str">
        <v>060-73: Replacement Parts for International Harvester</v>
      </c>
    </row>
    <row r="552" spans="2:2" x14ac:dyDescent="0.25">
      <c r="B552" t="str">
        <v>060-74: Replacement Parts for other than Chrysler, Ford, General Motors, and International Harvester</v>
      </c>
    </row>
    <row r="553" spans="2:2" x14ac:dyDescent="0.25">
      <c r="B553" t="str">
        <v>060-75: Retread Rubber</v>
      </c>
    </row>
    <row r="554" spans="2:2" x14ac:dyDescent="0.25">
      <c r="B554" t="str">
        <v>060-78: Retreading Equipment</v>
      </c>
    </row>
    <row r="555" spans="2:2" x14ac:dyDescent="0.25">
      <c r="B555" t="str">
        <v>060-79: Seals and O-Rings</v>
      </c>
    </row>
    <row r="556" spans="2:2" x14ac:dyDescent="0.25">
      <c r="B556" t="str">
        <v>060-83: Shock Absorbers, Struts, etc.</v>
      </c>
    </row>
    <row r="557" spans="2:2" x14ac:dyDescent="0.25">
      <c r="B557" t="str">
        <v>060-84: Springs, Leaves, Suspensions, etc., Including Sway Bars</v>
      </c>
    </row>
    <row r="558" spans="2:2" x14ac:dyDescent="0.25">
      <c r="B558" t="str">
        <v>060-86: Steering Components and Parts</v>
      </c>
    </row>
    <row r="559" spans="2:2" x14ac:dyDescent="0.25">
      <c r="B559" t="str">
        <v>060-87: Tire and Tube Repair Items and Vulcanizers</v>
      </c>
    </row>
    <row r="560" spans="2:2" x14ac:dyDescent="0.25">
      <c r="B560" t="str">
        <v>060-93: Tire Sealing Compound</v>
      </c>
    </row>
    <row r="561" spans="2:2" x14ac:dyDescent="0.25">
      <c r="B561" t="str">
        <v>060-94: Transmissions, Standard and Automatic, Including Clutch Assemblies and Parts</v>
      </c>
    </row>
    <row r="562" spans="2:2" x14ac:dyDescent="0.25">
      <c r="B562" t="str">
        <v>060-95: Wheel Bearings and Seals</v>
      </c>
    </row>
    <row r="563" spans="2:2" x14ac:dyDescent="0.25">
      <c r="B563" t="str">
        <v>060-96: Wheels and Rims, Including Wheel Covers and Hubcaps</v>
      </c>
    </row>
    <row r="564" spans="2:2" x14ac:dyDescent="0.25">
      <c r="B564" t="str">
        <v>060-97: Windshield Wiper and Washer Assemblies, and Parts, Including Windshield Washer Fluid</v>
      </c>
    </row>
    <row r="565" spans="2:2" x14ac:dyDescent="0.25">
      <c r="B565" t="str">
        <v>065-05: Aerial Ladders and Towers, Including Buckets for Personnel</v>
      </c>
    </row>
    <row r="566" spans="2:2" x14ac:dyDescent="0.25">
      <c r="B566" t="str">
        <v>065-07: Bodies, Including Parts and Accessories, Passenger Automobiles</v>
      </c>
    </row>
    <row r="567" spans="2:2" x14ac:dyDescent="0.25">
      <c r="B567" t="str">
        <v>065-08: Bodies, Animal Control</v>
      </c>
    </row>
    <row r="568" spans="2:2" x14ac:dyDescent="0.25">
      <c r="B568" t="str">
        <v>065-10: Bodies, Utility</v>
      </c>
    </row>
    <row r="569" spans="2:2" x14ac:dyDescent="0.25">
      <c r="B569" t="str">
        <v>065-12: Body and Frame Parts, Including Bed Extenders (Not Otherwise Classified)</v>
      </c>
    </row>
    <row r="570" spans="2:2" x14ac:dyDescent="0.25">
      <c r="B570" t="str">
        <v>065-15: Bookmobile Bodies</v>
      </c>
    </row>
    <row r="571" spans="2:2" x14ac:dyDescent="0.25">
      <c r="B571" t="str">
        <v>065-16: Brush Guards, Truck</v>
      </c>
    </row>
    <row r="572" spans="2:2" x14ac:dyDescent="0.25">
      <c r="B572" t="str">
        <v>065-17: Bus Bodies, School</v>
      </c>
    </row>
    <row r="573" spans="2:2" x14ac:dyDescent="0.25">
      <c r="B573" t="str">
        <v>065-23: Cement Truck Bodies</v>
      </c>
    </row>
    <row r="574" spans="2:2" x14ac:dyDescent="0.25">
      <c r="B574" t="str">
        <v>065-25: Covers, Camper Shells, Load Covers, etc., For Trucks</v>
      </c>
    </row>
    <row r="575" spans="2:2" x14ac:dyDescent="0.25">
      <c r="B575" t="str">
        <v>065-27: Derrick, Digger, Truck Mounted</v>
      </c>
    </row>
    <row r="576" spans="2:2" x14ac:dyDescent="0.25">
      <c r="B576" t="str">
        <v>065-30: Dump Bodies, Hoist Subframes, etc.</v>
      </c>
    </row>
    <row r="577" spans="2:2" x14ac:dyDescent="0.25">
      <c r="B577" t="str">
        <v>065-34: Fire Protection and Crash Rescue Bodies</v>
      </c>
    </row>
    <row r="578" spans="2:2" x14ac:dyDescent="0.25">
      <c r="B578" t="str">
        <v>065-35: Flat Bed Bodies</v>
      </c>
    </row>
    <row r="579" spans="2:2" x14ac:dyDescent="0.25">
      <c r="B579" t="str">
        <v>065-40: Grain Bodies</v>
      </c>
    </row>
    <row r="580" spans="2:2" x14ac:dyDescent="0.25">
      <c r="B580" t="str">
        <v>065-43: Handles, Grab</v>
      </c>
    </row>
    <row r="581" spans="2:2" x14ac:dyDescent="0.25">
      <c r="B581" t="str">
        <v>065-44: Hatches, Roof, Ventilation, Emergency Exit, etc.</v>
      </c>
    </row>
    <row r="582" spans="2:2" x14ac:dyDescent="0.25">
      <c r="B582" t="str">
        <v>065-45: Headache Racks, Truck Bodies</v>
      </c>
    </row>
    <row r="583" spans="2:2" x14ac:dyDescent="0.25">
      <c r="B583" t="str">
        <v>065-50: Ladder Rack Bodies</v>
      </c>
    </row>
    <row r="584" spans="2:2" x14ac:dyDescent="0.25">
      <c r="B584" t="str">
        <v>065-55: Livestock Bodies</v>
      </c>
    </row>
    <row r="585" spans="2:2" x14ac:dyDescent="0.25">
      <c r="B585" t="str">
        <v>065-60: Milk Delivery Bodies</v>
      </c>
    </row>
    <row r="586" spans="2:2" x14ac:dyDescent="0.25">
      <c r="B586" t="str">
        <v>065-62: Mobile Service and Lubrication Bodies</v>
      </c>
    </row>
    <row r="587" spans="2:2" x14ac:dyDescent="0.25">
      <c r="B587" t="str">
        <v>065-65: Oil Field Bodies</v>
      </c>
    </row>
    <row r="588" spans="2:2" x14ac:dyDescent="0.25">
      <c r="B588" t="str">
        <v>065-66: Ordnance, Explosive, Disposal Bodies</v>
      </c>
    </row>
    <row r="589" spans="2:2" x14ac:dyDescent="0.25">
      <c r="B589" t="str">
        <v>065-67: Platform Bodies, Including Elevating Type</v>
      </c>
    </row>
    <row r="590" spans="2:2" x14ac:dyDescent="0.25">
      <c r="B590" t="str">
        <v>065-68: Powerlift Tailgate</v>
      </c>
    </row>
    <row r="591" spans="2:2" x14ac:dyDescent="0.25">
      <c r="B591" t="str">
        <v>065-69: Pickup Truck Bodies</v>
      </c>
    </row>
    <row r="592" spans="2:2" x14ac:dyDescent="0.25">
      <c r="B592" t="str">
        <v>065-70: Refrigerated Bodies</v>
      </c>
    </row>
    <row r="593" spans="2:2" x14ac:dyDescent="0.25">
      <c r="B593" t="str">
        <v>065-72: Recycled Automotive Bodies, Including Parts and Accessories</v>
      </c>
    </row>
    <row r="594" spans="2:2" x14ac:dyDescent="0.25">
      <c r="B594" t="str">
        <v>065-75: Refuse/Garbage Collection Bodies, Including Parts and Accessories</v>
      </c>
    </row>
    <row r="595" spans="2:2" x14ac:dyDescent="0.25">
      <c r="B595" t="str">
        <v>065-78: Sewer/Catch Basin Cleaning Body and Equipment</v>
      </c>
    </row>
    <row r="596" spans="2:2" x14ac:dyDescent="0.25">
      <c r="B596" t="str">
        <v>065-79: Spreader Boxes</v>
      </c>
    </row>
    <row r="597" spans="2:2" x14ac:dyDescent="0.25">
      <c r="B597" t="str">
        <v>065-80: Stake Bodies, Including Parts and Accessories</v>
      </c>
    </row>
    <row r="598" spans="2:2" x14ac:dyDescent="0.25">
      <c r="B598" t="str">
        <v>065-83: Tanker Truck Bodies</v>
      </c>
    </row>
    <row r="599" spans="2:2" x14ac:dyDescent="0.25">
      <c r="B599" t="str">
        <v>065-84: Tarpaulins for Truck Bodies (See 450-15 and 77 for Other Types)</v>
      </c>
    </row>
    <row r="600" spans="2:2" x14ac:dyDescent="0.25">
      <c r="B600" t="str">
        <v>065-85: Tool Compartment Boxes, Trucks</v>
      </c>
    </row>
    <row r="601" spans="2:2" x14ac:dyDescent="0.25">
      <c r="B601" t="str">
        <v>065-86: Class 8 Trucks (33,001 lb. GVWR and Over)</v>
      </c>
    </row>
    <row r="602" spans="2:2" x14ac:dyDescent="0.25">
      <c r="B602" t="str">
        <v>065-87: Truck Bed Liners</v>
      </c>
    </row>
    <row r="603" spans="2:2" x14ac:dyDescent="0.25">
      <c r="B603" t="str">
        <v>065-88: Trailer Bodies and Parts, Including Access Steps and Ladders</v>
      </c>
    </row>
    <row r="604" spans="2:2" x14ac:dyDescent="0.25">
      <c r="B604" t="str">
        <v>065-90: Van Truck Bodies</v>
      </c>
    </row>
    <row r="605" spans="2:2" x14ac:dyDescent="0.25">
      <c r="B605" t="str">
        <v>065-92: Water Tank Bodies</v>
      </c>
    </row>
    <row r="606" spans="2:2" x14ac:dyDescent="0.25">
      <c r="B606" t="str">
        <v>065-94: Winches and Cranes, Automotive</v>
      </c>
    </row>
    <row r="607" spans="2:2" x14ac:dyDescent="0.25">
      <c r="B607" t="str">
        <v>065-95: Wrecker Bodies</v>
      </c>
    </row>
    <row r="608" spans="2:2" x14ac:dyDescent="0.25">
      <c r="B608" t="str">
        <v>071-02: All Terrain Amphibious Vehicles, Search and Rescue</v>
      </c>
    </row>
    <row r="609" spans="2:2" x14ac:dyDescent="0.25">
      <c r="B609" t="str">
        <v>071-03: Ambulances and Rescue Vehicles (See 072-30 for Fire Protection and Crash Rescue Trucks)</v>
      </c>
    </row>
    <row r="610" spans="2:2" x14ac:dyDescent="0.25">
      <c r="B610" t="str">
        <v>071-04: Automobiles</v>
      </c>
    </row>
    <row r="611" spans="2:2" x14ac:dyDescent="0.25">
      <c r="B611" t="str">
        <v>071-05: Automobiles, Police and Security Equipped</v>
      </c>
    </row>
    <row r="612" spans="2:2" x14ac:dyDescent="0.25">
      <c r="B612" t="str">
        <v>071-14: Bus Chassis, School</v>
      </c>
    </row>
    <row r="613" spans="2:2" x14ac:dyDescent="0.25">
      <c r="B613" t="str">
        <v>071-15: Buses Complete, School, Conventional Type, (See Classes 556 thru 559 for Mass Transit Vehicles)</v>
      </c>
    </row>
    <row r="614" spans="2:2" x14ac:dyDescent="0.25">
      <c r="B614" t="str">
        <v>071-16: Buses Complete, School (Small Vehicle Type)</v>
      </c>
    </row>
    <row r="615" spans="2:2" x14ac:dyDescent="0.25">
      <c r="B615" t="str">
        <v>071-17: Buses and Vans, Inmate Transport (Incl. Special Components)</v>
      </c>
    </row>
    <row r="616" spans="2:2" x14ac:dyDescent="0.25">
      <c r="B616" t="str">
        <v>071-20: Electric Personal Assisted Mobility Device (EPAMD)</v>
      </c>
    </row>
    <row r="617" spans="2:2" x14ac:dyDescent="0.25">
      <c r="B617" t="str">
        <v>071-53: Motor Scooters and Trucksters, Including All Terrain Types, Golf Carts, etc.</v>
      </c>
    </row>
    <row r="618" spans="2:2" x14ac:dyDescent="0.25">
      <c r="B618" t="str">
        <v>071-55: Motor Homes, Including Bookmobiles, Mobile and Field Offices, etc.</v>
      </c>
    </row>
    <row r="619" spans="2:2" x14ac:dyDescent="0.25">
      <c r="B619" t="str">
        <v>071-56: Motorcycles</v>
      </c>
    </row>
    <row r="620" spans="2:2" x14ac:dyDescent="0.25">
      <c r="B620" t="str">
        <v>071-76: Snowmobiles (See Class 765 for Snow Blowers and Plows)</v>
      </c>
    </row>
    <row r="621" spans="2:2" x14ac:dyDescent="0.25">
      <c r="B621" t="str">
        <v>071-77: Specialty Vehicles</v>
      </c>
    </row>
    <row r="622" spans="2:2" x14ac:dyDescent="0.25">
      <c r="B622" t="str">
        <v>071-80: SUV Type Vehicles, Including Carryalls</v>
      </c>
    </row>
    <row r="623" spans="2:2" x14ac:dyDescent="0.25">
      <c r="B623" t="str">
        <v>071-86: Trams, Touring</v>
      </c>
    </row>
    <row r="624" spans="2:2" x14ac:dyDescent="0.25">
      <c r="B624" t="str">
        <v>071-90: Vans, Cargo</v>
      </c>
    </row>
    <row r="625" spans="2:2" x14ac:dyDescent="0.25">
      <c r="B625" t="str">
        <v>071-91: Vans, Customized</v>
      </c>
    </row>
    <row r="626" spans="2:2" x14ac:dyDescent="0.25">
      <c r="B626" t="str">
        <v>071-92: Vans, Passenger, Regular and Handicapped Equipped</v>
      </c>
    </row>
    <row r="627" spans="2:2" x14ac:dyDescent="0.25">
      <c r="B627" t="str">
        <v>072-01: Class 1 Trucks (6,000 lb. GVWR or less)</v>
      </c>
    </row>
    <row r="628" spans="2:2" x14ac:dyDescent="0.25">
      <c r="B628" t="str">
        <v>072-02: Class 2 Trucks (6,001 - 10,000 lb. GVWR)</v>
      </c>
    </row>
    <row r="629" spans="2:2" x14ac:dyDescent="0.25">
      <c r="B629" t="str">
        <v>072-03: Class 3 Trucks (10,001 - 14,000 lb. GVWR)</v>
      </c>
    </row>
    <row r="630" spans="2:2" x14ac:dyDescent="0.25">
      <c r="B630" t="str">
        <v>072-04: Class 4 Trucks (14,001 - 16,000 lb. GVWR)</v>
      </c>
    </row>
    <row r="631" spans="2:2" x14ac:dyDescent="0.25">
      <c r="B631" t="str">
        <v>072-05: Class 5 Trucks (16,001 - 19,500 lb. GVWR)</v>
      </c>
    </row>
    <row r="632" spans="2:2" x14ac:dyDescent="0.25">
      <c r="B632" t="str">
        <v>072-06: Class 6 Trucks (19,501 - 26,000 lb. GVWR)</v>
      </c>
    </row>
    <row r="633" spans="2:2" x14ac:dyDescent="0.25">
      <c r="B633" t="str">
        <v>072-07: Class 7 Trucks (26,001 - 33,000 lb. GVWR)</v>
      </c>
    </row>
    <row r="634" spans="2:2" x14ac:dyDescent="0.25">
      <c r="B634" t="str">
        <v>072-08: Class 8 Trucks (33,001 lb. GVWR and Over)</v>
      </c>
    </row>
    <row r="635" spans="2:2" x14ac:dyDescent="0.25">
      <c r="B635" t="str">
        <v>072-30: Trucks, Fire Protection and Crash Rescue</v>
      </c>
    </row>
    <row r="636" spans="2:2" x14ac:dyDescent="0.25">
      <c r="B636" t="str">
        <v>072-35: Trucks, Training Simulator</v>
      </c>
    </row>
    <row r="637" spans="2:2" x14ac:dyDescent="0.25">
      <c r="B637" t="str">
        <v>072-94: Wreckers, Complete (See 065-95 for Wrecker Bodies)</v>
      </c>
    </row>
    <row r="638" spans="2:2" x14ac:dyDescent="0.25">
      <c r="B638" t="str">
        <v>073-05: Trailers, Cargo, Enclosed</v>
      </c>
    </row>
    <row r="639" spans="2:2" x14ac:dyDescent="0.25">
      <c r="B639" t="str">
        <v>073-08: Trailers, With Enclosed Refrigeration Unit</v>
      </c>
    </row>
    <row r="640" spans="2:2" x14ac:dyDescent="0.25">
      <c r="B640" t="str">
        <v>073-10: Trailers, Semi, Enclosed</v>
      </c>
    </row>
    <row r="641" spans="2:2" x14ac:dyDescent="0.25">
      <c r="B641" t="str">
        <v>073-14: Trailers, Specialty, Enclosed, Tag-Along</v>
      </c>
    </row>
    <row r="642" spans="2:2" x14ac:dyDescent="0.25">
      <c r="B642" t="str">
        <v>073-15: Trailers, Specialty, Frame, Tag-Along</v>
      </c>
    </row>
    <row r="643" spans="2:2" x14ac:dyDescent="0.25">
      <c r="B643" t="str">
        <v>073-24: Trailers, Transport, Dry Bulk</v>
      </c>
    </row>
    <row r="644" spans="2:2" x14ac:dyDescent="0.25">
      <c r="B644" t="str">
        <v>073-27: Trailers, Transport, Equipment, Fixed Deck, Tag-Along</v>
      </c>
    </row>
    <row r="645" spans="2:2" x14ac:dyDescent="0.25">
      <c r="B645" t="str">
        <v>073-28: Trailers, Transport, Equipment, Tilt Deck, Tag-Along</v>
      </c>
    </row>
    <row r="646" spans="2:2" x14ac:dyDescent="0.25">
      <c r="B646" t="str">
        <v>073-30: Trailers, Transport, Machinery</v>
      </c>
    </row>
    <row r="647" spans="2:2" x14ac:dyDescent="0.25">
      <c r="B647" t="str">
        <v>073-32: Trailers, Transport, Tank</v>
      </c>
    </row>
    <row r="648" spans="2:2" x14ac:dyDescent="0.25">
      <c r="B648" t="str">
        <v>073-43: Trailers, Utility, Enclosed, Tag-Along</v>
      </c>
    </row>
    <row r="649" spans="2:2" x14ac:dyDescent="0.25">
      <c r="B649" t="str">
        <v>073-45: Trailers, Utility, Flatbed, Tag-Along</v>
      </c>
    </row>
    <row r="650" spans="2:2" x14ac:dyDescent="0.25">
      <c r="B650" t="str">
        <v>073-47: Trailers, Utility, Gooseneck</v>
      </c>
    </row>
    <row r="651" spans="2:2" x14ac:dyDescent="0.25">
      <c r="B651" t="str">
        <v>073-50: Trailers, Utility, Tilt Deck, Tag-Along</v>
      </c>
    </row>
    <row r="652" spans="2:2" x14ac:dyDescent="0.25">
      <c r="B652" t="str">
        <v>073-60: Trailers, Various Types (Not Otherwise Classified)</v>
      </c>
    </row>
    <row r="653" spans="2:2" x14ac:dyDescent="0.25">
      <c r="B653" t="str">
        <v>075-01: Air Powered Shop Tools, Regulators, Including Parts and Accessories</v>
      </c>
    </row>
    <row r="654" spans="2:2" x14ac:dyDescent="0.25">
      <c r="B654" t="str">
        <v>075-02: Alarm Systems, Visual and Audio, Electrically and Mechanically Operated Doors</v>
      </c>
    </row>
    <row r="655" spans="2:2" x14ac:dyDescent="0.25">
      <c r="B655" t="str">
        <v>075-03: Aligners, Balancers, Including Parts and Accessories, Wheel</v>
      </c>
    </row>
    <row r="656" spans="2:2" x14ac:dyDescent="0.25">
      <c r="B656" t="str">
        <v>075-06: Battery Chargers and Testers, Automotive (See Also Class 726)</v>
      </c>
    </row>
    <row r="657" spans="2:2" x14ac:dyDescent="0.25">
      <c r="B657" t="str">
        <v>075-08: Brake Bench Stands</v>
      </c>
    </row>
    <row r="658" spans="2:2" x14ac:dyDescent="0.25">
      <c r="B658" t="str">
        <v>075-10: Brushes and Cleaning Compounds, Automotive Cleaning</v>
      </c>
    </row>
    <row r="659" spans="2:2" x14ac:dyDescent="0.25">
      <c r="B659" t="str">
        <v>075-12: Carbon Removing Tools</v>
      </c>
    </row>
    <row r="660" spans="2:2" x14ac:dyDescent="0.25">
      <c r="B660" t="str">
        <v>075-14: Cements, For Chromatid Felt, Gaskets, Trim, and Weather Strip, and Gasket Shellac</v>
      </c>
    </row>
    <row r="661" spans="2:2" x14ac:dyDescent="0.25">
      <c r="B661" t="str">
        <v>075-17: Chamois and Sponges, Including Car Wash Mittens and Windshield Squeegees</v>
      </c>
    </row>
    <row r="662" spans="2:2" x14ac:dyDescent="0.25">
      <c r="B662" t="str">
        <v>075-19: Cleaning and Washing Equipment: Steam, Cold and Hot Water Pressure and Jet Types, Portable and Stationary (Also See 075-49)</v>
      </c>
    </row>
    <row r="663" spans="2:2" x14ac:dyDescent="0.25">
      <c r="B663" t="str">
        <v>075-20: Crankshaft Truing and Engine Stands</v>
      </c>
    </row>
    <row r="664" spans="2:2" x14ac:dyDescent="0.25">
      <c r="B664" t="str">
        <v>075-22: Creepers</v>
      </c>
    </row>
    <row r="665" spans="2:2" x14ac:dyDescent="0.25">
      <c r="B665" t="str">
        <v>075-24: Diagnostic Instrument System, Emission Testing, Automotive</v>
      </c>
    </row>
    <row r="666" spans="2:2" x14ac:dyDescent="0.25">
      <c r="B666" t="str">
        <v>075-25: Dynamometers</v>
      </c>
    </row>
    <row r="667" spans="2:2" x14ac:dyDescent="0.25">
      <c r="B667" t="str">
        <v>075-27: Fender Covers</v>
      </c>
    </row>
    <row r="668" spans="2:2" x14ac:dyDescent="0.25">
      <c r="B668" t="str">
        <v>075-28: Files, Ignition, Tungsten Point</v>
      </c>
    </row>
    <row r="669" spans="2:2" x14ac:dyDescent="0.25">
      <c r="B669" t="str">
        <v>075-29: Flush and Fill Equipment and Tools: Automatic Transmissions, Cooling Systems, Power Steering Systems, etc.</v>
      </c>
    </row>
    <row r="670" spans="2:2" x14ac:dyDescent="0.25">
      <c r="B670" t="str">
        <v>075-31: Grinders, Cylinder Hone and Valve Seat: Portable Boring Machines; Hones; and Boring Bars</v>
      </c>
    </row>
    <row r="671" spans="2:2" x14ac:dyDescent="0.25">
      <c r="B671" t="str">
        <v>075-33: Hand Tools, Air Conditioning, Including Refrigerant Charging Equipment, Automotive</v>
      </c>
    </row>
    <row r="672" spans="2:2" x14ac:dyDescent="0.25">
      <c r="B672" t="str">
        <v>075-34: Hand Tools, Body Rebuilder's</v>
      </c>
    </row>
    <row r="673" spans="2:2" x14ac:dyDescent="0.25">
      <c r="B673" t="str">
        <v>075-35: Hand Tools, Special Automotive: Brake Tools, Body and Fender Dollies, Hand Operated Pullers, Mechanic's Inspection Mirror, etc. (For Hardware See Class 450)</v>
      </c>
    </row>
    <row r="674" spans="2:2" x14ac:dyDescent="0.25">
      <c r="B674" t="str">
        <v>075-36: Hose, Exhaust, Shop Use Only</v>
      </c>
    </row>
    <row r="675" spans="2:2" x14ac:dyDescent="0.25">
      <c r="B675" t="str">
        <v>075-38: Hydrometers: Antifreeze and Battery</v>
      </c>
    </row>
    <row r="676" spans="2:2" x14ac:dyDescent="0.25">
      <c r="B676" t="str">
        <v>075-39: Inspection Systems, Under Vehicle Type</v>
      </c>
    </row>
    <row r="677" spans="2:2" x14ac:dyDescent="0.25">
      <c r="B677" t="str">
        <v>075-41: Jacks, Safety Stands, Portable Cranes, Including Parts and Accessories: Automobiles, Trailers, Trucks, and Transmissions</v>
      </c>
    </row>
    <row r="678" spans="2:2" x14ac:dyDescent="0.25">
      <c r="B678" t="str">
        <v>075-42: Lights, Drop, and other Remote Work Lights, With Cords</v>
      </c>
    </row>
    <row r="679" spans="2:2" x14ac:dyDescent="0.25">
      <c r="B679" t="str">
        <v>075-43: Lathes, Armature and Brake Drum</v>
      </c>
    </row>
    <row r="680" spans="2:2" x14ac:dyDescent="0.25">
      <c r="B680" t="str">
        <v>075-44: Lifts and Hoists, Floor Type: Electric, Hydraulic, or Pneumatic</v>
      </c>
    </row>
    <row r="681" spans="2:2" x14ac:dyDescent="0.25">
      <c r="B681" t="str">
        <v>075-46: Lubrication Equipment: Guns, Hoses, Fittings, Lubricators, Oil Pumps, etc., Including Oil Filter Presses</v>
      </c>
    </row>
    <row r="682" spans="2:2" x14ac:dyDescent="0.25">
      <c r="B682" t="str">
        <v>075-47: Mechanic's Equipment and Tools (Not Otherwise Classified)</v>
      </c>
    </row>
    <row r="683" spans="2:2" x14ac:dyDescent="0.25">
      <c r="B683" t="str">
        <v>075-48: Mechanic's Wire</v>
      </c>
    </row>
    <row r="684" spans="2:2" x14ac:dyDescent="0.25">
      <c r="B684" t="str">
        <v>075-49: Parts Washing Equipment Including Air Agitated and Pump Agitated (Also See 075-19)</v>
      </c>
    </row>
    <row r="685" spans="2:2" x14ac:dyDescent="0.25">
      <c r="B685" t="str">
        <v>075-50: Oil Analysis and Diagnostic Equipment</v>
      </c>
    </row>
    <row r="686" spans="2:2" x14ac:dyDescent="0.25">
      <c r="B686" t="str">
        <v>075-54: Presses and Pullers, Machine Powered, Including Frame Alignment</v>
      </c>
    </row>
    <row r="687" spans="2:2" x14ac:dyDescent="0.25">
      <c r="B687" t="str">
        <v>075-55: Reclamation Equipment, Automotive, Including Refrigerant Recovery</v>
      </c>
    </row>
    <row r="688" spans="2:2" x14ac:dyDescent="0.25">
      <c r="B688" t="str">
        <v>075-56: Recycled Automotive Products (Not Otherwise Classified)</v>
      </c>
    </row>
    <row r="689" spans="2:2" x14ac:dyDescent="0.25">
      <c r="B689" t="str">
        <v>075-57: Reel and Hose Assemblies, Air and Water Dispensing</v>
      </c>
    </row>
    <row r="690" spans="2:2" x14ac:dyDescent="0.25">
      <c r="B690" t="str">
        <v>075-60: Refinisher Product, Including Polish and Body Filler, (See Class 630  For Paint)</v>
      </c>
    </row>
    <row r="691" spans="2:2" x14ac:dyDescent="0.25">
      <c r="B691" t="str">
        <v>075-63: Relining Equipment, Brakes</v>
      </c>
    </row>
    <row r="692" spans="2:2" x14ac:dyDescent="0.25">
      <c r="B692" t="str">
        <v>075-64: Shop and Mechanic's Equipment and Supplies, Recycled</v>
      </c>
    </row>
    <row r="693" spans="2:2" x14ac:dyDescent="0.25">
      <c r="B693" t="str">
        <v>075-65: Spark Plug Cleaner and Tester, Electric</v>
      </c>
    </row>
    <row r="694" spans="2:2" x14ac:dyDescent="0.25">
      <c r="B694" t="str">
        <v>075-66: Specialty Products: Carburetor Cleaning Compound, Radiator Flush and Stop Leak, Transmission Sealing Compound, Water Pump Lubricant, Windshield Washer Solvent, etc.</v>
      </c>
    </row>
    <row r="695" spans="2:2" x14ac:dyDescent="0.25">
      <c r="B695" t="str">
        <v>075-67: Spring Tester, To Balance Valve Springs, etc.</v>
      </c>
    </row>
    <row r="696" spans="2:2" x14ac:dyDescent="0.25">
      <c r="B696" t="str">
        <v>075-68: Spill Containment, Clean-Up, and Hazardous Waste Elimination System, Vehicle Maintenance and Repair Work</v>
      </c>
    </row>
    <row r="697" spans="2:2" x14ac:dyDescent="0.25">
      <c r="B697" t="str">
        <v>075-69: Starting Equipment, Vehicle, Equipment Battery, Not Battery to Battery</v>
      </c>
    </row>
    <row r="698" spans="2:2" x14ac:dyDescent="0.25">
      <c r="B698" t="str">
        <v>075-72: Tachometer, With Wheel for Speed Recording</v>
      </c>
    </row>
    <row r="699" spans="2:2" x14ac:dyDescent="0.25">
      <c r="B699" t="str">
        <v>075-78: Testers: Engine Analysis, Headlight, Ignition, Timing, Compression, Oscilloscopes, Stroboscopes, etc.</v>
      </c>
    </row>
    <row r="700" spans="2:2" x14ac:dyDescent="0.25">
      <c r="B700" t="str">
        <v>075-81: Tire Changing Equipment</v>
      </c>
    </row>
    <row r="701" spans="2:2" x14ac:dyDescent="0.25">
      <c r="B701" t="str">
        <v>075-83: Tire Changing Tools and Accessories: Lug Wrenches, Tire Gauges, Tire Mounting Lubricant, Tire Pumps, etc.</v>
      </c>
    </row>
    <row r="702" spans="2:2" x14ac:dyDescent="0.25">
      <c r="B702" t="str">
        <v>075-84: Tire Storage Racks</v>
      </c>
    </row>
    <row r="703" spans="2:2" x14ac:dyDescent="0.25">
      <c r="B703" t="str">
        <v>075-85: Tire Treatments, Anti-skid</v>
      </c>
    </row>
    <row r="704" spans="2:2" x14ac:dyDescent="0.25">
      <c r="B704" t="str">
        <v>075-87: Tow Bars, Chains, Ropes and Straps</v>
      </c>
    </row>
    <row r="705" spans="2:2" x14ac:dyDescent="0.25">
      <c r="B705" t="str">
        <v>075-89: Training Aids and Instructional Equipment and Supplies, Automotive</v>
      </c>
    </row>
    <row r="706" spans="2:2" x14ac:dyDescent="0.25">
      <c r="B706" t="str">
        <v>075-90: Undercoater Equipment and Accessories</v>
      </c>
    </row>
    <row r="707" spans="2:2" x14ac:dyDescent="0.25">
      <c r="B707" t="str">
        <v>075-92: Undercoating Compounds</v>
      </c>
    </row>
    <row r="708" spans="2:2" x14ac:dyDescent="0.25">
      <c r="B708" t="str">
        <v>075-94: Wheel Chocks, Blocks</v>
      </c>
    </row>
    <row r="709" spans="2:2" x14ac:dyDescent="0.25">
      <c r="B709" t="str">
        <v>075-95: Valve Grinding Compounds</v>
      </c>
    </row>
    <row r="710" spans="2:2" x14ac:dyDescent="0.25">
      <c r="B710" t="str">
        <v>075-96: Washing Systems, Automatic, Stationary, Automotive</v>
      </c>
    </row>
    <row r="711" spans="2:2" x14ac:dyDescent="0.25">
      <c r="B711" t="str">
        <v>075-97: Windshield Replacement Tools</v>
      </c>
    </row>
    <row r="712" spans="2:2" x14ac:dyDescent="0.25">
      <c r="B712" t="str">
        <v>080-10: Badges, Buttons, Emblems, and ID Cards, Celluloid and Plastic: Student, Faculty, Membership, Employee, etc.</v>
      </c>
    </row>
    <row r="713" spans="2:2" x14ac:dyDescent="0.25">
      <c r="B713" t="str">
        <v>080-15: Badges, Buttons, Emblems, and Patches, Metal: Cap, Game Wardens', Officers', Service Awards, Uniform, etc.</v>
      </c>
    </row>
    <row r="714" spans="2:2" x14ac:dyDescent="0.25">
      <c r="B714" t="str">
        <v>080-25: Card Holders, All Types (See Class 578 for Metal)</v>
      </c>
    </row>
    <row r="715" spans="2:2" x14ac:dyDescent="0.25">
      <c r="B715" t="str">
        <v>080-30: Nameplates, Engraved and Easels</v>
      </c>
    </row>
    <row r="716" spans="2:2" x14ac:dyDescent="0.25">
      <c r="B716" t="str">
        <v>080-35: Convention Badges and Name Tags, Adhesive Back</v>
      </c>
    </row>
    <row r="717" spans="2:2" x14ac:dyDescent="0.25">
      <c r="B717" t="str">
        <v>080-38: Convention Badges and Name Tags, Nonadhesive type</v>
      </c>
    </row>
    <row r="718" spans="2:2" x14ac:dyDescent="0.25">
      <c r="B718" t="str">
        <v>080-40: Holders, Metal: Card, Door Name Card, Label, etc.</v>
      </c>
    </row>
    <row r="719" spans="2:2" x14ac:dyDescent="0.25">
      <c r="B719" t="str">
        <v>080-44: Fasteners, For Badges, etc.: Metal, Plastic, etc.</v>
      </c>
    </row>
    <row r="720" spans="2:2" x14ac:dyDescent="0.25">
      <c r="B720" t="str">
        <v>080-45: Folders, Presentation</v>
      </c>
    </row>
    <row r="721" spans="2:2" x14ac:dyDescent="0.25">
      <c r="B721" t="str">
        <v>080-46: Holders, Metal: Card, Door Name Card, Label, etc.</v>
      </c>
    </row>
    <row r="722" spans="2:2" x14ac:dyDescent="0.25">
      <c r="B722" t="str">
        <v>080-50: Nameplates, Metal, Adhesive Back</v>
      </c>
    </row>
    <row r="723" spans="2:2" x14ac:dyDescent="0.25">
      <c r="B723" t="str">
        <v>080-53: Nameplates, Metal, Non-adhesive Back</v>
      </c>
    </row>
    <row r="724" spans="2:2" x14ac:dyDescent="0.25">
      <c r="B724" t="str">
        <v>080-55: Nameplates, Plastic</v>
      </c>
    </row>
    <row r="725" spans="2:2" x14ac:dyDescent="0.25">
      <c r="B725" t="str">
        <v>080-56: Nameplates, Specialty, Including Clocks, Logos, Pen/Pencil Sets, etc.</v>
      </c>
    </row>
    <row r="726" spans="2:2" x14ac:dyDescent="0.25">
      <c r="B726" t="str">
        <v>080-57: Ribbons and Rosettes, For Awards and Non-Award</v>
      </c>
    </row>
    <row r="727" spans="2:2" x14ac:dyDescent="0.25">
      <c r="B727" t="str">
        <v>080-60: Recycled Awards, Convention Items, Trophies, etc.</v>
      </c>
    </row>
    <row r="728" spans="2:2" x14ac:dyDescent="0.25">
      <c r="B728" t="str">
        <v>080-65: Service Awards, Specialty Type</v>
      </c>
    </row>
    <row r="729" spans="2:2" x14ac:dyDescent="0.25">
      <c r="B729" t="str">
        <v>080-69: Tags: Luggage, Security, Identification</v>
      </c>
    </row>
    <row r="730" spans="2:2" x14ac:dyDescent="0.25">
      <c r="B730" t="str">
        <v>080-70: Tags, Metal, Adhesive Back: Inventory, Property, Tool, etc.</v>
      </c>
    </row>
    <row r="731" spans="2:2" x14ac:dyDescent="0.25">
      <c r="B731" t="str">
        <v>080-73: Tags, Metal, Non-adhesive Back: Inventory, Property, Skiff, Seine Trawl, etc.</v>
      </c>
    </row>
    <row r="732" spans="2:2" x14ac:dyDescent="0.25">
      <c r="B732" t="str">
        <v>080-75: Tags, Pet Identification</v>
      </c>
    </row>
    <row r="733" spans="2:2" x14ac:dyDescent="0.25">
      <c r="B733" t="str">
        <v>080-78: Trophies, Plaques, Awards, Certificates, etc. (Not Otherwise Classified)</v>
      </c>
    </row>
    <row r="734" spans="2:2" x14ac:dyDescent="0.25">
      <c r="B734" t="str">
        <v>085-08: Bags, Biodegradable</v>
      </c>
    </row>
    <row r="735" spans="2:2" x14ac:dyDescent="0.25">
      <c r="B735" t="str">
        <v>085-10: Bagging, Burlap, For Baling Cotton</v>
      </c>
    </row>
    <row r="736" spans="2:2" x14ac:dyDescent="0.25">
      <c r="B736" t="str">
        <v>085-15: Bags, Burlap or Jute</v>
      </c>
    </row>
    <row r="737" spans="2:2" x14ac:dyDescent="0.25">
      <c r="B737" t="str">
        <v>085-20: Bags, Canvas, Cotton or Duck, Except Mail</v>
      </c>
    </row>
    <row r="738" spans="2:2" x14ac:dyDescent="0.25">
      <c r="B738" t="str">
        <v>085-25: Bags, Cement</v>
      </c>
    </row>
    <row r="739" spans="2:2" x14ac:dyDescent="0.25">
      <c r="B739" t="str">
        <v>085-26: Bags, Dunnage</v>
      </c>
    </row>
    <row r="740" spans="2:2" x14ac:dyDescent="0.25">
      <c r="B740" t="str">
        <v>085-27: Bags, Denim</v>
      </c>
    </row>
    <row r="741" spans="2:2" x14ac:dyDescent="0.25">
      <c r="B741" t="str">
        <v>085-28: Bags, Hazardous Material</v>
      </c>
    </row>
    <row r="742" spans="2:2" x14ac:dyDescent="0.25">
      <c r="B742" t="str">
        <v>085-30: Bags, Mail</v>
      </c>
    </row>
    <row r="743" spans="2:2" x14ac:dyDescent="0.25">
      <c r="B743" t="str">
        <v>085-35: Bags, Muslin</v>
      </c>
    </row>
    <row r="744" spans="2:2" x14ac:dyDescent="0.25">
      <c r="B744" t="str">
        <v>085-40: Bags, Osnaburg</v>
      </c>
    </row>
    <row r="745" spans="2:2" x14ac:dyDescent="0.25">
      <c r="B745" t="str">
        <v>085-45: Bags: Nylon, Polyester, Polypropylene</v>
      </c>
    </row>
    <row r="746" spans="2:2" x14ac:dyDescent="0.25">
      <c r="B746" t="str">
        <v>085-50: Bags, Potato</v>
      </c>
    </row>
    <row r="747" spans="2:2" x14ac:dyDescent="0.25">
      <c r="B747" t="str">
        <v>085-55: Bags, Sand</v>
      </c>
    </row>
    <row r="748" spans="2:2" x14ac:dyDescent="0.25">
      <c r="B748" t="str">
        <v>085-56: Bags, Straw</v>
      </c>
    </row>
    <row r="749" spans="2:2" x14ac:dyDescent="0.25">
      <c r="B749" t="str">
        <v>085-65: Patterns, Cotton Bagging</v>
      </c>
    </row>
    <row r="750" spans="2:2" x14ac:dyDescent="0.25">
      <c r="B750" t="str">
        <v>085-73: Recycled Bags and Erosion Control Items</v>
      </c>
    </row>
    <row r="751" spans="2:2" x14ac:dyDescent="0.25">
      <c r="B751" t="str">
        <v>085-75: Sacks, Cotton Harvesting</v>
      </c>
    </row>
    <row r="752" spans="2:2" x14ac:dyDescent="0.25">
      <c r="B752" t="str">
        <v>085-80: Seals, Mailbag, etc.</v>
      </c>
    </row>
    <row r="753" spans="2:2" x14ac:dyDescent="0.25">
      <c r="B753" t="str">
        <v>085-85: Soil Erosion Sheeting Material, Including Silt Fencing: Asphalt, Biodegradable Paper, Burlap, Excelsior, Jute, Straw, etc.</v>
      </c>
    </row>
    <row r="754" spans="2:2" x14ac:dyDescent="0.25">
      <c r="B754" t="str">
        <v>085-90: Ties For Bags and Cotton Bales</v>
      </c>
    </row>
    <row r="755" spans="2:2" x14ac:dyDescent="0.25">
      <c r="B755" t="str">
        <v>090-16: Dough Mixers</v>
      </c>
    </row>
    <row r="756" spans="2:2" x14ac:dyDescent="0.25">
      <c r="B756" t="str">
        <v>090-24: Dough Sheeters and Dividers</v>
      </c>
    </row>
    <row r="757" spans="2:2" x14ac:dyDescent="0.25">
      <c r="B757" t="str">
        <v>090-32: Dough Troughs</v>
      </c>
    </row>
    <row r="758" spans="2:2" x14ac:dyDescent="0.25">
      <c r="B758" t="str">
        <v>090-40: Dough Trucks</v>
      </c>
    </row>
    <row r="759" spans="2:2" x14ac:dyDescent="0.25">
      <c r="B759" t="str">
        <v>090-48: Flour Sifters</v>
      </c>
    </row>
    <row r="760" spans="2:2" x14ac:dyDescent="0.25">
      <c r="B760" t="str">
        <v>090-56: Ovens, Bakery</v>
      </c>
    </row>
    <row r="761" spans="2:2" x14ac:dyDescent="0.25">
      <c r="B761" t="str">
        <v>090-60: Pins, Rolling</v>
      </c>
    </row>
    <row r="762" spans="2:2" x14ac:dyDescent="0.25">
      <c r="B762" t="str">
        <v>090-64: Proof Boxes</v>
      </c>
    </row>
    <row r="763" spans="2:2" x14ac:dyDescent="0.25">
      <c r="B763" t="str">
        <v>090-70: Refurbished Bakery Equipment and Supplies</v>
      </c>
    </row>
    <row r="764" spans="2:2" x14ac:dyDescent="0.25">
      <c r="B764" t="str">
        <v>090-72: Roll Dividers and Rounders</v>
      </c>
    </row>
    <row r="765" spans="2:2" x14ac:dyDescent="0.25">
      <c r="B765" t="str">
        <v>090-80: Slicers, Bread</v>
      </c>
    </row>
    <row r="766" spans="2:2" x14ac:dyDescent="0.25">
      <c r="B766" t="str">
        <v>090-88: Tables, Bakers'</v>
      </c>
    </row>
    <row r="767" spans="2:2" x14ac:dyDescent="0.25">
      <c r="B767" t="str">
        <v>090-96: Wrapping Machines, Bakery</v>
      </c>
    </row>
    <row r="768" spans="2:2" x14ac:dyDescent="0.25">
      <c r="B768" t="str">
        <v>095-05: Barber Chairs and Parts</v>
      </c>
    </row>
    <row r="769" spans="2:2" x14ac:dyDescent="0.25">
      <c r="B769" t="str">
        <v>095-08: Barber Jackets</v>
      </c>
    </row>
    <row r="770" spans="2:2" x14ac:dyDescent="0.25">
      <c r="B770" t="str">
        <v>095-11: Barber Shop Basins, Bowls, and Fittings</v>
      </c>
    </row>
    <row r="771" spans="2:2" x14ac:dyDescent="0.25">
      <c r="B771" t="str">
        <v>095-14: Barber Shop Cabinets and Parts</v>
      </c>
    </row>
    <row r="772" spans="2:2" x14ac:dyDescent="0.25">
      <c r="B772" t="str">
        <v>095-17: Barber Shop Mirrors</v>
      </c>
    </row>
    <row r="773" spans="2:2" x14ac:dyDescent="0.25">
      <c r="B773" t="str">
        <v>095-20: Barber Shop Sterilizers, and Sterilizing Jars</v>
      </c>
    </row>
    <row r="774" spans="2:2" x14ac:dyDescent="0.25">
      <c r="B774" t="str">
        <v>095-21: Barber Shop and Beauty Shop Sundries: Clipper Lubricants, Disinfectants, Dispensing Bottles, Mugs, Neck Dusters, Trays, etc.</v>
      </c>
    </row>
    <row r="775" spans="2:2" x14ac:dyDescent="0.25">
      <c r="B775" t="str">
        <v>095-23: Beauty Shop Basins, Bowls, and Fittings</v>
      </c>
    </row>
    <row r="776" spans="2:2" x14ac:dyDescent="0.25">
      <c r="B776" t="str">
        <v>095-26: Beauty Shop Cabinets and Parts</v>
      </c>
    </row>
    <row r="777" spans="2:2" x14ac:dyDescent="0.25">
      <c r="B777" t="str">
        <v>095-29: Beauty Shop Chairs and Parts</v>
      </c>
    </row>
    <row r="778" spans="2:2" x14ac:dyDescent="0.25">
      <c r="B778" t="str">
        <v>095-32: Beauty Shop Foot Rests</v>
      </c>
    </row>
    <row r="779" spans="2:2" x14ac:dyDescent="0.25">
      <c r="B779" t="str">
        <v>095-35: Beauty Shop Lamps and Parts</v>
      </c>
    </row>
    <row r="780" spans="2:2" x14ac:dyDescent="0.25">
      <c r="B780" t="str">
        <v>095-38: Beauty Shop Mirrors</v>
      </c>
    </row>
    <row r="781" spans="2:2" x14ac:dyDescent="0.25">
      <c r="B781" t="str">
        <v>095-41: Beauty Shop Stools</v>
      </c>
    </row>
    <row r="782" spans="2:2" x14ac:dyDescent="0.25">
      <c r="B782" t="str">
        <v>095-44: Beauty Shop Tables</v>
      </c>
    </row>
    <row r="783" spans="2:2" x14ac:dyDescent="0.25">
      <c r="B783" t="str">
        <v>095-48: Cases, For Barber and Beauty Kits</v>
      </c>
    </row>
    <row r="784" spans="2:2" x14ac:dyDescent="0.25">
      <c r="B784" t="str">
        <v>095-50: Chair Cloths, Shampoo Capes, and Clips</v>
      </c>
    </row>
    <row r="785" spans="2:2" x14ac:dyDescent="0.25">
      <c r="B785" t="str">
        <v>095-53: Clippers and Parts, Hair</v>
      </c>
    </row>
    <row r="786" spans="2:2" x14ac:dyDescent="0.25">
      <c r="B786" t="str">
        <v>095-62: Dryers, Curling Irons, and Parts, Hair</v>
      </c>
    </row>
    <row r="787" spans="2:2" x14ac:dyDescent="0.25">
      <c r="B787" t="str">
        <v>095-66: Make-Up Mirrors</v>
      </c>
    </row>
    <row r="788" spans="2:2" x14ac:dyDescent="0.25">
      <c r="B788" t="str">
        <v>095-71: Lather Makers and Parts</v>
      </c>
    </row>
    <row r="789" spans="2:2" x14ac:dyDescent="0.25">
      <c r="B789" t="str">
        <v>095-72: Mats, Barber Chair</v>
      </c>
    </row>
    <row r="790" spans="2:2" x14ac:dyDescent="0.25">
      <c r="B790" t="str">
        <v>095-77: Recycled Barber and Beauty Shop Sundries, Accessories and Supplies</v>
      </c>
    </row>
    <row r="791" spans="2:2" x14ac:dyDescent="0.25">
      <c r="B791" t="str">
        <v>095-89: Scissors, Shears and Tweezers</v>
      </c>
    </row>
    <row r="792" spans="2:2" x14ac:dyDescent="0.25">
      <c r="B792" t="str">
        <v>095-92: Strops and Hones, Razor</v>
      </c>
    </row>
    <row r="793" spans="2:2" x14ac:dyDescent="0.25">
      <c r="B793" t="str">
        <v>095-95: Vibrators, Massagers, and Parts</v>
      </c>
    </row>
    <row r="794" spans="2:2" x14ac:dyDescent="0.25">
      <c r="B794" t="str">
        <v>100-04: Baskets, All Types (Not Otherwise Classified)</v>
      </c>
    </row>
    <row r="795" spans="2:2" x14ac:dyDescent="0.25">
      <c r="B795" t="str">
        <v>100-05: Boxes, Crates, Baskets (Inactive, effective January 1, 2016)</v>
      </c>
    </row>
    <row r="796" spans="2:2" x14ac:dyDescent="0.25">
      <c r="B796" t="str">
        <v>100-06: Containers, Plastic, All Purpose)</v>
      </c>
    </row>
    <row r="797" spans="2:2" x14ac:dyDescent="0.25">
      <c r="B797" t="str">
        <v>100-07: Containers, Recycling</v>
      </c>
    </row>
    <row r="798" spans="2:2" x14ac:dyDescent="0.25">
      <c r="B798" t="str">
        <v>100-08: Covers, Drum, All Types and Sizes</v>
      </c>
    </row>
    <row r="799" spans="2:2" x14ac:dyDescent="0.25">
      <c r="B799" t="str">
        <v>100-09: Casks, All Types</v>
      </c>
    </row>
    <row r="800" spans="2:2" x14ac:dyDescent="0.25">
      <c r="B800" t="str">
        <v>100-10: Drum Spigots, Metal or Plastic</v>
      </c>
    </row>
    <row r="801" spans="2:2" x14ac:dyDescent="0.25">
      <c r="B801" t="str">
        <v>100-11: Crates, Plywood</v>
      </c>
    </row>
    <row r="802" spans="2:2" x14ac:dyDescent="0.25">
      <c r="B802" t="str">
        <v>100-15: Drums, Miscellaneous</v>
      </c>
    </row>
    <row r="803" spans="2:2" x14ac:dyDescent="0.25">
      <c r="B803" t="str">
        <v>100-20: Flip-top Cap Closures</v>
      </c>
    </row>
    <row r="804" spans="2:2" x14ac:dyDescent="0.25">
      <c r="B804" t="str">
        <v>100-21: Freight and Cargo Containers, Shipping, (See Class 640 For Boxes)</v>
      </c>
    </row>
    <row r="805" spans="2:2" x14ac:dyDescent="0.25">
      <c r="B805" t="str">
        <v>100-25: Gaskets, All Types: Barrels, Drums, Kegs, and Pails</v>
      </c>
    </row>
    <row r="806" spans="2:2" x14ac:dyDescent="0.25">
      <c r="B806" t="str">
        <v>100-30: Hazardous Material Containment and Storage, Chemicals</v>
      </c>
    </row>
    <row r="807" spans="2:2" x14ac:dyDescent="0.25">
      <c r="B807" t="str">
        <v>100-31: Hazardous Material Containment/Storage, Petroleum</v>
      </c>
    </row>
    <row r="808" spans="2:2" x14ac:dyDescent="0.25">
      <c r="B808" t="str">
        <v>100-34: Holders and Containers. Compost</v>
      </c>
    </row>
    <row r="809" spans="2:2" x14ac:dyDescent="0.25">
      <c r="B809" t="str">
        <v>100-37: Labels, Hazardous Material Container</v>
      </c>
    </row>
    <row r="810" spans="2:2" x14ac:dyDescent="0.25">
      <c r="B810" t="str">
        <v>100-40: Pail-Type Containers, Steel</v>
      </c>
    </row>
    <row r="811" spans="2:2" x14ac:dyDescent="0.25">
      <c r="B811" t="str">
        <v>100-45: Plastic Barrels and Drums, Reinforced</v>
      </c>
    </row>
    <row r="812" spans="2:2" x14ac:dyDescent="0.25">
      <c r="B812" t="str">
        <v>100-49: Plugging Compounds, Chemically Resistant, Pre-Mixed or Dry, Temporarily Stops Leaks in Drums, Tanks, and Other Containers</v>
      </c>
    </row>
    <row r="813" spans="2:2" x14ac:dyDescent="0.25">
      <c r="B813" t="str">
        <v>100-50: Plugs, Drum</v>
      </c>
    </row>
    <row r="814" spans="2:2" x14ac:dyDescent="0.25">
      <c r="B814" t="str">
        <v>100-51: Pumps, Drum</v>
      </c>
    </row>
    <row r="815" spans="2:2" x14ac:dyDescent="0.25">
      <c r="B815" t="str">
        <v>100-56: Recycled Containers, All Types</v>
      </c>
    </row>
    <row r="816" spans="2:2" x14ac:dyDescent="0.25">
      <c r="B816" t="str">
        <v>100-57: Repair Supplies and Equipment for all Types of Containers</v>
      </c>
    </row>
    <row r="817" spans="2:2" x14ac:dyDescent="0.25">
      <c r="B817" t="str">
        <v>100-60: Stainless Steel Drums</v>
      </c>
    </row>
    <row r="818" spans="2:2" x14ac:dyDescent="0.25">
      <c r="B818" t="str">
        <v>100-67: Steel Barrels, Drums, and Kegs</v>
      </c>
    </row>
    <row r="819" spans="2:2" x14ac:dyDescent="0.25">
      <c r="B819" t="str">
        <v>100-85: Wooden Barrels and Drums</v>
      </c>
    </row>
    <row r="820" spans="2:2" x14ac:dyDescent="0.25">
      <c r="B820" t="str">
        <v>105-12: Ball Bearings and Parts</v>
      </c>
    </row>
    <row r="821" spans="2:2" x14ac:dyDescent="0.25">
      <c r="B821" t="str">
        <v>105-18: Bearing Assemblies, Including Hanger Bearings and Custom-Made Bearings</v>
      </c>
    </row>
    <row r="822" spans="2:2" x14ac:dyDescent="0.25">
      <c r="B822" t="str">
        <v>105-30: Bearings and Parts (For Marine Equipment)</v>
      </c>
    </row>
    <row r="823" spans="2:2" x14ac:dyDescent="0.25">
      <c r="B823" t="str">
        <v>105-32: Bearings, Various Types (Not Otherwise Classified)</v>
      </c>
    </row>
    <row r="824" spans="2:2" x14ac:dyDescent="0.25">
      <c r="B824" t="str">
        <v>105-36: Journal Boxes</v>
      </c>
    </row>
    <row r="825" spans="2:2" x14ac:dyDescent="0.25">
      <c r="B825" t="str">
        <v>105-48: Pillow Blocks, For Bearings</v>
      </c>
    </row>
    <row r="826" spans="2:2" x14ac:dyDescent="0.25">
      <c r="B826" t="str">
        <v>105-58: Recycled Bearings</v>
      </c>
    </row>
    <row r="827" spans="2:2" x14ac:dyDescent="0.25">
      <c r="B827" t="str">
        <v>105-60: Roller and Needle Bearings and Parts, Straight</v>
      </c>
    </row>
    <row r="828" spans="2:2" x14ac:dyDescent="0.25">
      <c r="B828" t="str">
        <v>105-72: Roller Taper Bearings and Parts</v>
      </c>
    </row>
    <row r="829" spans="2:2" x14ac:dyDescent="0.25">
      <c r="B829" t="str">
        <v>105-84: Sleeve Bearings and Parts</v>
      </c>
    </row>
    <row r="830" spans="2:2" x14ac:dyDescent="0.25">
      <c r="B830" t="str">
        <v>110-09: Accessories: Dressing, Hooks, Laces, etc.</v>
      </c>
    </row>
    <row r="831" spans="2:2" x14ac:dyDescent="0.25">
      <c r="B831" t="str">
        <v>110-10: Belts, Ferry Equipment</v>
      </c>
    </row>
    <row r="832" spans="2:2" x14ac:dyDescent="0.25">
      <c r="B832" t="str">
        <v>110-13: Belts, Recycled</v>
      </c>
    </row>
    <row r="833" spans="2:2" x14ac:dyDescent="0.25">
      <c r="B833" t="str">
        <v>110-18: Conveyor and Elevator: Canvas and Duck</v>
      </c>
    </row>
    <row r="834" spans="2:2" x14ac:dyDescent="0.25">
      <c r="B834" t="str">
        <v>110-22: Conveyor and Elevator: Neoprene, Plastic, and Rubber</v>
      </c>
    </row>
    <row r="835" spans="2:2" x14ac:dyDescent="0.25">
      <c r="B835" t="str">
        <v>110-26: Conveyor, Food Processing: Neoprene, Plastic, and Rubber (Inactive, effective January 1, 2016)</v>
      </c>
    </row>
    <row r="836" spans="2:2" x14ac:dyDescent="0.25">
      <c r="B836" t="str">
        <v>110-33: Flat Belts: Automotive and Lawn Mower, Serpentine, Plain and Grooved, Rubber</v>
      </c>
    </row>
    <row r="837" spans="2:2" x14ac:dyDescent="0.25">
      <c r="B837" t="str">
        <v>110-40: Power Transmission, Canvas or Duck</v>
      </c>
    </row>
    <row r="838" spans="2:2" x14ac:dyDescent="0.25">
      <c r="B838" t="str">
        <v>110-48: Power Transmission, Leather</v>
      </c>
    </row>
    <row r="839" spans="2:2" x14ac:dyDescent="0.25">
      <c r="B839" t="str">
        <v>110-56: Power Transmission: Neoprene, Plastic, and Rubber</v>
      </c>
    </row>
    <row r="840" spans="2:2" x14ac:dyDescent="0.25">
      <c r="B840" t="str">
        <v>110-63: Recycled Automotive and Industrial Belts</v>
      </c>
    </row>
    <row r="841" spans="2:2" x14ac:dyDescent="0.25">
      <c r="B841" t="str">
        <v>110-74: V-Belts, Automotive Fan and Generator</v>
      </c>
    </row>
    <row r="842" spans="2:2" x14ac:dyDescent="0.25">
      <c r="B842" t="str">
        <v>110-82: V-Belts, Industrial</v>
      </c>
    </row>
    <row r="843" spans="2:2" x14ac:dyDescent="0.25">
      <c r="B843" t="str">
        <v>110-90: V-Belts, Fractional Horsepower</v>
      </c>
    </row>
    <row r="844" spans="2:2" x14ac:dyDescent="0.25">
      <c r="B844" t="str">
        <v>110-95: V-Belts, Wedge Type, Oil and Heat Resistant, and Static Conducting</v>
      </c>
    </row>
    <row r="845" spans="2:2" x14ac:dyDescent="0.25">
      <c r="B845" t="str">
        <v>115-05: Biochemical Reagents and Tests: Antibiotic Assays, Differentiation Discs, etc.</v>
      </c>
    </row>
    <row r="846" spans="2:2" x14ac:dyDescent="0.25">
      <c r="B846" t="str">
        <v>115-10: Biochemicals: Amino Acids, Enzymes, Nucleotides, Peptides, etc.</v>
      </c>
    </row>
    <row r="847" spans="2:2" x14ac:dyDescent="0.25">
      <c r="B847" t="str">
        <v>115-12: Blood Fractions, Not for Human Use: Antigens, Antiserums, Controls, Serums, etc.</v>
      </c>
    </row>
    <row r="848" spans="2:2" x14ac:dyDescent="0.25">
      <c r="B848" t="str">
        <v>115-14: Catalysts, Biochemical</v>
      </c>
    </row>
    <row r="849" spans="2:2" x14ac:dyDescent="0.25">
      <c r="B849" t="str">
        <v>115-15: Chemicals, Isotopically Labeled, With Deuterium, Radionuclides, etc.</v>
      </c>
    </row>
    <row r="850" spans="2:2" x14ac:dyDescent="0.25">
      <c r="B850" t="str">
        <v>115-18: Culture Media, Dehydrated</v>
      </c>
    </row>
    <row r="851" spans="2:2" x14ac:dyDescent="0.25">
      <c r="B851" t="str">
        <v>115-19: Culture Media, Prepared, (See 495-38 For Microbial Cultures)</v>
      </c>
    </row>
    <row r="852" spans="2:2" x14ac:dyDescent="0.25">
      <c r="B852" t="str">
        <v>115-50: Nutritional Chemicals, Not For Human Use: Carbohydrates, Proteins, Vitamins, etc.</v>
      </c>
    </row>
    <row r="853" spans="2:2" x14ac:dyDescent="0.25">
      <c r="B853" t="str">
        <v>115-67: Recycled Biochemicals</v>
      </c>
    </row>
    <row r="854" spans="2:2" x14ac:dyDescent="0.25">
      <c r="B854" t="str">
        <v>115-70: Research Diets, Special Purpose, For Experimental Animals, Including Diets for Beneficial Insects</v>
      </c>
    </row>
    <row r="855" spans="2:2" x14ac:dyDescent="0.25">
      <c r="B855" t="str">
        <v>115-90: Stains, Prepared</v>
      </c>
    </row>
    <row r="856" spans="2:2" x14ac:dyDescent="0.25">
      <c r="B856" t="str">
        <v>120-05: Agitators, Fish Tank</v>
      </c>
    </row>
    <row r="857" spans="2:2" x14ac:dyDescent="0.25">
      <c r="B857" t="str">
        <v>120-08: Airboats and Inflatable Boats</v>
      </c>
    </row>
    <row r="858" spans="2:2" x14ac:dyDescent="0.25">
      <c r="B858" t="str">
        <v>120-09: Anodes, Including Parts and Accessories</v>
      </c>
    </row>
    <row r="859" spans="2:2" x14ac:dyDescent="0.25">
      <c r="B859" t="str">
        <v>120-10: Anchors</v>
      </c>
    </row>
    <row r="860" spans="2:2" x14ac:dyDescent="0.25">
      <c r="B860" t="str">
        <v>120-11: Animal Capture Guns and Accessories</v>
      </c>
    </row>
    <row r="861" spans="2:2" x14ac:dyDescent="0.25">
      <c r="B861" t="str">
        <v>120-12: Bait, Fish</v>
      </c>
    </row>
    <row r="862" spans="2:2" x14ac:dyDescent="0.25">
      <c r="B862" t="str">
        <v>120-13: Battery Boxes and Battery Chargers, Marine</v>
      </c>
    </row>
    <row r="863" spans="2:2" x14ac:dyDescent="0.25">
      <c r="B863" t="str">
        <v>120-14: Barges</v>
      </c>
    </row>
    <row r="864" spans="2:2" x14ac:dyDescent="0.25">
      <c r="B864" t="str">
        <v>120-15: Bells, Ship</v>
      </c>
    </row>
    <row r="865" spans="2:2" x14ac:dyDescent="0.25">
      <c r="B865" t="str">
        <v>120-16: Bilge Pumps and Boat Bailers</v>
      </c>
    </row>
    <row r="866" spans="2:2" x14ac:dyDescent="0.25">
      <c r="B866" t="str">
        <v>120-17: Control Systems, Boat, Ship, Marine, Environmental</v>
      </c>
    </row>
    <row r="867" spans="2:2" x14ac:dyDescent="0.25">
      <c r="B867" t="str">
        <v>120-18: Boat Components (Not Otherwise Classified)</v>
      </c>
    </row>
    <row r="868" spans="2:2" x14ac:dyDescent="0.25">
      <c r="B868" t="str">
        <v>120-19: Boat Fenders</v>
      </c>
    </row>
    <row r="869" spans="2:2" x14ac:dyDescent="0.25">
      <c r="B869" t="str">
        <v>120-20: Boat Ramps and Parts</v>
      </c>
    </row>
    <row r="870" spans="2:2" x14ac:dyDescent="0.25">
      <c r="B870" t="str">
        <v>120-21: Boats, 21 Feet and Under</v>
      </c>
    </row>
    <row r="871" spans="2:2" x14ac:dyDescent="0.25">
      <c r="B871" t="str">
        <v>120-22: Boats, Recreational (Not Otherwise Classified)</v>
      </c>
    </row>
    <row r="872" spans="2:2" x14ac:dyDescent="0.25">
      <c r="B872" t="str">
        <v>120-23: Boats, Over 21 Feet, Including Ferries</v>
      </c>
    </row>
    <row r="873" spans="2:2" x14ac:dyDescent="0.25">
      <c r="B873" t="str">
        <v>120-24: Boats, Pedal and Pontoon</v>
      </c>
    </row>
    <row r="874" spans="2:2" x14ac:dyDescent="0.25">
      <c r="B874" t="str">
        <v>120-25: Bridges, Passenger Loading</v>
      </c>
    </row>
    <row r="875" spans="2:2" x14ac:dyDescent="0.25">
      <c r="B875" t="str">
        <v>120-26: Buoys, Marker</v>
      </c>
    </row>
    <row r="876" spans="2:2" x14ac:dyDescent="0.25">
      <c r="B876" t="str">
        <v>120-27: Bollards, Mooring Devices</v>
      </c>
    </row>
    <row r="877" spans="2:2" x14ac:dyDescent="0.25">
      <c r="B877" t="str">
        <v>120-28: Communications Equipment, Marine</v>
      </c>
    </row>
    <row r="878" spans="2:2" x14ac:dyDescent="0.25">
      <c r="B878" t="str">
        <v>120-29: Camels, Structure to Lift Submerged Vessels</v>
      </c>
    </row>
    <row r="879" spans="2:2" x14ac:dyDescent="0.25">
      <c r="B879" t="str">
        <v>120-30: Canoes and Kayaks</v>
      </c>
    </row>
    <row r="880" spans="2:2" x14ac:dyDescent="0.25">
      <c r="B880" t="str">
        <v>120-31: Cranes, Container</v>
      </c>
    </row>
    <row r="881" spans="2:2" x14ac:dyDescent="0.25">
      <c r="B881" t="str">
        <v>120-32: Chiller, Water, Large Flow Capacity to Chill Hatchery Water</v>
      </c>
    </row>
    <row r="882" spans="2:2" x14ac:dyDescent="0.25">
      <c r="B882" t="str">
        <v>120-33: Depth Finders or Indicators</v>
      </c>
    </row>
    <row r="883" spans="2:2" x14ac:dyDescent="0.25">
      <c r="B883" t="str">
        <v>120-34: Culture Equipment and Supplies, Fish, Aquaculture; Pisciculture</v>
      </c>
    </row>
    <row r="884" spans="2:2" x14ac:dyDescent="0.25">
      <c r="B884" t="str">
        <v>120-35: Docks and Piers, Fixed and Floating: Dock Systems, Gangways, Marinas, Wharfs, etc.</v>
      </c>
    </row>
    <row r="885" spans="2:2" x14ac:dyDescent="0.25">
      <c r="B885" t="str">
        <v>120-36: Electrical Parts and Accessories, Marine</v>
      </c>
    </row>
    <row r="886" spans="2:2" x14ac:dyDescent="0.25">
      <c r="B886" t="str">
        <v>120-37: Fish Locators and Shockers</v>
      </c>
    </row>
    <row r="887" spans="2:2" x14ac:dyDescent="0.25">
      <c r="B887" t="str">
        <v>120-38: Fish and Marine Life Incubators, Accessories and Related Equipment</v>
      </c>
    </row>
    <row r="888" spans="2:2" x14ac:dyDescent="0.25">
      <c r="B888" t="str">
        <v>120-39: Fish Tanks, Holding and Transport</v>
      </c>
    </row>
    <row r="889" spans="2:2" x14ac:dyDescent="0.25">
      <c r="B889" t="str">
        <v>120-40: Fuel Tanks, Boat</v>
      </c>
    </row>
    <row r="890" spans="2:2" x14ac:dyDescent="0.25">
      <c r="B890" t="str">
        <v>120-41: Gates, Safety, Marine</v>
      </c>
    </row>
    <row r="891" spans="2:2" x14ac:dyDescent="0.25">
      <c r="B891" t="str">
        <v>120-42: Gauges, Marine</v>
      </c>
    </row>
    <row r="892" spans="2:2" x14ac:dyDescent="0.25">
      <c r="B892" t="str">
        <v>120-43: Hydraulic Systems, Marine</v>
      </c>
    </row>
    <row r="893" spans="2:2" x14ac:dyDescent="0.25">
      <c r="B893" t="str">
        <v>120-44: Hardware, Fittings, Parts, and Supplies, Boat, Except Spark Plugs</v>
      </c>
    </row>
    <row r="894" spans="2:2" x14ac:dyDescent="0.25">
      <c r="B894" t="str">
        <v>120-45: Hatcheries, Ranches, and other Fishery Resources</v>
      </c>
    </row>
    <row r="895" spans="2:2" x14ac:dyDescent="0.25">
      <c r="B895" t="str">
        <v>120-46: Hatching Equipment, Fish, Including Jars and Standpipes</v>
      </c>
    </row>
    <row r="896" spans="2:2" x14ac:dyDescent="0.25">
      <c r="B896" t="str">
        <v>120-47: Lifeboats, Sailboats and Dinghies</v>
      </c>
    </row>
    <row r="897" spans="2:2" x14ac:dyDescent="0.25">
      <c r="B897" t="str">
        <v>120-48: Life Preservers</v>
      </c>
    </row>
    <row r="898" spans="2:2" x14ac:dyDescent="0.25">
      <c r="B898" t="str">
        <v>120-50: Lights, Beacon and Signal</v>
      </c>
    </row>
    <row r="899" spans="2:2" x14ac:dyDescent="0.25">
      <c r="B899" t="str">
        <v>120-52: Lights, Marine Navigation, Boat</v>
      </c>
    </row>
    <row r="900" spans="2:2" x14ac:dyDescent="0.25">
      <c r="B900" t="str">
        <v>120-53: Line Throwing Apparatus, Rocket</v>
      </c>
    </row>
    <row r="901" spans="2:2" x14ac:dyDescent="0.25">
      <c r="B901" t="str">
        <v>120-54: Marine Equipment and Supplies, Recycled</v>
      </c>
    </row>
    <row r="902" spans="2:2" x14ac:dyDescent="0.25">
      <c r="B902" t="str">
        <v>120-55: Minnow Tanks</v>
      </c>
    </row>
    <row r="903" spans="2:2" x14ac:dyDescent="0.25">
      <c r="B903" t="str">
        <v>120-56: Motor and Engine Parts and Accessories, Miscellaneous, Marine</v>
      </c>
    </row>
    <row r="904" spans="2:2" x14ac:dyDescent="0.25">
      <c r="B904" t="str">
        <v>120-57: Motors, Marine, Electric</v>
      </c>
    </row>
    <row r="905" spans="2:2" x14ac:dyDescent="0.25">
      <c r="B905" t="str">
        <v>120-58: Motors, Inboard, Diesel, Marine</v>
      </c>
    </row>
    <row r="906" spans="2:2" x14ac:dyDescent="0.25">
      <c r="B906" t="str">
        <v>120-59: Motor Conversion Unit, Outboard Propeller to Jet Water Drive</v>
      </c>
    </row>
    <row r="907" spans="2:2" x14ac:dyDescent="0.25">
      <c r="B907" t="str">
        <v>120-60: Motors, Inboard, Gasoline</v>
      </c>
    </row>
    <row r="908" spans="2:2" x14ac:dyDescent="0.25">
      <c r="B908" t="str">
        <v>120-62: Motors, Outboard, Diesel</v>
      </c>
    </row>
    <row r="909" spans="2:2" x14ac:dyDescent="0.25">
      <c r="B909" t="str">
        <v>120-63: Motors, Outboard, Gasoline</v>
      </c>
    </row>
    <row r="910" spans="2:2" x14ac:dyDescent="0.25">
      <c r="B910" t="str">
        <v>120-64: Navigation Instruments, Marine: Compasses, Sextant, etc. (See Class 220 For Electronic Navigation Equipment)</v>
      </c>
    </row>
    <row r="911" spans="2:2" x14ac:dyDescent="0.25">
      <c r="B911" t="str">
        <v>120-65: Nets and Repair Supplies, Marine</v>
      </c>
    </row>
    <row r="912" spans="2:2" x14ac:dyDescent="0.25">
      <c r="B912" t="str">
        <v>120-67: Nets and Repair Supplies, Wildlife Trapping</v>
      </c>
    </row>
    <row r="913" spans="2:2" x14ac:dyDescent="0.25">
      <c r="B913" t="str">
        <v>120-70: Paddles and Oars</v>
      </c>
    </row>
    <row r="914" spans="2:2" x14ac:dyDescent="0.25">
      <c r="B914" t="str">
        <v>120-71: Pontoons, All Types</v>
      </c>
    </row>
    <row r="915" spans="2:2" x14ac:dyDescent="0.25">
      <c r="B915" t="str">
        <v>120-72: Positioning Systems, Global, Marine</v>
      </c>
    </row>
    <row r="916" spans="2:2" x14ac:dyDescent="0.25">
      <c r="B916" t="str">
        <v>120-73: Preservatives, Net</v>
      </c>
    </row>
    <row r="917" spans="2:2" x14ac:dyDescent="0.25">
      <c r="B917" t="str">
        <v>120-74: Pumps, Marine</v>
      </c>
    </row>
    <row r="918" spans="2:2" x14ac:dyDescent="0.25">
      <c r="B918" t="str">
        <v>120-75: Propellers (For Inboard and Outboard Motors)</v>
      </c>
    </row>
    <row r="919" spans="2:2" x14ac:dyDescent="0.25">
      <c r="B919" t="str">
        <v>120-76: Rigging and Rigging Gear for Ships</v>
      </c>
    </row>
    <row r="920" spans="2:2" x14ac:dyDescent="0.25">
      <c r="B920" t="str">
        <v>120-77: Rocket Charges and Cannons, Wildlife Trapping</v>
      </c>
    </row>
    <row r="921" spans="2:2" x14ac:dyDescent="0.25">
      <c r="B921" t="str">
        <v>120-78: Rafts</v>
      </c>
    </row>
    <row r="922" spans="2:2" x14ac:dyDescent="0.25">
      <c r="B922" t="str">
        <v>120-79: Reefer, Refrigerator Boat or Ship, Including Parts and Accessories</v>
      </c>
    </row>
    <row r="923" spans="2:2" x14ac:dyDescent="0.25">
      <c r="B923" t="str">
        <v>120-80: Rods, Reels and Tackle Supplies</v>
      </c>
    </row>
    <row r="924" spans="2:2" x14ac:dyDescent="0.25">
      <c r="B924" t="str">
        <v>120-81: Reach Stackers and Straddle Carriers, Marine</v>
      </c>
    </row>
    <row r="925" spans="2:2" x14ac:dyDescent="0.25">
      <c r="B925" t="str">
        <v>120-82: Sails, Including Parts and Accessories</v>
      </c>
    </row>
    <row r="926" spans="2:2" x14ac:dyDescent="0.25">
      <c r="B926" t="str">
        <v>120-83: Scuba and Skin Diving Equipment</v>
      </c>
    </row>
    <row r="927" spans="2:2" x14ac:dyDescent="0.25">
      <c r="B927" t="str">
        <v>120-84: Ships, All Types: Cargo, Cruise, Salvage, etc.</v>
      </c>
    </row>
    <row r="928" spans="2:2" x14ac:dyDescent="0.25">
      <c r="B928" t="str">
        <v>120-85: Skis, Jet</v>
      </c>
    </row>
    <row r="929" spans="2:2" x14ac:dyDescent="0.25">
      <c r="B929" t="str">
        <v>120-86: Searchlights, Marine</v>
      </c>
    </row>
    <row r="930" spans="2:2" x14ac:dyDescent="0.25">
      <c r="B930" t="str">
        <v>120-87: *Towers: Observation, Hunting, etc.</v>
      </c>
    </row>
    <row r="931" spans="2:2" x14ac:dyDescent="0.25">
      <c r="B931" t="str">
        <v>120-88: Tools, Marine Hull and Engine</v>
      </c>
    </row>
    <row r="932" spans="2:2" x14ac:dyDescent="0.25">
      <c r="B932" t="str">
        <v>120-89: Underwater Vehicles, Remote Operated (ROV)</v>
      </c>
    </row>
    <row r="933" spans="2:2" x14ac:dyDescent="0.25">
      <c r="B933" t="str">
        <v>120-90: Trailers, Boat</v>
      </c>
    </row>
    <row r="934" spans="2:2" x14ac:dyDescent="0.25">
      <c r="B934" t="str">
        <v>120-91: Submarines: Exploration, Recreation, etc., (See 257-47 for Military Type)</v>
      </c>
    </row>
    <row r="935" spans="2:2" x14ac:dyDescent="0.25">
      <c r="B935" t="str">
        <v>120-92: Vegetation Control and Removal Equipment, Water</v>
      </c>
    </row>
    <row r="936" spans="2:2" x14ac:dyDescent="0.25">
      <c r="B936" t="str">
        <v>120-93: Traps, Fish</v>
      </c>
    </row>
    <row r="937" spans="2:2" x14ac:dyDescent="0.25">
      <c r="B937" t="str">
        <v>120-94: Wildlife Scare-Away Devices: Cannons, Exploders, etc.</v>
      </c>
    </row>
    <row r="938" spans="2:2" x14ac:dyDescent="0.25">
      <c r="B938" t="str">
        <v>120-95: Wildlife Scare-Away Devices, Ultrasonic (Inactive, please see commodity code 120-94 effective January 1, 2016)</v>
      </c>
    </row>
    <row r="939" spans="2:2" x14ac:dyDescent="0.25">
      <c r="B939" t="str">
        <v>120-96: Water Safety Equipment and Supplies: Rope, Float Lines, etc. (Not Otherwise Classified)</v>
      </c>
    </row>
    <row r="940" spans="2:2" x14ac:dyDescent="0.25">
      <c r="B940" t="str">
        <v>120-97: Winches and Lifts, Boat, Including Windlasses</v>
      </c>
    </row>
    <row r="941" spans="2:2" x14ac:dyDescent="0.25">
      <c r="B941" t="str">
        <v>125-05: Adhesives: Compounds, Glues, Pastes, Glue Pots, and Containers</v>
      </c>
    </row>
    <row r="942" spans="2:2" x14ac:dyDescent="0.25">
      <c r="B942" t="str">
        <v>125-08: Base Compound</v>
      </c>
    </row>
    <row r="943" spans="2:2" x14ac:dyDescent="0.25">
      <c r="B943" t="str">
        <v>125-10: Bindery Supplies</v>
      </c>
    </row>
    <row r="944" spans="2:2" x14ac:dyDescent="0.25">
      <c r="B944" t="str">
        <v>125-15: Bindings, Comb Type: Metal and Plastic</v>
      </c>
    </row>
    <row r="945" spans="2:2" x14ac:dyDescent="0.25">
      <c r="B945" t="str">
        <v>125-20: Bindings, Comb Type, Plastic</v>
      </c>
    </row>
    <row r="946" spans="2:2" x14ac:dyDescent="0.25">
      <c r="B946" t="str">
        <v>125-21: Bindings, Machines</v>
      </c>
    </row>
    <row r="947" spans="2:2" x14ac:dyDescent="0.25">
      <c r="B947" t="str">
        <v>125-22: Bindings, Plastic Post or Rivet Strips</v>
      </c>
    </row>
    <row r="948" spans="2:2" x14ac:dyDescent="0.25">
      <c r="B948" t="str">
        <v>125-25: Board, Bookbinding Type</v>
      </c>
    </row>
    <row r="949" spans="2:2" x14ac:dyDescent="0.25">
      <c r="B949" t="str">
        <v>125-30: Cloth, Bookbinding Type</v>
      </c>
    </row>
    <row r="950" spans="2:2" x14ac:dyDescent="0.25">
      <c r="B950" t="str">
        <v>125-35: Covers, Comb Bound Books</v>
      </c>
    </row>
    <row r="951" spans="2:2" x14ac:dyDescent="0.25">
      <c r="B951" t="str">
        <v>125-40: End Sheets, Bookbinding</v>
      </c>
    </row>
    <row r="952" spans="2:2" x14ac:dyDescent="0.25">
      <c r="B952" t="str">
        <v>125-45: Foils, Lettering and Stamping</v>
      </c>
    </row>
    <row r="953" spans="2:2" x14ac:dyDescent="0.25">
      <c r="B953" t="str">
        <v>125-50: Headbands, Bookbinding</v>
      </c>
    </row>
    <row r="954" spans="2:2" x14ac:dyDescent="0.25">
      <c r="B954" t="str">
        <v>125-60: Leather, Bookbinding</v>
      </c>
    </row>
    <row r="955" spans="2:2" x14ac:dyDescent="0.25">
      <c r="B955" t="str">
        <v>125-68: Page Repair Products, Mending Tapes and Cleaners</v>
      </c>
    </row>
    <row r="956" spans="2:2" x14ac:dyDescent="0.25">
      <c r="B956" t="str">
        <v>125-70: Paper, Reproduction Proofing</v>
      </c>
    </row>
    <row r="957" spans="2:2" x14ac:dyDescent="0.25">
      <c r="B957" t="str">
        <v>125-72: Paper Treatment Chemicals, Deacidifiers</v>
      </c>
    </row>
    <row r="958" spans="2:2" x14ac:dyDescent="0.25">
      <c r="B958" t="str">
        <v>125-73: Recycled Bookbinding Supplies</v>
      </c>
    </row>
    <row r="959" spans="2:2" x14ac:dyDescent="0.25">
      <c r="B959" t="str">
        <v>125-75: Tapes, Bookbinding</v>
      </c>
    </row>
    <row r="960" spans="2:2" x14ac:dyDescent="0.25">
      <c r="B960" t="str">
        <v>125-78: Thread, Bookbinding</v>
      </c>
    </row>
    <row r="961" spans="2:2" x14ac:dyDescent="0.25">
      <c r="B961" t="str">
        <v>125-82: Tools, Bookbinding</v>
      </c>
    </row>
    <row r="962" spans="2:2" x14ac:dyDescent="0.25">
      <c r="B962" t="str">
        <v>125-90: Wire, Bookbinding</v>
      </c>
    </row>
    <row r="963" spans="2:2" x14ac:dyDescent="0.25">
      <c r="B963" t="str">
        <v>135-05: Alabaster, Gypsum, etc.</v>
      </c>
    </row>
    <row r="964" spans="2:2" x14ac:dyDescent="0.25">
      <c r="B964" t="str">
        <v>135-08: Bricks, Common</v>
      </c>
    </row>
    <row r="965" spans="2:2" x14ac:dyDescent="0.25">
      <c r="B965" t="str">
        <v>135-09: Brick Facing</v>
      </c>
    </row>
    <row r="966" spans="2:2" x14ac:dyDescent="0.25">
      <c r="B966" t="str">
        <v>135-10: Bricks, Sewer</v>
      </c>
    </row>
    <row r="967" spans="2:2" x14ac:dyDescent="0.25">
      <c r="B967" t="str">
        <v>135-12: Cement, Mortar, Refractory</v>
      </c>
    </row>
    <row r="968" spans="2:2" x14ac:dyDescent="0.25">
      <c r="B968" t="str">
        <v>135-15: Clay, Kaolin and Ball</v>
      </c>
    </row>
    <row r="969" spans="2:2" x14ac:dyDescent="0.25">
      <c r="B969" t="str">
        <v>135-20: Coloring for Cement and Grout (Inactive, please see commodity code 135-40 effective January 1, 2016)</v>
      </c>
    </row>
    <row r="970" spans="2:2" x14ac:dyDescent="0.25">
      <c r="B970" t="str">
        <v>135-28: Bricks, Fire</v>
      </c>
    </row>
    <row r="971" spans="2:2" x14ac:dyDescent="0.25">
      <c r="B971" t="str">
        <v>135-34: Bricks, Fire Clay (Inactive, please see commodity code 135-28 effective January 1, 2016)</v>
      </c>
    </row>
    <row r="972" spans="2:2" x14ac:dyDescent="0.25">
      <c r="B972" t="str">
        <v>135-36: Granite, Rough Dimension and Building</v>
      </c>
    </row>
    <row r="973" spans="2:2" x14ac:dyDescent="0.25">
      <c r="B973" t="str">
        <v>135-38: Grout Sealer (Inactive, please see commodity code 135-40 effective January 1, 2016)</v>
      </c>
    </row>
    <row r="974" spans="2:2" x14ac:dyDescent="0.25">
      <c r="B974" t="str">
        <v>135-40: Grout, Sealer and Coloring, Tile</v>
      </c>
    </row>
    <row r="975" spans="2:2" x14ac:dyDescent="0.25">
      <c r="B975" t="str">
        <v>135-45: Marble, Building</v>
      </c>
    </row>
    <row r="976" spans="2:2" x14ac:dyDescent="0.25">
      <c r="B976" t="str">
        <v>135-46: Brick, Molding</v>
      </c>
    </row>
    <row r="977" spans="2:2" x14ac:dyDescent="0.25">
      <c r="B977" t="str">
        <v>135-47: Refractories, Castable</v>
      </c>
    </row>
    <row r="978" spans="2:2" x14ac:dyDescent="0.25">
      <c r="B978" t="str">
        <v>135-50: Stone, Building, Except Marble</v>
      </c>
    </row>
    <row r="979" spans="2:2" x14ac:dyDescent="0.25">
      <c r="B979" t="str">
        <v>135-52: Stone Products, Fabricated</v>
      </c>
    </row>
    <row r="980" spans="2:2" x14ac:dyDescent="0.25">
      <c r="B980" t="str">
        <v>135-54: Stucco</v>
      </c>
    </row>
    <row r="981" spans="2:2" x14ac:dyDescent="0.25">
      <c r="B981" t="str">
        <v>135-55: Ties and Anchors, Furnace</v>
      </c>
    </row>
    <row r="982" spans="2:2" x14ac:dyDescent="0.25">
      <c r="B982" t="str">
        <v>135-57: Tile, Field Stone, Including  Borders and Medallions</v>
      </c>
    </row>
    <row r="983" spans="2:2" x14ac:dyDescent="0.25">
      <c r="B983" t="str">
        <v>135-58: Tile, Decorative (Inactive, see commodity code 135-64, effective January 1, 2016)</v>
      </c>
    </row>
    <row r="984" spans="2:2" x14ac:dyDescent="0.25">
      <c r="B984" t="str">
        <v>135-59: Tile, Field Tile, Photo Imaged, Porcelain, Sculptured, Wall</v>
      </c>
    </row>
    <row r="985" spans="2:2" x14ac:dyDescent="0.25">
      <c r="B985" t="str">
        <v>135-60: Tile, Fire, Refractory</v>
      </c>
    </row>
    <row r="986" spans="2:2" x14ac:dyDescent="0.25">
      <c r="B986" t="str">
        <v>135-61: Tile, Fine Gemstone, Solid or Mosaic, Including Borders</v>
      </c>
    </row>
    <row r="987" spans="2:2" x14ac:dyDescent="0.25">
      <c r="B987" t="str">
        <v>135-64: Tile: Floor and Wall, Ceramic, Decorative, Glazed</v>
      </c>
    </row>
    <row r="988" spans="2:2" x14ac:dyDescent="0.25">
      <c r="B988" t="str">
        <v>135-65: Tile, Shell, Mosaic, Including Borders (Inactive, see commodity code 135-61, effective January 1, 2016)</v>
      </c>
    </row>
    <row r="989" spans="2:2" x14ac:dyDescent="0.25">
      <c r="B989" t="str">
        <v>135-66: Tile: Floor and Wall, Ceramic, Unglazed</v>
      </c>
    </row>
    <row r="990" spans="2:2" x14ac:dyDescent="0.25">
      <c r="B990" t="str">
        <v>135-70: Tile, Quarry  (Inactive, please see commodity code 135-64 effective January 1, 2016)</v>
      </c>
    </row>
    <row r="991" spans="2:2" x14ac:dyDescent="0.25">
      <c r="B991" t="str">
        <v>135-74: Tile, Roof, Clay, Burnt Type  (See 770-64 for Concrete Roofing Tile)</v>
      </c>
    </row>
    <row r="992" spans="2:2" x14ac:dyDescent="0.25">
      <c r="B992" t="str">
        <v>135-79: Tile Sealant  (Inactive, please see commodity code 135-40 effective January 1, 2016)</v>
      </c>
    </row>
    <row r="993" spans="2:2" x14ac:dyDescent="0.25">
      <c r="B993" t="str">
        <v>135-80: Tile-Set, For Ceramic Tiles</v>
      </c>
    </row>
    <row r="994" spans="2:2" x14ac:dyDescent="0.25">
      <c r="B994" t="str">
        <v>135-81: Tile, Metal</v>
      </c>
    </row>
    <row r="995" spans="2:2" x14ac:dyDescent="0.25">
      <c r="B995" t="str">
        <v>135-85: Tombstone, Stone Grave Markers, and Grave Liners</v>
      </c>
    </row>
    <row r="996" spans="2:2" x14ac:dyDescent="0.25">
      <c r="B996" t="str">
        <v>135-93: Recycled Tile: Ceramic, Decorative, Fire, Roof, Quarry, etc. (See 360-37 for Other Types)</v>
      </c>
    </row>
    <row r="997" spans="2:2" x14ac:dyDescent="0.25">
      <c r="B997" t="str">
        <v>135-94: Recycled Bricks, Refractories, Clay, Marble and Stone Products</v>
      </c>
    </row>
    <row r="998" spans="2:2" x14ac:dyDescent="0.25">
      <c r="B998" t="str">
        <v>140-03: Bands, Wire, Broom</v>
      </c>
    </row>
    <row r="999" spans="2:2" x14ac:dyDescent="0.25">
      <c r="B999" t="str">
        <v>140-05: Blocks, Brush</v>
      </c>
    </row>
    <row r="1000" spans="2:2" x14ac:dyDescent="0.25">
      <c r="B1000" t="str">
        <v>140-06: Broomcorn</v>
      </c>
    </row>
    <row r="1001" spans="2:2" x14ac:dyDescent="0.25">
      <c r="B1001" t="str">
        <v>140-09: Broom Manufacturing Machinery and Parts</v>
      </c>
    </row>
    <row r="1002" spans="2:2" x14ac:dyDescent="0.25">
      <c r="B1002" t="str">
        <v>140-12: Broom Manufacturing Tools</v>
      </c>
    </row>
    <row r="1003" spans="2:2" x14ac:dyDescent="0.25">
      <c r="B1003" t="str">
        <v>140-15: Brush Manufacturing Machinery and Parts</v>
      </c>
    </row>
    <row r="1004" spans="2:2" x14ac:dyDescent="0.25">
      <c r="B1004" t="str">
        <v>140-18: Brush Manufacturing Tools</v>
      </c>
    </row>
    <row r="1005" spans="2:2" x14ac:dyDescent="0.25">
      <c r="B1005" t="str">
        <v>140-21: Caps, Handle, Whisk Broom</v>
      </c>
    </row>
    <row r="1006" spans="2:2" x14ac:dyDescent="0.25">
      <c r="B1006" t="str">
        <v>140-24: Dyes, Broom</v>
      </c>
    </row>
    <row r="1007" spans="2:2" x14ac:dyDescent="0.25">
      <c r="B1007" t="str">
        <v>140-27: Ferrules, Handle, Metal</v>
      </c>
    </row>
    <row r="1008" spans="2:2" x14ac:dyDescent="0.25">
      <c r="B1008" t="str">
        <v>140-30: Ferrules, Handle, Plastic</v>
      </c>
    </row>
    <row r="1009" spans="2:2" x14ac:dyDescent="0.25">
      <c r="B1009" t="str">
        <v>140-33: Fibers, Bass</v>
      </c>
    </row>
    <row r="1010" spans="2:2" x14ac:dyDescent="0.25">
      <c r="B1010" t="str">
        <v>140-36: Fibers, Bassine</v>
      </c>
    </row>
    <row r="1011" spans="2:2" x14ac:dyDescent="0.25">
      <c r="B1011" t="str">
        <v>140-39: Fibers, Horsehair</v>
      </c>
    </row>
    <row r="1012" spans="2:2" x14ac:dyDescent="0.25">
      <c r="B1012" t="str">
        <v>140-42: Fibers, Mixed, Union Mixture</v>
      </c>
    </row>
    <row r="1013" spans="2:2" x14ac:dyDescent="0.25">
      <c r="B1013" t="str">
        <v>140-45: Fibers, Palmetto</v>
      </c>
    </row>
    <row r="1014" spans="2:2" x14ac:dyDescent="0.25">
      <c r="B1014" t="str">
        <v>140-48: Fibers, Palmyra</v>
      </c>
    </row>
    <row r="1015" spans="2:2" x14ac:dyDescent="0.25">
      <c r="B1015" t="str">
        <v>140-51: Fibers, Plastic and Synthetic</v>
      </c>
    </row>
    <row r="1016" spans="2:2" x14ac:dyDescent="0.25">
      <c r="B1016" t="str">
        <v>140-54: Fibers, Tampico</v>
      </c>
    </row>
    <row r="1017" spans="2:2" x14ac:dyDescent="0.25">
      <c r="B1017" t="str">
        <v>140-66: Mop Manufacturing Machinery and Parts</v>
      </c>
    </row>
    <row r="1018" spans="2:2" x14ac:dyDescent="0.25">
      <c r="B1018" t="str">
        <v>140-69: Mop Manufacturing Tools</v>
      </c>
    </row>
    <row r="1019" spans="2:2" x14ac:dyDescent="0.25">
      <c r="B1019" t="str">
        <v>140-75: Rag, Broom</v>
      </c>
    </row>
    <row r="1020" spans="2:2" x14ac:dyDescent="0.25">
      <c r="B1020" t="str">
        <v>140-76: Recycled Broom, Brush and Mop Supplies</v>
      </c>
    </row>
    <row r="1021" spans="2:2" x14ac:dyDescent="0.25">
      <c r="B1021" t="str">
        <v>140-78: Tie Tape, Mop, Nylon</v>
      </c>
    </row>
    <row r="1022" spans="2:2" x14ac:dyDescent="0.25">
      <c r="B1022" t="str">
        <v>140-81: Twine, Broom</v>
      </c>
    </row>
    <row r="1023" spans="2:2" x14ac:dyDescent="0.25">
      <c r="B1023" t="str">
        <v>140-84: Wire: Broom, Brush, and Mop</v>
      </c>
    </row>
    <row r="1024" spans="2:2" x14ac:dyDescent="0.25">
      <c r="B1024" t="str">
        <v>140-87: Yarn, Mop Head, Cotton</v>
      </c>
    </row>
    <row r="1025" spans="2:2" x14ac:dyDescent="0.25">
      <c r="B1025" t="str">
        <v>140-90: Yarn, Mop Head, Synthetic</v>
      </c>
    </row>
    <row r="1026" spans="2:2" x14ac:dyDescent="0.25">
      <c r="B1026" t="str">
        <v>145-15: Acid Brushes</v>
      </c>
    </row>
    <row r="1027" spans="2:2" x14ac:dyDescent="0.25">
      <c r="B1027" t="str">
        <v>145-18: Chimney Brushes</v>
      </c>
    </row>
    <row r="1028" spans="2:2" x14ac:dyDescent="0.25">
      <c r="B1028" t="str">
        <v>145-20: Cylinder, Tank, and Vat Brushes</v>
      </c>
    </row>
    <row r="1029" spans="2:2" x14ac:dyDescent="0.25">
      <c r="B1029" t="str">
        <v>145-30: Glue Brushes</v>
      </c>
    </row>
    <row r="1030" spans="2:2" x14ac:dyDescent="0.25">
      <c r="B1030" t="str">
        <v>145-33: Gutter Brushes</v>
      </c>
    </row>
    <row r="1031" spans="2:2" x14ac:dyDescent="0.25">
      <c r="B1031" t="str">
        <v>145-35: Kettle Brushes</v>
      </c>
    </row>
    <row r="1032" spans="2:2" x14ac:dyDescent="0.25">
      <c r="B1032" t="str">
        <v>145-43: Masonry Brushes</v>
      </c>
    </row>
    <row r="1033" spans="2:2" x14ac:dyDescent="0.25">
      <c r="B1033" t="str">
        <v>145-44: Miscellaneous Brushes (Not Otherwise Classified)</v>
      </c>
    </row>
    <row r="1034" spans="2:2" x14ac:dyDescent="0.25">
      <c r="B1034" t="str">
        <v>145-45: Paint and Varnish Brushes</v>
      </c>
    </row>
    <row r="1035" spans="2:2" x14ac:dyDescent="0.25">
      <c r="B1035" t="str">
        <v>145-57: Recycled Brushes</v>
      </c>
    </row>
    <row r="1036" spans="2:2" x14ac:dyDescent="0.25">
      <c r="B1036" t="str">
        <v>145-60: Roofing  Brushes</v>
      </c>
    </row>
    <row r="1037" spans="2:2" x14ac:dyDescent="0.25">
      <c r="B1037" t="str">
        <v>145-65: Solder Flux Paste Brushes</v>
      </c>
    </row>
    <row r="1038" spans="2:2" x14ac:dyDescent="0.25">
      <c r="B1038" t="str">
        <v>145-67: Snow Brushes</v>
      </c>
    </row>
    <row r="1039" spans="2:2" x14ac:dyDescent="0.25">
      <c r="B1039" t="str">
        <v>145-72: Washer Brushes, Car and Truck</v>
      </c>
    </row>
    <row r="1040" spans="2:2" x14ac:dyDescent="0.25">
      <c r="B1040" t="str">
        <v>145-75: Wire Brushes, Hand</v>
      </c>
    </row>
    <row r="1041" spans="2:2" x14ac:dyDescent="0.25">
      <c r="B1041" t="str">
        <v>145-90: Wire Wheel Brushes</v>
      </c>
    </row>
    <row r="1042" spans="2:2" x14ac:dyDescent="0.25">
      <c r="B1042" t="str">
        <v>150-02: Adhesives, Bonding Agents and Cement Antifreeze</v>
      </c>
    </row>
    <row r="1043" spans="2:2" x14ac:dyDescent="0.25">
      <c r="B1043" t="str">
        <v>150-04: Aluminum Extrusions, Fabricating Window and Door Screens</v>
      </c>
    </row>
    <row r="1044" spans="2:2" x14ac:dyDescent="0.25">
      <c r="B1044" t="str">
        <v>150-05: Brick, Fire, Plastic (Inactive, effective January 1, 2016)</v>
      </c>
    </row>
    <row r="1045" spans="2:2" x14ac:dyDescent="0.25">
      <c r="B1045" t="str">
        <v>150-06: Builder's Paper, Kraft Types, Not Felt and Tar Paper</v>
      </c>
    </row>
    <row r="1046" spans="2:2" x14ac:dyDescent="0.25">
      <c r="B1046" t="str">
        <v>150-07: Boxes, Shoring, Construction Worker Protection</v>
      </c>
    </row>
    <row r="1047" spans="2:2" x14ac:dyDescent="0.25">
      <c r="B1047" t="str">
        <v>150-08: Cabinets, Counters, Shelves, etc., Ready-Made</v>
      </c>
    </row>
    <row r="1048" spans="2:2" x14ac:dyDescent="0.25">
      <c r="B1048" t="str">
        <v>150-09: Casement Window Hardware: Latches, Operators, and Handles</v>
      </c>
    </row>
    <row r="1049" spans="2:2" x14ac:dyDescent="0.25">
      <c r="B1049" t="str">
        <v>150-10: Construction Materials (Not Otherwise Classified)</v>
      </c>
    </row>
    <row r="1050" spans="2:2" x14ac:dyDescent="0.25">
      <c r="B1050" t="str">
        <v>150-11: Ceiling Coffers</v>
      </c>
    </row>
    <row r="1051" spans="2:2" x14ac:dyDescent="0.25">
      <c r="B1051" t="str">
        <v>150-12: Cement, Concrete, Lime, Plaster Mixes, Retarder and Setting Compounds, Sacked, LTL Quantities, (See Class 750 for Bulk Cement, Concrete and Lime)</v>
      </c>
    </row>
    <row r="1052" spans="2:2" x14ac:dyDescent="0.25">
      <c r="B1052" t="str">
        <v>150-13: Chimney</v>
      </c>
    </row>
    <row r="1053" spans="2:2" x14ac:dyDescent="0.25">
      <c r="B1053" t="str">
        <v>150-14: Cement, Quick Setting, Sacked  (Inactive, please see commodity code 150-12 effective January 1, 2016)</v>
      </c>
    </row>
    <row r="1054" spans="2:2" x14ac:dyDescent="0.25">
      <c r="B1054" t="str">
        <v>150-15: Concrete, Polymer, All Types</v>
      </c>
    </row>
    <row r="1055" spans="2:2" x14ac:dyDescent="0.25">
      <c r="B1055" t="str">
        <v>150-16: Curing Mixtures, Concrete, All Types</v>
      </c>
    </row>
    <row r="1056" spans="2:2" x14ac:dyDescent="0.25">
      <c r="B1056" t="str">
        <v>150-17: Chutes, Linen, Laundry (Inactive, effective January 1, 2016)</v>
      </c>
    </row>
    <row r="1057" spans="2:2" x14ac:dyDescent="0.25">
      <c r="B1057" t="str">
        <v>150-18: Door Bells, Chimes</v>
      </c>
    </row>
    <row r="1058" spans="2:2" x14ac:dyDescent="0.25">
      <c r="B1058" t="str">
        <v>150-19: Door Operators, Not Door Closers: Chain Hoist Type, Electric Motor Type, etc.</v>
      </c>
    </row>
    <row r="1059" spans="2:2" x14ac:dyDescent="0.25">
      <c r="B1059" t="str">
        <v>150-20: Door Openers, Electric, Including Parts and Accessories</v>
      </c>
    </row>
    <row r="1060" spans="2:2" x14ac:dyDescent="0.25">
      <c r="B1060" t="str">
        <v>150-21: Doors, Aluminum and Glass, All Types</v>
      </c>
    </row>
    <row r="1061" spans="2:2" x14ac:dyDescent="0.25">
      <c r="B1061" t="str">
        <v>150-22: Doors, Fiberglass</v>
      </c>
    </row>
    <row r="1062" spans="2:2" x14ac:dyDescent="0.25">
      <c r="B1062" t="str">
        <v>150-23: Doors, Automatic, Drive-Through Type</v>
      </c>
    </row>
    <row r="1063" spans="2:2" x14ac:dyDescent="0.25">
      <c r="B1063" t="str">
        <v>150-24: Doors, Swinging, Including Handicapped</v>
      </c>
    </row>
    <row r="1064" spans="2:2" x14ac:dyDescent="0.25">
      <c r="B1064" t="str">
        <v>150-25: Doors, Frames, and Jambs, Steel</v>
      </c>
    </row>
    <row r="1065" spans="2:2" x14ac:dyDescent="0.25">
      <c r="B1065" t="str">
        <v>150-26: Doors, Plastic</v>
      </c>
    </row>
    <row r="1066" spans="2:2" x14ac:dyDescent="0.25">
      <c r="B1066" t="str">
        <v>150-27: Doors, Frames, and Jambs, Wood</v>
      </c>
    </row>
    <row r="1067" spans="2:2" x14ac:dyDescent="0.25">
      <c r="B1067" t="str">
        <v>150-28: Dowels, and Rods, Wood</v>
      </c>
    </row>
    <row r="1068" spans="2:2" x14ac:dyDescent="0.25">
      <c r="B1068" t="str">
        <v>150-29: Down Pipes, Eaves, Troughs, Guttering, and Accessories</v>
      </c>
    </row>
    <row r="1069" spans="2:2" x14ac:dyDescent="0.25">
      <c r="B1069" t="str">
        <v>150-30: Doors, Folding, Commercial Type, Including Portable Walls</v>
      </c>
    </row>
    <row r="1070" spans="2:2" x14ac:dyDescent="0.25">
      <c r="B1070" t="str">
        <v>150-31: Doors, Folding, Residential Type, Including Portable Walls</v>
      </c>
    </row>
    <row r="1071" spans="2:2" x14ac:dyDescent="0.25">
      <c r="B1071" t="str">
        <v>150-32: Fireplaces, Wood, Gas or Electric Fired, Including Parts and Accessories</v>
      </c>
    </row>
    <row r="1072" spans="2:2" x14ac:dyDescent="0.25">
      <c r="B1072" t="str">
        <v>150-33: Grout, Drywall</v>
      </c>
    </row>
    <row r="1073" spans="2:2" x14ac:dyDescent="0.25">
      <c r="B1073" t="str">
        <v>150-34: Handrails, and Handrails, All Types</v>
      </c>
    </row>
    <row r="1074" spans="2:2" x14ac:dyDescent="0.25">
      <c r="B1074" t="str">
        <v>150-35: Hardeners, Concrete and Plaster Setting Compound</v>
      </c>
    </row>
    <row r="1075" spans="2:2" x14ac:dyDescent="0.25">
      <c r="B1075" t="str">
        <v>150-36: Hatch Covers, Attic</v>
      </c>
    </row>
    <row r="1076" spans="2:2" x14ac:dyDescent="0.25">
      <c r="B1076" t="str">
        <v>150-37: Jalousie Doors and Windows</v>
      </c>
    </row>
    <row r="1077" spans="2:2" x14ac:dyDescent="0.25">
      <c r="B1077" t="str">
        <v>150-38: Sheds, Storage</v>
      </c>
    </row>
    <row r="1078" spans="2:2" x14ac:dyDescent="0.25">
      <c r="B1078" t="str">
        <v>150-42: Lathes: Metal, Plastic, and Wood</v>
      </c>
    </row>
    <row r="1079" spans="2:2" x14ac:dyDescent="0.25">
      <c r="B1079" t="str">
        <v>150-43: Lath, Plastic  (Inactive, please see commodity code 150-42 effective January 1, 2016)</v>
      </c>
    </row>
    <row r="1080" spans="2:2" x14ac:dyDescent="0.25">
      <c r="B1080" t="str">
        <v>150-44: Lath, Wood  (Inactive, please see commodity code 150-42 effective January 1, 2016)</v>
      </c>
    </row>
    <row r="1081" spans="2:2" x14ac:dyDescent="0.25">
      <c r="B1081" t="str">
        <v>150-45: Logs, Building</v>
      </c>
    </row>
    <row r="1082" spans="2:2" x14ac:dyDescent="0.25">
      <c r="B1082" t="str">
        <v>150-46: Louvers (See Class 031 for Air Conditioning)</v>
      </c>
    </row>
    <row r="1083" spans="2:2" x14ac:dyDescent="0.25">
      <c r="B1083" t="str">
        <v>150-49: Millwork: Counters, Custom-Made Cabinets, Shelves, Stairs, etc.</v>
      </c>
    </row>
    <row r="1084" spans="2:2" x14ac:dyDescent="0.25">
      <c r="B1084" t="str">
        <v>150-51: Moldings, Metal</v>
      </c>
    </row>
    <row r="1085" spans="2:2" x14ac:dyDescent="0.25">
      <c r="B1085" t="str">
        <v>150-52: Moldings, Plastic and Vinyl</v>
      </c>
    </row>
    <row r="1086" spans="2:2" x14ac:dyDescent="0.25">
      <c r="B1086" t="str">
        <v>150-53: Moldings, Strips, Stops, Rounds, etc.: Wood</v>
      </c>
    </row>
    <row r="1087" spans="2:2" x14ac:dyDescent="0.25">
      <c r="B1087" t="str">
        <v>150-54: Doors, Non-Corrosive</v>
      </c>
    </row>
    <row r="1088" spans="2:2" x14ac:dyDescent="0.25">
      <c r="B1088" t="str">
        <v>150-55: Doors, Overhead, Garage, etc. (See Class 450 for Hardware)</v>
      </c>
    </row>
    <row r="1089" spans="2:2" x14ac:dyDescent="0.25">
      <c r="B1089" t="str">
        <v>150-56: Partitions, Office, Metal and Glass, Custom-Made (Inactive, please see commodity code 425-56 effective January 1, 2016)</v>
      </c>
    </row>
    <row r="1090" spans="2:2" x14ac:dyDescent="0.25">
      <c r="B1090" t="str">
        <v>150-58: Partitions, Office, Wood and Glass, Custom-Made (Inactive, please see commodity code 425-56 effective January 1, 2016)</v>
      </c>
    </row>
    <row r="1091" spans="2:2" x14ac:dyDescent="0.25">
      <c r="B1091" t="str">
        <v>150-59: Setting Compounds, Pole, Post and Pipe</v>
      </c>
    </row>
    <row r="1092" spans="2:2" x14ac:dyDescent="0.25">
      <c r="B1092" t="str">
        <v>150-60: Recycled Builder's Supplies Incl. Sacked Cement, Concrete, Lime, Plaster and Setting Compounds</v>
      </c>
    </row>
    <row r="1093" spans="2:2" x14ac:dyDescent="0.25">
      <c r="B1093" t="str">
        <v>150-61: Retarder, Plaster  (Inactive, please see commodity code 150-12 effective January 1, 2016)</v>
      </c>
    </row>
    <row r="1094" spans="2:2" x14ac:dyDescent="0.25">
      <c r="B1094" t="str">
        <v>150-65: Doors, Revolving</v>
      </c>
    </row>
    <row r="1095" spans="2:2" x14ac:dyDescent="0.25">
      <c r="B1095" t="str">
        <v>150-72: Screen Doors and Window Screens, Aluminum Frame</v>
      </c>
    </row>
    <row r="1096" spans="2:2" x14ac:dyDescent="0.25">
      <c r="B1096" t="str">
        <v>150-74: Screen Doors and Window Screens, Steel Frame</v>
      </c>
    </row>
    <row r="1097" spans="2:2" x14ac:dyDescent="0.25">
      <c r="B1097" t="str">
        <v>150-76: Screen Doors and Window Screens, Wood Frame</v>
      </c>
    </row>
    <row r="1098" spans="2:2" x14ac:dyDescent="0.25">
      <c r="B1098" t="str">
        <v>150-77: Doors, Sliding and Rolling, Commercial Type</v>
      </c>
    </row>
    <row r="1099" spans="2:2" x14ac:dyDescent="0.25">
      <c r="B1099" t="str">
        <v>150-78: Doors, Sliding and Rolling, Residential Type</v>
      </c>
    </row>
    <row r="1100" spans="2:2" x14ac:dyDescent="0.25">
      <c r="B1100" t="str">
        <v>150-79: Storm Doors and Windows</v>
      </c>
    </row>
    <row r="1101" spans="2:2" x14ac:dyDescent="0.25">
      <c r="B1101" t="str">
        <v>150-81: Ties, Wall and Rafter, Not Concrete Form</v>
      </c>
    </row>
    <row r="1102" spans="2:2" x14ac:dyDescent="0.25">
      <c r="B1102" t="str">
        <v>150-83: Tile, Wall, Metal</v>
      </c>
    </row>
    <row r="1103" spans="2:2" x14ac:dyDescent="0.25">
      <c r="B1103" t="str">
        <v>150-84: Tile, Wall, Plastic</v>
      </c>
    </row>
    <row r="1104" spans="2:2" x14ac:dyDescent="0.25">
      <c r="B1104" t="str">
        <v>150-85: Transoms, Door and Window</v>
      </c>
    </row>
    <row r="1105" spans="2:2" x14ac:dyDescent="0.25">
      <c r="B1105" t="str">
        <v>150-86: Trusses, Roof, Wood and Metal</v>
      </c>
    </row>
    <row r="1106" spans="2:2" x14ac:dyDescent="0.25">
      <c r="B1106" t="str">
        <v>150-87: Wardrobe and Closet Specialties</v>
      </c>
    </row>
    <row r="1107" spans="2:2" x14ac:dyDescent="0.25">
      <c r="B1107" t="str">
        <v>150-88: Vents, Foundation</v>
      </c>
    </row>
    <row r="1108" spans="2:2" x14ac:dyDescent="0.25">
      <c r="B1108" t="str">
        <v>150-89: Doors, Warehouse Type, Impact, PVC Strip, etc.</v>
      </c>
    </row>
    <row r="1109" spans="2:2" x14ac:dyDescent="0.25">
      <c r="B1109" t="str">
        <v>150-90: Weather Stripping, All Kinds</v>
      </c>
    </row>
    <row r="1110" spans="2:2" x14ac:dyDescent="0.25">
      <c r="B1110" t="str">
        <v>150-91: Wall Panels, Modular, Insulated</v>
      </c>
    </row>
    <row r="1111" spans="2:2" x14ac:dyDescent="0.25">
      <c r="B1111" t="str">
        <v>150-92: Windows, Frames and Sashes, Aluminum</v>
      </c>
    </row>
    <row r="1112" spans="2:2" x14ac:dyDescent="0.25">
      <c r="B1112" t="str">
        <v>150-93: Windows, Frames and Sashes, Fiberglass</v>
      </c>
    </row>
    <row r="1113" spans="2:2" x14ac:dyDescent="0.25">
      <c r="B1113" t="str">
        <v>150-94: Windows, Frames and Sashes, Steel</v>
      </c>
    </row>
    <row r="1114" spans="2:2" x14ac:dyDescent="0.25">
      <c r="B1114" t="str">
        <v>150-95: Windows, Frames and Sashes, Vinyl or Plastic</v>
      </c>
    </row>
    <row r="1115" spans="2:2" x14ac:dyDescent="0.25">
      <c r="B1115" t="str">
        <v>150-96: Windows, Frames and Sashes, Wooden</v>
      </c>
    </row>
    <row r="1116" spans="2:2" x14ac:dyDescent="0.25">
      <c r="B1116" t="str">
        <v>155-05: Barriers and Enclosures, Construction</v>
      </c>
    </row>
    <row r="1117" spans="2:2" x14ac:dyDescent="0.25">
      <c r="B1117" t="str">
        <v>155-07: Bridge Part and Accessories</v>
      </c>
    </row>
    <row r="1118" spans="2:2" x14ac:dyDescent="0.25">
      <c r="B1118" t="str">
        <v>155-08: Bridges, Prefabricated, Not Installed</v>
      </c>
    </row>
    <row r="1119" spans="2:2" x14ac:dyDescent="0.25">
      <c r="B1119" t="str">
        <v>155-10: Buildings, Large, Prefabricated, Over 500 SQFT.</v>
      </c>
    </row>
    <row r="1120" spans="2:2" x14ac:dyDescent="0.25">
      <c r="B1120" t="str">
        <v>155-12: Building, 500 SQFT. or Less</v>
      </c>
    </row>
    <row r="1121" spans="2:2" x14ac:dyDescent="0.25">
      <c r="B1121" t="str">
        <v>155-13: Buildings, 500 - 1000 Sq. Ft. or less</v>
      </c>
    </row>
    <row r="1122" spans="2:2" x14ac:dyDescent="0.25">
      <c r="B1122" t="str">
        <v>155-18: Cabins, Storage Buildings, etc., Pre-Engineered in Kits, Ready to Assemble and Erect</v>
      </c>
    </row>
    <row r="1123" spans="2:2" x14ac:dyDescent="0.25">
      <c r="B1123" t="str">
        <v>155-20: Canopies, Freestanding</v>
      </c>
    </row>
    <row r="1124" spans="2:2" x14ac:dyDescent="0.25">
      <c r="B1124" t="str">
        <v>155-24: Carports, Fiberglass and Plastic</v>
      </c>
    </row>
    <row r="1125" spans="2:2" x14ac:dyDescent="0.25">
      <c r="B1125" t="str">
        <v>155-30: Carports, Metal</v>
      </c>
    </row>
    <row r="1126" spans="2:2" x14ac:dyDescent="0.25">
      <c r="B1126" t="str">
        <v>155-37: Farm Structures, Prefabricated, Silos, etc.</v>
      </c>
    </row>
    <row r="1127" spans="2:2" x14ac:dyDescent="0.25">
      <c r="B1127" t="str">
        <v>155-38: Field Offices and Sheds, Construction Type</v>
      </c>
    </row>
    <row r="1128" spans="2:2" x14ac:dyDescent="0.25">
      <c r="B1128" t="str">
        <v>155-40: Gazebos, Kiosks, Including Informational Type and Pavilions</v>
      </c>
    </row>
    <row r="1129" spans="2:2" x14ac:dyDescent="0.25">
      <c r="B1129" t="str">
        <v>155-42: Greenhouses and Equipment, Including Isolation, Irrigation and Ventilation Equipment</v>
      </c>
    </row>
    <row r="1130" spans="2:2" x14ac:dyDescent="0.25">
      <c r="B1130" t="str">
        <v>155-46: Guard and Watchman Huts</v>
      </c>
    </row>
    <row r="1131" spans="2:2" x14ac:dyDescent="0.25">
      <c r="B1131" t="str">
        <v>155-47: Houses, Club and Play</v>
      </c>
    </row>
    <row r="1132" spans="2:2" x14ac:dyDescent="0.25">
      <c r="B1132" t="str">
        <v>155-48: Lifeguard, Umpire and Referee Stands</v>
      </c>
    </row>
    <row r="1133" spans="2:2" x14ac:dyDescent="0.25">
      <c r="B1133" t="str">
        <v>155-49: Medical Structures, Prefabricated</v>
      </c>
    </row>
    <row r="1134" spans="2:2" x14ac:dyDescent="0.25">
      <c r="B1134" t="str">
        <v>155-50: Office Buildings, Modular and Portable</v>
      </c>
    </row>
    <row r="1135" spans="2:2" x14ac:dyDescent="0.25">
      <c r="B1135" t="str">
        <v>155-53: Parking Structures</v>
      </c>
    </row>
    <row r="1136" spans="2:2" x14ac:dyDescent="0.25">
      <c r="B1136" t="str">
        <v>155-54: Patio Covers, Fiberglass and Plastic</v>
      </c>
    </row>
    <row r="1137" spans="2:2" x14ac:dyDescent="0.25">
      <c r="B1137" t="str">
        <v>155-60: Patio Covers, Metal</v>
      </c>
    </row>
    <row r="1138" spans="2:2" x14ac:dyDescent="0.25">
      <c r="B1138" t="str">
        <v>155-69: Portable Kitchens</v>
      </c>
    </row>
    <row r="1139" spans="2:2" x14ac:dyDescent="0.25">
      <c r="B1139" t="str">
        <v>155-70: Portable Toilets</v>
      </c>
    </row>
    <row r="1140" spans="2:2" x14ac:dyDescent="0.25">
      <c r="B1140" t="str">
        <v>155-72: Recycled Buildings and Structures</v>
      </c>
    </row>
    <row r="1141" spans="2:2" x14ac:dyDescent="0.25">
      <c r="B1141" t="str">
        <v>155-73: Residential Structures, Prefabricated</v>
      </c>
    </row>
    <row r="1142" spans="2:2" x14ac:dyDescent="0.25">
      <c r="B1142" t="str">
        <v>155-74: Sheds, Storage  (Inactive, please see commodity code 150-38 effective January 1, 2016)</v>
      </c>
    </row>
    <row r="1143" spans="2:2" x14ac:dyDescent="0.25">
      <c r="B1143" t="str">
        <v>155-75: Shelters, Decontamination, All Types</v>
      </c>
    </row>
    <row r="1144" spans="2:2" x14ac:dyDescent="0.25">
      <c r="B1144" t="str">
        <v>155-76: Shelters, Bus Waiting</v>
      </c>
    </row>
    <row r="1145" spans="2:2" x14ac:dyDescent="0.25">
      <c r="B1145" t="str">
        <v>155-77: Shelters, Fire</v>
      </c>
    </row>
    <row r="1146" spans="2:2" x14ac:dyDescent="0.25">
      <c r="B1146" t="str">
        <v>155-78: Shelters, Insulated, For Remote Equipment</v>
      </c>
    </row>
    <row r="1147" spans="2:2" x14ac:dyDescent="0.25">
      <c r="B1147" t="str">
        <v>155-79: Shelters, Non-Insulated</v>
      </c>
    </row>
    <row r="1148" spans="2:2" x14ac:dyDescent="0.25">
      <c r="B1148" t="str">
        <v>155-80: Shelters, Portable</v>
      </c>
    </row>
    <row r="1149" spans="2:2" x14ac:dyDescent="0.25">
      <c r="B1149" t="str">
        <v>155-85: Structures, Shade, Fabric Covered, Patio Areas, Play Areas, etc.</v>
      </c>
    </row>
    <row r="1150" spans="2:2" x14ac:dyDescent="0.25">
      <c r="B1150" t="str">
        <v>155-86: Structures, Rooms, Panels, Enclosures, etc., Radio Frequency Shielded</v>
      </c>
    </row>
    <row r="1151" spans="2:2" x14ac:dyDescent="0.25">
      <c r="B1151" t="str">
        <v>155-88: Telephone Booths and Enclosures</v>
      </c>
    </row>
    <row r="1152" spans="2:2" x14ac:dyDescent="0.25">
      <c r="B1152" t="str">
        <v>155-90: Tunnel Accessories and Parts</v>
      </c>
    </row>
    <row r="1153" spans="2:2" x14ac:dyDescent="0.25">
      <c r="B1153" t="str">
        <v>160-04: Baskets, Bins, and Chill Trays, Meat Handling</v>
      </c>
    </row>
    <row r="1154" spans="2:2" x14ac:dyDescent="0.25">
      <c r="B1154" t="str">
        <v>160-06: Bleach: Preservative and Was, Tripe and Other Meats</v>
      </c>
    </row>
    <row r="1155" spans="2:2" x14ac:dyDescent="0.25">
      <c r="B1155" t="str">
        <v>160-08: Blocks, Butcher</v>
      </c>
    </row>
    <row r="1156" spans="2:2" x14ac:dyDescent="0.25">
      <c r="B1156" t="str">
        <v>160-10: Block Scrapers, Brushes, and Bone Dust Removers</v>
      </c>
    </row>
    <row r="1157" spans="2:2" x14ac:dyDescent="0.25">
      <c r="B1157" t="str">
        <v>160-12: Brine and Pickle Pumping Units and Supplies</v>
      </c>
    </row>
    <row r="1158" spans="2:2" x14ac:dyDescent="0.25">
      <c r="B1158" t="str">
        <v>160-16: Buckets and Drums, Stainless Steel, Meat Handling</v>
      </c>
    </row>
    <row r="1159" spans="2:2" x14ac:dyDescent="0.25">
      <c r="B1159" t="str">
        <v>160-19: Cleavers, Knives, Steels, Stones, and Sharpeners</v>
      </c>
    </row>
    <row r="1160" spans="2:2" x14ac:dyDescent="0.25">
      <c r="B1160" t="str">
        <v>160-20: Dehairer and Dehider</v>
      </c>
    </row>
    <row r="1161" spans="2:2" x14ac:dyDescent="0.25">
      <c r="B1161" t="str">
        <v>160-21: Forks and Shovels, Meat</v>
      </c>
    </row>
    <row r="1162" spans="2:2" x14ac:dyDescent="0.25">
      <c r="B1162" t="str">
        <v>160-24: Grinders and Accessories, Meat, Heavy Duty, Electric</v>
      </c>
    </row>
    <row r="1163" spans="2:2" x14ac:dyDescent="0.25">
      <c r="B1163" t="str">
        <v>160-28: Hooks, Meat</v>
      </c>
    </row>
    <row r="1164" spans="2:2" x14ac:dyDescent="0.25">
      <c r="B1164" t="str">
        <v>160-32: Injection Equipment, Meat</v>
      </c>
    </row>
    <row r="1165" spans="2:2" x14ac:dyDescent="0.25">
      <c r="B1165" t="str">
        <v>160-36: Kettle, Rendering</v>
      </c>
    </row>
    <row r="1166" spans="2:2" x14ac:dyDescent="0.25">
      <c r="B1166" t="str">
        <v>160-40: Knockers and Stunners</v>
      </c>
    </row>
    <row r="1167" spans="2:2" x14ac:dyDescent="0.25">
      <c r="B1167" t="str">
        <v>160-44: Lard Making Tools</v>
      </c>
    </row>
    <row r="1168" spans="2:2" x14ac:dyDescent="0.25">
      <c r="B1168" t="str">
        <v>160-45: Markers and Inks</v>
      </c>
    </row>
    <row r="1169" spans="2:2" x14ac:dyDescent="0.25">
      <c r="B1169" t="str">
        <v>160-46: Meat Marking, Tying, and Wrapping Equipment and Supplies, Including Environmentally Certified Products</v>
      </c>
    </row>
    <row r="1170" spans="2:2" x14ac:dyDescent="0.25">
      <c r="B1170" t="str">
        <v>160-47: Meat Molds and Presses</v>
      </c>
    </row>
    <row r="1171" spans="2:2" x14ac:dyDescent="0.25">
      <c r="B1171" t="str">
        <v>160-48: Racks and Hanger, Bacon and Ham Curing</v>
      </c>
    </row>
    <row r="1172" spans="2:2" x14ac:dyDescent="0.25">
      <c r="B1172" t="str">
        <v>160-52: Rails and Tracks, Meat Handling</v>
      </c>
    </row>
    <row r="1173" spans="2:2" x14ac:dyDescent="0.25">
      <c r="B1173" t="str">
        <v>160-54: Refurbished Butcher Shop and Meat Processing Equipment and Supplies</v>
      </c>
    </row>
    <row r="1174" spans="2:2" x14ac:dyDescent="0.25">
      <c r="B1174" t="str">
        <v>160-56: Saws, Butcher, Hand</v>
      </c>
    </row>
    <row r="1175" spans="2:2" x14ac:dyDescent="0.25">
      <c r="B1175" t="str">
        <v>160-60: Saws, Meat, Electric, All Types</v>
      </c>
    </row>
    <row r="1176" spans="2:2" x14ac:dyDescent="0.25">
      <c r="B1176" t="str">
        <v>160-61: Shears, Meat</v>
      </c>
    </row>
    <row r="1177" spans="2:2" x14ac:dyDescent="0.25">
      <c r="B1177" t="str">
        <v>160-62: Scalding Equipment</v>
      </c>
    </row>
    <row r="1178" spans="2:2" x14ac:dyDescent="0.25">
      <c r="B1178" t="str">
        <v>160-63: Shrouds, Clamps, Pins, and Skewers</v>
      </c>
    </row>
    <row r="1179" spans="2:2" x14ac:dyDescent="0.25">
      <c r="B1179" t="str">
        <v>160-64: Slicers, Heavy Duty, Electric</v>
      </c>
    </row>
    <row r="1180" spans="2:2" x14ac:dyDescent="0.25">
      <c r="B1180" t="str">
        <v>160-65: Smokehouses: Portable, Gas or Electric, Including Parts and Accessories</v>
      </c>
    </row>
    <row r="1181" spans="2:2" x14ac:dyDescent="0.25">
      <c r="B1181" t="str">
        <v>160-68: Steak Machines and Tenderizers</v>
      </c>
    </row>
    <row r="1182" spans="2:2" x14ac:dyDescent="0.25">
      <c r="B1182" t="str">
        <v>160-70: Sterilizing Equipment: Knife Sterilizers, etc.</v>
      </c>
    </row>
    <row r="1183" spans="2:2" x14ac:dyDescent="0.25">
      <c r="B1183" t="str">
        <v>160-72: Stuffers, Meat, Heavy Duty, Electric</v>
      </c>
    </row>
    <row r="1184" spans="2:2" x14ac:dyDescent="0.25">
      <c r="B1184" t="str">
        <v>160-76: Tables, Meat Cutting</v>
      </c>
    </row>
    <row r="1185" spans="2:2" x14ac:dyDescent="0.25">
      <c r="B1185" t="str">
        <v>160-77: Tables and Sinks, Stainless Steel, Meat Washing, etc.</v>
      </c>
    </row>
    <row r="1186" spans="2:2" x14ac:dyDescent="0.25">
      <c r="B1186" t="str">
        <v>160-78: Tags and Fasteners</v>
      </c>
    </row>
    <row r="1187" spans="2:2" x14ac:dyDescent="0.25">
      <c r="B1187" t="str">
        <v>160-79: Thermometers, Meat</v>
      </c>
    </row>
    <row r="1188" spans="2:2" x14ac:dyDescent="0.25">
      <c r="B1188" t="str">
        <v>160-84: Trucks: Meat Handling, Head Inspection, Offal, Smoke, etc.</v>
      </c>
    </row>
    <row r="1189" spans="2:2" x14ac:dyDescent="0.25">
      <c r="B1189" t="str">
        <v>160-88: Vacuum Packaging Equipment and Supplies, Meat</v>
      </c>
    </row>
    <row r="1190" spans="2:2" x14ac:dyDescent="0.25">
      <c r="B1190" t="str">
        <v>165-02: Blenders, Food Cutters, Mixers and Food Processors</v>
      </c>
    </row>
    <row r="1191" spans="2:2" x14ac:dyDescent="0.25">
      <c r="B1191" t="str">
        <v>165-05: Cabinets, Counters, Stands, Tables, etc.</v>
      </c>
    </row>
    <row r="1192" spans="2:2" x14ac:dyDescent="0.25">
      <c r="B1192" t="str">
        <v>165-07: Cafeteria and Kitchen Equipment (Not Otherwise Classified)</v>
      </c>
    </row>
    <row r="1193" spans="2:2" x14ac:dyDescent="0.25">
      <c r="B1193" t="str">
        <v>165-08: Crushers, Can and Bottle</v>
      </c>
    </row>
    <row r="1194" spans="2:2" x14ac:dyDescent="0.25">
      <c r="B1194" t="str">
        <v>165-10: Can Openers and Knife Sharpeners, Electric</v>
      </c>
    </row>
    <row r="1195" spans="2:2" x14ac:dyDescent="0.25">
      <c r="B1195" t="str">
        <v>165-12: Can Openers, Manual</v>
      </c>
    </row>
    <row r="1196" spans="2:2" x14ac:dyDescent="0.25">
      <c r="B1196" t="str">
        <v>165-14: Cleaner/Sanitizer</v>
      </c>
    </row>
    <row r="1197" spans="2:2" x14ac:dyDescent="0.25">
      <c r="B1197" t="str">
        <v>165-15: Coffeemakers, Hot Water Dispensers, Urn Bags and Filters</v>
      </c>
    </row>
    <row r="1198" spans="2:2" x14ac:dyDescent="0.25">
      <c r="B1198" t="str">
        <v>165-16: Cold Pack, (For Use in Keeping Food Items Cold</v>
      </c>
    </row>
    <row r="1199" spans="2:2" x14ac:dyDescent="0.25">
      <c r="B1199" t="str">
        <v>165-17: Coffee Mills</v>
      </c>
    </row>
    <row r="1200" spans="2:2" x14ac:dyDescent="0.25">
      <c r="B1200" t="str">
        <v>165-18: Compactors, Trash, Cafeteria Type (See 045 and 545 for Other Types)</v>
      </c>
    </row>
    <row r="1201" spans="2:2" x14ac:dyDescent="0.25">
      <c r="B1201" t="str">
        <v>165-19: Cotton Candy Machines</v>
      </c>
    </row>
    <row r="1202" spans="2:2" x14ac:dyDescent="0.25">
      <c r="B1202" t="str">
        <v>165-20: Deep Fat Fryers</v>
      </c>
    </row>
    <row r="1203" spans="2:2" x14ac:dyDescent="0.25">
      <c r="B1203" t="str">
        <v>165-23: Dish Storage Units</v>
      </c>
    </row>
    <row r="1204" spans="2:2" x14ac:dyDescent="0.25">
      <c r="B1204" t="str">
        <v>165-26: Dish Trucks and Tote Boxes</v>
      </c>
    </row>
    <row r="1205" spans="2:2" x14ac:dyDescent="0.25">
      <c r="B1205" t="str">
        <v>165-29: Dishwashers</v>
      </c>
    </row>
    <row r="1206" spans="2:2" x14ac:dyDescent="0.25">
      <c r="B1206" t="str">
        <v>165-30: Dispensers: Aluminum Foil, Plastic Wrap, Food Service Gloves, etc.</v>
      </c>
    </row>
    <row r="1207" spans="2:2" x14ac:dyDescent="0.25">
      <c r="B1207" t="str">
        <v>165-31: Dispensers: Butter or Margarine</v>
      </c>
    </row>
    <row r="1208" spans="2:2" x14ac:dyDescent="0.25">
      <c r="B1208" t="str">
        <v>165-32: Dispensers: Cream, Juice, Milk, Pancake, Tea, etc.</v>
      </c>
    </row>
    <row r="1209" spans="2:2" x14ac:dyDescent="0.25">
      <c r="B1209" t="str">
        <v>165-33: Dispensers: Cup, Dish, Silverware, Tray, etc.</v>
      </c>
    </row>
    <row r="1210" spans="2:2" x14ac:dyDescent="0.25">
      <c r="B1210" t="str">
        <v>165-34: Dispensers: Drinking Straw, Napkins, Toothpicks, etc.</v>
      </c>
    </row>
    <row r="1211" spans="2:2" x14ac:dyDescent="0.25">
      <c r="B1211" t="str">
        <v>165-35: Disposal Units, Commercial (See 045-30 for Household Type)</v>
      </c>
    </row>
    <row r="1212" spans="2:2" x14ac:dyDescent="0.25">
      <c r="B1212" t="str">
        <v>165-37: Dunnage Racks</v>
      </c>
    </row>
    <row r="1213" spans="2:2" x14ac:dyDescent="0.25">
      <c r="B1213" t="str">
        <v>165-38: Extractors, Juice</v>
      </c>
    </row>
    <row r="1214" spans="2:2" x14ac:dyDescent="0.25">
      <c r="B1214" t="str">
        <v>165-41: Filters for Vent Hoods</v>
      </c>
    </row>
    <row r="1215" spans="2:2" x14ac:dyDescent="0.25">
      <c r="B1215" t="str">
        <v>165-44: Food Containers, Stainless Steel, Vacuum Type</v>
      </c>
    </row>
    <row r="1216" spans="2:2" x14ac:dyDescent="0.25">
      <c r="B1216" t="str">
        <v>165-45: Food Containers, Storage, Commercial Use</v>
      </c>
    </row>
    <row r="1217" spans="2:2" x14ac:dyDescent="0.25">
      <c r="B1217" t="str">
        <v>165-46: Food Serving Dinnerware (Not Otherwise Classified)</v>
      </c>
    </row>
    <row r="1218" spans="2:2" x14ac:dyDescent="0.25">
      <c r="B1218" t="str">
        <v>165-47: Food Carts and Cafeteria Serving Units Including Steam Tables</v>
      </c>
    </row>
    <row r="1219" spans="2:2" x14ac:dyDescent="0.25">
      <c r="B1219" t="str">
        <v>165-48: Hot and Hot and Cold Pass-Through Units (See Class 740 For Cold Only Pass-Through Units)</v>
      </c>
    </row>
    <row r="1220" spans="2:2" x14ac:dyDescent="0.25">
      <c r="B1220" t="str">
        <v>165-50: Ice Cream Making Machinery, Including Malt and Milkshake Equipment</v>
      </c>
    </row>
    <row r="1221" spans="2:2" x14ac:dyDescent="0.25">
      <c r="B1221" t="str">
        <v>165-52: Ice Equipment: Carts, Crushers, Picks, Scoops, Shavers, Storage Bins, Tongs, etc.</v>
      </c>
    </row>
    <row r="1222" spans="2:2" x14ac:dyDescent="0.25">
      <c r="B1222" t="str">
        <v>165-54: Ingredient Storage Bins</v>
      </c>
    </row>
    <row r="1223" spans="2:2" x14ac:dyDescent="0.25">
      <c r="B1223" t="str">
        <v>165-57: Menu Boards</v>
      </c>
    </row>
    <row r="1224" spans="2:2" x14ac:dyDescent="0.25">
      <c r="B1224" t="str">
        <v>165-59: Napkin Holders</v>
      </c>
    </row>
    <row r="1225" spans="2:2" x14ac:dyDescent="0.25">
      <c r="B1225" t="str">
        <v>165-60: Ovens, Including Convection and Microwave, Commercial</v>
      </c>
    </row>
    <row r="1226" spans="2:2" x14ac:dyDescent="0.25">
      <c r="B1226" t="str">
        <v>165-61: Pasta Cookers and Machines</v>
      </c>
    </row>
    <row r="1227" spans="2:2" x14ac:dyDescent="0.25">
      <c r="B1227" t="str">
        <v>165-62: Peeler: Fruit or Vegetable</v>
      </c>
    </row>
    <row r="1228" spans="2:2" x14ac:dyDescent="0.25">
      <c r="B1228" t="str">
        <v>165-65: Popcorn Machines</v>
      </c>
    </row>
    <row r="1229" spans="2:2" x14ac:dyDescent="0.25">
      <c r="B1229" t="str">
        <v>165-68: Racks: Cup, Glass, Tray, etc.</v>
      </c>
    </row>
    <row r="1230" spans="2:2" x14ac:dyDescent="0.25">
      <c r="B1230" t="str">
        <v>165-69: Racks: Dispensing, Food Service</v>
      </c>
    </row>
    <row r="1231" spans="2:2" x14ac:dyDescent="0.25">
      <c r="B1231" t="str">
        <v>165-70: Racks: Utensil and Pastry: Aluminum, Chrome, and Stainless Steel</v>
      </c>
    </row>
    <row r="1232" spans="2:2" x14ac:dyDescent="0.25">
      <c r="B1232" t="str">
        <v>165-73: Ranges, Griddles, Hot Plates, Warmers, etc., Electric and Gas</v>
      </c>
    </row>
    <row r="1233" spans="2:2" x14ac:dyDescent="0.25">
      <c r="B1233" t="str">
        <v>165-75: Refurbished Cafeteria and Kitchen Accessories and Supplies</v>
      </c>
    </row>
    <row r="1234" spans="2:2" x14ac:dyDescent="0.25">
      <c r="B1234" t="str">
        <v>165-76: Sanitizers (Used to sanitize dishes, counters or any food contact area)</v>
      </c>
    </row>
    <row r="1235" spans="2:2" x14ac:dyDescent="0.25">
      <c r="B1235" t="str">
        <v>165-77: Sieves and Strainers, Food</v>
      </c>
    </row>
    <row r="1236" spans="2:2" x14ac:dyDescent="0.25">
      <c r="B1236" t="str">
        <v>165-79: Sinks, Scullery, Galvanized and Stainless Steel</v>
      </c>
    </row>
    <row r="1237" spans="2:2" x14ac:dyDescent="0.25">
      <c r="B1237" t="str">
        <v>165-80: Slicers and Shredders</v>
      </c>
    </row>
    <row r="1238" spans="2:2" x14ac:dyDescent="0.25">
      <c r="B1238" t="str">
        <v>165-82: Soup Stations, Cafeteria</v>
      </c>
    </row>
    <row r="1239" spans="2:2" x14ac:dyDescent="0.25">
      <c r="B1239" t="str">
        <v>165-85: Steam Cookers and Steam Jacketed Kettles</v>
      </c>
    </row>
    <row r="1240" spans="2:2" x14ac:dyDescent="0.25">
      <c r="B1240" t="str">
        <v>165-88: Storage Shelves: Aluminum, Chrome, and Stainless Steel</v>
      </c>
    </row>
    <row r="1241" spans="2:2" x14ac:dyDescent="0.25">
      <c r="B1241" t="str">
        <v>165-89: Table Coverings, Food Service</v>
      </c>
    </row>
    <row r="1242" spans="2:2" x14ac:dyDescent="0.25">
      <c r="B1242" t="str">
        <v>165-91: Toasters, Electric and Gas</v>
      </c>
    </row>
    <row r="1243" spans="2:2" x14ac:dyDescent="0.25">
      <c r="B1243" t="str">
        <v>165-92: Vending Machines, Non-Refrigerated, Snacks, Laundry items, Candy, Cigarettes, etc.</v>
      </c>
    </row>
    <row r="1244" spans="2:2" x14ac:dyDescent="0.25">
      <c r="B1244" t="str">
        <v>165-94: Vent Hoods and Exhaust Systems, Range, Including Filters</v>
      </c>
    </row>
    <row r="1245" spans="2:2" x14ac:dyDescent="0.25">
      <c r="B1245" t="str">
        <v>175-03: Aprons and Gloves, Laboratory: Plastic, Rubber, etc.</v>
      </c>
    </row>
    <row r="1246" spans="2:2" x14ac:dyDescent="0.25">
      <c r="B1246" t="str">
        <v>175-06: Bacteriological Plugging Material, Cotton or Synthetic</v>
      </c>
    </row>
    <row r="1247" spans="2:2" x14ac:dyDescent="0.25">
      <c r="B1247" t="str">
        <v>175-08: Balances and Accessories, Laboratory</v>
      </c>
    </row>
    <row r="1248" spans="2:2" x14ac:dyDescent="0.25">
      <c r="B1248" t="str">
        <v>175-10: Burners, Heat Guns, Hot Plates With or Without Stirring), Mantles, etc.</v>
      </c>
    </row>
    <row r="1249" spans="2:2" x14ac:dyDescent="0.25">
      <c r="B1249" t="str">
        <v>175-11: Cells and Cuvettes, Photometry and Spectrometry</v>
      </c>
    </row>
    <row r="1250" spans="2:2" x14ac:dyDescent="0.25">
      <c r="B1250" t="str">
        <v>175-12: Ceramic Ware, All Types, Laboratory</v>
      </c>
    </row>
    <row r="1251" spans="2:2" x14ac:dyDescent="0.25">
      <c r="B1251" t="str">
        <v>175-13: Chemicals, Laboratory: ACS, CP, Practical, Reagent Grade, etc.</v>
      </c>
    </row>
    <row r="1252" spans="2:2" x14ac:dyDescent="0.25">
      <c r="B1252" t="str">
        <v>175-14: Chromatography Supplies: Developing Tanks, Columns, Packing, Septums, TLC Plates, etc.</v>
      </c>
    </row>
    <row r="1253" spans="2:2" x14ac:dyDescent="0.25">
      <c r="B1253" t="str">
        <v>175-15: Cleaning Equipment and Supplies, Laboratory</v>
      </c>
    </row>
    <row r="1254" spans="2:2" x14ac:dyDescent="0.25">
      <c r="B1254" t="str">
        <v>175-16: Cocktails (Solutions), Liquid Scintillation</v>
      </c>
    </row>
    <row r="1255" spans="2:2" x14ac:dyDescent="0.25">
      <c r="B1255" t="str">
        <v>175-17: Containers, Liquefied or Compressed Gases, Laboratory Sizes: Dewar Flasks, Gas Cylinders, Lecture Bottles, etc.</v>
      </c>
    </row>
    <row r="1256" spans="2:2" x14ac:dyDescent="0.25">
      <c r="B1256" t="str">
        <v>175-19: Crushers and Grinders, Metal and Stoneware: Ball Mills, etc.</v>
      </c>
    </row>
    <row r="1257" spans="2:2" x14ac:dyDescent="0.25">
      <c r="B1257" t="str">
        <v>175-22: Dialysis Equipment and Supplies: Cells, Fittings, Membranes, Motors, Tanks, Tubes, etc.</v>
      </c>
    </row>
    <row r="1258" spans="2:2" x14ac:dyDescent="0.25">
      <c r="B1258" t="str">
        <v>175-23: DNA or RNA Acids Nucleic, etc.: Including Extraction, Purification, Quantification and Sequencing Equipment</v>
      </c>
    </row>
    <row r="1259" spans="2:2" x14ac:dyDescent="0.25">
      <c r="B1259" t="str">
        <v>175-24: Dishes, Evaporating and Other Metal Vessel, (See Class 175-71 For Platinum)</v>
      </c>
    </row>
    <row r="1260" spans="2:2" x14ac:dyDescent="0.25">
      <c r="B1260" t="str">
        <v>175-25: Drying Equipment, Laboratory</v>
      </c>
    </row>
    <row r="1261" spans="2:2" x14ac:dyDescent="0.25">
      <c r="B1261" t="str">
        <v>175-27: Electrode Sensing Meters and Electrodes: Dissolved Oxygen, pH, Specific Ion, etc.</v>
      </c>
    </row>
    <row r="1262" spans="2:2" x14ac:dyDescent="0.25">
      <c r="B1262" t="str">
        <v>175-28: Electrophoresis Supplies: Gel Materials, Plates, Strips, Tubes, Wicks, etc.</v>
      </c>
    </row>
    <row r="1263" spans="2:2" x14ac:dyDescent="0.25">
      <c r="B1263" t="str">
        <v>175-29: Extraction, Digestion, and Distillation Apparatus, Specialized: Kjeldahl, Soxhlet, etc.</v>
      </c>
    </row>
    <row r="1264" spans="2:2" x14ac:dyDescent="0.25">
      <c r="B1264" t="str">
        <v>175-32: Filtering Apparatus and Filters, Liquids</v>
      </c>
    </row>
    <row r="1265" spans="2:2" x14ac:dyDescent="0.25">
      <c r="B1265" t="str">
        <v>175-33: Filter Paper and Membranes</v>
      </c>
    </row>
    <row r="1266" spans="2:2" x14ac:dyDescent="0.25">
      <c r="B1266" t="str">
        <v>175-36: Furnaces and Heaters, Laboratory</v>
      </c>
    </row>
    <row r="1267" spans="2:2" x14ac:dyDescent="0.25">
      <c r="B1267" t="str">
        <v>175-39: Glass Pipe and Fittings, Laboratory</v>
      </c>
    </row>
    <row r="1268" spans="2:2" x14ac:dyDescent="0.25">
      <c r="B1268" t="str">
        <v>175-40: Glassware, Laboratory, Custom-Made, Specialized Fabrication Only</v>
      </c>
    </row>
    <row r="1269" spans="2:2" x14ac:dyDescent="0.25">
      <c r="B1269" t="str">
        <v>175-42: Glassware, Laboratory, Stock Only</v>
      </c>
    </row>
    <row r="1270" spans="2:2" x14ac:dyDescent="0.25">
      <c r="B1270" t="str">
        <v>175-44: Glassware Washing Compounds</v>
      </c>
    </row>
    <row r="1271" spans="2:2" x14ac:dyDescent="0.25">
      <c r="B1271" t="str">
        <v>175-46: Holders, Glass Tube</v>
      </c>
    </row>
    <row r="1272" spans="2:2" x14ac:dyDescent="0.25">
      <c r="B1272" t="str">
        <v>175-47: Hydrometers and Pyconometers, Glass, Laboratory</v>
      </c>
    </row>
    <row r="1273" spans="2:2" x14ac:dyDescent="0.25">
      <c r="B1273" t="str">
        <v>175-48: Incinerators, Laboratory</v>
      </c>
    </row>
    <row r="1274" spans="2:2" x14ac:dyDescent="0.25">
      <c r="B1274" t="str">
        <v>175-49: Interval Timers and Actuators, Electrical and Mechanical</v>
      </c>
    </row>
    <row r="1275" spans="2:2" x14ac:dyDescent="0.25">
      <c r="B1275" t="str">
        <v>175-51: Ion Exchange Materials: Liquids, Resins, etc.</v>
      </c>
    </row>
    <row r="1276" spans="2:2" x14ac:dyDescent="0.25">
      <c r="B1276" t="str">
        <v>175-53: Laboratory Equipment, General</v>
      </c>
    </row>
    <row r="1277" spans="2:2" x14ac:dyDescent="0.25">
      <c r="B1277" t="str">
        <v>175-54: Laboratory Supplies: Asbestos Squares, Corks, Files, Glass Cutters, Ring Stands, Stopcock Grease, Tongs, Wire Gauze, etc.</v>
      </c>
    </row>
    <row r="1278" spans="2:2" x14ac:dyDescent="0.25">
      <c r="B1278" t="str">
        <v>175-55: Melting Point Apparatus, Laboratory</v>
      </c>
    </row>
    <row r="1279" spans="2:2" x14ac:dyDescent="0.25">
      <c r="B1279" t="str">
        <v>175-57: Metal Ware, Laboratory</v>
      </c>
    </row>
    <row r="1280" spans="2:2" x14ac:dyDescent="0.25">
      <c r="B1280" t="str">
        <v>175-60: Ovens, Laboratory</v>
      </c>
    </row>
    <row r="1281" spans="2:2" x14ac:dyDescent="0.25">
      <c r="B1281" t="str">
        <v>175-62: Papers, Laboratory</v>
      </c>
    </row>
    <row r="1282" spans="2:2" x14ac:dyDescent="0.25">
      <c r="B1282" t="str">
        <v>175-65: pH Buffer Solutions, Indicators, and Papers</v>
      </c>
    </row>
    <row r="1283" spans="2:2" x14ac:dyDescent="0.25">
      <c r="B1283" t="str">
        <v>175-66: Pipette Pullers  (Inactive, please see commodity code 175-67 effective January 1, 2016)</v>
      </c>
    </row>
    <row r="1284" spans="2:2" x14ac:dyDescent="0.25">
      <c r="B1284" t="str">
        <v>175-67: Pipetters, Pullers and Dispensers</v>
      </c>
    </row>
    <row r="1285" spans="2:2" x14ac:dyDescent="0.25">
      <c r="B1285" t="str">
        <v>175-68: Plastic Ware, All Types</v>
      </c>
    </row>
    <row r="1286" spans="2:2" x14ac:dyDescent="0.25">
      <c r="B1286" t="str">
        <v>175-70: Porcelain Ware, All Types</v>
      </c>
    </row>
    <row r="1287" spans="2:2" x14ac:dyDescent="0.25">
      <c r="B1287" t="str">
        <v>175-71: Platinum Ware: Boats, Crucibles, Dishes, etc.</v>
      </c>
    </row>
    <row r="1288" spans="2:2" x14ac:dyDescent="0.25">
      <c r="B1288" t="str">
        <v>175-72: Precious Metals, All Forms, Including Salts: Gold, Platinum Group Metals, and Silver</v>
      </c>
    </row>
    <row r="1289" spans="2:2" x14ac:dyDescent="0.25">
      <c r="B1289" t="str">
        <v>175-74: Reagents and Chemicals, Ultrapure, Meeting Higher Standards than Ordinary Reagent Grade, etc.</v>
      </c>
    </row>
    <row r="1290" spans="2:2" x14ac:dyDescent="0.25">
      <c r="B1290" t="str">
        <v>175-75: Refractometers</v>
      </c>
    </row>
    <row r="1291" spans="2:2" x14ac:dyDescent="0.25">
      <c r="B1291" t="str">
        <v>175-76: Recycled Laboratory Accessories and Supplies</v>
      </c>
    </row>
    <row r="1292" spans="2:2" x14ac:dyDescent="0.25">
      <c r="B1292" t="str">
        <v>175-77: Sand, Cement Testing</v>
      </c>
    </row>
    <row r="1293" spans="2:2" x14ac:dyDescent="0.25">
      <c r="B1293" t="str">
        <v>175-78: Screening and Sieving Apparatus and Accessories: Riffle Samplers, Sieve Shakers, etc.</v>
      </c>
    </row>
    <row r="1294" spans="2:2" x14ac:dyDescent="0.25">
      <c r="B1294" t="str">
        <v>175-79: Solvent Reclaiming Unit, Cleaning</v>
      </c>
    </row>
    <row r="1295" spans="2:2" x14ac:dyDescent="0.25">
      <c r="B1295" t="str">
        <v>175-80: Stainless Steel Ware, All Kinds</v>
      </c>
    </row>
    <row r="1296" spans="2:2" x14ac:dyDescent="0.25">
      <c r="B1296" t="str">
        <v>175-82: Stirrers, Blenders, Homogenizers, Mixers and Shakers</v>
      </c>
    </row>
    <row r="1297" spans="2:2" x14ac:dyDescent="0.25">
      <c r="B1297" t="str">
        <v>175-84: Stoppers, Rubber and Synthetic</v>
      </c>
    </row>
    <row r="1298" spans="2:2" x14ac:dyDescent="0.25">
      <c r="B1298" t="str">
        <v>175-85: Syringes, Manual and Automatic, Laboratory</v>
      </c>
    </row>
    <row r="1299" spans="2:2" x14ac:dyDescent="0.25">
      <c r="B1299" t="str">
        <v>175-87: Thermometers, General Laboratory Type</v>
      </c>
    </row>
    <row r="1300" spans="2:2" x14ac:dyDescent="0.25">
      <c r="B1300" t="str">
        <v>175-88: Transformers, Variable, Laboratory Type</v>
      </c>
    </row>
    <row r="1301" spans="2:2" x14ac:dyDescent="0.25">
      <c r="B1301" t="str">
        <v>175-89: Tubing, Plastic, All Types, Laboratory</v>
      </c>
    </row>
    <row r="1302" spans="2:2" x14ac:dyDescent="0.25">
      <c r="B1302" t="str">
        <v>175-90: Tubing, Rubber, All Types, Laboratory</v>
      </c>
    </row>
    <row r="1303" spans="2:2" x14ac:dyDescent="0.25">
      <c r="B1303" t="str">
        <v>175-91: Tubing, Steel, Laboratory</v>
      </c>
    </row>
    <row r="1304" spans="2:2" x14ac:dyDescent="0.25">
      <c r="B1304" t="str">
        <v>175-92: Tubing, Glass, Laboratory</v>
      </c>
    </row>
    <row r="1305" spans="2:2" x14ac:dyDescent="0.25">
      <c r="B1305" t="str">
        <v>175-93: Water Baths and Steam Baths, Except Recirculating and Shaking</v>
      </c>
    </row>
    <row r="1306" spans="2:2" x14ac:dyDescent="0.25">
      <c r="B1306" t="str">
        <v>175-95: Water Purification Apparatus and Treatments, For Distilled, Reagent Water, etc.</v>
      </c>
    </row>
    <row r="1307" spans="2:2" x14ac:dyDescent="0.25">
      <c r="B1307" t="str">
        <v>180-02: Abrasives: Feldspar, Pumice, Silica, etc.</v>
      </c>
    </row>
    <row r="1308" spans="2:2" x14ac:dyDescent="0.25">
      <c r="B1308" t="str">
        <v>180-04: Acids, Inorganic: Hydrochloric, Phosphoric, Sulfuric, etc.</v>
      </c>
    </row>
    <row r="1309" spans="2:2" x14ac:dyDescent="0.25">
      <c r="B1309" t="str">
        <v>180-06: Acids, Organic: Hydroxyacetic, Oleic, Stearic, etc.</v>
      </c>
    </row>
    <row r="1310" spans="2:2" x14ac:dyDescent="0.25">
      <c r="B1310" t="str">
        <v>180-08: Alcohols</v>
      </c>
    </row>
    <row r="1311" spans="2:2" x14ac:dyDescent="0.25">
      <c r="B1311" t="str">
        <v>180-12: Ammonium Hydroxide, Aqua Ammonia and Amines</v>
      </c>
    </row>
    <row r="1312" spans="2:2" x14ac:dyDescent="0.25">
      <c r="B1312" t="str">
        <v>180-14: Antioxidants</v>
      </c>
    </row>
    <row r="1313" spans="2:2" x14ac:dyDescent="0.25">
      <c r="B1313" t="str">
        <v>180-20: Bacteriostats and Germicides, Except Quaternary Ammonium Type</v>
      </c>
    </row>
    <row r="1314" spans="2:2" x14ac:dyDescent="0.25">
      <c r="B1314" t="str">
        <v>180-24: Bicarbonates and Carbonates</v>
      </c>
    </row>
    <row r="1315" spans="2:2" x14ac:dyDescent="0.25">
      <c r="B1315" t="str">
        <v>180-28: Boron Compounds</v>
      </c>
    </row>
    <row r="1316" spans="2:2" x14ac:dyDescent="0.25">
      <c r="B1316" t="str">
        <v>180-30: Brighteners, Fluorescent, Optical Bleaches</v>
      </c>
    </row>
    <row r="1317" spans="2:2" x14ac:dyDescent="0.25">
      <c r="B1317" t="str">
        <v>180-34: Chelating and Sequestering Agents, Except Phosphates</v>
      </c>
    </row>
    <row r="1318" spans="2:2" x14ac:dyDescent="0.25">
      <c r="B1318" t="str">
        <v>180-36: Chlorine Carriers, Inorganic and Organic</v>
      </c>
    </row>
    <row r="1319" spans="2:2" x14ac:dyDescent="0.25">
      <c r="B1319" t="str">
        <v>180-38: Color Compounds and Dispersions</v>
      </c>
    </row>
    <row r="1320" spans="2:2" x14ac:dyDescent="0.25">
      <c r="B1320" t="str">
        <v>180-42: Dyes and Pigments</v>
      </c>
    </row>
    <row r="1321" spans="2:2" x14ac:dyDescent="0.25">
      <c r="B1321" t="str">
        <v>180-44: Emollients: Glycol Stearate, Lanolin, etc.</v>
      </c>
    </row>
    <row r="1322" spans="2:2" x14ac:dyDescent="0.25">
      <c r="B1322" t="str">
        <v>180-48: Fats, Vegetable Oils, and Fatty Acids: Coconut, Tall Oil, Tallow, etc.</v>
      </c>
    </row>
    <row r="1323" spans="2:2" x14ac:dyDescent="0.25">
      <c r="B1323" t="str">
        <v>180-54: Foam Stabilizers</v>
      </c>
    </row>
    <row r="1324" spans="2:2" x14ac:dyDescent="0.25">
      <c r="B1324" t="str">
        <v>180-58: Hydroxides, Alkali Metal</v>
      </c>
    </row>
    <row r="1325" spans="2:2" x14ac:dyDescent="0.25">
      <c r="B1325" t="str">
        <v>180-60: Isotopes and their Compounds, Organic and Inorganic</v>
      </c>
    </row>
    <row r="1326" spans="2:2" x14ac:dyDescent="0.25">
      <c r="B1326" t="str">
        <v>180-62: Latexes, Resins, Waxes, and Polymers, For Floor Finishes</v>
      </c>
    </row>
    <row r="1327" spans="2:2" x14ac:dyDescent="0.25">
      <c r="B1327" t="str">
        <v>180-66: Mineral Oil, etc. (Inactive, please see commodity code 180-72 effective January 1, 2016)</v>
      </c>
    </row>
    <row r="1328" spans="2:2" x14ac:dyDescent="0.25">
      <c r="B1328" t="str">
        <v>180-70: Opacifiers</v>
      </c>
    </row>
    <row r="1329" spans="2:2" x14ac:dyDescent="0.25">
      <c r="B1329" t="str">
        <v>180-72: Perfumes and Essential Oils: Citronella, Mineral Oil, etc.</v>
      </c>
    </row>
    <row r="1330" spans="2:2" x14ac:dyDescent="0.25">
      <c r="B1330" t="str">
        <v>180-74: Phosphates, Inorganic</v>
      </c>
    </row>
    <row r="1331" spans="2:2" x14ac:dyDescent="0.25">
      <c r="B1331" t="str">
        <v>180-79: Quaternary Ammonium Derivatives, For Antistats, Bacteriostats, Fabric Softeners, etc.</v>
      </c>
    </row>
    <row r="1332" spans="2:2" x14ac:dyDescent="0.25">
      <c r="B1332" t="str">
        <v>180-81: Recycled Chemical Raw Materials</v>
      </c>
    </row>
    <row r="1333" spans="2:2" x14ac:dyDescent="0.25">
      <c r="B1333" t="str">
        <v>180-84: Silicates</v>
      </c>
    </row>
    <row r="1334" spans="2:2" x14ac:dyDescent="0.25">
      <c r="B1334" t="str">
        <v>180-86: Sodium Carboxymethylcellulose (CMC) and other Cellulose Derivatives</v>
      </c>
    </row>
    <row r="1335" spans="2:2" x14ac:dyDescent="0.25">
      <c r="B1335" t="str">
        <v>180-88: Solvents and Coupling Agents, Including Ethers</v>
      </c>
    </row>
    <row r="1336" spans="2:2" x14ac:dyDescent="0.25">
      <c r="B1336" t="str">
        <v>180-90: Sulfates, Inorganic</v>
      </c>
    </row>
    <row r="1337" spans="2:2" x14ac:dyDescent="0.25">
      <c r="B1337" t="str">
        <v>180-91: Surfactants, Amphoteric and Cationic: Detergents, Emulsifiers, etc.</v>
      </c>
    </row>
    <row r="1338" spans="2:2" x14ac:dyDescent="0.25">
      <c r="B1338" t="str">
        <v>180-92: Surfactants, Anionic: Organic Phosphates, Sulfates, Sulfonates, etc.</v>
      </c>
    </row>
    <row r="1339" spans="2:2" x14ac:dyDescent="0.25">
      <c r="B1339" t="str">
        <v>180-93: Surfactants, Nonionic: Ethoxylated Alcohols, Ethoxylated Lanolin, Ethoxylated Phenols, etc.</v>
      </c>
    </row>
    <row r="1340" spans="2:2" x14ac:dyDescent="0.25">
      <c r="B1340" t="str">
        <v>180-94: Titanium Dioxide, Anatase</v>
      </c>
    </row>
    <row r="1341" spans="2:2" x14ac:dyDescent="0.25">
      <c r="B1341" t="str">
        <v>190-18: Acids, Mineral: Boric, Hydrobromic, Hydrochloric, Sulfuric, etc.</v>
      </c>
    </row>
    <row r="1342" spans="2:2" x14ac:dyDescent="0.25">
      <c r="B1342" t="str">
        <v>190-25: Alcohols: Ethyl, Isopropyl, Methyl, etc., and Glycerin</v>
      </c>
    </row>
    <row r="1343" spans="2:2" x14ac:dyDescent="0.25">
      <c r="B1343" t="str">
        <v>190-30: Bio-Chemical Compounds, Organic and Inorganic: Ammonia Derivatives, Amines, Amides, Imines, Imides</v>
      </c>
    </row>
    <row r="1344" spans="2:2" x14ac:dyDescent="0.25">
      <c r="B1344" t="str">
        <v>190-36: Chemicals, Bulk (Not Otherwise Classified)</v>
      </c>
    </row>
    <row r="1345" spans="2:2" x14ac:dyDescent="0.25">
      <c r="B1345" t="str">
        <v>190-40: Chlorinated Hydrocarbons: Methylene Chloride, 1,1,1-Trichloroethane, etc.</v>
      </c>
    </row>
    <row r="1346" spans="2:2" x14ac:dyDescent="0.25">
      <c r="B1346" t="str">
        <v>190-42: Compounds, Inorganic Chemical</v>
      </c>
    </row>
    <row r="1347" spans="2:2" x14ac:dyDescent="0.25">
      <c r="B1347" t="str">
        <v>190-43: Compounds, Organic Chemical</v>
      </c>
    </row>
    <row r="1348" spans="2:2" x14ac:dyDescent="0.25">
      <c r="B1348" t="str">
        <v>190-46: Formaldehyde Solution, Formalin</v>
      </c>
    </row>
    <row r="1349" spans="2:2" x14ac:dyDescent="0.25">
      <c r="B1349" t="str">
        <v>190-51: Heat Transfer Media, Liquid</v>
      </c>
    </row>
    <row r="1350" spans="2:2" x14ac:dyDescent="0.25">
      <c r="B1350" t="str">
        <v>190-55: Hexane and Pentane</v>
      </c>
    </row>
    <row r="1351" spans="2:2" x14ac:dyDescent="0.25">
      <c r="B1351" t="str">
        <v>190-57: Intermediates and Fixatives, Chemical</v>
      </c>
    </row>
    <row r="1352" spans="2:2" x14ac:dyDescent="0.25">
      <c r="B1352" t="str">
        <v>190-60: Ketones: Acetone, Diacetone Alcohol, Methyl Isobutyl Ketone, etc.</v>
      </c>
    </row>
    <row r="1353" spans="2:2" x14ac:dyDescent="0.25">
      <c r="B1353" t="str">
        <v>190-68: Oxidizing and Bleaching Agents</v>
      </c>
    </row>
    <row r="1354" spans="2:2" x14ac:dyDescent="0.25">
      <c r="B1354" t="str">
        <v>190-69: Oxides, Including All Oxided Substances</v>
      </c>
    </row>
    <row r="1355" spans="2:2" x14ac:dyDescent="0.25">
      <c r="B1355" t="str">
        <v>190-70: Phenol, Liquid</v>
      </c>
    </row>
    <row r="1356" spans="2:2" x14ac:dyDescent="0.25">
      <c r="B1356" t="str">
        <v>190-75: Recycled Bulk Chemicals and Solvents</v>
      </c>
    </row>
    <row r="1357" spans="2:2" x14ac:dyDescent="0.25">
      <c r="B1357" t="str">
        <v>190-80: Silicone Fluids</v>
      </c>
    </row>
    <row r="1358" spans="2:2" x14ac:dyDescent="0.25">
      <c r="B1358" t="str">
        <v>190-81: Pentachlorophenol (Penta), Creosote Oil, and other Wood Preservatives</v>
      </c>
    </row>
    <row r="1359" spans="2:2" x14ac:dyDescent="0.25">
      <c r="B1359" t="str">
        <v>190-85: Sodium Phosphates and Polyphosphates</v>
      </c>
    </row>
    <row r="1360" spans="2:2" x14ac:dyDescent="0.25">
      <c r="B1360" t="str">
        <v>190-90: Solvents (Not Otherwise Classified)</v>
      </c>
    </row>
    <row r="1361" spans="2:2" x14ac:dyDescent="0.25">
      <c r="B1361" t="str">
        <v>190-95: Toluene</v>
      </c>
    </row>
    <row r="1362" spans="2:2" x14ac:dyDescent="0.25">
      <c r="B1362" t="str">
        <v>192-10: Aromatic Hydrocarbon Mixtures, Cleaning Solvents</v>
      </c>
    </row>
    <row r="1363" spans="2:2" x14ac:dyDescent="0.25">
      <c r="B1363" t="str">
        <v>192-17: Chemical Spill Solvents and Detergents</v>
      </c>
    </row>
    <row r="1364" spans="2:2" x14ac:dyDescent="0.25">
      <c r="B1364" t="str">
        <v>192-18: Cleaners, Miscellaneous,( Not Otherwise Classified)</v>
      </c>
    </row>
    <row r="1365" spans="2:2" x14ac:dyDescent="0.25">
      <c r="B1365" t="str">
        <v>192-20: Cold-Tank and Soak-Tank Cleaners, Heavy Duty Shop Use, etc.</v>
      </c>
    </row>
    <row r="1366" spans="2:2" x14ac:dyDescent="0.25">
      <c r="B1366" t="str">
        <v>192-25: Concrete Strippers and Brick Detergents</v>
      </c>
    </row>
    <row r="1367" spans="2:2" x14ac:dyDescent="0.25">
      <c r="B1367" t="str">
        <v>192-40: Glue Solvents</v>
      </c>
    </row>
    <row r="1368" spans="2:2" x14ac:dyDescent="0.25">
      <c r="B1368" t="str">
        <v>192-43: Herbicides and Other Poisons, Cleaning Agents, Used to Clean Spray Equipment</v>
      </c>
    </row>
    <row r="1369" spans="2:2" x14ac:dyDescent="0.25">
      <c r="B1369" t="str">
        <v>192-46: Ice and Snow Removal Chemicals (See 775-45 for Road Salt)</v>
      </c>
    </row>
    <row r="1370" spans="2:2" x14ac:dyDescent="0.25">
      <c r="B1370" t="str">
        <v>192-55: Nonflammable Solvent Mixtures, Safety Solvents</v>
      </c>
    </row>
    <row r="1371" spans="2:2" x14ac:dyDescent="0.25">
      <c r="B1371" t="str">
        <v>192-60: Packing Plant, Smokehouse, and Slaughter House Cleaning Compositions</v>
      </c>
    </row>
    <row r="1372" spans="2:2" x14ac:dyDescent="0.25">
      <c r="B1372" t="str">
        <v>192-65: Paint Spray Booth Compounds, Water-Soluble</v>
      </c>
    </row>
    <row r="1373" spans="2:2" x14ac:dyDescent="0.25">
      <c r="B1373" t="str">
        <v>192-70: Recycled Cleaning Compositions</v>
      </c>
    </row>
    <row r="1374" spans="2:2" x14ac:dyDescent="0.25">
      <c r="B1374" t="str">
        <v>192-80: Spray Detergents, Heavy Duty and Steam Cleaning</v>
      </c>
    </row>
    <row r="1375" spans="2:2" x14ac:dyDescent="0.25">
      <c r="B1375" t="str">
        <v>192-83: Steam Cleaning Compounds</v>
      </c>
    </row>
    <row r="1376" spans="2:2" x14ac:dyDescent="0.25">
      <c r="B1376" t="str">
        <v>192-84: Stripping Solvents (Not Otherwise Classified)</v>
      </c>
    </row>
    <row r="1377" spans="2:2" x14ac:dyDescent="0.25">
      <c r="B1377" t="str">
        <v>192-85: Surface-Active Agents: Emulsifiers, Wetting Agents, and One-Component Nonionic Detergents (See Also Class 180)</v>
      </c>
    </row>
    <row r="1378" spans="2:2" x14ac:dyDescent="0.25">
      <c r="B1378" t="str">
        <v>193-08: Blood Chemistry and Hematology Controls and References, Normal and Abnormal:  Blood Gas Hemoglobin, Plasma and Serum Factors</v>
      </c>
    </row>
    <row r="1379" spans="2:2" x14ac:dyDescent="0.25">
      <c r="B1379" t="str">
        <v>193-12: Blood Chemistry and Hematology Reagents and Supplies, Automatic and Semiautomatic Instruments: Counting Controls, Detergents, etc.</v>
      </c>
    </row>
    <row r="1380" spans="2:2" x14ac:dyDescent="0.25">
      <c r="B1380" t="str">
        <v>193-14: Blood Chemistry Reagents and Tests, Nonautomated: BUN, Enzymes, Glucose, Proteins, Triglycerides, etc.</v>
      </c>
    </row>
    <row r="1381" spans="2:2" x14ac:dyDescent="0.25">
      <c r="B1381" t="str">
        <v>193-18: Blood Coagulation Reagents and Controls: Fibrinogen, Fibrin, Ogen, Split Products, Prothrombin Time, etc.</v>
      </c>
    </row>
    <row r="1382" spans="2:2" x14ac:dyDescent="0.25">
      <c r="B1382" t="str">
        <v>193-22: Blood Fractions, Grouping, Typing, and Diagnosis: Reagent Red Cells, Sera, Antisera, etc.</v>
      </c>
    </row>
    <row r="1383" spans="2:2" x14ac:dyDescent="0.25">
      <c r="B1383" t="str">
        <v>193-26: Blood Grouping and Typing Reagents: Antibody Potentiating Media, Copper Sulfate Solutions, Normal Saline, etc.</v>
      </c>
    </row>
    <row r="1384" spans="2:2" x14ac:dyDescent="0.25">
      <c r="B1384" t="str">
        <v>193-36: Diagnostic Reagents and Supplies, Automated Chemistry</v>
      </c>
    </row>
    <row r="1385" spans="2:2" x14ac:dyDescent="0.25">
      <c r="B1385" t="str">
        <v>193-40: Diagnostic Reagents and Tests, Diseases, Pregnancy, etc.: Cards, Slides, Spot Tests, Strips, Tablets, etc.</v>
      </c>
    </row>
    <row r="1386" spans="2:2" x14ac:dyDescent="0.25">
      <c r="B1386" t="str">
        <v>193-48: Drug Assay and Screening Test Kits, Except Radioimmunoassay</v>
      </c>
    </row>
    <row r="1387" spans="2:2" x14ac:dyDescent="0.25">
      <c r="B1387" t="str">
        <v>193-52: Enzyme Immunoassay Reagents</v>
      </c>
    </row>
    <row r="1388" spans="2:2" x14ac:dyDescent="0.25">
      <c r="B1388" t="str">
        <v>193-66: Nuclear Medicine Test Kits</v>
      </c>
    </row>
    <row r="1389" spans="2:2" x14ac:dyDescent="0.25">
      <c r="B1389" t="str">
        <v>193-80: Radioactive Diagnostic Reagents</v>
      </c>
    </row>
    <row r="1390" spans="2:2" x14ac:dyDescent="0.25">
      <c r="B1390" t="str">
        <v>193-84: Radioimmunoassay Kits</v>
      </c>
    </row>
    <row r="1391" spans="2:2" x14ac:dyDescent="0.25">
      <c r="B1391" t="str">
        <v>193-85: Recycled Clinical Laboratory Reagents and Tests</v>
      </c>
    </row>
    <row r="1392" spans="2:2" x14ac:dyDescent="0.25">
      <c r="B1392" t="str">
        <v>193-88: Tests, Examination of Other Body Fluids, Wastes, etc., (Not Otherwise Classified)</v>
      </c>
    </row>
    <row r="1393" spans="2:2" x14ac:dyDescent="0.25">
      <c r="B1393" t="str">
        <v>193-89: Test Kits and Supplies, Chemistry (Not Otherwise Classified)</v>
      </c>
    </row>
    <row r="1394" spans="2:2" x14ac:dyDescent="0.25">
      <c r="B1394" t="str">
        <v>193-92: Urine and Spinal Fluid Controls, Normal and Abnormal</v>
      </c>
    </row>
    <row r="1395" spans="2:2" x14ac:dyDescent="0.25">
      <c r="B1395" t="str">
        <v>193-94: Urinalysis Reagents and Tests: Albumin, Bile, Blood, Glucose, Ketones, etc.</v>
      </c>
    </row>
    <row r="1396" spans="2:2" x14ac:dyDescent="0.25">
      <c r="B1396" t="str">
        <v>193-95: Virology Test Equipment and Supplies</v>
      </c>
    </row>
    <row r="1397" spans="2:2" x14ac:dyDescent="0.25">
      <c r="B1397" t="str">
        <v>193-97: X-Ray Contrast Media: Barium, Sulfate, Dyes, etc.</v>
      </c>
    </row>
    <row r="1398" spans="2:2" x14ac:dyDescent="0.25">
      <c r="B1398" t="str">
        <v>195-08: Alarm Clocks, Electric and Spring</v>
      </c>
    </row>
    <row r="1399" spans="2:2" x14ac:dyDescent="0.25">
      <c r="B1399" t="str">
        <v>195-12: Braille Watches and Clocks</v>
      </c>
    </row>
    <row r="1400" spans="2:2" x14ac:dyDescent="0.25">
      <c r="B1400" t="str">
        <v>195-15: Clocks, Countdown</v>
      </c>
    </row>
    <row r="1401" spans="2:2" x14ac:dyDescent="0.25">
      <c r="B1401" t="str">
        <v>195-16: Clock and Watchmakers' Repair Parts and Materials</v>
      </c>
    </row>
    <row r="1402" spans="2:2" x14ac:dyDescent="0.25">
      <c r="B1402" t="str">
        <v>195-17: Clocks, Battery Operated (See 195-80 for Wall Type)</v>
      </c>
    </row>
    <row r="1403" spans="2:2" x14ac:dyDescent="0.25">
      <c r="B1403" t="str">
        <v>195-18: Clocks, Electric, Commercial</v>
      </c>
    </row>
    <row r="1404" spans="2:2" x14ac:dyDescent="0.25">
      <c r="B1404" t="str">
        <v>195-19: Clocks, Electronic</v>
      </c>
    </row>
    <row r="1405" spans="2:2" x14ac:dyDescent="0.25">
      <c r="B1405" t="str">
        <v>195-20: Clocks, Game, Sports</v>
      </c>
    </row>
    <row r="1406" spans="2:2" x14ac:dyDescent="0.25">
      <c r="B1406" t="str">
        <v>195-23: Hourglasses</v>
      </c>
    </row>
    <row r="1407" spans="2:2" x14ac:dyDescent="0.25">
      <c r="B1407" t="str">
        <v>195-24: Jewelers' and Watchmakers' Shop Equipment and Furniture</v>
      </c>
    </row>
    <row r="1408" spans="2:2" x14ac:dyDescent="0.25">
      <c r="B1408" t="str">
        <v>195-27: Jewelers' and Watchmakers' Tools and Accessories</v>
      </c>
    </row>
    <row r="1409" spans="2:2" x14ac:dyDescent="0.25">
      <c r="B1409" t="str">
        <v>195-30: Jewelers' and Watchmakers' Manuals</v>
      </c>
    </row>
    <row r="1410" spans="2:2" x14ac:dyDescent="0.25">
      <c r="B1410" t="str">
        <v>195-32: Jewelry, Costume</v>
      </c>
    </row>
    <row r="1411" spans="2:2" x14ac:dyDescent="0.25">
      <c r="B1411" t="str">
        <v>195-33: Jewelry, Fine</v>
      </c>
    </row>
    <row r="1412" spans="2:2" x14ac:dyDescent="0.25">
      <c r="B1412" t="str">
        <v>195-40: Master Clock Systems and Parts</v>
      </c>
    </row>
    <row r="1413" spans="2:2" x14ac:dyDescent="0.25">
      <c r="B1413" t="str">
        <v>195-49: Precious and Semi-Precious Stones, Gems and Pearls</v>
      </c>
    </row>
    <row r="1414" spans="2:2" x14ac:dyDescent="0.25">
      <c r="B1414" t="str">
        <v>195-50: Program Clocks, Bells, Lights, and Chimes</v>
      </c>
    </row>
    <row r="1415" spans="2:2" x14ac:dyDescent="0.25">
      <c r="B1415" t="str">
        <v>195-56: Recycled Timepiece Accessories and Supplies</v>
      </c>
    </row>
    <row r="1416" spans="2:2" x14ac:dyDescent="0.25">
      <c r="B1416" t="str">
        <v>195-60: Stopwatches, Including Liquid Crystal Display</v>
      </c>
    </row>
    <row r="1417" spans="2:2" x14ac:dyDescent="0.25">
      <c r="B1417" t="str">
        <v>195-67: Time and Attendance Data Collection Systems</v>
      </c>
    </row>
    <row r="1418" spans="2:2" x14ac:dyDescent="0.25">
      <c r="B1418" t="str">
        <v>195-68: Time Clocks and Recorders, Accessories, and Parts</v>
      </c>
    </row>
    <row r="1419" spans="2:2" x14ac:dyDescent="0.25">
      <c r="B1419" t="str">
        <v>195-70: Time Indicators, Elapsed</v>
      </c>
    </row>
    <row r="1420" spans="2:2" x14ac:dyDescent="0.25">
      <c r="B1420" t="str">
        <v>195-74: Timers, Interval, Including Parks and Accessories, Not Photographic or Laboratory</v>
      </c>
    </row>
    <row r="1421" spans="2:2" x14ac:dyDescent="0.25">
      <c r="B1421" t="str">
        <v>195-80: Wall Clocks, Battery</v>
      </c>
    </row>
    <row r="1422" spans="2:2" x14ac:dyDescent="0.25">
      <c r="B1422" t="str">
        <v>195-83: Wall Clocks, Electric</v>
      </c>
    </row>
    <row r="1423" spans="2:2" x14ac:dyDescent="0.25">
      <c r="B1423" t="str">
        <v>195-85: Watches: Pocket, Wrist, etc.</v>
      </c>
    </row>
    <row r="1424" spans="2:2" x14ac:dyDescent="0.25">
      <c r="B1424" t="str">
        <v>195-88: Watchmen's Clocks and Supplies</v>
      </c>
    </row>
    <row r="1425" spans="2:2" x14ac:dyDescent="0.25">
      <c r="B1425" t="str">
        <v>200-10: Athletic Clothing</v>
      </c>
    </row>
    <row r="1426" spans="2:2" x14ac:dyDescent="0.25">
      <c r="B1426" t="str">
        <v>200-11: Athletic Clothing Accessories</v>
      </c>
    </row>
    <row r="1427" spans="2:2" x14ac:dyDescent="0.25">
      <c r="B1427" t="str">
        <v>200-13: Children's Clothing</v>
      </c>
    </row>
    <row r="1428" spans="2:2" x14ac:dyDescent="0.25">
      <c r="B1428" t="str">
        <v>200-16: Coats, Jackets, Parkas, Vests, Cold Weather</v>
      </c>
    </row>
    <row r="1429" spans="2:2" x14ac:dyDescent="0.25">
      <c r="B1429" t="str">
        <v>200-18: Compostable Disposable Clothing, Including House Slippers and Hats</v>
      </c>
    </row>
    <row r="1430" spans="2:2" x14ac:dyDescent="0.25">
      <c r="B1430" t="str">
        <v>200-19: Disposable Clothing (See Class 475 for Hospital Type)</v>
      </c>
    </row>
    <row r="1431" spans="2:2" x14ac:dyDescent="0.25">
      <c r="B1431" t="str">
        <v>200-25: Dresses, Skirts, Blouses</v>
      </c>
    </row>
    <row r="1432" spans="2:2" x14ac:dyDescent="0.25">
      <c r="B1432" t="str">
        <v>200-26: Food Service Clothing</v>
      </c>
    </row>
    <row r="1433" spans="2:2" x14ac:dyDescent="0.25">
      <c r="B1433" t="str">
        <v>200-27: Folkloric Clothing</v>
      </c>
    </row>
    <row r="1434" spans="2:2" x14ac:dyDescent="0.25">
      <c r="B1434" t="str">
        <v>200-28: Formal Clothing: Tuxedos, Formal Gowns, etc.</v>
      </c>
    </row>
    <row r="1435" spans="2:2" x14ac:dyDescent="0.25">
      <c r="B1435" t="str">
        <v>200-31: Hazardous Environment Clothing</v>
      </c>
    </row>
    <row r="1436" spans="2:2" x14ac:dyDescent="0.25">
      <c r="B1436" t="str">
        <v>200-32: Hospital Wear, Patient</v>
      </c>
    </row>
    <row r="1437" spans="2:2" x14ac:dyDescent="0.25">
      <c r="B1437" t="str">
        <v>200-34: Hospital Wear, Professional</v>
      </c>
    </row>
    <row r="1438" spans="2:2" x14ac:dyDescent="0.25">
      <c r="B1438" t="str">
        <v>200-36: Infant Apparel, Including Booties and Shoes</v>
      </c>
    </row>
    <row r="1439" spans="2:2" x14ac:dyDescent="0.25">
      <c r="B1439" t="str">
        <v>200-38: Insulated Clothing</v>
      </c>
    </row>
    <row r="1440" spans="2:2" x14ac:dyDescent="0.25">
      <c r="B1440" t="str">
        <v>200-40: Laboratory Clothing, All Kinds (See 175-03 for Aprons and Gloves)</v>
      </c>
    </row>
    <row r="1441" spans="2:2" x14ac:dyDescent="0.25">
      <c r="B1441" t="str">
        <v>200-42: Maternity Clothing</v>
      </c>
    </row>
    <row r="1442" spans="2:2" x14ac:dyDescent="0.25">
      <c r="B1442" t="str">
        <v>200-44: Pants, Slacks, Trousers, Shorts, Jeans, etc.</v>
      </c>
    </row>
    <row r="1443" spans="2:2" x14ac:dyDescent="0.25">
      <c r="B1443" t="str">
        <v>200-45: Party Wear</v>
      </c>
    </row>
    <row r="1444" spans="2:2" x14ac:dyDescent="0.25">
      <c r="B1444" t="str">
        <v>200-49: Inmate Clothing</v>
      </c>
    </row>
    <row r="1445" spans="2:2" x14ac:dyDescent="0.25">
      <c r="B1445" t="str">
        <v>200-56: Recycled Clothing</v>
      </c>
    </row>
    <row r="1446" spans="2:2" x14ac:dyDescent="0.25">
      <c r="B1446" t="str">
        <v>200-70: Shirts, Dress and Casual</v>
      </c>
    </row>
    <row r="1447" spans="2:2" x14ac:dyDescent="0.25">
      <c r="B1447" t="str">
        <v>200-74: Silk Screened and Embroidered Clothing and Apparel</v>
      </c>
    </row>
    <row r="1448" spans="2:2" x14ac:dyDescent="0.25">
      <c r="B1448" t="str">
        <v>200-76: Suits: Dress and Casual</v>
      </c>
    </row>
    <row r="1449" spans="2:2" x14ac:dyDescent="0.25">
      <c r="B1449" t="str">
        <v>200-78: Sweaters</v>
      </c>
    </row>
    <row r="1450" spans="2:2" x14ac:dyDescent="0.25">
      <c r="B1450" t="str">
        <v>200-79: Swimwear</v>
      </c>
    </row>
    <row r="1451" spans="2:2" x14ac:dyDescent="0.25">
      <c r="B1451" t="str">
        <v>200-85: Uniforms, Blended Fabric</v>
      </c>
    </row>
    <row r="1452" spans="2:2" x14ac:dyDescent="0.25">
      <c r="B1452" t="str">
        <v>200-86: Uniforms, Cotton</v>
      </c>
    </row>
    <row r="1453" spans="2:2" x14ac:dyDescent="0.25">
      <c r="B1453" t="str">
        <v>200-87: Uniforms, Synthetic Fabric</v>
      </c>
    </row>
    <row r="1454" spans="2:2" x14ac:dyDescent="0.25">
      <c r="B1454" t="str">
        <v>200-88: Uniforms, Wool and Woolen Blends</v>
      </c>
    </row>
    <row r="1455" spans="2:2" x14ac:dyDescent="0.25">
      <c r="B1455" t="str">
        <v>200-90: Waistcoats</v>
      </c>
    </row>
    <row r="1456" spans="2:2" x14ac:dyDescent="0.25">
      <c r="B1456" t="str">
        <v>200-91: Uniforms, Arc Rated for Electrical Work</v>
      </c>
    </row>
    <row r="1457" spans="2:2" x14ac:dyDescent="0.25">
      <c r="B1457" t="str">
        <v>200-92: Work Clothes</v>
      </c>
    </row>
    <row r="1458" spans="2:2" x14ac:dyDescent="0.25">
      <c r="B1458" t="str">
        <v>201-13: Aprons, Bibs, Smocks, Non-disposable (See 200-32,34 for Hospital type)</v>
      </c>
    </row>
    <row r="1459" spans="2:2" x14ac:dyDescent="0.25">
      <c r="B1459" t="str">
        <v>201-17: Bags, Clothing</v>
      </c>
    </row>
    <row r="1460" spans="2:2" x14ac:dyDescent="0.25">
      <c r="B1460" t="str">
        <v>201-19: Bandanas, Handkerchiefs, Ties, etc.</v>
      </c>
    </row>
    <row r="1461" spans="2:2" x14ac:dyDescent="0.25">
      <c r="B1461" t="str">
        <v>201-20: Bands: Arm, Hat, Head, Sweat, etc.</v>
      </c>
    </row>
    <row r="1462" spans="2:2" x14ac:dyDescent="0.25">
      <c r="B1462" t="str">
        <v>201-25: Belts and Suspenders</v>
      </c>
    </row>
    <row r="1463" spans="2:2" x14ac:dyDescent="0.25">
      <c r="B1463" t="str">
        <v>201-27: Brushes, Clothes</v>
      </c>
    </row>
    <row r="1464" spans="2:2" x14ac:dyDescent="0.25">
      <c r="B1464" t="str">
        <v>201-30: Caps, All Types, Except Disposable and Hospital Types</v>
      </c>
    </row>
    <row r="1465" spans="2:2" x14ac:dyDescent="0.25">
      <c r="B1465" t="str">
        <v>201-37: Emblems, Braids, Buttons, and Patches For Caps and Uniforms, Including Chevrons, Epaulettes and Shoulder Boards</v>
      </c>
    </row>
    <row r="1466" spans="2:2" x14ac:dyDescent="0.25">
      <c r="B1466" t="str">
        <v>201-39: Gloves, Cloth Type, All Types</v>
      </c>
    </row>
    <row r="1467" spans="2:2" x14ac:dyDescent="0.25">
      <c r="B1467" t="str">
        <v>201-40: Gloves, Cowhide and Leather, All Types</v>
      </c>
    </row>
    <row r="1468" spans="2:2" x14ac:dyDescent="0.25">
      <c r="B1468" t="str">
        <v>201-41: Gloves, Neoprene and Rubber, All Types</v>
      </c>
    </row>
    <row r="1469" spans="2:2" x14ac:dyDescent="0.25">
      <c r="B1469" t="str">
        <v>201-42: Gloves: Latex, Plastic, PVC, Poly, Synthetic, Vinyl, etc., All Types</v>
      </c>
    </row>
    <row r="1470" spans="2:2" x14ac:dyDescent="0.25">
      <c r="B1470" t="str">
        <v>201-45: Hats, Felt</v>
      </c>
    </row>
    <row r="1471" spans="2:2" x14ac:dyDescent="0.25">
      <c r="B1471" t="str">
        <v>201-46: Hats, Straw</v>
      </c>
    </row>
    <row r="1472" spans="2:2" x14ac:dyDescent="0.25">
      <c r="B1472" t="str">
        <v>201-47: Hats, Miscellaneous (See 201-65 for Rain Type and 345-56 for Safety Type)</v>
      </c>
    </row>
    <row r="1473" spans="2:2" x14ac:dyDescent="0.25">
      <c r="B1473" t="str">
        <v>201-49: Hoods, Mittens, Mufflers, Scarves, Warmers, etc., Cold Weather</v>
      </c>
    </row>
    <row r="1474" spans="2:2" x14ac:dyDescent="0.25">
      <c r="B1474" t="str">
        <v>201-51: Hosiery and Socks</v>
      </c>
    </row>
    <row r="1475" spans="2:2" x14ac:dyDescent="0.25">
      <c r="B1475" t="str">
        <v>201-55: Liners, Glove</v>
      </c>
    </row>
    <row r="1476" spans="2:2" x14ac:dyDescent="0.25">
      <c r="B1476" t="str">
        <v>201-58: Moth Balls</v>
      </c>
    </row>
    <row r="1477" spans="2:2" x14ac:dyDescent="0.25">
      <c r="B1477" t="str">
        <v>201-62: Pacifiers, etc. for Infants</v>
      </c>
    </row>
    <row r="1478" spans="2:2" x14ac:dyDescent="0.25">
      <c r="B1478" t="str">
        <v>201-65: Rainwear: Raincoats, Hats, Slicker Suits, Storm Suits, Umbrellas, etc.</v>
      </c>
    </row>
    <row r="1479" spans="2:2" x14ac:dyDescent="0.25">
      <c r="B1479" t="str">
        <v>201-66: Recycled Clothing Accessories</v>
      </c>
    </row>
    <row r="1480" spans="2:2" x14ac:dyDescent="0.25">
      <c r="B1480" t="str">
        <v>201-67: Robes, Caps, and Gowns, Choir and Graduation Types</v>
      </c>
    </row>
    <row r="1481" spans="2:2" x14ac:dyDescent="0.25">
      <c r="B1481" t="str">
        <v>201-73: Shower Accessories: Bath Robes, Caps, Shoes, Wraps, etc.</v>
      </c>
    </row>
    <row r="1482" spans="2:2" x14ac:dyDescent="0.25">
      <c r="B1482" t="str">
        <v>201-80: Tie Holders and Racks</v>
      </c>
    </row>
    <row r="1483" spans="2:2" x14ac:dyDescent="0.25">
      <c r="B1483" t="str">
        <v>201-86: Undergarments and Sleepwear, Women's</v>
      </c>
    </row>
    <row r="1484" spans="2:2" x14ac:dyDescent="0.25">
      <c r="B1484" t="str">
        <v>201-87: Undergarments and Sleepwear, Men's</v>
      </c>
    </row>
    <row r="1485" spans="2:2" x14ac:dyDescent="0.25">
      <c r="B1485" t="str">
        <v>201-88: Undergarments and Sleepwear, Unisex</v>
      </c>
    </row>
    <row r="1486" spans="2:2" x14ac:dyDescent="0.25">
      <c r="B1486" t="str">
        <v>201-98: Marching Band Uniforms and Supplies</v>
      </c>
    </row>
    <row r="1487" spans="2:2" x14ac:dyDescent="0.25">
      <c r="B1487" t="str">
        <v>203-10: *Batteries, Computer and Peripheral, Environmentally Certified Products</v>
      </c>
    </row>
    <row r="1488" spans="2:2" x14ac:dyDescent="0.25">
      <c r="B1488" t="str">
        <v>203-14: *Battery Chargers, Computer and Peripheral, Environmentally Certified Products</v>
      </c>
    </row>
    <row r="1489" spans="2:2" x14ac:dyDescent="0.25">
      <c r="B1489" t="str">
        <v>203-20: Braces: Monitor, PC's, CRT's, Desk Top Printers, etc., Environmentally Certified Products</v>
      </c>
    </row>
    <row r="1490" spans="2:2" x14ac:dyDescent="0.25">
      <c r="B1490" t="str">
        <v>203-23: Carts, Computer, Environmentally Certified Products</v>
      </c>
    </row>
    <row r="1491" spans="2:2" x14ac:dyDescent="0.25">
      <c r="B1491" t="str">
        <v>203-25: Cleaners for Keyboards, Monitors, Tapes, Diskettes, etc., Environmentally Certified Products</v>
      </c>
    </row>
    <row r="1492" spans="2:2" x14ac:dyDescent="0.25">
      <c r="B1492" t="str">
        <v>203-30: Compact Disks, DVD, ROM, etc., Environmentally Certified Products</v>
      </c>
    </row>
    <row r="1493" spans="2:2" x14ac:dyDescent="0.25">
      <c r="B1493" t="str">
        <v>203-32: *Computer Instructional Aids and Training Devices, Environmentally Certified Products</v>
      </c>
    </row>
    <row r="1494" spans="2:2" x14ac:dyDescent="0.25">
      <c r="B1494" t="str">
        <v>203-34: Covers and Enclosures, Acoustical and Protective., For Equipment, Environmentally Certified Products</v>
      </c>
    </row>
    <row r="1495" spans="2:2" x14ac:dyDescent="0.25">
      <c r="B1495" t="str">
        <v>203-37: CRT Holders, Cases, Glare Screens, Locks, etc., Environmentally Certified Products</v>
      </c>
    </row>
    <row r="1496" spans="2:2" x14ac:dyDescent="0.25">
      <c r="B1496" t="str">
        <v>203-42: Diskettes, Disk Packs, Floppy Diskettes, Labels, etc., Environmentally Certified Products</v>
      </c>
    </row>
    <row r="1497" spans="2:2" x14ac:dyDescent="0.25">
      <c r="B1497" t="str">
        <v>203-47: Fasteners and Accessories, Thumb Lock, Environmentally Certified Products</v>
      </c>
    </row>
    <row r="1498" spans="2:2" x14ac:dyDescent="0.25">
      <c r="B1498" t="str">
        <v>203-49: Forms Bursters, Decollators, Detachers, Feeders, Strippers and Related Accessories, Environmentally Certified Products</v>
      </c>
    </row>
    <row r="1499" spans="2:2" x14ac:dyDescent="0.25">
      <c r="B1499" t="str">
        <v>203-50: Forms, Charts, Templates, Rulers, etc., Environmentally Certified Products</v>
      </c>
    </row>
    <row r="1500" spans="2:2" x14ac:dyDescent="0.25">
      <c r="B1500" t="str">
        <v>203-55: Graphic Supplies for Plotters and Printer Plotters: Inks, Pens, Penholders, Chemicals, Paper, etc., Environmentally Certified Products</v>
      </c>
    </row>
    <row r="1501" spans="2:2" x14ac:dyDescent="0.25">
      <c r="B1501" t="str">
        <v>203-60: Keyboard Dust Covers, Key Top Covers, Keyboard Drawers, Wrist Supports, etc., Environmentally Certified Products</v>
      </c>
    </row>
    <row r="1502" spans="2:2" x14ac:dyDescent="0.25">
      <c r="B1502" t="str">
        <v>203-67: *Power Supplies: Surge Protectors, Uninterruptible Power Supplies, Switches, etc., Environmentally Certified Products</v>
      </c>
    </row>
    <row r="1503" spans="2:2" x14ac:dyDescent="0.25">
      <c r="B1503" t="str">
        <v>203-72: Printer Accessories and Supplies: Chemicals, Forms Tractors, Inks and Cartridges, Paper, Label Sheets, Sheet Feeders, Toner Cartridges, Wheels, etc., Environmentally Certified Products</v>
      </c>
    </row>
    <row r="1504" spans="2:2" x14ac:dyDescent="0.25">
      <c r="B1504" t="str">
        <v>203-75: *Projection Devices and Accessories: Interactive Conferencing Boards, LCD, Pads, Panels, etc., Environmentally Certified Products</v>
      </c>
    </row>
    <row r="1505" spans="2:2" x14ac:dyDescent="0.25">
      <c r="B1505" t="str">
        <v>203-79: Recycled Computer Accessories and Supplies, Environmentally Certified Products</v>
      </c>
    </row>
    <row r="1506" spans="2:2" x14ac:dyDescent="0.25">
      <c r="B1506" t="str">
        <v>203-82: Sleeves, CD/DVD, Environmentally Certified Products</v>
      </c>
    </row>
    <row r="1507" spans="2:2" x14ac:dyDescent="0.25">
      <c r="B1507" t="str">
        <v>203-84: Storage Devices for Tapes and Diskettes: Containers, Racks, etc., Environmentally Certified Products</v>
      </c>
    </row>
    <row r="1508" spans="2:2" x14ac:dyDescent="0.25">
      <c r="B1508" t="str">
        <v>203-85: *Systems Environmental Monitor for Computer Rooms, Environmentally Certified Products</v>
      </c>
    </row>
    <row r="1509" spans="2:2" x14ac:dyDescent="0.25">
      <c r="B1509" t="str">
        <v>203-87: Tapes, Tape Cartridges, Tape Cassettes, Tape Reels, Tape Labels, etc., Environmentally Certified Products</v>
      </c>
    </row>
    <row r="1510" spans="2:2" x14ac:dyDescent="0.25">
      <c r="B1510" t="str">
        <v>203-89: *Testing Equipment for Computers and Related Equipment, Environmentally Certified Products</v>
      </c>
    </row>
    <row r="1511" spans="2:2" x14ac:dyDescent="0.25">
      <c r="B1511" t="str">
        <v>203-91: *Tools, Computer, Environmentally Certified Products</v>
      </c>
    </row>
    <row r="1512" spans="2:2" x14ac:dyDescent="0.25">
      <c r="B1512" t="str">
        <v>204-10: *Cabinets and Cases: Desktop Cases, Tower Cases, Drive Cabinets, etc.</v>
      </c>
    </row>
    <row r="1513" spans="2:2" x14ac:dyDescent="0.25">
      <c r="B1513" t="str">
        <v>204-13: *Cable: Printer, Disk, Network, etc.</v>
      </c>
    </row>
    <row r="1514" spans="2:2" x14ac:dyDescent="0.25">
      <c r="B1514" t="str">
        <v>204-16: *Chips: Accelerator, Graphics, Math Co-Processor, Memory (RAM and ROM), Network, SIMMS, etc.</v>
      </c>
    </row>
    <row r="1515" spans="2:2" x14ac:dyDescent="0.25">
      <c r="B1515" t="str">
        <v>204-19: *Communication Boards: Fax, Modem, Internal, etc.</v>
      </c>
    </row>
    <row r="1516" spans="2:2" x14ac:dyDescent="0.25">
      <c r="B1516" t="str">
        <v>204-20: *Communication Control Units: Concentrators, Multiplexers, Couplers, Scan Converters, etc.</v>
      </c>
    </row>
    <row r="1517" spans="2:2" x14ac:dyDescent="0.25">
      <c r="B1517" t="str">
        <v>204-22: *Computer Kiosk: Informational, Touchscreen or Keyboard Input</v>
      </c>
    </row>
    <row r="1518" spans="2:2" x14ac:dyDescent="0.25">
      <c r="B1518" t="str">
        <v>204-24: *Controllers, Programmable: Industrial Control Devices, Robots, etc.</v>
      </c>
    </row>
    <row r="1519" spans="2:2" x14ac:dyDescent="0.25">
      <c r="B1519" t="str">
        <v>204-25: *Controllers, Tape: Tape Subsystems, etc.</v>
      </c>
    </row>
    <row r="1520" spans="2:2" x14ac:dyDescent="0.25">
      <c r="B1520" t="str">
        <v>204-28: *Data Entry and Remote Job Entry Devices: Voice Activated: Voice Recognition, Voice Digitization, Speech Synthesizers, etc.</v>
      </c>
    </row>
    <row r="1521" spans="2:2" x14ac:dyDescent="0.25">
      <c r="B1521" t="str">
        <v>204-29: *Data/File Security Hardware/Software, to Include Encryption</v>
      </c>
    </row>
    <row r="1522" spans="2:2" x14ac:dyDescent="0.25">
      <c r="B1522" t="str">
        <v>204-32: *Drives, External; Jump Drives, Flash Drives, Thumb Drives, USB Drives, etc.</v>
      </c>
    </row>
    <row r="1523" spans="2:2" x14ac:dyDescent="0.25">
      <c r="B1523" t="str">
        <v>204-33: *Drives, Compact Disk: CD ROM, DVR, etc.</v>
      </c>
    </row>
    <row r="1524" spans="2:2" x14ac:dyDescent="0.25">
      <c r="B1524" t="str">
        <v>204-34: *Drives, Floppy Disk</v>
      </c>
    </row>
    <row r="1525" spans="2:2" x14ac:dyDescent="0.25">
      <c r="B1525" t="str">
        <v>204-35: *Drives, Internal: Hard/Fixed Disk</v>
      </c>
    </row>
    <row r="1526" spans="2:2" x14ac:dyDescent="0.25">
      <c r="B1526" t="str">
        <v>204-37: *Drives, Tape</v>
      </c>
    </row>
    <row r="1527" spans="2:2" x14ac:dyDescent="0.25">
      <c r="B1527" t="str">
        <v>204-39: *Duplicators: DVD, CD, Hard Drives, etc.</v>
      </c>
    </row>
    <row r="1528" spans="2:2" x14ac:dyDescent="0.25">
      <c r="B1528" t="str">
        <v>204-42: *Expansion/Accelerator Boards: Hard Drive Controller Cards, Memory, Processor, SCSI, Video Cards, etc.</v>
      </c>
    </row>
    <row r="1529" spans="2:2" x14ac:dyDescent="0.25">
      <c r="B1529" t="str">
        <v>204-46: *Imaging Systems, Microcomputer: Digital Imaging Network (DIN), Technology, and Digital Imaging Communications in Medicine (DICOM)</v>
      </c>
    </row>
    <row r="1530" spans="2:2" x14ac:dyDescent="0.25">
      <c r="B1530" t="str">
        <v>204-47: *Integrated Hardware-Software I.T. Solution, Microcomputer</v>
      </c>
    </row>
    <row r="1531" spans="2:2" x14ac:dyDescent="0.25">
      <c r="B1531" t="str">
        <v>204-48: *Keyboards</v>
      </c>
    </row>
    <row r="1532" spans="2:2" x14ac:dyDescent="0.25">
      <c r="B1532" t="str">
        <v>204-53: *Microcomputers, Desktop or Tower based</v>
      </c>
    </row>
    <row r="1533" spans="2:2" x14ac:dyDescent="0.25">
      <c r="B1533" t="str">
        <v>204-54: *Microcomputers, Laptop, Notebook and Tablets</v>
      </c>
    </row>
    <row r="1534" spans="2:2" x14ac:dyDescent="0.25">
      <c r="B1534" t="str">
        <v>204-55: *Microcomputers, Multi-Processor</v>
      </c>
    </row>
    <row r="1535" spans="2:2" x14ac:dyDescent="0.25">
      <c r="B1535" t="str">
        <v>204-58: *Modems, External, Data Communications</v>
      </c>
    </row>
    <row r="1536" spans="2:2" x14ac:dyDescent="0.25">
      <c r="B1536" t="str">
        <v>204-60: *Monitors, Color and Monochrome (CGA, VGA, SVGA, LCD, etc.)</v>
      </c>
    </row>
    <row r="1537" spans="2:2" x14ac:dyDescent="0.25">
      <c r="B1537" t="str">
        <v>204-62: *Motherboards</v>
      </c>
    </row>
    <row r="1538" spans="2:2" x14ac:dyDescent="0.25">
      <c r="B1538" t="str">
        <v>204-64: *Network Components: Adapter Cards, Bridges, Connectors, Expansion Modules/Ports, Firewall Devices, Hubs, Line Drivers, MSAUs, Routers, Switches, Transceivers, etc.</v>
      </c>
    </row>
    <row r="1539" spans="2:2" x14ac:dyDescent="0.25">
      <c r="B1539" t="str">
        <v>204-68: *Peripherals, Miscellaneous: Joy Sticks, Graphic Digitizers, Light Pens, Mice, Pen Pads, Trackballs, Secure I.D. Access Cards, Headsets and Microphones, etc.</v>
      </c>
    </row>
    <row r="1540" spans="2:2" x14ac:dyDescent="0.25">
      <c r="B1540" t="str">
        <v>204-70: *Picture Archiving Computer System (PACS)</v>
      </c>
    </row>
    <row r="1541" spans="2:2" x14ac:dyDescent="0.25">
      <c r="B1541" t="str">
        <v>204-71: *Plotters, Graphic</v>
      </c>
    </row>
    <row r="1542" spans="2:2" x14ac:dyDescent="0.25">
      <c r="B1542" t="str">
        <v>204-72: *Power Supplies and Power Related Parts, Internal</v>
      </c>
    </row>
    <row r="1543" spans="2:2" x14ac:dyDescent="0.25">
      <c r="B1543" t="str">
        <v>204-74: *Printer Sharing Devices, Multi-function Devices</v>
      </c>
    </row>
    <row r="1544" spans="2:2" x14ac:dyDescent="0.25">
      <c r="B1544" t="str">
        <v>204-75: *Printers, Dot Matrix</v>
      </c>
    </row>
    <row r="1545" spans="2:2" x14ac:dyDescent="0.25">
      <c r="B1545" t="str">
        <v>204-76: *Printers, Inkjet</v>
      </c>
    </row>
    <row r="1546" spans="2:2" x14ac:dyDescent="0.25">
      <c r="B1546" t="str">
        <v>204-77: *Printers, Laser</v>
      </c>
    </row>
    <row r="1547" spans="2:2" x14ac:dyDescent="0.25">
      <c r="B1547" t="str">
        <v>204-78: *Printers, Pen Plotter</v>
      </c>
    </row>
    <row r="1548" spans="2:2" x14ac:dyDescent="0.25">
      <c r="B1548" t="str">
        <v>204-79: *Printers, Digital</v>
      </c>
    </row>
    <row r="1549" spans="2:2" x14ac:dyDescent="0.25">
      <c r="B1549" t="str">
        <v>204-80: *Printers, Thermal</v>
      </c>
    </row>
    <row r="1550" spans="2:2" x14ac:dyDescent="0.25">
      <c r="B1550" t="str">
        <v>204-82: *Printers, Microcomputer (Not Otherwise Classified)</v>
      </c>
    </row>
    <row r="1551" spans="2:2" x14ac:dyDescent="0.25">
      <c r="B1551" t="str">
        <v>204-83: *Recycled Microcomputer Hardware and Peripherals</v>
      </c>
    </row>
    <row r="1552" spans="2:2" x14ac:dyDescent="0.25">
      <c r="B1552" t="str">
        <v>204-84: *Retrieval Systems, Computer Assisted: Indexing, Retrieval, CD ROM Jukebox, etc., and Access Systems</v>
      </c>
    </row>
    <row r="1553" spans="2:2" x14ac:dyDescent="0.25">
      <c r="B1553" t="str">
        <v>204-87: *Scanners, Film</v>
      </c>
    </row>
    <row r="1554" spans="2:2" x14ac:dyDescent="0.25">
      <c r="B1554" t="str">
        <v>204-88: *Scanners, Document: Handheld, Desktop and High Volume</v>
      </c>
    </row>
    <row r="1555" spans="2:2" x14ac:dyDescent="0.25">
      <c r="B1555" t="str">
        <v>204-89: *Scanners and Readers, Magnetic Strip</v>
      </c>
    </row>
    <row r="1556" spans="2:2" x14ac:dyDescent="0.25">
      <c r="B1556" t="str">
        <v>204-90: *Scanners and Readers, Optical Character and Magnetic Type: Bar Code, Remittance Scanner and Processors, Point of Sale Scanners, etc.</v>
      </c>
    </row>
    <row r="1557" spans="2:2" x14ac:dyDescent="0.25">
      <c r="B1557" t="str">
        <v>204-91: *Servers, Microcomputer: Application, Database, File, Mail, Network, Web, etc.</v>
      </c>
    </row>
    <row r="1558" spans="2:2" x14ac:dyDescent="0.25">
      <c r="B1558" t="str">
        <v>204-93: *Terminals and CRTs: Data Processing Systems</v>
      </c>
    </row>
    <row r="1559" spans="2:2" x14ac:dyDescent="0.25">
      <c r="B1559" t="str">
        <v>204-95: *Word Processing Equipment, Accessories and Supplies (Not Otherwise Classified)</v>
      </c>
    </row>
    <row r="1560" spans="2:2" x14ac:dyDescent="0.25">
      <c r="B1560" t="str">
        <v>204-96: *Workstations: SPARC, RISC, etc., For Use With CAD and CAM, etc.</v>
      </c>
    </row>
    <row r="1561" spans="2:2" x14ac:dyDescent="0.25">
      <c r="B1561" t="str">
        <v>205-10: *Cabinets and Cases: Desktop Cases, Tower Cases, Drive Cabinets, etc., Environmentally Certified Products</v>
      </c>
    </row>
    <row r="1562" spans="2:2" x14ac:dyDescent="0.25">
      <c r="B1562" t="str">
        <v>205-13: *Cables: Printer, Disk, Network, etc., Environmentally Certified Products</v>
      </c>
    </row>
    <row r="1563" spans="2:2" x14ac:dyDescent="0.25">
      <c r="B1563" t="str">
        <v>205-16: *Chips: Accelerator, Graphics, Math Co-Processor, Memory (RAM and ROM), Network, SIMMS, etc., Environmentally Certified Products</v>
      </c>
    </row>
    <row r="1564" spans="2:2" x14ac:dyDescent="0.25">
      <c r="B1564" t="str">
        <v>205-19: *Communication Boards: Fax, Modem, Internal, etc., Environmentally Certified Products</v>
      </c>
    </row>
    <row r="1565" spans="2:2" x14ac:dyDescent="0.25">
      <c r="B1565" t="str">
        <v>205-20: *Communication Control Units: Concentrators, Multiplexers, Couplers, Scan Converters, etc., Environmentally Certified Products</v>
      </c>
    </row>
    <row r="1566" spans="2:2" x14ac:dyDescent="0.25">
      <c r="B1566" t="str">
        <v>205-22: *Computer Kiosks: Informational, Touchscreen or Keyboard Input, Environmentally Certified Products</v>
      </c>
    </row>
    <row r="1567" spans="2:2" x14ac:dyDescent="0.25">
      <c r="B1567" t="str">
        <v>205-24: *Controllers, Programmable: Industrial Control Devices, Robots, etc., Environmentally Certified Products</v>
      </c>
    </row>
    <row r="1568" spans="2:2" x14ac:dyDescent="0.25">
      <c r="B1568" t="str">
        <v>205-25: *Controllers, Tape: Tape Subsystems, etc., Environmentally Certified Products2</v>
      </c>
    </row>
    <row r="1569" spans="2:2" x14ac:dyDescent="0.25">
      <c r="B1569" t="str">
        <v>205-28: *Data Entry and Remote Job Entry Devices, Voice Activated: Voice Recognition, Voice Digitization, Speech Synthesizers, etc., Environmentally Certified Products</v>
      </c>
    </row>
    <row r="1570" spans="2:2" x14ac:dyDescent="0.25">
      <c r="B1570" t="str">
        <v>205-29: *Data/File Security Hardware/Software, to Include Encryption, Environmentally Certified Products</v>
      </c>
    </row>
    <row r="1571" spans="2:2" x14ac:dyDescent="0.25">
      <c r="B1571" t="str">
        <v>205-32: *Drives, External: Jump Drives, Flash Drives, etc., Environmentally Certified Products</v>
      </c>
    </row>
    <row r="1572" spans="2:2" x14ac:dyDescent="0.25">
      <c r="B1572" t="str">
        <v>205-33: *Drives, Compact Disk (CD ROM, DVR, etc.), Environmentally Certified Products</v>
      </c>
    </row>
    <row r="1573" spans="2:2" x14ac:dyDescent="0.25">
      <c r="B1573" t="str">
        <v>205-34: *Drives, Floppy Disk, Environmentally Certified Products</v>
      </c>
    </row>
    <row r="1574" spans="2:2" x14ac:dyDescent="0.25">
      <c r="B1574" t="str">
        <v>205-35: *Drives, Hard/Fixed Disk, Environmentally Certified Products</v>
      </c>
    </row>
    <row r="1575" spans="2:2" x14ac:dyDescent="0.25">
      <c r="B1575" t="str">
        <v>205-37: *Drives, Tape, Environmentally Certified Products</v>
      </c>
    </row>
    <row r="1576" spans="2:2" x14ac:dyDescent="0.25">
      <c r="B1576" t="str">
        <v>205-39: *Duplicators, DVD, CD, Hard Drives, etc., Environmentally Certified Products</v>
      </c>
    </row>
    <row r="1577" spans="2:2" x14ac:dyDescent="0.25">
      <c r="B1577" t="str">
        <v>205-42: *Expansion/Accelerator Boards: Hard Drive Controller Cards, Memory, Processor, SCSI, Video Cards, etc., Environmentally Certified Products</v>
      </c>
    </row>
    <row r="1578" spans="2:2" x14ac:dyDescent="0.25">
      <c r="B1578" t="str">
        <v>205-46: *Imaging Systems, Microcomputer, Including Digital Imaging Network (DIN), Technology, and Digital Imaging Communications in Medicine (DICOM), Environmentally Certified Products</v>
      </c>
    </row>
    <row r="1579" spans="2:2" x14ac:dyDescent="0.25">
      <c r="B1579" t="str">
        <v>205-47: *Integrated Hardware-Software I.T. Solution (Microcomputer), Environmentally Certified Products</v>
      </c>
    </row>
    <row r="1580" spans="2:2" x14ac:dyDescent="0.25">
      <c r="B1580" t="str">
        <v>205-48: *Keyboards, Environmentally Certified Products</v>
      </c>
    </row>
    <row r="1581" spans="2:2" x14ac:dyDescent="0.25">
      <c r="B1581" t="str">
        <v>205-53: *Microcomputers, Desktop or Tower based, Environmentally Certified Products</v>
      </c>
    </row>
    <row r="1582" spans="2:2" x14ac:dyDescent="0.25">
      <c r="B1582" t="str">
        <v>205-54: *Microcomputers, Handheld, Laptop, and Notebook, Environmentally Certified Products</v>
      </c>
    </row>
    <row r="1583" spans="2:2" x14ac:dyDescent="0.25">
      <c r="B1583" t="str">
        <v>205-55: *Microcomputers, Multi-Processor, Environmentally Certified Products</v>
      </c>
    </row>
    <row r="1584" spans="2:2" x14ac:dyDescent="0.25">
      <c r="B1584" t="str">
        <v>205-58: *Modems, External, Data Communications, Environmentally Certified Products</v>
      </c>
    </row>
    <row r="1585" spans="2:2" x14ac:dyDescent="0.25">
      <c r="B1585" t="str">
        <v>205-60: *Monitors, Color and Monochrome (CGA, VGA, SVGA, etc.), Environmentally Certified Products</v>
      </c>
    </row>
    <row r="1586" spans="2:2" x14ac:dyDescent="0.25">
      <c r="B1586" t="str">
        <v>205-62: *Motherboards, Environmentally Certified Products</v>
      </c>
    </row>
    <row r="1587" spans="2:2" x14ac:dyDescent="0.25">
      <c r="B1587" t="str">
        <v>205-64: *Network Components: Adapter Cards, Bridges, Connectors, Expansion Modules/Ports, Firewall Devices, Hubs, Line Drivers, MSAUs, Routers, Transceivers, etc., Environmentally Certified Products</v>
      </c>
    </row>
    <row r="1588" spans="2:2" x14ac:dyDescent="0.25">
      <c r="B1588" t="str">
        <v>205-68: *Peripherals, Miscellaneous: Joy Sticks, Graphic Digitizers, Light Pens, Mice, Pen Pads, Trackballs, Secure I.D. Access Cards, Headsets and Microphones, etc., Environmentally Certified Products</v>
      </c>
    </row>
    <row r="1589" spans="2:2" x14ac:dyDescent="0.25">
      <c r="B1589" t="str">
        <v>205-70: *Picture Archiving Computer System (PACS), Environmentally Certified Products</v>
      </c>
    </row>
    <row r="1590" spans="2:2" x14ac:dyDescent="0.25">
      <c r="B1590" t="str">
        <v>205-71: *Plotters, Graphic, Environmentally Certified Products</v>
      </c>
    </row>
    <row r="1591" spans="2:2" x14ac:dyDescent="0.25">
      <c r="B1591" t="str">
        <v>205-72: *Power Supplies and Power Related Parts, Internal, Environmentally Certified Products</v>
      </c>
    </row>
    <row r="1592" spans="2:2" x14ac:dyDescent="0.25">
      <c r="B1592" t="str">
        <v>205-74: *Printer Sharing Devices, Environmentally Certified Products</v>
      </c>
    </row>
    <row r="1593" spans="2:2" x14ac:dyDescent="0.25">
      <c r="B1593" t="str">
        <v>205-75: *Printers, Dot Matrix, Environmentally Certified Products</v>
      </c>
    </row>
    <row r="1594" spans="2:2" x14ac:dyDescent="0.25">
      <c r="B1594" t="str">
        <v>205-76: *Printers, Inkjet, Environmentally Certified Products</v>
      </c>
    </row>
    <row r="1595" spans="2:2" x14ac:dyDescent="0.25">
      <c r="B1595" t="str">
        <v>205-77: *Printers, Laser, Environmentally Certified Products</v>
      </c>
    </row>
    <row r="1596" spans="2:2" x14ac:dyDescent="0.25">
      <c r="B1596" t="str">
        <v>205-78: *Printers, Pen Plotter, Environmentally Certified Products</v>
      </c>
    </row>
    <row r="1597" spans="2:2" x14ac:dyDescent="0.25">
      <c r="B1597" t="str">
        <v>205-79: *Printers, Digital, Environmentally Certified Products</v>
      </c>
    </row>
    <row r="1598" spans="2:2" x14ac:dyDescent="0.25">
      <c r="B1598" t="str">
        <v>205-80: *Printers, Thermal, Environmentally Certified Products</v>
      </c>
    </row>
    <row r="1599" spans="2:2" x14ac:dyDescent="0.25">
      <c r="B1599" t="str">
        <v>205-82: *Printers, Microcomputer (Not Otherwise Classified), Environmentally Certified Products</v>
      </c>
    </row>
    <row r="1600" spans="2:2" x14ac:dyDescent="0.25">
      <c r="B1600" t="str">
        <v>205-83: *Recycled Microcomputer Hardware and Peripherals, Environmentally Certified Products</v>
      </c>
    </row>
    <row r="1601" spans="2:2" x14ac:dyDescent="0.25">
      <c r="B1601" t="str">
        <v>205-84: *Retrieval Systems, Computer Assisted: Indexing, Retrieval, CD ROM Jukebox, etc. and Access Systems, Environmentally Certified Products</v>
      </c>
    </row>
    <row r="1602" spans="2:2" x14ac:dyDescent="0.25">
      <c r="B1602" t="str">
        <v>205-87: *Scanners, Film, Environmentally Certified Products</v>
      </c>
    </row>
    <row r="1603" spans="2:2" x14ac:dyDescent="0.25">
      <c r="B1603" t="str">
        <v>205-88: *Scanners, Document: Handheld, Desktop and High Volume, Environmentally Certified Products</v>
      </c>
    </row>
    <row r="1604" spans="2:2" x14ac:dyDescent="0.25">
      <c r="B1604" t="str">
        <v>205-89: *Scanners and Readers, Magnetic Strip, Environmentally Certified Products</v>
      </c>
    </row>
    <row r="1605" spans="2:2" x14ac:dyDescent="0.25">
      <c r="B1605" t="str">
        <v>205-90: *Scanners and Readers, Optical Character and Magnetic Type: Bar Code, Remittance Scanner/Processors, Point of Sale Scanners, etc., Environmentally Certified Products</v>
      </c>
    </row>
    <row r="1606" spans="2:2" x14ac:dyDescent="0.25">
      <c r="B1606" t="str">
        <v>205-91: *Servers, Microcomputer, Application, Database, File, Mail, Network, Web, etc., Environmentally Certified Products</v>
      </c>
    </row>
    <row r="1607" spans="2:2" x14ac:dyDescent="0.25">
      <c r="B1607" t="str">
        <v>205-93: *Terminals and CRTs: Data Processing Systems, Environmentally Certified Products</v>
      </c>
    </row>
    <row r="1608" spans="2:2" x14ac:dyDescent="0.25">
      <c r="B1608" t="str">
        <v>205-95: *Word Processing Equipment, Accessories and Supplies (Not Otherwise Classified), Environmentally Certified Products</v>
      </c>
    </row>
    <row r="1609" spans="2:2" x14ac:dyDescent="0.25">
      <c r="B1609" t="str">
        <v>205-96: *Workstations: SPARC, RISC, etc., For Use With CAD and CAM, etc., Environmentally Certified Products</v>
      </c>
    </row>
    <row r="1610" spans="2:2" x14ac:dyDescent="0.25">
      <c r="B1610" t="str">
        <v>206-14: *Cables: Printer, Disk, Network, etc.</v>
      </c>
    </row>
    <row r="1611" spans="2:2" x14ac:dyDescent="0.25">
      <c r="B1611" t="str">
        <v>206-17: *Chips: Accelerator, Graphics, Math Co-Processor, Memory (RAM and ROM), Network, etc.</v>
      </c>
    </row>
    <row r="1612" spans="2:2" x14ac:dyDescent="0.25">
      <c r="B1612" t="str">
        <v>206-20: *Communication Boards: Fax, Modem, Internal, Network Cards, Ethernet, etc.</v>
      </c>
    </row>
    <row r="1613" spans="2:2" x14ac:dyDescent="0.25">
      <c r="B1613" t="str">
        <v>206-21: *Communication Control Units: Concentrators, Multiplexers, Couplers, etc.</v>
      </c>
    </row>
    <row r="1614" spans="2:2" x14ac:dyDescent="0.25">
      <c r="B1614" t="str">
        <v>206-23: *Communication Processors and Protocol Converters: Front-End Processor, Network Interface Module, Protocol Interchange, Switching Controls, etc.</v>
      </c>
    </row>
    <row r="1615" spans="2:2" x14ac:dyDescent="0.25">
      <c r="B1615" t="str">
        <v>206-25: *Computer Systems, Digital</v>
      </c>
    </row>
    <row r="1616" spans="2:2" x14ac:dyDescent="0.25">
      <c r="B1616" t="str">
        <v>206-27: *Computer Systems, Laboratory Control</v>
      </c>
    </row>
    <row r="1617" spans="2:2" x14ac:dyDescent="0.25">
      <c r="B1617" t="str">
        <v>206-28: *Computer Systems, Process Control</v>
      </c>
    </row>
    <row r="1618" spans="2:2" x14ac:dyDescent="0.25">
      <c r="B1618" t="str">
        <v>206-31: *Controllers, Disk: Disk Subsystems, etc.</v>
      </c>
    </row>
    <row r="1619" spans="2:2" x14ac:dyDescent="0.25">
      <c r="B1619" t="str">
        <v>206-32: *Controllers, Local and Remote</v>
      </c>
    </row>
    <row r="1620" spans="2:2" x14ac:dyDescent="0.25">
      <c r="B1620" t="str">
        <v>206-34: *Controllers, Peripheral: Plotters, Printers, Digitizers, etc.</v>
      </c>
    </row>
    <row r="1621" spans="2:2" x14ac:dyDescent="0.25">
      <c r="B1621" t="str">
        <v>206-36: *Controllers, Tape: Tape Subsystems, etc.</v>
      </c>
    </row>
    <row r="1622" spans="2:2" x14ac:dyDescent="0.25">
      <c r="B1622" t="str">
        <v>206-40: *Data Entry and Remote Job Entry Devices, Voice Activated: Voice Recognition, Voice Digitization, Speech Synthesizers, etc.</v>
      </c>
    </row>
    <row r="1623" spans="2:2" x14ac:dyDescent="0.25">
      <c r="B1623" t="str">
        <v>206-44: *Drives: Compact Disk, ROM, etc.</v>
      </c>
    </row>
    <row r="1624" spans="2:2" x14ac:dyDescent="0.25">
      <c r="B1624" t="str">
        <v>206-45: *Drives: Floppy Disk</v>
      </c>
    </row>
    <row r="1625" spans="2:2" x14ac:dyDescent="0.25">
      <c r="B1625" t="str">
        <v>206-46: *Drives: Hard and Fixed Disk</v>
      </c>
    </row>
    <row r="1626" spans="2:2" x14ac:dyDescent="0.25">
      <c r="B1626" t="str">
        <v>206-47: *Drives, Tape</v>
      </c>
    </row>
    <row r="1627" spans="2:2" x14ac:dyDescent="0.25">
      <c r="B1627" t="str">
        <v>206-51: *Expansion and Accelerator Boards: Memory, Processor, etc.</v>
      </c>
    </row>
    <row r="1628" spans="2:2" x14ac:dyDescent="0.25">
      <c r="B1628" t="str">
        <v>206-54: *Geographic Information Systems (GIS)</v>
      </c>
    </row>
    <row r="1629" spans="2:2" x14ac:dyDescent="0.25">
      <c r="B1629" t="str">
        <v>206-55: *Integrated Hardware-Software IT, Turnkey Solution, Server and Mainframe Computer</v>
      </c>
    </row>
    <row r="1630" spans="2:2" x14ac:dyDescent="0.25">
      <c r="B1630" t="str">
        <v>206-56: *Imaging Systems, Server and Main Frame Computer (Incl. Digital Imaging Network and Technology)</v>
      </c>
    </row>
    <row r="1631" spans="2:2" x14ac:dyDescent="0.25">
      <c r="B1631" t="str">
        <v>206-57: *Keyboards</v>
      </c>
    </row>
    <row r="1632" spans="2:2" x14ac:dyDescent="0.25">
      <c r="B1632" t="str">
        <v>206-59: *Modems, External Data Communications</v>
      </c>
    </row>
    <row r="1633" spans="2:2" x14ac:dyDescent="0.25">
      <c r="B1633" t="str">
        <v>206-61: *Monitors, Color and Monochrome, CGA, VGA, SVGA, LCD, etc.</v>
      </c>
    </row>
    <row r="1634" spans="2:2" x14ac:dyDescent="0.25">
      <c r="B1634" t="str">
        <v>206-64: *Network Components: Adapter Cards, Bridges, Connectors, Expansion Modules and Ports, Hubs, Line Drivers, MSAUs, Routers, Switches, Transceivers, etc.</v>
      </c>
    </row>
    <row r="1635" spans="2:2" x14ac:dyDescent="0.25">
      <c r="B1635" t="str">
        <v>206-66: *Peripherals, Miscellaneous: Graphic Digitizers, Joy Sticks, Light Pens, Mice, Pen Pads, Trackballs, etc.</v>
      </c>
    </row>
    <row r="1636" spans="2:2" x14ac:dyDescent="0.25">
      <c r="B1636" t="str">
        <v>206-68: *Power Supplies and Power Related Parts, Internal</v>
      </c>
    </row>
    <row r="1637" spans="2:2" x14ac:dyDescent="0.25">
      <c r="B1637" t="str">
        <v>206-70: *Printer Sharing Devices, Multi-function Devices</v>
      </c>
    </row>
    <row r="1638" spans="2:2" x14ac:dyDescent="0.25">
      <c r="B1638" t="str">
        <v>206-71: *Printers, Dot Matrix</v>
      </c>
    </row>
    <row r="1639" spans="2:2" x14ac:dyDescent="0.25">
      <c r="B1639" t="str">
        <v>206-72: *Printer: High Speed, Line Printers, and Printer Subsystems</v>
      </c>
    </row>
    <row r="1640" spans="2:2" x14ac:dyDescent="0.25">
      <c r="B1640" t="str">
        <v>206-73: *Printers, Inkjet</v>
      </c>
    </row>
    <row r="1641" spans="2:2" x14ac:dyDescent="0.25">
      <c r="B1641" t="str">
        <v>206-74: *Printers, Laser</v>
      </c>
    </row>
    <row r="1642" spans="2:2" x14ac:dyDescent="0.25">
      <c r="B1642" t="str">
        <v>206-75: *Printers, Pen Plotter</v>
      </c>
    </row>
    <row r="1643" spans="2:2" x14ac:dyDescent="0.25">
      <c r="B1643" t="str">
        <v>206-76: *Printers, 3D</v>
      </c>
    </row>
    <row r="1644" spans="2:2" x14ac:dyDescent="0.25">
      <c r="B1644" t="str">
        <v>206-77: *Printers, Thermal</v>
      </c>
    </row>
    <row r="1645" spans="2:2" x14ac:dyDescent="0.25">
      <c r="B1645" t="str">
        <v>206-78: *Printers, Mainframe Computer (Not Otherwise Classified)</v>
      </c>
    </row>
    <row r="1646" spans="2:2" x14ac:dyDescent="0.25">
      <c r="B1646" t="str">
        <v>206-79: *Recycled Mainframe Computer Hardware and Peripherals</v>
      </c>
    </row>
    <row r="1647" spans="2:2" x14ac:dyDescent="0.25">
      <c r="B1647" t="str">
        <v>206-80: *Retrieval Systems, Computer Aided: Indexing, Retrieval and Access Systems, CD ROM Jukebox, etc.</v>
      </c>
    </row>
    <row r="1648" spans="2:2" x14ac:dyDescent="0.25">
      <c r="B1648" t="str">
        <v>206-83: *Scanners, Film</v>
      </c>
    </row>
    <row r="1649" spans="2:2" x14ac:dyDescent="0.25">
      <c r="B1649" t="str">
        <v>206-84: *Scanners, Document: Handheld, Desktop, and High Volume</v>
      </c>
    </row>
    <row r="1650" spans="2:2" x14ac:dyDescent="0.25">
      <c r="B1650" t="str">
        <v>206-85: *Scanners and Readers, Magnetic Strip</v>
      </c>
    </row>
    <row r="1651" spans="2:2" x14ac:dyDescent="0.25">
      <c r="B1651" t="str">
        <v>206-86: *Scanners and Readers, Optical Character: Bar Code, Remittance Scanner and Processors, etc.</v>
      </c>
    </row>
    <row r="1652" spans="2:2" x14ac:dyDescent="0.25">
      <c r="B1652" t="str">
        <v>206-87: *Servers, Mainframe Computer, Application, Database, File, Mail, Network, Web, etc.</v>
      </c>
    </row>
    <row r="1653" spans="2:2" x14ac:dyDescent="0.25">
      <c r="B1653" t="str">
        <v>206-89: *Storage Devices, Electronic, Disk Drive Compatible, Network Attached Storage (NAS), Storage Attached Network (SAN)</v>
      </c>
    </row>
    <row r="1654" spans="2:2" x14ac:dyDescent="0.25">
      <c r="B1654" t="str">
        <v>206-93: *Terminals and CRTs: Data Processing Systems</v>
      </c>
    </row>
    <row r="1655" spans="2:2" x14ac:dyDescent="0.25">
      <c r="B1655" t="str">
        <v>207-10: *Batteries, Computer, Peripheral and Universal Power Supply (UPS)</v>
      </c>
    </row>
    <row r="1656" spans="2:2" x14ac:dyDescent="0.25">
      <c r="B1656" t="str">
        <v>207-14: *Battery Chargers, Computer and Peripheral</v>
      </c>
    </row>
    <row r="1657" spans="2:2" x14ac:dyDescent="0.25">
      <c r="B1657" t="str">
        <v>207-20: *Braces: Monitor, PC's, CRT's, Desk Top Printers, etc.</v>
      </c>
    </row>
    <row r="1658" spans="2:2" x14ac:dyDescent="0.25">
      <c r="B1658" t="str">
        <v>207-23: *Carts, Computer</v>
      </c>
    </row>
    <row r="1659" spans="2:2" x14ac:dyDescent="0.25">
      <c r="B1659" t="str">
        <v>207-25: *Cleaners for Keyboards, Monitors, Tapes, Diskettes, etc.</v>
      </c>
    </row>
    <row r="1660" spans="2:2" x14ac:dyDescent="0.25">
      <c r="B1660" t="str">
        <v>207-30: *Compact Disks (CD), DVD, ROM, Blu-Ray, etc.</v>
      </c>
    </row>
    <row r="1661" spans="2:2" x14ac:dyDescent="0.25">
      <c r="B1661" t="str">
        <v>207-32: *Computer Instructional Aids and Training Devices</v>
      </c>
    </row>
    <row r="1662" spans="2:2" x14ac:dyDescent="0.25">
      <c r="B1662" t="str">
        <v>207-34: *Covers and Enclosures, Acoustical and Protective, For Equipment</v>
      </c>
    </row>
    <row r="1663" spans="2:2" x14ac:dyDescent="0.25">
      <c r="B1663" t="str">
        <v>207-37: *CRT Holders, Cases, Glare Screens, Locks, etc.</v>
      </c>
    </row>
    <row r="1664" spans="2:2" x14ac:dyDescent="0.25">
      <c r="B1664" t="str">
        <v>207-42: *Diskettes, Disk Packs, Labels, etc.</v>
      </c>
    </row>
    <row r="1665" spans="2:2" x14ac:dyDescent="0.25">
      <c r="B1665" t="str">
        <v>207-47: *Fasteners and Accessories, Thumb Lock</v>
      </c>
    </row>
    <row r="1666" spans="2:2" x14ac:dyDescent="0.25">
      <c r="B1666" t="str">
        <v>207-49: *Forms Bursters, Decollators, Detachers, Feeders, Strippers and Related Accessories</v>
      </c>
    </row>
    <row r="1667" spans="2:2" x14ac:dyDescent="0.25">
      <c r="B1667" t="str">
        <v>207-50: *Forms, Charts, Templates, Rulers, etc.</v>
      </c>
    </row>
    <row r="1668" spans="2:2" x14ac:dyDescent="0.25">
      <c r="B1668" t="str">
        <v>207-55: *Graphic Supplies for Plotters and Printer Plotters: Inks, Pens, Penholders, Chemicals, Paper, etc.</v>
      </c>
    </row>
    <row r="1669" spans="2:2" x14ac:dyDescent="0.25">
      <c r="B1669" t="str">
        <v>207-60: *Keyboard Dust Covers, Key Top Covers, Keyboard Drawers, Wrist Supports, etc.</v>
      </c>
    </row>
    <row r="1670" spans="2:2" x14ac:dyDescent="0.25">
      <c r="B1670" t="str">
        <v>207-67: *Power Supplies: Surge Protectors, Uninterruptible Power Supplies, Switches, etc.</v>
      </c>
    </row>
    <row r="1671" spans="2:2" x14ac:dyDescent="0.25">
      <c r="B1671" t="str">
        <v>207-72: *Printer Accessories and Supplies: Chemicals, Forms Tractors, Inks and Cartridges, Paper, Label Sheets, Sheet Feeders, Toner Cartridges, Wheels, etc.</v>
      </c>
    </row>
    <row r="1672" spans="2:2" x14ac:dyDescent="0.25">
      <c r="B1672" t="str">
        <v>207-75: *Projection Devices and Accessories: Interactive Conferencing Boards, LCD, Pads, Panels, etc.</v>
      </c>
    </row>
    <row r="1673" spans="2:2" x14ac:dyDescent="0.25">
      <c r="B1673" t="str">
        <v>207-79: *Recycled Computer Accessories and Supplies</v>
      </c>
    </row>
    <row r="1674" spans="2:2" x14ac:dyDescent="0.25">
      <c r="B1674" t="str">
        <v>207-82: *Sleeves, CD and DVD</v>
      </c>
    </row>
    <row r="1675" spans="2:2" x14ac:dyDescent="0.25">
      <c r="B1675" t="str">
        <v>207-84: *Storage Devices for Tapes and Diskettes: Containers, Racks, etc.</v>
      </c>
    </row>
    <row r="1676" spans="2:2" x14ac:dyDescent="0.25">
      <c r="B1676" t="str">
        <v>207-85: *Systems Environmental Monitoring for Computer Rooms</v>
      </c>
    </row>
    <row r="1677" spans="2:2" x14ac:dyDescent="0.25">
      <c r="B1677" t="str">
        <v>207-87: *Tapes, Tape Cartridges, Tape Cassettes, Tape Reels, Tape Labels, etc.</v>
      </c>
    </row>
    <row r="1678" spans="2:2" x14ac:dyDescent="0.25">
      <c r="B1678" t="str">
        <v>207-89: *Testing Equipment for Computers and Related Equipment</v>
      </c>
    </row>
    <row r="1679" spans="2:2" x14ac:dyDescent="0.25">
      <c r="B1679" t="str">
        <v>207-91: *Tools, Computer</v>
      </c>
    </row>
    <row r="1680" spans="2:2" x14ac:dyDescent="0.25">
      <c r="B1680" t="str">
        <v>208-10: *Accounting/Financial: Bookkeeping, Billing and Invoicing, Budgeting, Payroll, Taxes, etc., Microcomputer</v>
      </c>
    </row>
    <row r="1681" spans="2:2" x14ac:dyDescent="0.25">
      <c r="B1681" t="str">
        <v>208-11: *Application Software, (Not Otherwise Classified), Microcomputer</v>
      </c>
    </row>
    <row r="1682" spans="2:2" x14ac:dyDescent="0.25">
      <c r="B1682" t="str">
        <v>208-12: *Architectural Software, Microcomputer</v>
      </c>
    </row>
    <row r="1683" spans="2:2" x14ac:dyDescent="0.25">
      <c r="B1683" t="str">
        <v>208-15: *Aviation Software, Flight Control, Ground Support, Testing, etc., Microcomputer</v>
      </c>
    </row>
    <row r="1684" spans="2:2" x14ac:dyDescent="0.25">
      <c r="B1684" t="str">
        <v>208-18: *Bar Code Software, Microcomputer</v>
      </c>
    </row>
    <row r="1685" spans="2:2" x14ac:dyDescent="0.25">
      <c r="B1685" t="str">
        <v>208-19: *Biometric Authentication System Software, Microcomputer</v>
      </c>
    </row>
    <row r="1686" spans="2:2" x14ac:dyDescent="0.25">
      <c r="B1686" t="str">
        <v>208-20: *Business Software, Misc.: Agenda, Labels, Mail List, Planning, Scheduling, etc., Microcomputer</v>
      </c>
    </row>
    <row r="1687" spans="2:2" x14ac:dyDescent="0.25">
      <c r="B1687" t="str">
        <v>208-21: *Business Intelligence Software, Microcomputer</v>
      </c>
    </row>
    <row r="1688" spans="2:2" x14ac:dyDescent="0.25">
      <c r="B1688" t="str">
        <v>208-27: *Communications: Networking, Linking, etc. (Includes Clustering Software), Microcomputer</v>
      </c>
    </row>
    <row r="1689" spans="2:2" x14ac:dyDescent="0.25">
      <c r="B1689" t="str">
        <v>208-30: *Computer Aided Design (CAD) and Vectorization Software, Microcomputer</v>
      </c>
    </row>
    <row r="1690" spans="2:2" x14ac:dyDescent="0.25">
      <c r="B1690" t="str">
        <v>208-31: *Course Evaluation Software, Microcomputer</v>
      </c>
    </row>
    <row r="1691" spans="2:2" x14ac:dyDescent="0.25">
      <c r="B1691" t="str">
        <v>208-32: *Customer Relationship Management Software (CRM), Microcomputer</v>
      </c>
    </row>
    <row r="1692" spans="2:2" x14ac:dyDescent="0.25">
      <c r="B1692" t="str">
        <v>208-34: *Customer Flow Management System (Queuing System) Including Parts, Labor and Installation</v>
      </c>
    </row>
    <row r="1693" spans="2:2" x14ac:dyDescent="0.25">
      <c r="B1693" t="str">
        <v>208-36: *Data Processing Software, Microcomputer</v>
      </c>
    </row>
    <row r="1694" spans="2:2" x14ac:dyDescent="0.25">
      <c r="B1694" t="str">
        <v>208-37: *Database Software, Microcomputer</v>
      </c>
    </row>
    <row r="1695" spans="2:2" x14ac:dyDescent="0.25">
      <c r="B1695" t="str">
        <v>208-39: *Desktop Publishing, Microcomputer</v>
      </c>
    </row>
    <row r="1696" spans="2:2" x14ac:dyDescent="0.25">
      <c r="B1696" t="str">
        <v>208-40: *Driver and Hardware Support Programs, Microcomputer</v>
      </c>
    </row>
    <row r="1697" spans="2:2" x14ac:dyDescent="0.25">
      <c r="B1697" t="str">
        <v>208-41: *Engineering Software, Microcomputer</v>
      </c>
    </row>
    <row r="1698" spans="2:2" x14ac:dyDescent="0.25">
      <c r="B1698" t="str">
        <v>208-42: *EDI (Electronic Data Interchange) Translator Software, Microcomputer</v>
      </c>
    </row>
    <row r="1699" spans="2:2" x14ac:dyDescent="0.25">
      <c r="B1699" t="str">
        <v>208-43: *Educational: eLearning, Foreign Languages, Math, Science, Social Studies, etc., Microcomputer</v>
      </c>
    </row>
    <row r="1700" spans="2:2" x14ac:dyDescent="0.25">
      <c r="B1700" t="str">
        <v>208-44: *E-Mail Software, Microcomputer</v>
      </c>
    </row>
    <row r="1701" spans="2:2" x14ac:dyDescent="0.25">
      <c r="B1701" t="str">
        <v>208-45: *Expert System Software, Microcomputer</v>
      </c>
    </row>
    <row r="1702" spans="2:2" x14ac:dyDescent="0.25">
      <c r="B1702" t="str">
        <v>208-46: *E-Commerce Software, Microcomputer</v>
      </c>
    </row>
    <row r="1703" spans="2:2" x14ac:dyDescent="0.25">
      <c r="B1703" t="str">
        <v>208-47: *Games: Adventure, Board, Puzzles, Strategy, etc. (See 037-84; 209-48; 785-53; and 805-51 for other type games), Microcomputer</v>
      </c>
    </row>
    <row r="1704" spans="2:2" x14ac:dyDescent="0.25">
      <c r="B1704" t="str">
        <v>208-50: *Graphics: Clip Art, Demos, Presentation, Slide Shows, etc., Microcomputer</v>
      </c>
    </row>
    <row r="1705" spans="2:2" x14ac:dyDescent="0.25">
      <c r="B1705" t="str">
        <v>208-51: *Human Resources Software, Microcomputer</v>
      </c>
    </row>
    <row r="1706" spans="2:2" x14ac:dyDescent="0.25">
      <c r="B1706" t="str">
        <v>208-53: *Integrated Software, Microcomputer</v>
      </c>
    </row>
    <row r="1707" spans="2:2" x14ac:dyDescent="0.25">
      <c r="B1707" t="str">
        <v>208-54: *Internet, Web Site and Mobile Application Development Software, Microcomputer</v>
      </c>
    </row>
    <row r="1708" spans="2:2" x14ac:dyDescent="0.25">
      <c r="B1708" t="str">
        <v>208-55: *Inventory Management Software, Microcomputer</v>
      </c>
    </row>
    <row r="1709" spans="2:2" x14ac:dyDescent="0.25">
      <c r="B1709" t="str">
        <v>208-56: *Logistics and Supply Chain Software, Microcomputer</v>
      </c>
    </row>
    <row r="1710" spans="2:2" x14ac:dyDescent="0.25">
      <c r="B1710" t="str">
        <v>208-57: *Law Enforcement Software, Microcomputer</v>
      </c>
    </row>
    <row r="1711" spans="2:2" x14ac:dyDescent="0.25">
      <c r="B1711" t="str">
        <v>208-58: *Language Translation Software, Microcomputer</v>
      </c>
    </row>
    <row r="1712" spans="2:2" x14ac:dyDescent="0.25">
      <c r="B1712" t="str">
        <v>208-59: *Library Information Management and Library Catalog Database Software, Microcomputer</v>
      </c>
    </row>
    <row r="1713" spans="2:2" x14ac:dyDescent="0.25">
      <c r="B1713" t="str">
        <v>208-60: *Medical Software, All Types, Microcomputer</v>
      </c>
    </row>
    <row r="1714" spans="2:2" x14ac:dyDescent="0.25">
      <c r="B1714" t="str">
        <v>208-61: *OCR and Scanner Software, Microcomputer</v>
      </c>
    </row>
    <row r="1715" spans="2:2" x14ac:dyDescent="0.25">
      <c r="B1715" t="str">
        <v>208-62: *Photo Identification Software, Microcomputer</v>
      </c>
    </row>
    <row r="1716" spans="2:2" x14ac:dyDescent="0.25">
      <c r="B1716" t="str">
        <v>208-63: *Personnel Software, Microcomputer</v>
      </c>
    </row>
    <row r="1717" spans="2:2" x14ac:dyDescent="0.25">
      <c r="B1717" t="str">
        <v>208-64: *Postage/Mailing and Shipping Software, Microcomputer</v>
      </c>
    </row>
    <row r="1718" spans="2:2" x14ac:dyDescent="0.25">
      <c r="B1718" t="str">
        <v>208-65: *Point of Sale Software, Microcomputer</v>
      </c>
    </row>
    <row r="1719" spans="2:2" x14ac:dyDescent="0.25">
      <c r="B1719" t="str">
        <v>208-66: *Professional: Computer Training, E-learning, Hospital/Pharmacy, Legal, etc. Software, Microcomputer</v>
      </c>
    </row>
    <row r="1720" spans="2:2" x14ac:dyDescent="0.25">
      <c r="B1720" t="str">
        <v>208-67: *Programming: Basic, Assembler, Computer Assisted Software Engineering Tools (CASE), Libraries, etc., Microcomputer.</v>
      </c>
    </row>
    <row r="1721" spans="2:2" x14ac:dyDescent="0.25">
      <c r="B1721" t="str">
        <v>208-68: *Project Management Software, Microcomputer</v>
      </c>
    </row>
    <row r="1722" spans="2:2" x14ac:dyDescent="0.25">
      <c r="B1722" t="str">
        <v>208-70: *Printing Software, Microcomputer</v>
      </c>
    </row>
    <row r="1723" spans="2:2" x14ac:dyDescent="0.25">
      <c r="B1723" t="str">
        <v>208-71: *Procurement Software, Microcomputer</v>
      </c>
    </row>
    <row r="1724" spans="2:2" x14ac:dyDescent="0.25">
      <c r="B1724" t="str">
        <v>208-72: *Procurement and Accounting Taxonomy Software, Microcomputer</v>
      </c>
    </row>
    <row r="1725" spans="2:2" x14ac:dyDescent="0.25">
      <c r="B1725" t="str">
        <v>208-76: *Real Estate/Property Management Software, Microcomputer</v>
      </c>
    </row>
    <row r="1726" spans="2:2" x14ac:dyDescent="0.25">
      <c r="B1726" t="str">
        <v>208-77: *Recycled Software, Microcomputer</v>
      </c>
    </row>
    <row r="1727" spans="2:2" x14ac:dyDescent="0.25">
      <c r="B1727" t="str">
        <v>208-78: *Redaction, De-identification Software</v>
      </c>
    </row>
    <row r="1728" spans="2:2" x14ac:dyDescent="0.25">
      <c r="B1728" t="str">
        <v>208-79: *RPA Software, Microcomputer</v>
      </c>
    </row>
    <row r="1729" spans="2:2" x14ac:dyDescent="0.25">
      <c r="B1729" t="str">
        <v>208-80: *Software, Microcomputer (Not Otherwise Classified)</v>
      </c>
    </row>
    <row r="1730" spans="2:2" x14ac:dyDescent="0.25">
      <c r="B1730" t="str">
        <v>208-81: *Software For Computer Software Training, Microcomputer</v>
      </c>
    </row>
    <row r="1731" spans="2:2" x14ac:dyDescent="0.25">
      <c r="B1731" t="str">
        <v>208-82: *Scientific, Statistical, Engineering, Mathematical, and Mapping Software, Including Photogrammetry, Microcomputer</v>
      </c>
    </row>
    <row r="1732" spans="2:2" x14ac:dyDescent="0.25">
      <c r="B1732" t="str">
        <v>208-83: *Shipping, Postal Management and Address Verification Software, Microcomputer</v>
      </c>
    </row>
    <row r="1733" spans="2:2" x14ac:dyDescent="0.25">
      <c r="B1733" t="str">
        <v>208-84: *Spreadsheet Software, Microcomputer</v>
      </c>
    </row>
    <row r="1734" spans="2:2" x14ac:dyDescent="0.25">
      <c r="B1734" t="str">
        <v>208-85: *Surveying Systems Software, Microcomputer</v>
      </c>
    </row>
    <row r="1735" spans="2:2" x14ac:dyDescent="0.25">
      <c r="B1735" t="str">
        <v>208-86: *Sound or Music Editing Software, Microcomputer</v>
      </c>
    </row>
    <row r="1736" spans="2:2" x14ac:dyDescent="0.25">
      <c r="B1736" t="str">
        <v>208-87: *Tools, Programming and Case Software, Microcomputer</v>
      </c>
    </row>
    <row r="1737" spans="2:2" x14ac:dyDescent="0.25">
      <c r="B1737" t="str">
        <v>208-88: *Software, Monitoring, Microcomputer</v>
      </c>
    </row>
    <row r="1738" spans="2:2" x14ac:dyDescent="0.25">
      <c r="B1738" t="str">
        <v>208-89: *Threat Alert Software, Microcomputer</v>
      </c>
    </row>
    <row r="1739" spans="2:2" x14ac:dyDescent="0.25">
      <c r="B1739" t="str">
        <v>208-90: *Utilities: Back-up, Batch File, Firewall, Menus, Operating System, Network Operating System, Network Management, Recovery, Screen, Security, Virus Protection, etc., Microcomputer</v>
      </c>
    </row>
    <row r="1740" spans="2:2" x14ac:dyDescent="0.25">
      <c r="B1740" t="str">
        <v>208-94: *Word Processing, Text Editors, Spell Checkers, Microcomputer</v>
      </c>
    </row>
    <row r="1741" spans="2:2" x14ac:dyDescent="0.25">
      <c r="B1741" t="str">
        <v>209-11: *Accounting/Financial: Bookkeeping, Billing and Invoicing, Budgeting, Payroll, Taxes, etc., Mainframes and Servers</v>
      </c>
    </row>
    <row r="1742" spans="2:2" x14ac:dyDescent="0.25">
      <c r="B1742" t="str">
        <v>209-12: *Application Software, Mainframe Computer, Including Cobol</v>
      </c>
    </row>
    <row r="1743" spans="2:2" x14ac:dyDescent="0.25">
      <c r="B1743" t="str">
        <v>209-13: *Application Software, Servers</v>
      </c>
    </row>
    <row r="1744" spans="2:2" x14ac:dyDescent="0.25">
      <c r="B1744" t="str">
        <v>209-14: *Architectural Software, Mainframes and Servers</v>
      </c>
    </row>
    <row r="1745" spans="2:2" x14ac:dyDescent="0.25">
      <c r="B1745" t="str">
        <v>209-22: *Bar Code Software, Mainframes and Servers</v>
      </c>
    </row>
    <row r="1746" spans="2:2" x14ac:dyDescent="0.25">
      <c r="B1746" t="str">
        <v>209-24: *Biometric Authentication System Software, Mainframes and Servers</v>
      </c>
    </row>
    <row r="1747" spans="2:2" x14ac:dyDescent="0.25">
      <c r="B1747" t="str">
        <v>209-28: *Communications: Networking, Linking, etc., Mainframes and Servers</v>
      </c>
    </row>
    <row r="1748" spans="2:2" x14ac:dyDescent="0.25">
      <c r="B1748" t="str">
        <v>209-31: *Computer Aided Design (CAD) Software, Mainframes and Servers</v>
      </c>
    </row>
    <row r="1749" spans="2:2" x14ac:dyDescent="0.25">
      <c r="B1749" t="str">
        <v>209-37: *Data Processing Software, Mainframes and Servers</v>
      </c>
    </row>
    <row r="1750" spans="2:2" x14ac:dyDescent="0.25">
      <c r="B1750" t="str">
        <v>209-38: *Database Software, Mainframes and Servers</v>
      </c>
    </row>
    <row r="1751" spans="2:2" x14ac:dyDescent="0.25">
      <c r="B1751" t="str">
        <v>209-40: *Desktop Publishing, Mainframes and Servers</v>
      </c>
    </row>
    <row r="1752" spans="2:2" x14ac:dyDescent="0.25">
      <c r="B1752" t="str">
        <v>209-41: *Driver and Hardware Support Programs, Mainframes and Servers</v>
      </c>
    </row>
    <row r="1753" spans="2:2" x14ac:dyDescent="0.25">
      <c r="B1753" t="str">
        <v>209-42: *E-Commerce Software, Mainframes and Servers</v>
      </c>
    </row>
    <row r="1754" spans="2:2" x14ac:dyDescent="0.25">
      <c r="B1754" t="str">
        <v>209-43: *EDI (Electronic Data Interchange) Translator Software, Mainframes and Servers</v>
      </c>
    </row>
    <row r="1755" spans="2:2" x14ac:dyDescent="0.25">
      <c r="B1755" t="str">
        <v>209-44: *Educational: eLearning, Foreign Languages, Math, Science, Social Studies, etc. Mainframes and Servers ,</v>
      </c>
    </row>
    <row r="1756" spans="2:2" x14ac:dyDescent="0.25">
      <c r="B1756" t="str">
        <v>209-45: *Email Software, Mainframes and Servers</v>
      </c>
    </row>
    <row r="1757" spans="2:2" x14ac:dyDescent="0.25">
      <c r="B1757" t="str">
        <v>209-46: *Expert System Software, Mainframes and Servers</v>
      </c>
    </row>
    <row r="1758" spans="2:2" x14ac:dyDescent="0.25">
      <c r="B1758" t="str">
        <v>209-47: *Engineering Software, Mainframes and Servers</v>
      </c>
    </row>
    <row r="1759" spans="2:2" x14ac:dyDescent="0.25">
      <c r="B1759" t="str">
        <v>209-48: *Games: Adventure, Board, Puzzles, Strategy, etc. (See 037-84; 208-47; 785-53; and 805-51 for other type games), Mainframes and Servers</v>
      </c>
    </row>
    <row r="1760" spans="2:2" x14ac:dyDescent="0.25">
      <c r="B1760" t="str">
        <v>209-49: *Geographic Information System (GIS) Software, Mainframes and Servers</v>
      </c>
    </row>
    <row r="1761" spans="2:2" x14ac:dyDescent="0.25">
      <c r="B1761" t="str">
        <v>209-51: *Graphics: Clip Art, Demos, Presentation, Slide Shows, etc., Mainframes and Servers</v>
      </c>
    </row>
    <row r="1762" spans="2:2" x14ac:dyDescent="0.25">
      <c r="B1762" t="str">
        <v>209-52: *Human Resources Software, Mainframes and Servers</v>
      </c>
    </row>
    <row r="1763" spans="2:2" x14ac:dyDescent="0.25">
      <c r="B1763" t="str">
        <v>209-54: *Internet, Web Site and Mobile Application Software, Mainframes and Servers</v>
      </c>
    </row>
    <row r="1764" spans="2:2" x14ac:dyDescent="0.25">
      <c r="B1764" t="str">
        <v>209-56: *Inventory Management Software, Mainframes and Servers</v>
      </c>
    </row>
    <row r="1765" spans="2:2" x14ac:dyDescent="0.25">
      <c r="B1765" t="str">
        <v>209-58: *Language Translation Software, Mainframes and Servers</v>
      </c>
    </row>
    <row r="1766" spans="2:2" x14ac:dyDescent="0.25">
      <c r="B1766" t="str">
        <v>209-59: *Logistics and Supply Chain Software, Mainframes and Servers</v>
      </c>
    </row>
    <row r="1767" spans="2:2" x14ac:dyDescent="0.25">
      <c r="B1767" t="str">
        <v>209-60: *Music or Sound Editing Software, Mainframes and Servers</v>
      </c>
    </row>
    <row r="1768" spans="2:2" x14ac:dyDescent="0.25">
      <c r="B1768" t="str">
        <v>209-62: *OCR and Scanner Software, Mainframes and Servers</v>
      </c>
    </row>
    <row r="1769" spans="2:2" x14ac:dyDescent="0.25">
      <c r="B1769" t="str">
        <v>209-64: *Personnel Software, Mainframes and Servers</v>
      </c>
    </row>
    <row r="1770" spans="2:2" x14ac:dyDescent="0.25">
      <c r="B1770" t="str">
        <v>209-66: *Point of Sale (POS) Software, Mainframes and Servers</v>
      </c>
    </row>
    <row r="1771" spans="2:2" x14ac:dyDescent="0.25">
      <c r="B1771" t="str">
        <v>209-67: *Professional: eLearning, Hospital and Pharmacy, Legal, Computer Training, etc., Mainframes and Servers</v>
      </c>
    </row>
    <row r="1772" spans="2:2" x14ac:dyDescent="0.25">
      <c r="B1772" t="str">
        <v>209-68: *Programming: Basic, Assembler, etc., Software, Mainframes and Servers</v>
      </c>
    </row>
    <row r="1773" spans="2:2" x14ac:dyDescent="0.25">
      <c r="B1773" t="str">
        <v>209-69: *Project Management Software, Mainframes and Servers</v>
      </c>
    </row>
    <row r="1774" spans="2:2" x14ac:dyDescent="0.25">
      <c r="B1774" t="str">
        <v>209-70: *Printing Software, Mainframes and Servers</v>
      </c>
    </row>
    <row r="1775" spans="2:2" x14ac:dyDescent="0.25">
      <c r="B1775" t="str">
        <v>209-72: *Procurement Software, Mainframes and Servers</v>
      </c>
    </row>
    <row r="1776" spans="2:2" x14ac:dyDescent="0.25">
      <c r="B1776" t="str">
        <v>209-73: *Procurement and Accounting Taxonomy Software, Mainframes and Servers</v>
      </c>
    </row>
    <row r="1777" spans="2:2" x14ac:dyDescent="0.25">
      <c r="B1777" t="str">
        <v>209-77: *Real Estate and Property Management Software, Mainframes and Servers</v>
      </c>
    </row>
    <row r="1778" spans="2:2" x14ac:dyDescent="0.25">
      <c r="B1778" t="str">
        <v>209-78: *Recycled Software, Mainframes and Servers</v>
      </c>
    </row>
    <row r="1779" spans="2:2" x14ac:dyDescent="0.25">
      <c r="B1779" t="str">
        <v>209-82: *Scientific, Statistical, Engineering, Mathematical, and Mapping Software, Including Photogrammetry, Mainframes and Servers</v>
      </c>
    </row>
    <row r="1780" spans="2:2" x14ac:dyDescent="0.25">
      <c r="B1780" t="str">
        <v>209-84: *Shipping, Postal Management and Address Verification Software, Mainframes and Servers</v>
      </c>
    </row>
    <row r="1781" spans="2:2" x14ac:dyDescent="0.25">
      <c r="B1781" t="str">
        <v>209-85: *Spreadsheet Software, Mainframes and Servers</v>
      </c>
    </row>
    <row r="1782" spans="2:2" x14ac:dyDescent="0.25">
      <c r="B1782" t="str">
        <v>209-86: *Surveying and Geographical Information Systems (GIS) Software, Mainframes and Servers</v>
      </c>
    </row>
    <row r="1783" spans="2:2" x14ac:dyDescent="0.25">
      <c r="B1783" t="str">
        <v>209-87: *Software, Mainframes and Servers (Not Otherwise Classified)</v>
      </c>
    </row>
    <row r="1784" spans="2:2" x14ac:dyDescent="0.25">
      <c r="B1784" t="str">
        <v>209-88: *Tools, Programming and Case Software, Mainframes and Servers</v>
      </c>
    </row>
    <row r="1785" spans="2:2" x14ac:dyDescent="0.25">
      <c r="B1785" t="str">
        <v>209-91: *Utilities: Back-up, Batch File, Menus, Network Management, Operating System, Recovery, Screen, Security, Virus Protection, etc., Mainframes and Servers</v>
      </c>
    </row>
    <row r="1786" spans="2:2" x14ac:dyDescent="0.25">
      <c r="B1786" t="str">
        <v>209-95: *Word Processing, Text Editors, Label Makers, Spell Checkers, etc., Mainframes and Servers</v>
      </c>
    </row>
    <row r="1787" spans="2:2" x14ac:dyDescent="0.25">
      <c r="B1787" t="str">
        <v>210-07: Basins, Catch, Including Part and Accessories</v>
      </c>
    </row>
    <row r="1788" spans="2:2" x14ac:dyDescent="0.25">
      <c r="B1788" t="str">
        <v>210-10: Blocks, Hollow and Solid, Lightweight</v>
      </c>
    </row>
    <row r="1789" spans="2:2" x14ac:dyDescent="0.25">
      <c r="B1789" t="str">
        <v>210-11: Blocks, Hollow and Solid, Normal Weight</v>
      </c>
    </row>
    <row r="1790" spans="2:2" x14ac:dyDescent="0.25">
      <c r="B1790" t="str">
        <v>210-12: Blocks, Kiln and Oven</v>
      </c>
    </row>
    <row r="1791" spans="2:2" x14ac:dyDescent="0.25">
      <c r="B1791" t="str">
        <v>210-13: Box Voids and Void Concrete Forms, Including Chemical Release Agents</v>
      </c>
    </row>
    <row r="1792" spans="2:2" x14ac:dyDescent="0.25">
      <c r="B1792" t="str">
        <v>210-14: Bollard Post, Steel, Removable</v>
      </c>
    </row>
    <row r="1793" spans="2:2" x14ac:dyDescent="0.25">
      <c r="B1793" t="str">
        <v>210-15: Bricks, Concrete</v>
      </c>
    </row>
    <row r="1794" spans="2:2" x14ac:dyDescent="0.25">
      <c r="B1794" t="str">
        <v>210-16: Concrete Beams, Channels, Roof Decks, Bollards, etc., Prestressed</v>
      </c>
    </row>
    <row r="1795" spans="2:2" x14ac:dyDescent="0.25">
      <c r="B1795" t="str">
        <v>210-17: Concrete Bunker Panels</v>
      </c>
    </row>
    <row r="1796" spans="2:2" x14ac:dyDescent="0.25">
      <c r="B1796" t="str">
        <v>210-18: Concrete Encased Ducts</v>
      </c>
    </row>
    <row r="1797" spans="2:2" x14ac:dyDescent="0.25">
      <c r="B1797" t="str">
        <v>210-25: Concrete Pilings</v>
      </c>
    </row>
    <row r="1798" spans="2:2" x14ac:dyDescent="0.25">
      <c r="B1798" t="str">
        <v>210-26: Concrete Support Items, Chairs, etc.</v>
      </c>
    </row>
    <row r="1799" spans="2:2" x14ac:dyDescent="0.25">
      <c r="B1799" t="str">
        <v>210-27: Connecting Bands, Corrugated Metal</v>
      </c>
    </row>
    <row r="1800" spans="2:2" x14ac:dyDescent="0.25">
      <c r="B1800" t="str">
        <v>210-28: Culverts, Concrete</v>
      </c>
    </row>
    <row r="1801" spans="2:2" x14ac:dyDescent="0.25">
      <c r="B1801" t="str">
        <v>210-29: Culverts, Corrugated Metal, Including Well Casing Pipe</v>
      </c>
    </row>
    <row r="1802" spans="2:2" x14ac:dyDescent="0.25">
      <c r="B1802" t="str">
        <v>210-30: Curbs, Parking and Curb Boxes: Vehicle, Including Recycled</v>
      </c>
    </row>
    <row r="1803" spans="2:2" x14ac:dyDescent="0.25">
      <c r="B1803" t="str">
        <v>210-31: Drains, Including Parts and Accessories</v>
      </c>
    </row>
    <row r="1804" spans="2:2" x14ac:dyDescent="0.25">
      <c r="B1804" t="str">
        <v>210-33: Irrigation Pipe, Metal</v>
      </c>
    </row>
    <row r="1805" spans="2:2" x14ac:dyDescent="0.25">
      <c r="B1805" t="str">
        <v>210-35: Joint Sealing Compound, Sewer and Drain Pipes</v>
      </c>
    </row>
    <row r="1806" spans="2:2" x14ac:dyDescent="0.25">
      <c r="B1806" t="str">
        <v>210-45: Meter Boxes and Concrete Pull Boxes</v>
      </c>
    </row>
    <row r="1807" spans="2:2" x14ac:dyDescent="0.25">
      <c r="B1807" t="str">
        <v>210-47: Molds, Concrete, Including Parts and Accessories</v>
      </c>
    </row>
    <row r="1808" spans="2:2" x14ac:dyDescent="0.25">
      <c r="B1808" t="str">
        <v>210-55: Paving and Stepping Blocks</v>
      </c>
    </row>
    <row r="1809" spans="2:2" x14ac:dyDescent="0.25">
      <c r="B1809" t="str">
        <v>210-70: Recycled Concrete and Metal Products Incl. Culverts, Pilings, and Septic Tanks</v>
      </c>
    </row>
    <row r="1810" spans="2:2" x14ac:dyDescent="0.25">
      <c r="B1810" t="str">
        <v>210-72: Risers and Cones, Reinforced Concrete</v>
      </c>
    </row>
    <row r="1811" spans="2:2" x14ac:dyDescent="0.25">
      <c r="B1811" t="str">
        <v>210-75: Septic Tanks, Grease Traps, and Water Troughs</v>
      </c>
    </row>
    <row r="1812" spans="2:2" x14ac:dyDescent="0.25">
      <c r="B1812" t="str">
        <v>210-80: Ties and Anchors and Other Masonry Wall Reinforcements</v>
      </c>
    </row>
    <row r="1813" spans="2:2" x14ac:dyDescent="0.25">
      <c r="B1813" t="str">
        <v>210-85: Vents, Foundation, Concrete</v>
      </c>
    </row>
    <row r="1814" spans="2:2" x14ac:dyDescent="0.25">
      <c r="B1814" t="str">
        <v>220-02: Accelerometers</v>
      </c>
    </row>
    <row r="1815" spans="2:2" x14ac:dyDescent="0.25">
      <c r="B1815" t="str">
        <v>220-04: Actuators and Controls: Robotics, Servo Systems, etc.</v>
      </c>
    </row>
    <row r="1816" spans="2:2" x14ac:dyDescent="0.25">
      <c r="B1816" t="str">
        <v>220-05: Avalanche Devices, Equipment, Including Parts and Accessories</v>
      </c>
    </row>
    <row r="1817" spans="2:2" x14ac:dyDescent="0.25">
      <c r="B1817" t="str">
        <v>220-06: Charts: Flowmeter, Receiver, Recorder</v>
      </c>
    </row>
    <row r="1818" spans="2:2" x14ac:dyDescent="0.25">
      <c r="B1818" t="str">
        <v>220-07: Clinometers and Inclinometers, Slope and Tilt Measurements</v>
      </c>
    </row>
    <row r="1819" spans="2:2" x14ac:dyDescent="0.25">
      <c r="B1819" t="str">
        <v>220-09: Conductivity Instruments, Dissolved Solids</v>
      </c>
    </row>
    <row r="1820" spans="2:2" x14ac:dyDescent="0.25">
      <c r="B1820" t="str">
        <v>220-13: Examination Equipment: Current, Liquid Penetrant, Magnetic Particle, etc.</v>
      </c>
    </row>
    <row r="1821" spans="2:2" x14ac:dyDescent="0.25">
      <c r="B1821" t="str">
        <v>220-14: *Energy Computerized Control Systems:  HVAC, Lighting, Utilities, etc. Combination</v>
      </c>
    </row>
    <row r="1822" spans="2:2" x14ac:dyDescent="0.25">
      <c r="B1822" t="str">
        <v>220-15: Flow Controllers, Indicators, Calibrators, and Recorders: Air and Gases</v>
      </c>
    </row>
    <row r="1823" spans="2:2" x14ac:dyDescent="0.25">
      <c r="B1823" t="str">
        <v>220-16: Flow Controllers and Recorders, For Liquids</v>
      </c>
    </row>
    <row r="1824" spans="2:2" x14ac:dyDescent="0.25">
      <c r="B1824" t="str">
        <v>220-17: Flood Control Devices, Equipment, Including Parts and Accessories</v>
      </c>
    </row>
    <row r="1825" spans="2:2" x14ac:dyDescent="0.25">
      <c r="B1825" t="str">
        <v>220-18: Gauges: Altitude, Pressure, Profile, Temperature, Liquid Level, etc.</v>
      </c>
    </row>
    <row r="1826" spans="2:2" x14ac:dyDescent="0.25">
      <c r="B1826" t="str">
        <v>220-19: Gyroscopic Instruments</v>
      </c>
    </row>
    <row r="1827" spans="2:2" x14ac:dyDescent="0.25">
      <c r="B1827" t="str">
        <v>220-20: Hazardous Environment Detection and Measuring Equipment</v>
      </c>
    </row>
    <row r="1828" spans="2:2" x14ac:dyDescent="0.25">
      <c r="B1828" t="str">
        <v>220-22: High Vacuum Controllers, Indicators, and Recorders and Accessories: Ionization Gauges, Thermocouple Gauges, etc.</v>
      </c>
    </row>
    <row r="1829" spans="2:2" x14ac:dyDescent="0.25">
      <c r="B1829" t="str">
        <v>220-23: *High Water Detection and Measuring Equipment</v>
      </c>
    </row>
    <row r="1830" spans="2:2" x14ac:dyDescent="0.25">
      <c r="B1830" t="str">
        <v>220-29: *Imaging Systems, Infrared Thermal, Not X-Ray</v>
      </c>
    </row>
    <row r="1831" spans="2:2" x14ac:dyDescent="0.25">
      <c r="B1831" t="str">
        <v>220-30: Indicating and Recording Instruments, Equipment and Accessories (Not Otherwise Classified)</v>
      </c>
    </row>
    <row r="1832" spans="2:2" x14ac:dyDescent="0.25">
      <c r="B1832" t="str">
        <v>220-33: Liquid Level Controllers, Indicators, and Recorders</v>
      </c>
    </row>
    <row r="1833" spans="2:2" x14ac:dyDescent="0.25">
      <c r="B1833" t="str">
        <v>220-34: Logging Devices, Electronic, Long-Range Data Collection and Recording for Use at a Remote Location</v>
      </c>
    </row>
    <row r="1834" spans="2:2" x14ac:dyDescent="0.25">
      <c r="B1834" t="str">
        <v>220-35: Meters, Gas: Rotary Positive Displacement, Turbine, Diaphragm and Associated Instrumentation</v>
      </c>
    </row>
    <row r="1835" spans="2:2" x14ac:dyDescent="0.25">
      <c r="B1835" t="str">
        <v>220-36: Oscillographs, Cathode-Ray Recording System, Including Parts and Accessories</v>
      </c>
    </row>
    <row r="1836" spans="2:2" x14ac:dyDescent="0.25">
      <c r="B1836" t="str">
        <v>220-42: Photoelectric Control Devices</v>
      </c>
    </row>
    <row r="1837" spans="2:2" x14ac:dyDescent="0.25">
      <c r="B1837" t="str">
        <v>220-43: Position Measuring Devices, X-Y Coordinates</v>
      </c>
    </row>
    <row r="1838" spans="2:2" x14ac:dyDescent="0.25">
      <c r="B1838" t="str">
        <v>220-45: Pressure Controllers, Indicators, and Recorders</v>
      </c>
    </row>
    <row r="1839" spans="2:2" x14ac:dyDescent="0.25">
      <c r="B1839" t="str">
        <v>220-46: Pressure Converters</v>
      </c>
    </row>
    <row r="1840" spans="2:2" x14ac:dyDescent="0.25">
      <c r="B1840" t="str">
        <v>220-48: Radar Instruments, Marine Type, Magnetrons, etc., Including Parts and Accessories</v>
      </c>
    </row>
    <row r="1841" spans="2:2" x14ac:dyDescent="0.25">
      <c r="B1841" t="str">
        <v>220-52: *Biometric Card Reader, Including Parts and Accessories</v>
      </c>
    </row>
    <row r="1842" spans="2:2" x14ac:dyDescent="0.25">
      <c r="B1842" t="str">
        <v>220-53: Radiant Energy Measuring Devices, Visual, UV, and IR: Light Meters, Except Photographic, Photometers, Pyranometers, Radiometers, etc.</v>
      </c>
    </row>
    <row r="1843" spans="2:2" x14ac:dyDescent="0.25">
      <c r="B1843" t="str">
        <v>220-54: Recorders and Plotters, General Laboratory Type, Strip Chart, X-Y, etc., and Supplies: Chart Paper, Developing Chemicals, Ink, Penholders, Pens, etc. (See 690-62 for Power Generation Type)</v>
      </c>
    </row>
    <row r="1844" spans="2:2" x14ac:dyDescent="0.25">
      <c r="B1844" t="str">
        <v>220-55: Recycled Recording, Controlling and Indicating Instruments and Supplies</v>
      </c>
    </row>
    <row r="1845" spans="2:2" x14ac:dyDescent="0.25">
      <c r="B1845" t="str">
        <v>220-60: Sonar Instruments, Research Type</v>
      </c>
    </row>
    <row r="1846" spans="2:2" x14ac:dyDescent="0.25">
      <c r="B1846" t="str">
        <v>220-61: Sound Analysis Equipment and Accessories: Noise Meters and Dosimeters, Sound Level Meters, etc., Including Noise Control Enclosures, etc.</v>
      </c>
    </row>
    <row r="1847" spans="2:2" x14ac:dyDescent="0.25">
      <c r="B1847" t="str">
        <v>220-63: Strain Gauges, Force Gauges, and Associated Instruments: Strain Gauge Conditioners, Stress-Strain Plotters, etc.</v>
      </c>
    </row>
    <row r="1848" spans="2:2" x14ac:dyDescent="0.25">
      <c r="B1848" t="str">
        <v>220-66: Stroboscopes and Tachometers, Except Automotive</v>
      </c>
    </row>
    <row r="1849" spans="2:2" x14ac:dyDescent="0.25">
      <c r="B1849" t="str">
        <v>220-68: Surface Profile Measurement Equipment</v>
      </c>
    </row>
    <row r="1850" spans="2:2" x14ac:dyDescent="0.25">
      <c r="B1850" t="str">
        <v>220-72: Temperature Controllers, Indicators, and Recorders, Digital Thermometers, Pyrometers, etc., Including Parts and Accessories: Thermistors, Thermocouples, etc.</v>
      </c>
    </row>
    <row r="1851" spans="2:2" x14ac:dyDescent="0.25">
      <c r="B1851" t="str">
        <v>220-75: Transducers and Couplers</v>
      </c>
    </row>
    <row r="1852" spans="2:2" x14ac:dyDescent="0.25">
      <c r="B1852" t="str">
        <v>220-84: Vibration Detecting and Measuring Equipment: Geophones, Seismic Amplifiers, Seismographs, etc.</v>
      </c>
    </row>
    <row r="1853" spans="2:2" x14ac:dyDescent="0.25">
      <c r="B1853" t="str">
        <v>220-85: Vibration Generating Equipment: Piezoelectric, Sonic, Ultrasonic, etc.</v>
      </c>
    </row>
    <row r="1854" spans="2:2" x14ac:dyDescent="0.25">
      <c r="B1854" t="str">
        <v>220-87: *Weather Instruments: Anemometers, Barographs, Barometers, Hygrometers, Lightning Strike Counters, Relative Humidity Meters, Thermographs, Radar Weather Display, etc.</v>
      </c>
    </row>
    <row r="1855" spans="2:2" x14ac:dyDescent="0.25">
      <c r="B1855" t="str">
        <v>220-88: *Weather Station</v>
      </c>
    </row>
    <row r="1856" spans="2:2" x14ac:dyDescent="0.25">
      <c r="B1856" t="str">
        <v>225-30: Coolers, Electric, Water Fountains</v>
      </c>
    </row>
    <row r="1857" spans="2:2" x14ac:dyDescent="0.25">
      <c r="B1857" t="str">
        <v>225-32: Coolers, Non-Electric, Water Fountains</v>
      </c>
    </row>
    <row r="1858" spans="2:2" x14ac:dyDescent="0.25">
      <c r="B1858" t="str">
        <v>225-40: Coolers, Storage Type, Remote Refrigeration Unit, Including Parts and Accessories</v>
      </c>
    </row>
    <row r="1859" spans="2:2" x14ac:dyDescent="0.25">
      <c r="B1859" t="str">
        <v>225-64: Recycled Drinking Fountains and Supplies</v>
      </c>
    </row>
    <row r="1860" spans="2:2" x14ac:dyDescent="0.25">
      <c r="B1860" t="str">
        <v>232-02: Artificial Plants, Shrubs, and Trees</v>
      </c>
    </row>
    <row r="1861" spans="2:2" x14ac:dyDescent="0.25">
      <c r="B1861" t="str">
        <v>232-05: Basketry Materials</v>
      </c>
    </row>
    <row r="1862" spans="2:2" x14ac:dyDescent="0.25">
      <c r="B1862" t="str">
        <v>232-10: Beadcraft Supplies</v>
      </c>
    </row>
    <row r="1863" spans="2:2" x14ac:dyDescent="0.25">
      <c r="B1863" t="str">
        <v>232-15: Candle Making Equipment and Supplies (See 393-56 for Candles)</v>
      </c>
    </row>
    <row r="1864" spans="2:2" x14ac:dyDescent="0.25">
      <c r="B1864" t="str">
        <v>232-20: Carpet Warp and Roving, Macram?2322500Decoupage Materials and Supplies</v>
      </c>
    </row>
    <row r="1865" spans="2:2" x14ac:dyDescent="0.25">
      <c r="B1865" t="str">
        <v>232-25: Decoupage Materials and Supplies</v>
      </c>
    </row>
    <row r="1866" spans="2:2" x14ac:dyDescent="0.25">
      <c r="B1866" t="str">
        <v>232-27: Dried Flowers and Plants</v>
      </c>
    </row>
    <row r="1867" spans="2:2" x14ac:dyDescent="0.25">
      <c r="B1867" t="str">
        <v>232-32: Floral Arrangements, Artificial</v>
      </c>
    </row>
    <row r="1868" spans="2:2" x14ac:dyDescent="0.25">
      <c r="B1868" t="str">
        <v>232-35: Floral Supplies: Artificial Flowers, Floral Tape, etc.</v>
      </c>
    </row>
    <row r="1869" spans="2:2" x14ac:dyDescent="0.25">
      <c r="B1869" t="str">
        <v>232-38: Glitter, Sequins, Stars, Feather Craft, Polyester Balls, etc.</v>
      </c>
    </row>
    <row r="1870" spans="2:2" x14ac:dyDescent="0.25">
      <c r="B1870" t="str">
        <v>232-41: Kits and Supplies: Crafts, Miscellaneous</v>
      </c>
    </row>
    <row r="1871" spans="2:2" x14ac:dyDescent="0.25">
      <c r="B1871" t="str">
        <v>232-42: Kits and Supplies: Foil, Tin, etc.</v>
      </c>
    </row>
    <row r="1872" spans="2:2" x14ac:dyDescent="0.25">
      <c r="B1872" t="str">
        <v>232-43: Kits and Supplies: Mosaic</v>
      </c>
    </row>
    <row r="1873" spans="2:2" x14ac:dyDescent="0.25">
      <c r="B1873" t="str">
        <v>232-45: Kits and Supplies: String and Wire Art</v>
      </c>
    </row>
    <row r="1874" spans="2:2" x14ac:dyDescent="0.25">
      <c r="B1874" t="str">
        <v>232-48: Lacing, Crafts</v>
      </c>
    </row>
    <row r="1875" spans="2:2" x14ac:dyDescent="0.25">
      <c r="B1875" t="str">
        <v>232-50: Liquid Embroidery and Fabric Painting Supplies</v>
      </c>
    </row>
    <row r="1876" spans="2:2" x14ac:dyDescent="0.25">
      <c r="B1876" t="str">
        <v xml:space="preserve">232-53: Miniatures, Craft                                                                                                                                                                                                                                         </v>
      </c>
    </row>
    <row r="1877" spans="2:2" x14ac:dyDescent="0.25">
      <c r="B1877" t="str">
        <v>232-55: Model Kits and Parts: Airplane, Automobile, Ship, etc.</v>
      </c>
    </row>
    <row r="1878" spans="2:2" x14ac:dyDescent="0.25">
      <c r="B1878" t="str">
        <v>232-56: Molds, For Plaster Cast Projects</v>
      </c>
    </row>
    <row r="1879" spans="2:2" x14ac:dyDescent="0.25">
      <c r="B1879" t="str">
        <v>232-60: Needlework Kits and Supplies: Crewel, Embroidery, etc.</v>
      </c>
    </row>
    <row r="1880" spans="2:2" x14ac:dyDescent="0.25">
      <c r="B1880" t="str">
        <v>232-70: Precut Wood Kits: Bird Houses, Magazine Baskets, What-not Shelves, etc.</v>
      </c>
    </row>
    <row r="1881" spans="2:2" x14ac:dyDescent="0.25">
      <c r="B1881" t="str">
        <v>232-75: Recycled Crafts, General</v>
      </c>
    </row>
    <row r="1882" spans="2:2" x14ac:dyDescent="0.25">
      <c r="B1882" t="str">
        <v>232-77: Ribbons, Craft</v>
      </c>
    </row>
    <row r="1883" spans="2:2" x14ac:dyDescent="0.25">
      <c r="B1883" t="str">
        <v>232-78: Soap Making Materials and Supplies</v>
      </c>
    </row>
    <row r="1884" spans="2:2" x14ac:dyDescent="0.25">
      <c r="B1884" t="str">
        <v>232-80: Styrofoam Shapes and Foam Filler</v>
      </c>
    </row>
    <row r="1885" spans="2:2" x14ac:dyDescent="0.25">
      <c r="B1885" t="str">
        <v>232-85: Transfers: Hot Iron, and Rub On Type</v>
      </c>
    </row>
    <row r="1886" spans="2:2" x14ac:dyDescent="0.25">
      <c r="B1886" t="str">
        <v>232-90: Weaving Looms and Materials, Hand</v>
      </c>
    </row>
    <row r="1887" spans="2:2" x14ac:dyDescent="0.25">
      <c r="B1887" t="str">
        <v>232-95: Wood Burning, Wood Carving, Wood Working Tools, Furniture and Supplies</v>
      </c>
    </row>
    <row r="1888" spans="2:2" x14ac:dyDescent="0.25">
      <c r="B1888" t="str">
        <v>233-20: Ceramic and Pottery Equipment and Supplies</v>
      </c>
    </row>
    <row r="1889" spans="2:2" x14ac:dyDescent="0.25">
      <c r="B1889" t="str">
        <v>233-32: Faceting and Cabbing Equipment and Accessories</v>
      </c>
    </row>
    <row r="1890" spans="2:2" x14ac:dyDescent="0.25">
      <c r="B1890" t="str">
        <v>233-35: Glass Blowing Equipment and Supplies</v>
      </c>
    </row>
    <row r="1891" spans="2:2" x14ac:dyDescent="0.25">
      <c r="B1891" t="str">
        <v>233-55: Kilns and Furnaces, For Ceramic and Enameling, Including Parts and Accessories</v>
      </c>
    </row>
    <row r="1892" spans="2:2" x14ac:dyDescent="0.25">
      <c r="B1892" t="str">
        <v>233-60: Lapidary Equipment, Jewelry Findings, and Supplies</v>
      </c>
    </row>
    <row r="1893" spans="2:2" x14ac:dyDescent="0.25">
      <c r="B1893" t="str">
        <v>233-65: Leather Craft Supplies</v>
      </c>
    </row>
    <row r="1894" spans="2:2" x14ac:dyDescent="0.25">
      <c r="B1894" t="str">
        <v>233-70: Metal Enameling Material</v>
      </c>
    </row>
    <row r="1895" spans="2:2" x14ac:dyDescent="0.25">
      <c r="B1895" t="str">
        <v>233-75: Metal Craft Supplies</v>
      </c>
    </row>
    <row r="1896" spans="2:2" x14ac:dyDescent="0.25">
      <c r="B1896" t="str">
        <v>233-80: Paper Making Equipment and Supplies: Handmade: Beaters, Screens, Vats, etc.</v>
      </c>
    </row>
    <row r="1897" spans="2:2" x14ac:dyDescent="0.25">
      <c r="B1897" t="str">
        <v>233-85: Recycled Crafts, Specialized</v>
      </c>
    </row>
    <row r="1898" spans="2:2" x14ac:dyDescent="0.25">
      <c r="B1898" t="str">
        <v>233-90: Rubbing Compound, Abrasive</v>
      </c>
    </row>
    <row r="1899" spans="2:2" x14ac:dyDescent="0.25">
      <c r="B1899" t="str">
        <v>240-07: Aluminum Ware: Cooking Utensils, Dishes, Trays, Pots and Pans, etc.</v>
      </c>
    </row>
    <row r="1900" spans="2:2" x14ac:dyDescent="0.25">
      <c r="B1900" t="str">
        <v>240-14: Beverage Servers, All Types, Including Decanters</v>
      </c>
    </row>
    <row r="1901" spans="2:2" x14ac:dyDescent="0.25">
      <c r="B1901" t="str">
        <v>240-17: Cast Iron: Cooking and Frying Pots and Pans, etc.</v>
      </c>
    </row>
    <row r="1902" spans="2:2" x14ac:dyDescent="0.25">
      <c r="B1902" t="str">
        <v>240-20: Table Ware: Plates, Bowls, Cups, and Saucers</v>
      </c>
    </row>
    <row r="1903" spans="2:2" x14ac:dyDescent="0.25">
      <c r="B1903" t="str">
        <v>240-21: Chinaware</v>
      </c>
    </row>
    <row r="1904" spans="2:2" x14ac:dyDescent="0.25">
      <c r="B1904" t="str">
        <v>240-23: Condiment Shakers, Dispensers, Covers, etc.</v>
      </c>
    </row>
    <row r="1905" spans="2:2" x14ac:dyDescent="0.25">
      <c r="B1905" t="str">
        <v>240-24: Cookware, Pots and Pans</v>
      </c>
    </row>
    <row r="1906" spans="2:2" x14ac:dyDescent="0.25">
      <c r="B1906" t="str">
        <v>240-28: Cutlery: Knives, Spatulas, Steels, etc.</v>
      </c>
    </row>
    <row r="1907" spans="2:2" x14ac:dyDescent="0.25">
      <c r="B1907" t="str">
        <v>240-35: Cutting Boards</v>
      </c>
    </row>
    <row r="1908" spans="2:2" x14ac:dyDescent="0.25">
      <c r="B1908" t="str">
        <v>240-42: Enamelware: Small Cooking Utensils, Pots and Pans, etc.</v>
      </c>
    </row>
    <row r="1909" spans="2:2" x14ac:dyDescent="0.25">
      <c r="B1909" t="str">
        <v>240-49: Flour Sifters, Light Duty</v>
      </c>
    </row>
    <row r="1910" spans="2:2" x14ac:dyDescent="0.25">
      <c r="B1910" t="str">
        <v>240-56: Glassware, Table</v>
      </c>
    </row>
    <row r="1911" spans="2:2" x14ac:dyDescent="0.25">
      <c r="B1911" t="str">
        <v>240-63: Kitchen Utensils; Small: Basters, Corers, Ladles, Pastry and Vegetable Brushes, Peelers, Scoops, Tongs, Turners, etc.</v>
      </c>
    </row>
    <row r="1912" spans="2:2" x14ac:dyDescent="0.25">
      <c r="B1912" t="str">
        <v>240-66: Meal Servers, Insulated</v>
      </c>
    </row>
    <row r="1913" spans="2:2" x14ac:dyDescent="0.25">
      <c r="B1913" t="str">
        <v>240-70: Plastic Ware: Dishes, Pots and Pans, Trays, Non-Disposable Type (See 640-60 for Disposable Type)</v>
      </c>
    </row>
    <row r="1914" spans="2:2" x14ac:dyDescent="0.25">
      <c r="B1914" t="str">
        <v>240-74: Recycled Dishes, Utensils, etc.</v>
      </c>
    </row>
    <row r="1915" spans="2:2" x14ac:dyDescent="0.25">
      <c r="B1915" t="str">
        <v>240-77: Silver Burnishing Equipment and Scouring Pads, All Types</v>
      </c>
    </row>
    <row r="1916" spans="2:2" x14ac:dyDescent="0.25">
      <c r="B1916" t="str">
        <v>240-84: Silverware: Flatware, Tableware, etc.</v>
      </c>
    </row>
    <row r="1917" spans="2:2" x14ac:dyDescent="0.25">
      <c r="B1917" t="str">
        <v>240-87: Silverware and Dishes, Specialized, Self-Help Feeding Type</v>
      </c>
    </row>
    <row r="1918" spans="2:2" x14ac:dyDescent="0.25">
      <c r="B1918" t="str">
        <v>240-91: Stainless Steel Ware: Cooking Utensils, Flatware, Tableware, Trays, Pots and Pans, etc.</v>
      </c>
    </row>
    <row r="1919" spans="2:2" x14ac:dyDescent="0.25">
      <c r="B1919" t="str">
        <v>240-93: Storage Boxes, Food</v>
      </c>
    </row>
    <row r="1920" spans="2:2" x14ac:dyDescent="0.25">
      <c r="B1920" t="str">
        <v>240-95: Thermometers, Cooking and Oven</v>
      </c>
    </row>
    <row r="1921" spans="2:2" x14ac:dyDescent="0.25">
      <c r="B1921" t="str">
        <v>240-96: Timers, Mechanical</v>
      </c>
    </row>
    <row r="1922" spans="2:2" x14ac:dyDescent="0.25">
      <c r="B1922" t="str">
        <v>245-02: Butter Machines, Churns, and Equipment</v>
      </c>
    </row>
    <row r="1923" spans="2:2" x14ac:dyDescent="0.25">
      <c r="B1923" t="str">
        <v>245-03: Cheese-Making Supplies: Annatto, Rennet, etc.</v>
      </c>
    </row>
    <row r="1924" spans="2:2" x14ac:dyDescent="0.25">
      <c r="B1924" t="str">
        <v>245-05: Cleaning Materials, For Dairy Equipment: Chlorine Sanitizers, Milkstone Remover, etc.</v>
      </c>
    </row>
    <row r="1925" spans="2:2" x14ac:dyDescent="0.25">
      <c r="B1925" t="str">
        <v>245-10: Cooling Vats</v>
      </c>
    </row>
    <row r="1926" spans="2:2" x14ac:dyDescent="0.25">
      <c r="B1926" t="str">
        <v>245-15: Dairy Pails, Utility Pails</v>
      </c>
    </row>
    <row r="1927" spans="2:2" x14ac:dyDescent="0.25">
      <c r="B1927" t="str">
        <v>245-20: Ice Cream Containers: Paper and Metal</v>
      </c>
    </row>
    <row r="1928" spans="2:2" x14ac:dyDescent="0.25">
      <c r="B1928" t="str">
        <v>245-25: Ice Cream Shipping Jackets</v>
      </c>
    </row>
    <row r="1929" spans="2:2" x14ac:dyDescent="0.25">
      <c r="B1929" t="str">
        <v>245-30: Milk Bottle Caps: Metallic and Paper</v>
      </c>
    </row>
    <row r="1930" spans="2:2" x14ac:dyDescent="0.25">
      <c r="B1930" t="str">
        <v>245-35: Milk Bottles, Glass</v>
      </c>
    </row>
    <row r="1931" spans="2:2" x14ac:dyDescent="0.25">
      <c r="B1931" t="str">
        <v>245-40: Milk Cans, All Types</v>
      </c>
    </row>
    <row r="1932" spans="2:2" x14ac:dyDescent="0.25">
      <c r="B1932" t="str">
        <v>245-45: Milk Cartons: Paper and Plastic, Including Liners</v>
      </c>
    </row>
    <row r="1933" spans="2:2" x14ac:dyDescent="0.25">
      <c r="B1933" t="str">
        <v>245-50: Milk Crates</v>
      </c>
    </row>
    <row r="1934" spans="2:2" x14ac:dyDescent="0.25">
      <c r="B1934" t="str">
        <v>245-55: Milk Dispenser Can Tubes</v>
      </c>
    </row>
    <row r="1935" spans="2:2" x14ac:dyDescent="0.25">
      <c r="B1935" t="str">
        <v>245-59: Milk Filling Machines, Accessories and Supplies, Dispenser Bags, etc.</v>
      </c>
    </row>
    <row r="1936" spans="2:2" x14ac:dyDescent="0.25">
      <c r="B1936" t="str">
        <v>245-60: Milk Filters</v>
      </c>
    </row>
    <row r="1937" spans="2:2" x14ac:dyDescent="0.25">
      <c r="B1937" t="str">
        <v>245-70: Milking Machines, Accessories, and Parts: Compressors, Pulsators, etc.</v>
      </c>
    </row>
    <row r="1938" spans="2:2" x14ac:dyDescent="0.25">
      <c r="B1938" t="str">
        <v>245-80: Milk Processing Equipment, Homogenizers, Pasteurizers, etc., Including Parts and Accessories</v>
      </c>
    </row>
    <row r="1939" spans="2:2" x14ac:dyDescent="0.25">
      <c r="B1939" t="str">
        <v>245-83: Refurbished Dairy Equipment and Supplies</v>
      </c>
    </row>
    <row r="1940" spans="2:2" x14ac:dyDescent="0.25">
      <c r="B1940" t="str">
        <v>245-85: Stanchions, Milk Parlor</v>
      </c>
    </row>
    <row r="1941" spans="2:2" x14ac:dyDescent="0.25">
      <c r="B1941" t="str">
        <v>245-86: Teat Sanitizing Equipment and Supplies</v>
      </c>
    </row>
    <row r="1942" spans="2:2" x14ac:dyDescent="0.25">
      <c r="B1942" t="str">
        <v>245-87: Thermometers, Dairy, For Milk Vats, etc.</v>
      </c>
    </row>
    <row r="1943" spans="2:2" x14ac:dyDescent="0.25">
      <c r="B1943" t="str">
        <v>245-90: Wraps, Cheese: Circles, Bandages, Wax, etc.</v>
      </c>
    </row>
    <row r="1944" spans="2:2" x14ac:dyDescent="0.25">
      <c r="B1944" t="str">
        <v>250-18: Cards, Tabulating, Special, Automatic and Manual Data Processing Systems</v>
      </c>
    </row>
    <row r="1945" spans="2:2" x14ac:dyDescent="0.25">
      <c r="B1945" t="str">
        <v>250-30: Cards, Tabulating, Standard, EDP Systems</v>
      </c>
    </row>
    <row r="1946" spans="2:2" x14ac:dyDescent="0.25">
      <c r="B1946" t="str">
        <v>250-55: Paper, Tabulating Stock</v>
      </c>
    </row>
    <row r="1947" spans="2:2" x14ac:dyDescent="0.25">
      <c r="B1947" t="str">
        <v>250-67: Recycled Data Processing Cards and Paper</v>
      </c>
    </row>
    <row r="1948" spans="2:2" x14ac:dyDescent="0.25">
      <c r="B1948" t="str">
        <v>250-70: Roll Paper, Bond, EDP Portable Terminals</v>
      </c>
    </row>
    <row r="1949" spans="2:2" x14ac:dyDescent="0.25">
      <c r="B1949" t="str">
        <v>250-72: Roll Paper, Thermal, EDP Portable Terminals</v>
      </c>
    </row>
    <row r="1950" spans="2:2" x14ac:dyDescent="0.25">
      <c r="B1950" t="str">
        <v>250-80: Tests, Answer Sheets, Scoring Keys, etc., Electronic Data Processing (EDP) Systems</v>
      </c>
    </row>
    <row r="1951" spans="2:2" x14ac:dyDescent="0.25">
      <c r="B1951" t="str">
        <v>251-18: Cards, Tabulating, Special, Automatic and Manual Data Processing Systems, Environmentally Certified Products</v>
      </c>
    </row>
    <row r="1952" spans="2:2" x14ac:dyDescent="0.25">
      <c r="B1952" t="str">
        <v>251-30: Cards, Tabulating, Standard,  EDP Systems, Environmentally Certified Products</v>
      </c>
    </row>
    <row r="1953" spans="2:2" x14ac:dyDescent="0.25">
      <c r="B1953" t="str">
        <v>251-55: Paper, Tabulating Stock, Environmentally Certified Products</v>
      </c>
    </row>
    <row r="1954" spans="2:2" x14ac:dyDescent="0.25">
      <c r="B1954" t="str">
        <v>251-67: Recycled Data Processing Cards and Paper, Environmentally Certified Products</v>
      </c>
    </row>
    <row r="1955" spans="2:2" x14ac:dyDescent="0.25">
      <c r="B1955" t="str">
        <v>251-70: Roll Paper, Bond, EDP Portable Terminals, Environmentally Certified Products</v>
      </c>
    </row>
    <row r="1956" spans="2:2" x14ac:dyDescent="0.25">
      <c r="B1956" t="str">
        <v>251-72: Roll Paper, Thermal, EDP Portable Terminals, Environmentally Certified Products</v>
      </c>
    </row>
    <row r="1957" spans="2:2" x14ac:dyDescent="0.25">
      <c r="B1957" t="str">
        <v>251-80: Tests, Answer Sheets, Scoring Keys, etc., EDP Systems, Environmentally Certified Products</v>
      </c>
    </row>
    <row r="1958" spans="2:2" x14ac:dyDescent="0.25">
      <c r="B1958" t="str">
        <v>255-05: Bar Code Decals</v>
      </c>
    </row>
    <row r="1959" spans="2:2" x14ac:dyDescent="0.25">
      <c r="B1959" t="str">
        <v>255-10: Bedding Stamps</v>
      </c>
    </row>
    <row r="1960" spans="2:2" x14ac:dyDescent="0.25">
      <c r="B1960" t="str">
        <v>255-20: Cigarette Stamp, Numbered</v>
      </c>
    </row>
    <row r="1961" spans="2:2" x14ac:dyDescent="0.25">
      <c r="B1961" t="str">
        <v>255-22: Decals, All Other Types of Transfer (See 255-28 For Screen Printed)</v>
      </c>
    </row>
    <row r="1962" spans="2:2" x14ac:dyDescent="0.25">
      <c r="B1962" t="str">
        <v>255-24: Decals, Heat Transfer</v>
      </c>
    </row>
    <row r="1963" spans="2:2" x14ac:dyDescent="0.25">
      <c r="B1963" t="str">
        <v>255-26: Decals, Pressure Sensitive Adhesive</v>
      </c>
    </row>
    <row r="1964" spans="2:2" x14ac:dyDescent="0.25">
      <c r="B1964" t="str">
        <v>255-28: Decals, Screen Printed</v>
      </c>
    </row>
    <row r="1965" spans="2:2" x14ac:dyDescent="0.25">
      <c r="B1965" t="str">
        <v>255-30: Decals, Water Transfer Type, Cigarette Machines, Doors, Equipment, Vehicles, Windows, etc.</v>
      </c>
    </row>
    <row r="1966" spans="2:2" x14ac:dyDescent="0.25">
      <c r="B1966" t="str">
        <v>255-40: Inventory and Other Small Decals</v>
      </c>
    </row>
    <row r="1967" spans="2:2" x14ac:dyDescent="0.25">
      <c r="B1967" t="str">
        <v>255-45: License Plate Decals</v>
      </c>
    </row>
    <row r="1968" spans="2:2" x14ac:dyDescent="0.25">
      <c r="B1968" t="str">
        <v>255-50: Liquor Stamps, Numbered</v>
      </c>
    </row>
    <row r="1969" spans="2:2" x14ac:dyDescent="0.25">
      <c r="B1969" t="str">
        <v>255-53: Recycled Decals and Stamps</v>
      </c>
    </row>
    <row r="1970" spans="2:2" x14ac:dyDescent="0.25">
      <c r="B1970" t="str">
        <v>255-56: Tax Stamps, Other Than Cigarette and Liquor, Numbered and Un-Numbered</v>
      </c>
    </row>
    <row r="1971" spans="2:2" x14ac:dyDescent="0.25">
      <c r="B1971" t="str">
        <v>255-60: Windshield Decals, Not Numbered</v>
      </c>
    </row>
    <row r="1972" spans="2:2" x14ac:dyDescent="0.25">
      <c r="B1972" t="str">
        <v>255-70: Windshield Decals, Numbered</v>
      </c>
    </row>
    <row r="1973" spans="2:2" x14ac:dyDescent="0.25">
      <c r="B1973" t="str">
        <v>257-18: Aircraft, Military, Fighter Bombers, Attack Aircraft, etc.</v>
      </c>
    </row>
    <row r="1974" spans="2:2" x14ac:dyDescent="0.25">
      <c r="B1974" t="str">
        <v>257-19: Aviation Equipment, CBRNE</v>
      </c>
    </row>
    <row r="1975" spans="2:2" x14ac:dyDescent="0.25">
      <c r="B1975" t="str">
        <v>257-20: Aviation Equipment, Defense and Homeland Security</v>
      </c>
    </row>
    <row r="1976" spans="2:2" x14ac:dyDescent="0.25">
      <c r="B1976" t="str">
        <v>257-23: *Bomb Detection Equipment and Supplies</v>
      </c>
    </row>
    <row r="1977" spans="2:2" x14ac:dyDescent="0.25">
      <c r="B1977" t="str">
        <v>257-24: Bomb Protection Devices and Supplies</v>
      </c>
    </row>
    <row r="1978" spans="2:2" x14ac:dyDescent="0.25">
      <c r="B1978" t="str">
        <v>257-26: Medical Supplies and Pharmaceuticals (Not Otherwise Classified), CBRNE</v>
      </c>
    </row>
    <row r="1979" spans="2:2" x14ac:dyDescent="0.25">
      <c r="B1979" t="str">
        <v>257-27: *Chemical, Biological, Radiological and Nuclear Explosive Weapons and Cyber Attacks</v>
      </c>
    </row>
    <row r="1980" spans="2:2" x14ac:dyDescent="0.25">
      <c r="B1980" t="str">
        <v>257-28: *Communications Equipment, Interoperable, CBRNE</v>
      </c>
    </row>
    <row r="1981" spans="2:2" x14ac:dyDescent="0.25">
      <c r="B1981" t="str">
        <v>257-29: *Communications Equipment, Defense and Homeland Security</v>
      </c>
    </row>
    <row r="1982" spans="2:2" x14ac:dyDescent="0.25">
      <c r="B1982" t="str">
        <v>257-31: *Detection Equipment, CBRNE</v>
      </c>
    </row>
    <row r="1983" spans="2:2" x14ac:dyDescent="0.25">
      <c r="B1983" t="str">
        <v>257-34: Decontamination Equipment, CBRNE</v>
      </c>
    </row>
    <row r="1984" spans="2:2" x14ac:dyDescent="0.25">
      <c r="B1984" t="str">
        <v>257-35: Disaster Survival Equipment, Kits, and Supplies</v>
      </c>
    </row>
    <row r="1985" spans="2:2" x14ac:dyDescent="0.25">
      <c r="B1985" t="str">
        <v>257-37: *Explosive Device Mitigation and Remediation Equipment</v>
      </c>
    </row>
    <row r="1986" spans="2:2" x14ac:dyDescent="0.25">
      <c r="B1986" t="str">
        <v>257-38: Hazardous Control Materials, Hazmat, Green Material, etc., (Not Otherwise Classified)</v>
      </c>
    </row>
    <row r="1987" spans="2:2" x14ac:dyDescent="0.25">
      <c r="B1987" t="str">
        <v>257-40: *Homeland Security Equipment and Accessories (Not Otherwise Classified)</v>
      </c>
    </row>
    <row r="1988" spans="2:2" x14ac:dyDescent="0.25">
      <c r="B1988" t="str">
        <v>257-43: Intervention Equipment, CBRNE</v>
      </c>
    </row>
    <row r="1989" spans="2:2" x14ac:dyDescent="0.25">
      <c r="B1989" t="str">
        <v>257-44: Logistical Support Equipment, CBRNE</v>
      </c>
    </row>
    <row r="1990" spans="2:2" x14ac:dyDescent="0.25">
      <c r="B1990" t="str">
        <v>257-46: Military Explosives: Bombs, Mines, etc.</v>
      </c>
    </row>
    <row r="1991" spans="2:2" x14ac:dyDescent="0.25">
      <c r="B1991" t="str">
        <v>257-47: Military Watercraft, Submarines, Aircraft Carriers, Cruisers, etc.</v>
      </c>
    </row>
    <row r="1992" spans="2:2" x14ac:dyDescent="0.25">
      <c r="B1992" t="str">
        <v>257-50: Missiles, Guided, Air to Air</v>
      </c>
    </row>
    <row r="1993" spans="2:2" x14ac:dyDescent="0.25">
      <c r="B1993" t="str">
        <v>257-51: Missiles, Guided, Air to Surface</v>
      </c>
    </row>
    <row r="1994" spans="2:2" x14ac:dyDescent="0.25">
      <c r="B1994" t="str">
        <v>257-52: Missiles, Guided, Antiballistic</v>
      </c>
    </row>
    <row r="1995" spans="2:2" x14ac:dyDescent="0.25">
      <c r="B1995" t="str">
        <v>257-53: Missiles, Guided, Antiaircraft</v>
      </c>
    </row>
    <row r="1996" spans="2:2" x14ac:dyDescent="0.25">
      <c r="B1996" t="str">
        <v>257-54: Missiles, Guided, Antimissile</v>
      </c>
    </row>
    <row r="1997" spans="2:2" x14ac:dyDescent="0.25">
      <c r="B1997" t="str">
        <v>257-55: Missiles, Guided, Antiship</v>
      </c>
    </row>
    <row r="1998" spans="2:2" x14ac:dyDescent="0.25">
      <c r="B1998" t="str">
        <v>257-56: Missiles, Guided, Antitank</v>
      </c>
    </row>
    <row r="1999" spans="2:2" x14ac:dyDescent="0.25">
      <c r="B1999" t="str">
        <v>257-58: Missiles, Guided, Ballistic</v>
      </c>
    </row>
    <row r="2000" spans="2:2" x14ac:dyDescent="0.25">
      <c r="B2000" t="str">
        <v>257-60: Missiles, Guided, Cruise</v>
      </c>
    </row>
    <row r="2001" spans="2:2" x14ac:dyDescent="0.25">
      <c r="B2001" t="str">
        <v>257-63: Missiles, Guided, Surface to Surface</v>
      </c>
    </row>
    <row r="2002" spans="2:2" x14ac:dyDescent="0.25">
      <c r="B2002" t="str">
        <v>257-64: Missiles, Guided, Training</v>
      </c>
    </row>
    <row r="2003" spans="2:2" x14ac:dyDescent="0.25">
      <c r="B2003" t="str">
        <v>257-67: Missile Subsystems, Including Boosters, Warheads, Pin Pullers, Jet Reaction Control Assy</v>
      </c>
    </row>
    <row r="2004" spans="2:2" x14ac:dyDescent="0.25">
      <c r="B2004" t="str">
        <v>257-71: Recycled Defense System Equipment and Accessories</v>
      </c>
    </row>
    <row r="2005" spans="2:2" x14ac:dyDescent="0.25">
      <c r="B2005" t="str">
        <v>257-72: Rescue and Search Equipment, CBRNE</v>
      </c>
    </row>
    <row r="2006" spans="2:2" x14ac:dyDescent="0.25">
      <c r="B2006" t="str">
        <v>257-73: Rockets and Launch Vehicles, Including Boosters</v>
      </c>
    </row>
    <row r="2007" spans="2:2" x14ac:dyDescent="0.25">
      <c r="B2007" t="str">
        <v>257-75: Satellites, Military (See 804-74 for all other types)</v>
      </c>
    </row>
    <row r="2008" spans="2:2" x14ac:dyDescent="0.25">
      <c r="B2008" t="str">
        <v>257-76: *Sensors, Infrared (IR)</v>
      </c>
    </row>
    <row r="2009" spans="2:2" x14ac:dyDescent="0.25">
      <c r="B2009" t="str">
        <v>257-77: Science and Research Services, Military</v>
      </c>
    </row>
    <row r="2010" spans="2:2" x14ac:dyDescent="0.25">
      <c r="B2010" t="str">
        <v>257-78: *Security Enhancement Equipment, Cyber</v>
      </c>
    </row>
    <row r="2011" spans="2:2" x14ac:dyDescent="0.25">
      <c r="B2011" t="str">
        <v>257-79: Security Enhancement Equipment, Physical, Including Blast Curtains</v>
      </c>
    </row>
    <row r="2012" spans="2:2" x14ac:dyDescent="0.25">
      <c r="B2012" t="str">
        <v>257-80: *Security Equipment, Defense and Homeland Security</v>
      </c>
    </row>
    <row r="2013" spans="2:2" x14ac:dyDescent="0.25">
      <c r="B2013" t="str">
        <v>257-81: *Terrorism Incident Prevention Equipment</v>
      </c>
    </row>
    <row r="2014" spans="2:2" x14ac:dyDescent="0.25">
      <c r="B2014" t="str">
        <v>257-82: Terrorism Prevention, Response and Mitigation Equipment for Agriculture</v>
      </c>
    </row>
    <row r="2015" spans="2:2" x14ac:dyDescent="0.25">
      <c r="B2015" t="str">
        <v>257-87: Vehicles, Incident Response, CBRNE</v>
      </c>
    </row>
    <row r="2016" spans="2:2" x14ac:dyDescent="0.25">
      <c r="B2016" t="str">
        <v>257-88: Vehicles, War, Armored, Tanks, etc.</v>
      </c>
    </row>
    <row r="2017" spans="2:2" x14ac:dyDescent="0.25">
      <c r="B2017" t="str">
        <v>257-93: Watercraft, Response, CBRNE</v>
      </c>
    </row>
    <row r="2018" spans="2:2" x14ac:dyDescent="0.25">
      <c r="B2018" t="str">
        <v>257-94: Weapons, Naval , Torpedoes etc.</v>
      </c>
    </row>
    <row r="2019" spans="2:2" x14ac:dyDescent="0.25">
      <c r="B2019" t="str">
        <v>257-95: Weapons, Bladed, Including Parts and Accessories</v>
      </c>
    </row>
    <row r="2020" spans="2:2" x14ac:dyDescent="0.25">
      <c r="B2020" t="str">
        <v>260-01: Anesthetics, Dental, General</v>
      </c>
    </row>
    <row r="2021" spans="2:2" x14ac:dyDescent="0.25">
      <c r="B2021" t="str">
        <v>260-02: Abrasives, Dental</v>
      </c>
    </row>
    <row r="2022" spans="2:2" x14ac:dyDescent="0.25">
      <c r="B2022" t="str">
        <v>260-04: Amalgams and Mercury</v>
      </c>
    </row>
    <row r="2023" spans="2:2" x14ac:dyDescent="0.25">
      <c r="B2023" t="str">
        <v>260-07: Cabinets, Furniture, Sinks, etc., Dental</v>
      </c>
    </row>
    <row r="2024" spans="2:2" x14ac:dyDescent="0.25">
      <c r="B2024" t="str">
        <v>260-09: Casting, Filling, and Molding Materials: Artificial Stone, Clay, Gypsum Plaster, Investments, Bonded and Solder, Molding Resins, Porcelain, etc.</v>
      </c>
    </row>
    <row r="2025" spans="2:2" x14ac:dyDescent="0.25">
      <c r="B2025" t="str">
        <v>260-11: Cements, Cavity Lining, etc.: Glass Ionometer, Polymeric, Zinc Compounds, etc.</v>
      </c>
    </row>
    <row r="2026" spans="2:2" x14ac:dyDescent="0.25">
      <c r="B2026" t="str">
        <v>260-13: Ceramic Items: Jacket Crowns, Porcelain Inlays, Porcelain Teeth, etc.</v>
      </c>
    </row>
    <row r="2027" spans="2:2" x14ac:dyDescent="0.25">
      <c r="B2027" t="str">
        <v>260-16: Chemicals, Cleaners, Lubricants, etc., Dental</v>
      </c>
    </row>
    <row r="2028" spans="2:2" x14ac:dyDescent="0.25">
      <c r="B2028" t="str">
        <v>260-19: Containers, Dispensers, Trays, etc., Dental</v>
      </c>
    </row>
    <row r="2029" spans="2:2" x14ac:dyDescent="0.25">
      <c r="B2029" t="str">
        <v>260-20: Cosmetic Dentistry Equipment and Supplies</v>
      </c>
    </row>
    <row r="2030" spans="2:2" x14ac:dyDescent="0.25">
      <c r="B2030" t="str">
        <v>260-22: Crowns and Teeth, Acrylic</v>
      </c>
    </row>
    <row r="2031" spans="2:2" x14ac:dyDescent="0.25">
      <c r="B2031" t="str">
        <v>260-23: Crowns, Metal</v>
      </c>
    </row>
    <row r="2032" spans="2:2" x14ac:dyDescent="0.25">
      <c r="B2032" t="str">
        <v>260-24: Crowns and Teeth, Plastic</v>
      </c>
    </row>
    <row r="2033" spans="2:2" x14ac:dyDescent="0.25">
      <c r="B2033" t="str">
        <v>260-26: Dental Units and Components: Chairs, Compressed Air and Aspiration Devices, Consoles, Handpieces, etc.</v>
      </c>
    </row>
    <row r="2034" spans="2:2" x14ac:dyDescent="0.25">
      <c r="B2034" t="str">
        <v>260-29: Dies, Forms, Molds, Patterns, etc., Dental</v>
      </c>
    </row>
    <row r="2035" spans="2:2" x14ac:dyDescent="0.25">
      <c r="B2035" t="str">
        <v>260-31: Electrosurgery Units, Dental</v>
      </c>
    </row>
    <row r="2036" spans="2:2" x14ac:dyDescent="0.25">
      <c r="B2036" t="str">
        <v>260-33: Evacuation Equipment and Supplies, Dental</v>
      </c>
    </row>
    <row r="2037" spans="2:2" x14ac:dyDescent="0.25">
      <c r="B2037" t="str">
        <v>260-36: Grinding and Polishing Implements: Burs, Cones, Cups, Discs, Wheels, etc., Dental</v>
      </c>
    </row>
    <row r="2038" spans="2:2" x14ac:dyDescent="0.25">
      <c r="B2038" t="str">
        <v>260-39: Heaters, Ovens, and Water Baths, Dental</v>
      </c>
    </row>
    <row r="2039" spans="2:2" x14ac:dyDescent="0.25">
      <c r="B2039" t="str">
        <v>260-41: Implants, Dental, All Types</v>
      </c>
    </row>
    <row r="2040" spans="2:2" x14ac:dyDescent="0.25">
      <c r="B2040" t="str">
        <v>260-43: Impression Materials: Agar, Alginates, Plasters, Zinc Oxide, etc., Dental</v>
      </c>
    </row>
    <row r="2041" spans="2:2" x14ac:dyDescent="0.25">
      <c r="B2041" t="str">
        <v>260-45: Infection Control Equipment and Supplies, Dental</v>
      </c>
    </row>
    <row r="2042" spans="2:2" x14ac:dyDescent="0.25">
      <c r="B2042" t="str">
        <v>260-46: Instruments and Devices, Endodontic, Orthodontic, Periodontal, and General Dental: Arches, Bands, Brackets, Curets, Files, Forceps, Mirrors, Points, Rasps, Reamers, Scalers (Hand), etc.</v>
      </c>
    </row>
    <row r="2043" spans="2:2" x14ac:dyDescent="0.25">
      <c r="B2043" t="str">
        <v>260-49: Lamps and Lights, Dental: Operating, Ultraviolet, etc.</v>
      </c>
    </row>
    <row r="2044" spans="2:2" x14ac:dyDescent="0.25">
      <c r="B2044" t="str">
        <v>260-51: Matrix Materials, Dental</v>
      </c>
    </row>
    <row r="2045" spans="2:2" x14ac:dyDescent="0.25">
      <c r="B2045" t="str">
        <v>260-52: Metallic Supplies: Alloys, Precious Metals, Tubes, Wires, etc., Dental</v>
      </c>
    </row>
    <row r="2046" spans="2:2" x14ac:dyDescent="0.25">
      <c r="B2046" t="str">
        <v>260-53: Miscellaneous Dental Equipment and Supplies (Not Otherwise Classified)</v>
      </c>
    </row>
    <row r="2047" spans="2:2" x14ac:dyDescent="0.25">
      <c r="B2047" t="str">
        <v>260-54: Models, Manikins, and Instructional Aids, Dental</v>
      </c>
    </row>
    <row r="2048" spans="2:2" x14ac:dyDescent="0.25">
      <c r="B2048" t="str">
        <v>260-56: Pharmaceuticals, Dental: Anesthetics, Antiseptics, Plaque Disclosing Liquids and Tablets, etc.</v>
      </c>
    </row>
    <row r="2049" spans="2:2" x14ac:dyDescent="0.25">
      <c r="B2049" t="str">
        <v>260-59: Power Tools and Appliances, Dental: Drills, Grinders, Lathes, Vibrators, etc.</v>
      </c>
    </row>
    <row r="2050" spans="2:2" x14ac:dyDescent="0.25">
      <c r="B2050" t="str">
        <v>260-62: Prosthodontic Equipment: Articulators, Casting Units, Frames, Impression Trays, Soldering Units, etc., Dental</v>
      </c>
    </row>
    <row r="2051" spans="2:2" x14ac:dyDescent="0.25">
      <c r="B2051" t="str">
        <v>260-66: Pulp Testers (Inactive, effective January 1, 2016)</v>
      </c>
    </row>
    <row r="2052" spans="2:2" x14ac:dyDescent="0.25">
      <c r="B2052" t="str">
        <v>260-68: Recycled Dental Equipment and Supplies</v>
      </c>
    </row>
    <row r="2053" spans="2:2" x14ac:dyDescent="0.25">
      <c r="B2053" t="str">
        <v>260-69: Resins (For Repair and Restoration): Acrylic, Epoxy, etc., Dental</v>
      </c>
    </row>
    <row r="2054" spans="2:2" x14ac:dyDescent="0.25">
      <c r="B2054" t="str">
        <v>260-70: Retraction Materials, Dental</v>
      </c>
    </row>
    <row r="2055" spans="2:2" x14ac:dyDescent="0.25">
      <c r="B2055" t="str">
        <v>260-72: Scalers, Periodontal: Rotary, Sonic, and Ultrasonic</v>
      </c>
    </row>
    <row r="2056" spans="2:2" x14ac:dyDescent="0.25">
      <c r="B2056" t="str">
        <v>260-76: Solders, Fluxes, and Antifluxes, Dental</v>
      </c>
    </row>
    <row r="2057" spans="2:2" x14ac:dyDescent="0.25">
      <c r="B2057" t="str">
        <v>260-79: Sterilization Systems, Dental: Autoclaves, etc.</v>
      </c>
    </row>
    <row r="2058" spans="2:2" x14ac:dyDescent="0.25">
      <c r="B2058" t="str">
        <v>260-82: Sundries, Dental: Articulating Paper and Tape, Cotton, Dental Care Kits, Denture Adhesives and Creams, Floss, Gauze Pads, Paper and Plastic Items, Sutures, Tubing, etc.</v>
      </c>
    </row>
    <row r="2059" spans="2:2" x14ac:dyDescent="0.25">
      <c r="B2059" t="str">
        <v>260-86: Syringes and Needles, Dental</v>
      </c>
    </row>
    <row r="2060" spans="2:2" x14ac:dyDescent="0.25">
      <c r="B2060" t="str">
        <v>260-89: Ultrasonic Cleaning Units, Dental Laboratory</v>
      </c>
    </row>
    <row r="2061" spans="2:2" x14ac:dyDescent="0.25">
      <c r="B2061" t="str">
        <v>260-92: Waxes, All Types, Dental</v>
      </c>
    </row>
    <row r="2062" spans="2:2" x14ac:dyDescent="0.25">
      <c r="B2062" t="str">
        <v>260-96: X-Ray Equipment, Dental, (See Class 898 For Chemicals and Film): Film Mounts, Film Processors, Intensifying Screens, X-Ray Machines and Accessories</v>
      </c>
    </row>
    <row r="2063" spans="2:2" x14ac:dyDescent="0.25">
      <c r="B2063" t="str">
        <v>265-20: Curtains, Draperies, and Scarves</v>
      </c>
    </row>
    <row r="2064" spans="2:2" x14ac:dyDescent="0.25">
      <c r="B2064" t="str">
        <v>265-30: Curtain and Drapery Hardware: Hooks, Rods, etc.</v>
      </c>
    </row>
    <row r="2065" spans="2:2" x14ac:dyDescent="0.25">
      <c r="B2065" t="str">
        <v>265-38: Foam, Upholstery, Rubber, Urethane, etc.</v>
      </c>
    </row>
    <row r="2066" spans="2:2" x14ac:dyDescent="0.25">
      <c r="B2066" t="str">
        <v>265-40: Material, Drapery</v>
      </c>
    </row>
    <row r="2067" spans="2:2" x14ac:dyDescent="0.25">
      <c r="B2067" t="str">
        <v>265-44: Material, Upholstery, Fabric, Furniture and Auto</v>
      </c>
    </row>
    <row r="2068" spans="2:2" x14ac:dyDescent="0.25">
      <c r="B2068" t="str">
        <v>265-46: Material, Upholstery, Vinyl, Furniture and Auto</v>
      </c>
    </row>
    <row r="2069" spans="2:2" x14ac:dyDescent="0.25">
      <c r="B2069" t="str">
        <v>265-64: Recycled Drapes, Curtains, and Upholstery Material</v>
      </c>
    </row>
    <row r="2070" spans="2:2" x14ac:dyDescent="0.25">
      <c r="B2070" t="str">
        <v>265-80: Upholstery Supplies: Beading, Burlap, Buttons, Padding, Springs, Tacks, Thread, Welt Cord, etc.</v>
      </c>
    </row>
    <row r="2071" spans="2:2" x14ac:dyDescent="0.25">
      <c r="B2071" t="str">
        <v>265-87: Valances and Cornices</v>
      </c>
    </row>
    <row r="2072" spans="2:2" x14ac:dyDescent="0.25">
      <c r="B2072" t="str">
        <v>269-01: Anesthetics, General</v>
      </c>
    </row>
    <row r="2073" spans="2:2" x14ac:dyDescent="0.25">
      <c r="B2073" t="str">
        <v>269-02: Anesthetics, Local</v>
      </c>
    </row>
    <row r="2074" spans="2:2" x14ac:dyDescent="0.25">
      <c r="B2074" t="str">
        <v>269-03: Antagonists, Heavy Metal</v>
      </c>
    </row>
    <row r="2075" spans="2:2" x14ac:dyDescent="0.25">
      <c r="B2075" t="str">
        <v>269-04: Antihistamine Drugs</v>
      </c>
    </row>
    <row r="2076" spans="2:2" x14ac:dyDescent="0.25">
      <c r="B2076" t="str">
        <v>269-08: Anti-infective Agents</v>
      </c>
    </row>
    <row r="2077" spans="2:2" x14ac:dyDescent="0.25">
      <c r="B2077" t="str">
        <v>269-10: Antineoplastic Agents</v>
      </c>
    </row>
    <row r="2078" spans="2:2" x14ac:dyDescent="0.25">
      <c r="B2078" t="str">
        <v>269-11: Antiseptics</v>
      </c>
    </row>
    <row r="2079" spans="2:2" x14ac:dyDescent="0.25">
      <c r="B2079" t="str">
        <v>269-12: Autonomic Drugs</v>
      </c>
    </row>
    <row r="2080" spans="2:2" x14ac:dyDescent="0.25">
      <c r="B2080" t="str">
        <v>269-16: Blood Derivatives</v>
      </c>
    </row>
    <row r="2081" spans="2:2" x14ac:dyDescent="0.25">
      <c r="B2081" t="str">
        <v>269-20: Blood Formation and Coagulation</v>
      </c>
    </row>
    <row r="2082" spans="2:2" x14ac:dyDescent="0.25">
      <c r="B2082" t="str">
        <v>269-24: Cardiovascular Drugs</v>
      </c>
    </row>
    <row r="2083" spans="2:2" x14ac:dyDescent="0.25">
      <c r="B2083" t="str">
        <v>269-28: Central Nervous System Agents: Analegsic, Anticonvulsant, Antidepressant, Antihistamine, Antipsychotic and Sedative</v>
      </c>
    </row>
    <row r="2084" spans="2:2" x14ac:dyDescent="0.25">
      <c r="B2084" t="str">
        <v>269-32: Contraceptives</v>
      </c>
    </row>
    <row r="2085" spans="2:2" x14ac:dyDescent="0.25">
      <c r="B2085" t="str">
        <v>269-36: Diagnostic Agents</v>
      </c>
    </row>
    <row r="2086" spans="2:2" x14ac:dyDescent="0.25">
      <c r="B2086" t="str">
        <v>269-40: Electrolytic, Caloric, and Water Balance</v>
      </c>
    </row>
    <row r="2087" spans="2:2" x14ac:dyDescent="0.25">
      <c r="B2087" t="str">
        <v>269-44: Enzymes</v>
      </c>
    </row>
    <row r="2088" spans="2:2" x14ac:dyDescent="0.25">
      <c r="B2088" t="str">
        <v>269-48: Expectorants, Antitussives, and Mucolytic Agents</v>
      </c>
    </row>
    <row r="2089" spans="2:2" x14ac:dyDescent="0.25">
      <c r="B2089" t="str">
        <v>269-52: Eye, Ear, Nose, and Throat Preparations</v>
      </c>
    </row>
    <row r="2090" spans="2:2" x14ac:dyDescent="0.25">
      <c r="B2090" t="str">
        <v>269-56: Gastrointestinal Drugs</v>
      </c>
    </row>
    <row r="2091" spans="2:2" x14ac:dyDescent="0.25">
      <c r="B2091" t="str">
        <v>269-60: Gold Compounds</v>
      </c>
    </row>
    <row r="2092" spans="2:2" x14ac:dyDescent="0.25">
      <c r="B2092" t="str">
        <v>269-64: Herbal Drugs</v>
      </c>
    </row>
    <row r="2093" spans="2:2" x14ac:dyDescent="0.25">
      <c r="B2093" t="str">
        <v>269-68: Hormones and Synthetic Substitutes</v>
      </c>
    </row>
    <row r="2094" spans="2:2" x14ac:dyDescent="0.25">
      <c r="B2094" t="str">
        <v>269-72: Miscellaneous Drugs and Pharmaceuticals (Not Otherwise Classified)</v>
      </c>
    </row>
    <row r="2095" spans="2:2" x14ac:dyDescent="0.25">
      <c r="B2095" t="str">
        <v>269-73: Muscle Relaxants, Smooth, Including Respiratory Drugs</v>
      </c>
    </row>
    <row r="2096" spans="2:2" x14ac:dyDescent="0.25">
      <c r="B2096" t="str">
        <v>269-74: Pharmaceutical Drug Precursors</v>
      </c>
    </row>
    <row r="2097" spans="2:2" x14ac:dyDescent="0.25">
      <c r="B2097" t="str">
        <v>269-75: Ointments, Analgesic, Antibiotic</v>
      </c>
    </row>
    <row r="2098" spans="2:2" x14ac:dyDescent="0.25">
      <c r="B2098" t="str">
        <v>269-76: Oxytocics</v>
      </c>
    </row>
    <row r="2099" spans="2:2" x14ac:dyDescent="0.25">
      <c r="B2099" t="str">
        <v>269-77: Nootropics, Smart Drugs</v>
      </c>
    </row>
    <row r="2100" spans="2:2" x14ac:dyDescent="0.25">
      <c r="B2100" t="str">
        <v>269-78: Radioactive Pharmaceuticals</v>
      </c>
    </row>
    <row r="2101" spans="2:2" x14ac:dyDescent="0.25">
      <c r="B2101" t="str">
        <v>269-79: Recycled Drugs and Pharmaceuticals</v>
      </c>
    </row>
    <row r="2102" spans="2:2" x14ac:dyDescent="0.25">
      <c r="B2102" t="str">
        <v>269-80: Serums, Toxoids, and Vaccines</v>
      </c>
    </row>
    <row r="2103" spans="2:2" x14ac:dyDescent="0.25">
      <c r="B2103" t="str">
        <v>269-84: Skin and Mucous Membrane Agents</v>
      </c>
    </row>
    <row r="2104" spans="2:2" x14ac:dyDescent="0.25">
      <c r="B2104" t="str">
        <v>269-85: Supplements, With Vitamins</v>
      </c>
    </row>
    <row r="2105" spans="2:2" x14ac:dyDescent="0.25">
      <c r="B2105" t="str">
        <v>269-86: Supplements, Without Vitamins</v>
      </c>
    </row>
    <row r="2106" spans="2:2" x14ac:dyDescent="0.25">
      <c r="B2106" t="str">
        <v>269-87: Therapeutic Agents, Unclassified</v>
      </c>
    </row>
    <row r="2107" spans="2:2" x14ac:dyDescent="0.25">
      <c r="B2107" t="str">
        <v>269-88: Vitamins</v>
      </c>
    </row>
    <row r="2108" spans="2:2" x14ac:dyDescent="0.25">
      <c r="B2108" t="str">
        <v>271-04: Administration Sets and IV Additive Accessories</v>
      </c>
    </row>
    <row r="2109" spans="2:2" x14ac:dyDescent="0.25">
      <c r="B2109" t="str">
        <v>271-08: Administration Sets, Special Use: Controlled Flow, Solution Transfer, etc.</v>
      </c>
    </row>
    <row r="2110" spans="2:2" x14ac:dyDescent="0.25">
      <c r="B2110" t="str">
        <v>271-10: Anesthesia Sets, Specialized</v>
      </c>
    </row>
    <row r="2111" spans="2:2" x14ac:dyDescent="0.25">
      <c r="B2111" t="str">
        <v>271-12: Blood Administration Sets</v>
      </c>
    </row>
    <row r="2112" spans="2:2" x14ac:dyDescent="0.25">
      <c r="B2112" t="str">
        <v>271-14: Blood Bank and Blood Transfusion Equipment: Collection Units, Dielectric Sealer, Freezing Bags, Pooling Bags, Transfer Units, etc.</v>
      </c>
    </row>
    <row r="2113" spans="2:2" x14ac:dyDescent="0.25">
      <c r="B2113" t="str">
        <v>271-16: Blood Cell Processing and Storage Solutions</v>
      </c>
    </row>
    <row r="2114" spans="2:2" x14ac:dyDescent="0.25">
      <c r="B2114" t="str">
        <v>271-18: Blood Plasma Extenders: Dextrans, etc.</v>
      </c>
    </row>
    <row r="2115" spans="2:2" x14ac:dyDescent="0.25">
      <c r="B2115" t="str">
        <v>271-19: Blood, Whole; and Blood Fraction, (For Transfusions: Plasma, Serum Albumin, etc.</v>
      </c>
    </row>
    <row r="2116" spans="2:2" x14ac:dyDescent="0.25">
      <c r="B2116" t="str">
        <v>271-21: Cell Processing Sets and Supplies</v>
      </c>
    </row>
    <row r="2117" spans="2:2" x14ac:dyDescent="0.25">
      <c r="B2117" t="str">
        <v>271-24: Dextrose Solutions, High Strength, For IV Additive Use</v>
      </c>
    </row>
    <row r="2118" spans="2:2" x14ac:dyDescent="0.25">
      <c r="B2118" t="str">
        <v>271-26: Dialysis Concentrates and Solutions, Hemo and Peritoneal</v>
      </c>
    </row>
    <row r="2119" spans="2:2" x14ac:dyDescent="0.25">
      <c r="B2119" t="str">
        <v>271-27: Diets, Supplements, Powder</v>
      </c>
    </row>
    <row r="2120" spans="2:2" x14ac:dyDescent="0.25">
      <c r="B2120" t="str">
        <v>271-28: Diets, Complete, Liquid; and Liquid Food Supplements, Oral and Tube Fed</v>
      </c>
    </row>
    <row r="2121" spans="2:2" x14ac:dyDescent="0.25">
      <c r="B2121" t="str">
        <v>271-29: Diets, Liquid, Thickened, Ready to Serve</v>
      </c>
    </row>
    <row r="2122" spans="2:2" x14ac:dyDescent="0.25">
      <c r="B2122" t="str">
        <v>271-30: Enteral Administration Systems, Tube Feeding, etc.</v>
      </c>
    </row>
    <row r="2123" spans="2:2" x14ac:dyDescent="0.25">
      <c r="B2123" t="str">
        <v>271-32: Extension Sets</v>
      </c>
    </row>
    <row r="2124" spans="2:2" x14ac:dyDescent="0.25">
      <c r="B2124" t="str">
        <v>271-34: Feeding Equipment and Accessories, Other Than Tube Feeding</v>
      </c>
    </row>
    <row r="2125" spans="2:2" x14ac:dyDescent="0.25">
      <c r="B2125" t="str">
        <v>271-35: Filter Sets and In-Line Filters</v>
      </c>
    </row>
    <row r="2126" spans="2:2" x14ac:dyDescent="0.25">
      <c r="B2126" t="str">
        <v>271-41: IV Additive Equipment and Supplies: Bands, Caps, Dispensing Syringes, etc.</v>
      </c>
    </row>
    <row r="2127" spans="2:2" x14ac:dyDescent="0.25">
      <c r="B2127" t="str">
        <v>271-42: IV Drop Counters, Flowmeters and Regulators</v>
      </c>
    </row>
    <row r="2128" spans="2:2" x14ac:dyDescent="0.25">
      <c r="B2128" t="str">
        <v>271-44: Infusion Solutions, Organ Preservation, Such as Kidneys, etc.</v>
      </c>
    </row>
    <row r="2129" spans="2:2" x14ac:dyDescent="0.25">
      <c r="B2129" t="str">
        <v>271-56: Irrigation Solutions and Sets</v>
      </c>
    </row>
    <row r="2130" spans="2:2" x14ac:dyDescent="0.25">
      <c r="B2130" t="str">
        <v>271-63: Mannitol Solutions</v>
      </c>
    </row>
    <row r="2131" spans="2:2" x14ac:dyDescent="0.25">
      <c r="B2131" t="str">
        <v>271-68: Nutritional Product IV Solutions: Amino Acids, Fat Emulsions, Protein Hydrolysate, etc.</v>
      </c>
    </row>
    <row r="2132" spans="2:2" x14ac:dyDescent="0.25">
      <c r="B2132" t="str">
        <v>271-76: Premixed Pharmaceutical Solutions</v>
      </c>
    </row>
    <row r="2133" spans="2:2" x14ac:dyDescent="0.25">
      <c r="B2133" t="str">
        <v>271-78: Recycled Pharmaceutical Sets and Supplies</v>
      </c>
    </row>
    <row r="2134" spans="2:2" x14ac:dyDescent="0.25">
      <c r="B2134" t="str">
        <v>271-80: Respiratory Therapy Solutions and Sets</v>
      </c>
    </row>
    <row r="2135" spans="2:2" x14ac:dyDescent="0.25">
      <c r="B2135" t="str">
        <v>271-84: Sets (For IV Pumps): Peristaltic, Metering, etc.</v>
      </c>
    </row>
    <row r="2136" spans="2:2" x14ac:dyDescent="0.25">
      <c r="B2136" t="str">
        <v>271-88: Specialty and Custom-Made Sets and Equipment (Not Otherwise Classified)</v>
      </c>
    </row>
    <row r="2137" spans="2:2" x14ac:dyDescent="0.25">
      <c r="B2137" t="str">
        <v>271-92: Specialty Solutions (Not Otherwise Classified)</v>
      </c>
    </row>
    <row r="2138" spans="2:2" x14ac:dyDescent="0.25">
      <c r="B2138" t="str">
        <v>271-96: Standard IV and Injectable Solutions: Dextrose, Electrolytes, Ringer's, Saline, etc.</v>
      </c>
    </row>
    <row r="2139" spans="2:2" x14ac:dyDescent="0.25">
      <c r="B2139" t="str">
        <v>279-18: Anvils, 18th Century Reproduction</v>
      </c>
    </row>
    <row r="2140" spans="2:2" x14ac:dyDescent="0.25">
      <c r="B2140" t="str">
        <v>279-22: Artillery, 18th Century Reproduction</v>
      </c>
    </row>
    <row r="2141" spans="2:2" x14ac:dyDescent="0.25">
      <c r="B2141" t="str">
        <v>279-26: Blanks, Belt, 18th Century Reproduction</v>
      </c>
    </row>
    <row r="2142" spans="2:2" x14ac:dyDescent="0.25">
      <c r="B2142" t="str">
        <v>279-30: Buckles, 18th Century Reproduction</v>
      </c>
    </row>
    <row r="2143" spans="2:2" x14ac:dyDescent="0.25">
      <c r="B2143" t="str">
        <v>279-34: Clothing, Custom, 18th Century Reproduction</v>
      </c>
    </row>
    <row r="2144" spans="2:2" x14ac:dyDescent="0.25">
      <c r="B2144" t="str">
        <v>279-43: Horse Equipage, 18th Century Reproduction</v>
      </c>
    </row>
    <row r="2145" spans="2:2" x14ac:dyDescent="0.25">
      <c r="B2145" t="str">
        <v>279-48: Leather Goods, 18th Century Reproduction</v>
      </c>
    </row>
    <row r="2146" spans="2:2" x14ac:dyDescent="0.25">
      <c r="B2146" t="str">
        <v>279-49: Leather Work, Custom</v>
      </c>
    </row>
    <row r="2147" spans="2:2" x14ac:dyDescent="0.25">
      <c r="B2147" t="str">
        <v>279-53: Miscellaneous 18th Century Reproduction Goods</v>
      </c>
    </row>
    <row r="2148" spans="2:2" x14ac:dyDescent="0.25">
      <c r="B2148" t="str">
        <v>279-57: Pottery, 18th Century Reproduction</v>
      </c>
    </row>
    <row r="2149" spans="2:2" x14ac:dyDescent="0.25">
      <c r="B2149" t="str">
        <v>279-58: Pots, Iron, 18th Century Reproduction</v>
      </c>
    </row>
    <row r="2150" spans="2:2" x14ac:dyDescent="0.25">
      <c r="B2150" t="str">
        <v>279-64: Refurbished 18th Century Reproduction Goods</v>
      </c>
    </row>
    <row r="2151" spans="2:2" x14ac:dyDescent="0.25">
      <c r="B2151" t="str">
        <v>280-08: Appliance, Fixture, and Portable Cable and Wire, (Up to 600V: Types S, SJ, SJO, SO, SPT, TF, TFF, etc.</v>
      </c>
    </row>
    <row r="2152" spans="2:2" x14ac:dyDescent="0.25">
      <c r="B2152" t="str">
        <v>280-16: Bare Cable and Wire: Type ACSR, Bare Copper, Bare Aluminum, etc.</v>
      </c>
    </row>
    <row r="2153" spans="2:2" x14ac:dyDescent="0.25">
      <c r="B2153" t="str">
        <v>280-24: Building Cable and Wire, Single and Multiconductor: Types NM, THWN, TW, THW, THHN, XHHW, RHW, RR, ROMEX, etc.</v>
      </c>
    </row>
    <row r="2154" spans="2:2" x14ac:dyDescent="0.25">
      <c r="B2154" t="str">
        <v>280-25: Cable Accessories: Clamps, Clasps, Clips, Closures, Reels, Splices, Wrappings, etc.(Inactive, please see commodity code 285-10 effective January 1, 2016)</v>
      </c>
    </row>
    <row r="2155" spans="2:2" x14ac:dyDescent="0.25">
      <c r="B2155" t="str">
        <v>280-28: *Cathodic Cable, Protection</v>
      </c>
    </row>
    <row r="2156" spans="2:2" x14ac:dyDescent="0.25">
      <c r="B2156" t="str">
        <v>280-29: *Communication and Telecommunication Cable and Wire, Including Fiber Cable</v>
      </c>
    </row>
    <row r="2157" spans="2:2" x14ac:dyDescent="0.25">
      <c r="B2157" t="str">
        <v>280-30: Control Cable and Wire: Solid and Stranded, Single and Multiconductor, Up to 600V, for use in Boiler Controls, Fire Alarms, Motors, etc.</v>
      </c>
    </row>
    <row r="2158" spans="2:2" x14ac:dyDescent="0.25">
      <c r="B2158" t="str">
        <v>280-40: Guy Wire and Cable: Guy Strand, SM, HS, EHS, etc.</v>
      </c>
    </row>
    <row r="2159" spans="2:2" x14ac:dyDescent="0.25">
      <c r="B2159" t="str">
        <v>280-50: Heating Cable and Wire, Up to 277V: Lead Covered, Neoprene Jacket, etc.</v>
      </c>
    </row>
    <row r="2160" spans="2:2" x14ac:dyDescent="0.25">
      <c r="B2160" t="str">
        <v>280-58: High Voltage Cable and Wire, 601-15,000V: Solid and Stranded, Single and Multiconductor</v>
      </c>
    </row>
    <row r="2161" spans="2:2" x14ac:dyDescent="0.25">
      <c r="B2161" t="str">
        <v>280-62: Recycled Cable and Wire</v>
      </c>
    </row>
    <row r="2162" spans="2:2" x14ac:dyDescent="0.25">
      <c r="B2162" t="str">
        <v>280-65: Submarine Wire and Cable</v>
      </c>
    </row>
    <row r="2163" spans="2:2" x14ac:dyDescent="0.25">
      <c r="B2163" t="str">
        <v>280-70: *Telephone Cable and Wire: Single and Multiconductor, Clad Steel and Copper</v>
      </c>
    </row>
    <row r="2164" spans="2:2" x14ac:dyDescent="0.25">
      <c r="B2164" t="str">
        <v>280-75: Ties and Anchors, Cable and Wire</v>
      </c>
    </row>
    <row r="2165" spans="2:2" x14ac:dyDescent="0.25">
      <c r="B2165" t="str">
        <v>280-80: *Underground Cable and Wire: Solid and Stranded, Single and Multiconductor, Aluminum and Copper: Types UF, URD, USE, XLP, etc.</v>
      </c>
    </row>
    <row r="2166" spans="2:2" x14ac:dyDescent="0.25">
      <c r="B2166" t="str">
        <v>280-90: *Weatherproof Cable and Wire: Solid and Stranded, Single and Multiconductor, Aluminum and Copper: Types RR, WP, etc.</v>
      </c>
    </row>
    <row r="2167" spans="2:2" x14ac:dyDescent="0.25">
      <c r="B2167" t="str">
        <v>280-95: *Wire and Cable (Not Otherwise Classified)</v>
      </c>
    </row>
    <row r="2168" spans="2:2" x14ac:dyDescent="0.25">
      <c r="B2168" t="str">
        <v>285-01: Automated Meter Reading Systems (AMR)</v>
      </c>
    </row>
    <row r="2169" spans="2:2" x14ac:dyDescent="0.25">
      <c r="B2169" t="str">
        <v>285-02: Analyzer, Electric Power Demand</v>
      </c>
    </row>
    <row r="2170" spans="2:2" x14ac:dyDescent="0.25">
      <c r="B2170" t="str">
        <v>285-03: Arresters, Lightning</v>
      </c>
    </row>
    <row r="2171" spans="2:2" x14ac:dyDescent="0.25">
      <c r="B2171" t="str">
        <v>285-04: *Back-up Systems, Battery Operated, Emergency</v>
      </c>
    </row>
    <row r="2172" spans="2:2" x14ac:dyDescent="0.25">
      <c r="B2172" t="str">
        <v>285-05: Beacon Light Systems Complete For Buildings, Roadside, etc. (See Class 120 for Marine Beacons)</v>
      </c>
    </row>
    <row r="2173" spans="2:2" x14ac:dyDescent="0.25">
      <c r="B2173" t="str">
        <v>285-06: Ballasts, All Kinds</v>
      </c>
    </row>
    <row r="2174" spans="2:2" x14ac:dyDescent="0.25">
      <c r="B2174" t="str">
        <v>285-07: Bulb and Fixture, Changer and Remover</v>
      </c>
    </row>
    <row r="2175" spans="2:2" x14ac:dyDescent="0.25">
      <c r="B2175" t="str">
        <v>285-08: Bus Bars, Duct, and Accessories</v>
      </c>
    </row>
    <row r="2176" spans="2:2" x14ac:dyDescent="0.25">
      <c r="B2176" t="str">
        <v>285-09: Cabinets, Electrical Service Entrance</v>
      </c>
    </row>
    <row r="2177" spans="2:2" x14ac:dyDescent="0.25">
      <c r="B2177" t="str">
        <v>285-10: *Cable Accessories: Clamps, Clasps, Clips, Closures, Reels, Splices, Wrappings, etc.</v>
      </c>
    </row>
    <row r="2178" spans="2:2" x14ac:dyDescent="0.25">
      <c r="B2178" t="str">
        <v>285-11: Capacitors, Motor Starting and Running</v>
      </c>
    </row>
    <row r="2179" spans="2:2" x14ac:dyDescent="0.25">
      <c r="B2179" t="str">
        <v>285-13: Compound, Explosion Proof Sealing</v>
      </c>
    </row>
    <row r="2180" spans="2:2" x14ac:dyDescent="0.25">
      <c r="B2180" t="str">
        <v>285-14: Circuit Breakers, Load Centers, Boxes, and Panel Boards</v>
      </c>
    </row>
    <row r="2181" spans="2:2" x14ac:dyDescent="0.25">
      <c r="B2181" t="str">
        <v>285-15: Coatings, Protective, Electrical</v>
      </c>
    </row>
    <row r="2182" spans="2:2" x14ac:dyDescent="0.25">
      <c r="B2182" t="str">
        <v>285-16: Commutators, Resurfacers, Stone</v>
      </c>
    </row>
    <row r="2183" spans="2:2" x14ac:dyDescent="0.25">
      <c r="B2183" t="str">
        <v>285-17: Conduit and Fittings, EMT (Electrical Metallic, Tubing)</v>
      </c>
    </row>
    <row r="2184" spans="2:2" x14ac:dyDescent="0.25">
      <c r="B2184" t="str">
        <v>285-18: Conduit and Fittings, IMC (Intermediate Metallic Conduit)</v>
      </c>
    </row>
    <row r="2185" spans="2:2" x14ac:dyDescent="0.25">
      <c r="B2185" t="str">
        <v>285-19: Conduit and Fittings, Rigid</v>
      </c>
    </row>
    <row r="2186" spans="2:2" x14ac:dyDescent="0.25">
      <c r="B2186" t="str">
        <v>285-20: Conduit and Fittings, Liquidtite</v>
      </c>
    </row>
    <row r="2187" spans="2:2" x14ac:dyDescent="0.25">
      <c r="B2187" t="str">
        <v>285-21: Conduit and Fittings, Flexible Metal Conduit</v>
      </c>
    </row>
    <row r="2188" spans="2:2" x14ac:dyDescent="0.25">
      <c r="B2188" t="str">
        <v>285-22: Conduit and Fittings, Not Otherwise Classified</v>
      </c>
    </row>
    <row r="2189" spans="2:2" x14ac:dyDescent="0.25">
      <c r="B2189" t="str">
        <v>285-23: Conduit Fittings, Steel: Boxes, Bushings, Clamps, Connectors, Covers, Locknuts, Straps, etc.</v>
      </c>
    </row>
    <row r="2190" spans="2:2" x14ac:dyDescent="0.25">
      <c r="B2190" t="str">
        <v>285-24: Conduit and Fittings, Brass, Bronze, and Copper</v>
      </c>
    </row>
    <row r="2191" spans="2:2" x14ac:dyDescent="0.25">
      <c r="B2191" t="str">
        <v>285-25: Current Collection Equipment and Accessories, Electrical</v>
      </c>
    </row>
    <row r="2192" spans="2:2" x14ac:dyDescent="0.25">
      <c r="B2192" t="str">
        <v>285-26: Conduit, Steel</v>
      </c>
    </row>
    <row r="2193" spans="2:2" x14ac:dyDescent="0.25">
      <c r="B2193" t="str">
        <v>285-27: Control Devices, Lighting, Including Photocells, Multiple Relays, Lighting Contactors</v>
      </c>
    </row>
    <row r="2194" spans="2:2" x14ac:dyDescent="0.25">
      <c r="B2194" t="str">
        <v>285-28: Cutouts, Pole Line Type  (Inactive, please see commodity code 285-74 effective January 1, 2016)</v>
      </c>
    </row>
    <row r="2195" spans="2:2" x14ac:dyDescent="0.25">
      <c r="B2195" t="str">
        <v>285-29: Dimmers, Light (See Class 855 for Theatre Dimmers)</v>
      </c>
    </row>
    <row r="2196" spans="2:2" x14ac:dyDescent="0.25">
      <c r="B2196" t="str">
        <v>285-30: Dielectric Tools, Tool Handles, Hydraulic Hose and Fittings (High ANSI Rated)</v>
      </c>
    </row>
    <row r="2197" spans="2:2" x14ac:dyDescent="0.25">
      <c r="B2197" t="str">
        <v>285-31: Fluorescent Tube Crushers and Disposers</v>
      </c>
    </row>
    <row r="2198" spans="2:2" x14ac:dyDescent="0.25">
      <c r="B2198" t="str">
        <v>285-32: Fluorescent and HID Lamp Energy Saving Devices</v>
      </c>
    </row>
    <row r="2199" spans="2:2" x14ac:dyDescent="0.25">
      <c r="B2199" t="str">
        <v>285-33: Fog Light Systems, Not Automotive</v>
      </c>
    </row>
    <row r="2200" spans="2:2" x14ac:dyDescent="0.25">
      <c r="B2200" t="str">
        <v>285-34: Fuses, Fuse Blocks and Holders, Links, etc.</v>
      </c>
    </row>
    <row r="2201" spans="2:2" x14ac:dyDescent="0.25">
      <c r="B2201" t="str">
        <v>285-35: Gaskets, Meter</v>
      </c>
    </row>
    <row r="2202" spans="2:2" x14ac:dyDescent="0.25">
      <c r="B2202" t="str">
        <v>285-36: *Gates, Electric, Including Card Readers, etc.</v>
      </c>
    </row>
    <row r="2203" spans="2:2" x14ac:dyDescent="0.25">
      <c r="B2203" t="str">
        <v>285-37: Generators, Portable, Engine Driven, Including Fog and Mist Types</v>
      </c>
    </row>
    <row r="2204" spans="2:2" x14ac:dyDescent="0.25">
      <c r="B2204" t="str">
        <v>285-39: Generators, Stationary Type, Not Automotive</v>
      </c>
    </row>
    <row r="2205" spans="2:2" x14ac:dyDescent="0.25">
      <c r="B2205" t="str">
        <v>285-40: Grounding Rods and Fittings</v>
      </c>
    </row>
    <row r="2206" spans="2:2" x14ac:dyDescent="0.25">
      <c r="B2206" t="str">
        <v>285-41: Hose, Protective Line</v>
      </c>
    </row>
    <row r="2207" spans="2:2" x14ac:dyDescent="0.25">
      <c r="B2207" t="str">
        <v>285-42: Insulation Materials and Insulators: Compounds, Varnish, etc.</v>
      </c>
    </row>
    <row r="2208" spans="2:2" x14ac:dyDescent="0.25">
      <c r="B2208" t="str">
        <v>285-43: Induction Heating Equipment, Including Parts and Accessories</v>
      </c>
    </row>
    <row r="2209" spans="2:2" x14ac:dyDescent="0.25">
      <c r="B2209" t="str">
        <v>285-44: *Isolation System, For Computer Center</v>
      </c>
    </row>
    <row r="2210" spans="2:2" x14ac:dyDescent="0.25">
      <c r="B2210" t="str">
        <v>285-45: Lamps, Projector</v>
      </c>
    </row>
    <row r="2211" spans="2:2" x14ac:dyDescent="0.25">
      <c r="B2211" t="str">
        <v>285-46: Lamps, Construction Equipment, Portable, Shop and Work Site and Miniature</v>
      </c>
    </row>
    <row r="2212" spans="2:2" x14ac:dyDescent="0.25">
      <c r="B2212" t="str">
        <v>285-47: Lamps, Decorative, Household (Inactive, please see commodity code 285-48 effective January 1, 2016)</v>
      </c>
    </row>
    <row r="2213" spans="2:2" x14ac:dyDescent="0.25">
      <c r="B2213" t="str">
        <v>285-48: Lamps, Desk, Floor, Table, Decorative, Household</v>
      </c>
    </row>
    <row r="2214" spans="2:2" x14ac:dyDescent="0.25">
      <c r="B2214" t="str">
        <v>285-49: Lamps, Miscellaneous (Not Otherwise Classified)</v>
      </c>
    </row>
    <row r="2215" spans="2:2" x14ac:dyDescent="0.25">
      <c r="B2215" t="str">
        <v>285-50: Lamps, Fluorescent, Incandescent, Mercury Vapor, Quartz, Sodium Vapor. LED and Compact (CFL)</v>
      </c>
    </row>
    <row r="2216" spans="2:2" x14ac:dyDescent="0.25">
      <c r="B2216" t="str">
        <v>285-51: Lamps, Scientific Instrument: Microscope, Oscilloscope, etc.</v>
      </c>
    </row>
    <row r="2217" spans="2:2" x14ac:dyDescent="0.25">
      <c r="B2217" t="str">
        <v>285-52: Lamps, Portable, Shop, and Work Site (Inactive, please see commodity code 285-46 effective January 1, 2016)</v>
      </c>
    </row>
    <row r="2218" spans="2:2" x14ac:dyDescent="0.25">
      <c r="B2218" t="str">
        <v>285-53: Lens and Reflectors, Replacement, Including Holders</v>
      </c>
    </row>
    <row r="2219" spans="2:2" x14ac:dyDescent="0.25">
      <c r="B2219" t="str">
        <v>285-54: Lighting Fixtures, Indoor: All Kinds and Parts, Including Lamp Holders and Recycled Types</v>
      </c>
    </row>
    <row r="2220" spans="2:2" x14ac:dyDescent="0.25">
      <c r="B2220" t="str">
        <v>285-55: Lighting, Area, Pole or Standard Mounted, Parking Lots, etc.</v>
      </c>
    </row>
    <row r="2221" spans="2:2" x14ac:dyDescent="0.25">
      <c r="B2221" t="str">
        <v>285-56: Lighting Fixtures, Outdoor: Floodlights, Spotlights, Yard Lights, and all other Weatherproof Fixtures, Except Streetlights, Including Recycled Types</v>
      </c>
    </row>
    <row r="2222" spans="2:2" x14ac:dyDescent="0.25">
      <c r="B2222" t="str">
        <v>285-57: Lighting, Solar Powered</v>
      </c>
    </row>
    <row r="2223" spans="2:2" x14ac:dyDescent="0.25">
      <c r="B2223" t="str">
        <v>285-58: Lighting Units, Emergency, Battery Operated; and Batteries</v>
      </c>
    </row>
    <row r="2224" spans="2:2" x14ac:dyDescent="0.25">
      <c r="B2224" t="str">
        <v>285-59: Light Meters and Reflectometers, Office Illumination Measurement, Reflectivity, etc., Not Photographic or Lab</v>
      </c>
    </row>
    <row r="2225" spans="2:2" x14ac:dyDescent="0.25">
      <c r="B2225" t="str">
        <v>285-60: Locators, Cable</v>
      </c>
    </row>
    <row r="2226" spans="2:2" x14ac:dyDescent="0.25">
      <c r="B2226" t="str">
        <v>285-61: Meters, Indicating and Recording of Power Consumption, Hand Held, Voltage, Amperage, etc.</v>
      </c>
    </row>
    <row r="2227" spans="2:2" x14ac:dyDescent="0.25">
      <c r="B2227" t="str">
        <v>285-62: Meters, Indicating and Recording, Power line Fluctuations, Voltage or Amperage. Not Hand Tool Type</v>
      </c>
    </row>
    <row r="2228" spans="2:2" x14ac:dyDescent="0.25">
      <c r="B2228" t="str">
        <v>285-63: Meters, Hand Held: Voltage, Amperage, Multi-Hand Held, Phase Indicators, etc.  (Inactive, please see commodity code 285-61 effective January 1, 2016)</v>
      </c>
    </row>
    <row r="2229" spans="2:2" x14ac:dyDescent="0.25">
      <c r="B2229" t="str">
        <v>285-64: Motor Controllers, Contactors, Push Button Stations, Relays, Safety Switches, Starters, Coils and Brushes</v>
      </c>
    </row>
    <row r="2230" spans="2:2" x14ac:dyDescent="0.25">
      <c r="B2230" t="str">
        <v>285-65: Ignition, Starting Aid, High Pressure Sodium, All Types</v>
      </c>
    </row>
    <row r="2231" spans="2:2" x14ac:dyDescent="0.25">
      <c r="B2231" t="str">
        <v>285-66: Monitors and Related Equipment, Power Line</v>
      </c>
    </row>
    <row r="2232" spans="2:2" x14ac:dyDescent="0.25">
      <c r="B2232" t="str">
        <v>285-67: Power Systems Switchgears and Related Accessories</v>
      </c>
    </row>
    <row r="2233" spans="2:2" x14ac:dyDescent="0.25">
      <c r="B2233" t="str">
        <v>285-68: Motors and Parts, Fractional H.P. Electric, Including Remanufactured</v>
      </c>
    </row>
    <row r="2234" spans="2:2" x14ac:dyDescent="0.25">
      <c r="B2234" t="str">
        <v>285-69: Misc. Electrical Equipment and Supplies (Not Otherwise Classified)</v>
      </c>
    </row>
    <row r="2235" spans="2:2" x14ac:dyDescent="0.25">
      <c r="B2235" t="str">
        <v>285-70: Motors and Parts, Integral H.P., Single Phase, Electric, Including Remanufactured</v>
      </c>
    </row>
    <row r="2236" spans="2:2" x14ac:dyDescent="0.25">
      <c r="B2236" t="str">
        <v>285-71: Motors and Parts, Integral H.P., Three Phase, Electric, Including Remanufactured</v>
      </c>
    </row>
    <row r="2237" spans="2:2" x14ac:dyDescent="0.25">
      <c r="B2237" t="str">
        <v>285-72: Resistors, Non-Electronic</v>
      </c>
    </row>
    <row r="2238" spans="2:2" x14ac:dyDescent="0.25">
      <c r="B2238" t="str">
        <v>285-73: Relays, Non-Electronic</v>
      </c>
    </row>
    <row r="2239" spans="2:2" x14ac:dyDescent="0.25">
      <c r="B2239" t="str">
        <v>285-74: *Pole Line Hardware: Anchors, Arms, Bolts, Braces, Brackets, Clevises, Connections, Cutouts, Insulators, Plates, Pole Steps, Racks, Rods, Shackles, Straps, Thimbles, Washers, etc. (See 765-95 for Wire Rope Accessories)</v>
      </c>
    </row>
    <row r="2240" spans="2:2" x14ac:dyDescent="0.25">
      <c r="B2240" t="str">
        <v>285-75: Repair Kits (For Contactors)</v>
      </c>
    </row>
    <row r="2241" spans="2:2" x14ac:dyDescent="0.25">
      <c r="B2241" t="str">
        <v>285-76: Street and Highway Lighting Luminaires, Accessories and Parts</v>
      </c>
    </row>
    <row r="2242" spans="2:2" x14ac:dyDescent="0.25">
      <c r="B2242" t="str">
        <v>285-77: Square Duct and Fittings</v>
      </c>
    </row>
    <row r="2243" spans="2:2" x14ac:dyDescent="0.25">
      <c r="B2243" t="str">
        <v>285-78: *Structural Supports and Racks, Mechanical Type: Angles, Braces, Brackets, Channels, Clips, Fittings, Spring-Nuts, etc.</v>
      </c>
    </row>
    <row r="2244" spans="2:2" x14ac:dyDescent="0.25">
      <c r="B2244" t="str">
        <v>285-79: Switches, Parts and Accessories, Miscellaneous</v>
      </c>
    </row>
    <row r="2245" spans="2:2" x14ac:dyDescent="0.25">
      <c r="B2245" t="str">
        <v>285-80: Street Light Poles and Standards</v>
      </c>
    </row>
    <row r="2246" spans="2:2" x14ac:dyDescent="0.25">
      <c r="B2246" t="str">
        <v>285-81: *Tools and Accessories, Electricians' and Lineman's, Including Cable Fault Locators, Cable Pullers, Press Boosters and Heads, Hotsticks, Testing Equip. Wire Crimping Tools, etc., (See 285-30 for Dielectric Tools)</v>
      </c>
    </row>
    <row r="2247" spans="2:2" x14ac:dyDescent="0.25">
      <c r="B2247" t="str">
        <v>285-82: Transformer Equipment, Type 1 KVA and less  (Inactive, please see commodity code 285-86 effective January 1, 2016)</v>
      </c>
    </row>
    <row r="2248" spans="2:2" x14ac:dyDescent="0.25">
      <c r="B2248" t="str">
        <v>285-83: Towers, Light</v>
      </c>
    </row>
    <row r="2249" spans="2:2" x14ac:dyDescent="0.25">
      <c r="B2249" t="str">
        <v>285-84: Transformers, Transmission Line Type  (Inactive, please see commodity code 285-86 effective January 1, 2016)</v>
      </c>
    </row>
    <row r="2250" spans="2:2" x14ac:dyDescent="0.25">
      <c r="B2250" t="str">
        <v>285-85: Transformers, Dry Type, For Indoor or Outdoor Applications  (Inactive, please see commodity code 285-86 effective January 1, 2016)</v>
      </c>
    </row>
    <row r="2251" spans="2:2" x14ac:dyDescent="0.25">
      <c r="B2251" t="str">
        <v>285-86: Transformers, Power Distribution, Including Fluid Filled, Pad and Pole Mount</v>
      </c>
    </row>
    <row r="2252" spans="2:2" x14ac:dyDescent="0.25">
      <c r="B2252" t="str">
        <v>285-87: Transformers, Power, Electric Sub-Station (Inactive, please see commodity code 285-86 effective January 1, 2016)</v>
      </c>
    </row>
    <row r="2253" spans="2:2" x14ac:dyDescent="0.25">
      <c r="B2253" t="str">
        <v>285-88: Tube Guard and Safety Sleeves, For Fluorescent Fixtures (Inactive, please see commodity code 285-54 effective January 1, 2016)</v>
      </c>
    </row>
    <row r="2254" spans="2:2" x14ac:dyDescent="0.25">
      <c r="B2254" t="str">
        <v>285-89: Unilets</v>
      </c>
    </row>
    <row r="2255" spans="2:2" x14ac:dyDescent="0.25">
      <c r="B2255" t="str">
        <v>285-90: Voltage Line Thermostats, Inverters, Converters, Spike and Surge Controllers</v>
      </c>
    </row>
    <row r="2256" spans="2:2" x14ac:dyDescent="0.25">
      <c r="B2256" t="str">
        <v>285-91: Valves, Electro Pneumatic</v>
      </c>
    </row>
    <row r="2257" spans="2:2" x14ac:dyDescent="0.25">
      <c r="B2257" t="str">
        <v>285-92: *Wire and Cable Markers and Marker Ties</v>
      </c>
    </row>
    <row r="2258" spans="2:2" x14ac:dyDescent="0.25">
      <c r="B2258" t="str">
        <v>285-93: Wire Molding, Raceways, Accessories, and Fittings</v>
      </c>
    </row>
    <row r="2259" spans="2:2" x14ac:dyDescent="0.25">
      <c r="B2259" t="str">
        <v>285-94: Voltage Regulators</v>
      </c>
    </row>
    <row r="2260" spans="2:2" x14ac:dyDescent="0.25">
      <c r="B2260" t="str">
        <v>285-95: Wiring Devices: Adapters, Caps, Connectors, Extension Cords, Fluorescent and HP Starters, Outlets, Plates and Covers, Plugs, Receptacles, Safety Cord Lock, Switches, Terminals, etc. (Incl. Recycled Electrical Products, Supplies)</v>
      </c>
    </row>
    <row r="2261" spans="2:2" x14ac:dyDescent="0.25">
      <c r="B2261" t="str">
        <v>285-96: *Uninterruptible Power Supplies (Inactive, please see commodity code 207-67 effective January 1, 2016)</v>
      </c>
    </row>
    <row r="2262" spans="2:2" x14ac:dyDescent="0.25">
      <c r="B2262" t="str">
        <v>287-06: Amplifiers and Preamplifiers, Digital and Analog, Not for Sound Systems or TV Antennas</v>
      </c>
    </row>
    <row r="2263" spans="2:2" x14ac:dyDescent="0.25">
      <c r="B2263" t="str">
        <v>287-12: *Batteries and Hardware For Electronic Equipment, Including Recycled Types</v>
      </c>
    </row>
    <row r="2264" spans="2:2" x14ac:dyDescent="0.25">
      <c r="B2264" t="str">
        <v>287-18: Chemicals for Electronics Use: Antistatic, Cleaning, Degreasing, Etching, Metal Stripping, Solvent, etc.</v>
      </c>
    </row>
    <row r="2265" spans="2:2" x14ac:dyDescent="0.25">
      <c r="B2265" t="str">
        <v>287-24: Circuit Boards: Modular, Printed (PCB), and Proto</v>
      </c>
    </row>
    <row r="2266" spans="2:2" x14ac:dyDescent="0.25">
      <c r="B2266" t="str">
        <v>287-25: Circuit Board Production Equipment, Etching, Cleaning, Drilling, etc.</v>
      </c>
    </row>
    <row r="2267" spans="2:2" x14ac:dyDescent="0.25">
      <c r="B2267" t="str">
        <v>287-26: *Circuit Cards</v>
      </c>
    </row>
    <row r="2268" spans="2:2" x14ac:dyDescent="0.25">
      <c r="B2268" t="str">
        <v>287-28: Custom Electronics, Integrated Solutions for Residential and Commercial Building Controls</v>
      </c>
    </row>
    <row r="2269" spans="2:2" x14ac:dyDescent="0.25">
      <c r="B2269" t="str">
        <v>287-30: Detectors (Electron, Photon) and Detector Arrays</v>
      </c>
    </row>
    <row r="2270" spans="2:2" x14ac:dyDescent="0.25">
      <c r="B2270" t="str">
        <v>287-36: Metal Items: Boxes, Cabinets, Chassis, Panels, Racks, etc.</v>
      </c>
    </row>
    <row r="2271" spans="2:2" x14ac:dyDescent="0.25">
      <c r="B2271" t="str">
        <v>287-42: *Microprocessors and Core Processors, CPU Chips, etc.</v>
      </c>
    </row>
    <row r="2272" spans="2:2" x14ac:dyDescent="0.25">
      <c r="B2272" t="str">
        <v>287-48: *Microwave Equipment and Accessories: Band Pass Filters, Coaxial Attenuators, Couplers, Switchers, Tellurometers, Tuners, Wave Guides, Not Communication Type</v>
      </c>
    </row>
    <row r="2273" spans="2:2" x14ac:dyDescent="0.25">
      <c r="B2273" t="str">
        <v>287-54: *Power Supplies, Computer Room</v>
      </c>
    </row>
    <row r="2274" spans="2:2" x14ac:dyDescent="0.25">
      <c r="B2274" t="str">
        <v>287-55: *Power Supplies, Not Computer Room</v>
      </c>
    </row>
    <row r="2275" spans="2:2" x14ac:dyDescent="0.25">
      <c r="B2275" t="str">
        <v>287-57: Protective Devices, Electronic, Anti-Static, Wrist and Ankle Bands, Work Mats, etc. for the Protection of Electronic Equipment</v>
      </c>
    </row>
    <row r="2276" spans="2:2" x14ac:dyDescent="0.25">
      <c r="B2276" t="str">
        <v>287-58: *Electronic Tablets and Reading Devices, Kindle, Nook, etc.</v>
      </c>
    </row>
    <row r="2277" spans="2:2" x14ac:dyDescent="0.25">
      <c r="B2277" t="str">
        <v>287-59: Recycled Electronic Components, Accessories and Supplies</v>
      </c>
    </row>
    <row r="2278" spans="2:2" x14ac:dyDescent="0.25">
      <c r="B2278" t="str">
        <v>287-60: Repair Equipment, Electronic: Cleaning, Desoldering, Soldering, etc.</v>
      </c>
    </row>
    <row r="2279" spans="2:2" x14ac:dyDescent="0.25">
      <c r="B2279" t="str">
        <v>287-66: Replacement and Component Parts: Capacitors, Chokes, Coils, Panel Meters, Potentiometers, Relays, Resistors, Solenoids, Transistors, Transformers, etc.</v>
      </c>
    </row>
    <row r="2280" spans="2:2" x14ac:dyDescent="0.25">
      <c r="B2280" t="str">
        <v>287-71: *Semiconductors, Parts, and Accessories</v>
      </c>
    </row>
    <row r="2281" spans="2:2" x14ac:dyDescent="0.25">
      <c r="B2281" t="str">
        <v>287-72: *Shelf Hardware, Electronic: Adapters, Clips, Connectors, Dielectrics, Jacks, Lugs, Plugs, Sockets, Solder, Switches, Terminals, etc.</v>
      </c>
    </row>
    <row r="2282" spans="2:2" x14ac:dyDescent="0.25">
      <c r="B2282" t="str">
        <v>287-78: Teaching and Demonstration Units: Electronic Kits, etc.</v>
      </c>
    </row>
    <row r="2283" spans="2:2" x14ac:dyDescent="0.25">
      <c r="B2283" t="str">
        <v>287-80: Testing Equipment and Systems, Electronic Meter</v>
      </c>
    </row>
    <row r="2284" spans="2:2" x14ac:dyDescent="0.25">
      <c r="B2284" t="str">
        <v>287-82: *Transmitters, Emergency Alarm Type, Including Equipment Operation Status Reporting</v>
      </c>
    </row>
    <row r="2285" spans="2:2" x14ac:dyDescent="0.25">
      <c r="B2285" t="str">
        <v>287-84: Tubes, Electron Multiplier and Photomultiplier, Including Part and Accessories</v>
      </c>
    </row>
    <row r="2286" spans="2:2" x14ac:dyDescent="0.25">
      <c r="B2286" t="str">
        <v>287-90: Tubes, Electronic: Cathode Ray, Power, Receiving, Thyratron, Transmitting, etc.</v>
      </c>
    </row>
    <row r="2287" spans="2:2" x14ac:dyDescent="0.25">
      <c r="B2287" t="str">
        <v>287-96: *Wire and Cable, Electronic: Audio, Coaxial, Hook-Up, Lead-In, etc.</v>
      </c>
    </row>
    <row r="2288" spans="2:2" x14ac:dyDescent="0.25">
      <c r="B2288" t="str">
        <v>290-10: Cells, Solar, Photovoltaic Cells, Unmounted</v>
      </c>
    </row>
    <row r="2289" spans="2:2" x14ac:dyDescent="0.25">
      <c r="B2289" t="str">
        <v>290-17: Recycled Energy Collection Equipment and Supplies</v>
      </c>
    </row>
    <row r="2290" spans="2:2" x14ac:dyDescent="0.25">
      <c r="B2290" t="str">
        <v>290-20: Solar Air Conditioning Systems and Accessories: Absorption Type, etc.</v>
      </c>
    </row>
    <row r="2291" spans="2:2" x14ac:dyDescent="0.25">
      <c r="B2291" t="str">
        <v>290-30: Solar Space Heating Systems and Accessories</v>
      </c>
    </row>
    <row r="2292" spans="2:2" x14ac:dyDescent="0.25">
      <c r="B2292" t="str">
        <v>290-40: Solar Heat Collector Systems and Accessories</v>
      </c>
    </row>
    <row r="2293" spans="2:2" x14ac:dyDescent="0.25">
      <c r="B2293" t="str">
        <v>290-50: Solar Heat Collector Tracking Systems and Accessories</v>
      </c>
    </row>
    <row r="2294" spans="2:2" x14ac:dyDescent="0.25">
      <c r="B2294" t="str">
        <v>290-60: Solar Heat Collectors, Concentrating Type</v>
      </c>
    </row>
    <row r="2295" spans="2:2" x14ac:dyDescent="0.25">
      <c r="B2295" t="str">
        <v>290-65: Solar Heat Collectors, Evacuated Tube Type</v>
      </c>
    </row>
    <row r="2296" spans="2:2" x14ac:dyDescent="0.25">
      <c r="B2296" t="str">
        <v>290-70: Solar Heat Collectors, Flat Plate Type</v>
      </c>
    </row>
    <row r="2297" spans="2:2" x14ac:dyDescent="0.25">
      <c r="B2297" t="str">
        <v>290-80: Solar Powered Electrical Systems, Battery Charging, etc.</v>
      </c>
    </row>
    <row r="2298" spans="2:2" x14ac:dyDescent="0.25">
      <c r="B2298" t="str">
        <v>290-82: Solar Energy Systems, Complete</v>
      </c>
    </row>
    <row r="2299" spans="2:2" x14ac:dyDescent="0.25">
      <c r="B2299" t="str">
        <v>290-86: Solar Radiant Flux Measuring Instruments (See also 220-33)</v>
      </c>
    </row>
    <row r="2300" spans="2:2" x14ac:dyDescent="0.25">
      <c r="B2300" t="str">
        <v>290-90: Solar Water Heating Systems and Accessories</v>
      </c>
    </row>
    <row r="2301" spans="2:2" x14ac:dyDescent="0.25">
      <c r="B2301" t="str">
        <v>290-95: Wind Electrical Generating Systems and Accessories</v>
      </c>
    </row>
    <row r="2302" spans="2:2" x14ac:dyDescent="0.25">
      <c r="B2302" t="str">
        <v>295-30: Elevators, Dumbwaiter</v>
      </c>
    </row>
    <row r="2303" spans="2:2" x14ac:dyDescent="0.25">
      <c r="B2303" t="str">
        <v>295-35: Escalators</v>
      </c>
    </row>
    <row r="2304" spans="2:2" x14ac:dyDescent="0.25">
      <c r="B2304" t="str">
        <v>295-40: Elevators, Freight</v>
      </c>
    </row>
    <row r="2305" spans="2:2" x14ac:dyDescent="0.25">
      <c r="B2305" t="str">
        <v>295-48: Monitors, Elevator and Escalator</v>
      </c>
    </row>
    <row r="2306" spans="2:2" x14ac:dyDescent="0.25">
      <c r="B2306" t="str">
        <v>295-50: Moving Walks and Parts</v>
      </c>
    </row>
    <row r="2307" spans="2:2" x14ac:dyDescent="0.25">
      <c r="B2307" t="str">
        <v>295-70: Elevators, Passenger</v>
      </c>
    </row>
    <row r="2308" spans="2:2" x14ac:dyDescent="0.25">
      <c r="B2308" t="str">
        <v>295-75: Recycled Elevator Equipment, Accessories and Supplies</v>
      </c>
    </row>
    <row r="2309" spans="2:2" x14ac:dyDescent="0.25">
      <c r="B2309" t="str">
        <v>305-04: Blades, Gouges, Knives, Needle Files, Routers, etc.</v>
      </c>
    </row>
    <row r="2310" spans="2:2" x14ac:dyDescent="0.25">
      <c r="B2310" t="str">
        <v>305-06: Calculators, Programmed for Surveying Systems, See Class 600 For Office Type)</v>
      </c>
    </row>
    <row r="2311" spans="2:2" x14ac:dyDescent="0.25">
      <c r="B2311" t="str">
        <v>305-08: Cloths, Films, and Papers, Special: Cross-Section, Graph, Log, Profile, Tracing, etc. (Inactive, please see commodity code 305-10 effective January 1, 2016)</v>
      </c>
    </row>
    <row r="2312" spans="2:2" x14ac:dyDescent="0.25">
      <c r="B2312" t="str">
        <v>305-10: Cloths, Films, and Papers: Cross-Section, Graph, Log, Profile, Tracing, etc.</v>
      </c>
    </row>
    <row r="2313" spans="2:2" x14ac:dyDescent="0.25">
      <c r="B2313" t="str">
        <v>305-12: Cloths, Films, and Papers, Reproduction Types</v>
      </c>
    </row>
    <row r="2314" spans="2:2" x14ac:dyDescent="0.25">
      <c r="B2314" t="str">
        <v>305-15: Covers, Drafting and Drawing Boards</v>
      </c>
    </row>
    <row r="2315" spans="2:2" x14ac:dyDescent="0.25">
      <c r="B2315" t="str">
        <v>305-18: Data Books and Tables, Engineering and Surveying</v>
      </c>
    </row>
    <row r="2316" spans="2:2" x14ac:dyDescent="0.25">
      <c r="B2316" t="str">
        <v>305-21: *Direct Print Supplies, Dry Process</v>
      </c>
    </row>
    <row r="2317" spans="2:2" x14ac:dyDescent="0.25">
      <c r="B2317" t="str">
        <v>305-23: Direct Print Supplies, Wet Process</v>
      </c>
    </row>
    <row r="2318" spans="2:2" x14ac:dyDescent="0.25">
      <c r="B2318" t="str">
        <v>305-25: Distance Measuring Equipment, Including Measuring Wheels (Inactive, please see commodity code 305-60 effective January 1, 2016)</v>
      </c>
    </row>
    <row r="2319" spans="2:2" x14ac:dyDescent="0.25">
      <c r="B2319" t="str">
        <v>305-28: Drafting and Drawing Instruments (See 204-71 for Graphic Plotters and 305-75 for Straightedges)</v>
      </c>
    </row>
    <row r="2320" spans="2:2" x14ac:dyDescent="0.25">
      <c r="B2320" t="str">
        <v>305-30: Drafting/Technical Pens, Pencils, Sets, Refills and Parts (Inactive, please see commodity code 305-28 effective January 1, 2016)</v>
      </c>
    </row>
    <row r="2321" spans="2:2" x14ac:dyDescent="0.25">
      <c r="B2321" t="str">
        <v>305-32: Drafting Machines and Scales</v>
      </c>
    </row>
    <row r="2322" spans="2:2" x14ac:dyDescent="0.25">
      <c r="B2322" t="str">
        <v>305-33: Drafting Supplies: Brushes, Dust and Wash, Cleaning Pads and Power, Paper Shears, Paper Weights, Steel Erasers, Transparent Protective Film and Tape, etc.</v>
      </c>
    </row>
    <row r="2323" spans="2:2" x14ac:dyDescent="0.25">
      <c r="B2323" t="str">
        <v>305-35: Drawing Boards, Curves, Protractors, Templates, Triangles, T-Squares, etc.  (Inactive, please see commodity code 305-28 effective January 1, 2016)</v>
      </c>
    </row>
    <row r="2324" spans="2:2" x14ac:dyDescent="0.25">
      <c r="B2324" t="str">
        <v>305-36: Drafting Paper  (Inactive, please see commodity code 305-28 effective January 1, 2016)</v>
      </c>
    </row>
    <row r="2325" spans="2:2" x14ac:dyDescent="0.25">
      <c r="B2325" t="str">
        <v>305-38: Duplicator Paper: Blue Print, Brown Print, and White Print</v>
      </c>
    </row>
    <row r="2326" spans="2:2" x14ac:dyDescent="0.25">
      <c r="B2326" t="str">
        <v>305-39: Duplicator Paper, Chemicals, and Supplies, Diazo Process Copying Machines, (See Class 015 for Coated/Treated Paper Type, Diffusion Transfer Type, Dual Spectrum Process and Thermal Process Copiers)</v>
      </c>
    </row>
    <row r="2327" spans="2:2" x14ac:dyDescent="0.25">
      <c r="B2327" t="str">
        <v>305-40: Duplicators: Blue Print, Brown Print, Diazo Process, White Print, etc.</v>
      </c>
    </row>
    <row r="2328" spans="2:2" x14ac:dyDescent="0.25">
      <c r="B2328" t="str">
        <v>305-42: Engineering Supplies, Miscellaneous</v>
      </c>
    </row>
    <row r="2329" spans="2:2" x14ac:dyDescent="0.25">
      <c r="B2329" t="str">
        <v>305-44: Erasers and Erasing Machines, Electric</v>
      </c>
    </row>
    <row r="2330" spans="2:2" x14ac:dyDescent="0.25">
      <c r="B2330" t="str">
        <v>305-48: Field Books, Engineers'  (Inactive, please see commodity code 305-18 effective January 1, 2016)</v>
      </c>
    </row>
    <row r="2331" spans="2:2" x14ac:dyDescent="0.25">
      <c r="B2331" t="str">
        <v>305-50: Field Equipment: Arrows, Bush Knives, Flags and Flagging, Hand Levels, Leveling Rods, Machetes, Plumb Bobs, Pocket Transits, Range Poles, etc.</v>
      </c>
    </row>
    <row r="2332" spans="2:2" x14ac:dyDescent="0.25">
      <c r="B2332" t="str">
        <v>305-53: Graphic Art Type Supplies</v>
      </c>
    </row>
    <row r="2333" spans="2:2" x14ac:dyDescent="0.25">
      <c r="B2333" t="str">
        <v>305-55: Lettering Equipment, Automatic Letter or Character Generating Devices</v>
      </c>
    </row>
    <row r="2334" spans="2:2" x14ac:dyDescent="0.25">
      <c r="B2334" t="str">
        <v>305-57: Lettering Equipment, Hand Manipulated: Guides, Pens, Sets, etc.</v>
      </c>
    </row>
    <row r="2335" spans="2:2" x14ac:dyDescent="0.25">
      <c r="B2335" t="str">
        <v>305-58: Magnifying Glasses, Angle Mirrors, Prisms, Stereoscopes, etc.</v>
      </c>
    </row>
    <row r="2336" spans="2:2" x14ac:dyDescent="0.25">
      <c r="B2336" t="str">
        <v>305-59: *Maps, Engineer and Topographical</v>
      </c>
    </row>
    <row r="2337" spans="2:2" x14ac:dyDescent="0.25">
      <c r="B2337" t="str">
        <v>305-60: *Measuring Equipment: Chains, Maps, Optical Tapes, Tapes, Wheels, etc., Including Photogrammetry and Laser Equipment</v>
      </c>
    </row>
    <row r="2338" spans="2:2" x14ac:dyDescent="0.25">
      <c r="B2338" t="str">
        <v>305-61: Measuring Equipment, Area, Large Scale (Inactive, please see commodity code 305-60 effective January 1, 2016)</v>
      </c>
    </row>
    <row r="2339" spans="2:2" x14ac:dyDescent="0.25">
      <c r="B2339" t="str">
        <v>305-64: Opaquing and Transparentizing Liquids, Erasing Fluids, and Pastes</v>
      </c>
    </row>
    <row r="2340" spans="2:2" x14ac:dyDescent="0.25">
      <c r="B2340" t="str">
        <v>305-68: Planimeters  (AKA Platometer)</v>
      </c>
    </row>
    <row r="2341" spans="2:2" x14ac:dyDescent="0.25">
      <c r="B2341" t="str">
        <v>305-70: Recycled Engineering Equipment, Accessories and Supplies</v>
      </c>
    </row>
    <row r="2342" spans="2:2" x14ac:dyDescent="0.25">
      <c r="B2342" t="str">
        <v>305-71: Signage and Logos, Architectural, Glass, Photographic, Stone, Tile</v>
      </c>
    </row>
    <row r="2343" spans="2:2" x14ac:dyDescent="0.25">
      <c r="B2343" t="str">
        <v>305-72: Slide Rules</v>
      </c>
    </row>
    <row r="2344" spans="2:2" x14ac:dyDescent="0.25">
      <c r="B2344" t="str">
        <v>305-75: Straightedge Tool</v>
      </c>
    </row>
    <row r="2345" spans="2:2" x14ac:dyDescent="0.25">
      <c r="B2345" t="str">
        <v>305-78: Surveying Instruments and Accessories: Alidades, Compasses, Levels, Theodolites, Transits, Tripods, etc. (See 305-60 for Surveyor's Measuring Equipment)</v>
      </c>
    </row>
    <row r="2346" spans="2:2" x14ac:dyDescent="0.25">
      <c r="B2346" t="str">
        <v>305-80: *Surveying Systems, GPS</v>
      </c>
    </row>
    <row r="2347" spans="2:2" x14ac:dyDescent="0.25">
      <c r="B2347" t="str">
        <v>305-82: Tables, Tracing and Light</v>
      </c>
    </row>
    <row r="2348" spans="2:2" x14ac:dyDescent="0.25">
      <c r="B2348" t="str">
        <v>305-84: Technical Pens and Sets, Points and Refills, etc.  (Inactive, please see commodity code 305-30 effective January 1, 2016)</v>
      </c>
    </row>
    <row r="2349" spans="2:2" x14ac:dyDescent="0.25">
      <c r="B2349" t="str">
        <v>306-04: Blades, Gouges, Knives, Needle Files, Routers, etc., Environmentally Certified Products</v>
      </c>
    </row>
    <row r="2350" spans="2:2" x14ac:dyDescent="0.25">
      <c r="B2350" t="str">
        <v>306-06: Calculators, Programmed for Surveying Systems, (See Class 600 For Office Type), Environmentally Certified Products</v>
      </c>
    </row>
    <row r="2351" spans="2:2" x14ac:dyDescent="0.25">
      <c r="B2351" t="str">
        <v>306-08: Cloths, Films, and Papers, Special: Cross-Section, Graph, Log, Profile, Tracing, etc., Environmentally Certified Products</v>
      </c>
    </row>
    <row r="2352" spans="2:2" x14ac:dyDescent="0.25">
      <c r="B2352" t="str">
        <v>306-10: Cloths, Films, and Papers, Stock: Cross-Section, Graph, Log, Profile, Tracing, etc., Environmentally Certified Products</v>
      </c>
    </row>
    <row r="2353" spans="2:2" x14ac:dyDescent="0.25">
      <c r="B2353" t="str">
        <v>306-12: Cloths, Films, and Papers, Reproduction Types, Environmentally Certified Products</v>
      </c>
    </row>
    <row r="2354" spans="2:2" x14ac:dyDescent="0.25">
      <c r="B2354" t="str">
        <v>306-15: Covers, Drafting and Drawing Boards, Environmentally Certified Products</v>
      </c>
    </row>
    <row r="2355" spans="2:2" x14ac:dyDescent="0.25">
      <c r="B2355" t="str">
        <v>306-18: Data Books and Tables, Engineering and Surveying, Environmentally Certified Products</v>
      </c>
    </row>
    <row r="2356" spans="2:2" x14ac:dyDescent="0.25">
      <c r="B2356" t="str">
        <v>306-21: Direct Print Supplies, Dry Process, Environmentally Certified Products</v>
      </c>
    </row>
    <row r="2357" spans="2:2" x14ac:dyDescent="0.25">
      <c r="B2357" t="str">
        <v>306-23: Direct Print Supplies, Wet Process, Environmentally Certified Products</v>
      </c>
    </row>
    <row r="2358" spans="2:2" x14ac:dyDescent="0.25">
      <c r="B2358" t="str">
        <v>306-25: Distance Measuring Equipment, Including Measuring Wheels, Environmentally Certified Products</v>
      </c>
    </row>
    <row r="2359" spans="2:2" x14ac:dyDescent="0.25">
      <c r="B2359" t="str">
        <v>306-28: Drafting and Drawing Instruments (See 204-71 for Graphic Plotters and 305-75 for Straightedges), Environmentally Certified Products</v>
      </c>
    </row>
    <row r="2360" spans="2:2" x14ac:dyDescent="0.25">
      <c r="B2360" t="str">
        <v>306-30: Drafting and Drawing Pencils, Pens, Leads, Lead Holders, etc., Environmentally Certified Products</v>
      </c>
    </row>
    <row r="2361" spans="2:2" x14ac:dyDescent="0.25">
      <c r="B2361" t="str">
        <v>306-32: Drafting Machines and Scales, Environmentally Certified Products</v>
      </c>
    </row>
    <row r="2362" spans="2:2" x14ac:dyDescent="0.25">
      <c r="B2362" t="str">
        <v>306-33: Drafting Supplies: Brushes, Dust and Was), Cleaning Pads and Power, Paper Shears, Paper Weights, Steel Erasers, Transparent Protective Film and Tape, etc., Environmentally Certified Products</v>
      </c>
    </row>
    <row r="2363" spans="2:2" x14ac:dyDescent="0.25">
      <c r="B2363" t="str">
        <v>306-35: Drawing Boards, Curves, Protractors, Templates, Triangles, T-Squares, etc., Environmentally Certified Products</v>
      </c>
    </row>
    <row r="2364" spans="2:2" x14ac:dyDescent="0.25">
      <c r="B2364" t="str">
        <v>306-36: Drafting Paper, Environmentally Certified Products</v>
      </c>
    </row>
    <row r="2365" spans="2:2" x14ac:dyDescent="0.25">
      <c r="B2365" t="str">
        <v>306-38: Duplicator Paper: Blue Print, Brown Print, and White Print, Environmentally Certified Products</v>
      </c>
    </row>
    <row r="2366" spans="2:2" x14ac:dyDescent="0.25">
      <c r="B2366" t="str">
        <v>306-39: Duplicator Paper, Chemicals, and Supplies, Diazo Process Copying Machines, (See Class 015 for Coated and Treated Paper Type, Diffusion Transfer Type, Dual Spectrum Process and Thermal Process Copiers), Environmentally Certified Products</v>
      </c>
    </row>
    <row r="2367" spans="2:2" x14ac:dyDescent="0.25">
      <c r="B2367" t="str">
        <v>306-40: Duplicators: Blue Print, Brown Print, Diazo Process, White Print, etc., Environmentally Certified Products</v>
      </c>
    </row>
    <row r="2368" spans="2:2" x14ac:dyDescent="0.25">
      <c r="B2368" t="str">
        <v>306-42: Engineering Supplies, Miscellaneous, Environmentally Certified Products</v>
      </c>
    </row>
    <row r="2369" spans="2:2" x14ac:dyDescent="0.25">
      <c r="B2369" t="str">
        <v>306-44: Erasers and Erasing Machines, Electric, Environmentally Certified Products</v>
      </c>
    </row>
    <row r="2370" spans="2:2" x14ac:dyDescent="0.25">
      <c r="B2370" t="str">
        <v>306-48: Field Books, Engineers', Environmentally Certified Products</v>
      </c>
    </row>
    <row r="2371" spans="2:2" x14ac:dyDescent="0.25">
      <c r="B2371" t="str">
        <v>306-50: Field Equipment: Arrows, Bush Knives, Flags and Flagging, Hand Levels, Leveling Rods, Machetes, Plumb Bobs, Pocket Transits, Range Poles, etc., Environmentally Certified Products</v>
      </c>
    </row>
    <row r="2372" spans="2:2" x14ac:dyDescent="0.25">
      <c r="B2372" t="str">
        <v>306-53: Graphic Art Type Supplies, Environmentally Certified Products</v>
      </c>
    </row>
    <row r="2373" spans="2:2" x14ac:dyDescent="0.25">
      <c r="B2373" t="str">
        <v>306-55: Lettering Equipment, Automatic Letter or Character Generating Devices, Environmentally Certified Products</v>
      </c>
    </row>
    <row r="2374" spans="2:2" x14ac:dyDescent="0.25">
      <c r="B2374" t="str">
        <v>306-57: Lettering Equipment, Hand Manipulated: Guides, Pens, Sets, etc., Environmentally Certified Products</v>
      </c>
    </row>
    <row r="2375" spans="2:2" x14ac:dyDescent="0.25">
      <c r="B2375" t="str">
        <v>306-58: Magnifying Glasses, Angle Mirrors, Prisms, Stereoscopes, etc., Environmentally Certified Products</v>
      </c>
    </row>
    <row r="2376" spans="2:2" x14ac:dyDescent="0.25">
      <c r="B2376" t="str">
        <v>306-59: *Maps, Engineer and Topographical, Environmentally Certified Products</v>
      </c>
    </row>
    <row r="2377" spans="2:2" x14ac:dyDescent="0.25">
      <c r="B2377" t="str">
        <v>306-60: *Measuring Equipment: Chains, Maps, Optical Tapes, Tapes, Wheels, etc., Including Photogrammetry and Laser Equipment), Environmentally Certified Products</v>
      </c>
    </row>
    <row r="2378" spans="2:2" x14ac:dyDescent="0.25">
      <c r="B2378" t="str">
        <v>306-61: Measuring Equipment, Area, Large Scale, Environmentally Certified Products</v>
      </c>
    </row>
    <row r="2379" spans="2:2" x14ac:dyDescent="0.25">
      <c r="B2379" t="str">
        <v>306-64: Opaquing and Transparentizing Liquids, Erasing Fluids, and Pastes, Environmentally Certified Products</v>
      </c>
    </row>
    <row r="2380" spans="2:2" x14ac:dyDescent="0.25">
      <c r="B2380" t="str">
        <v>306-68: Planimeters, Environmentally Certified Products</v>
      </c>
    </row>
    <row r="2381" spans="2:2" x14ac:dyDescent="0.25">
      <c r="B2381" t="str">
        <v>306-70: Recycled Engineering Equipment, Accessories and Supplies, Environmentally Certified Products</v>
      </c>
    </row>
    <row r="2382" spans="2:2" x14ac:dyDescent="0.25">
      <c r="B2382" t="str">
        <v>306-71: Signage and Logos, Architectural, Glass, Photographic, Stone, Tile, Environmentally Certified Products</v>
      </c>
    </row>
    <row r="2383" spans="2:2" x14ac:dyDescent="0.25">
      <c r="B2383" t="str">
        <v>306-72: Slide Rules, Environmentally Certified Products</v>
      </c>
    </row>
    <row r="2384" spans="2:2" x14ac:dyDescent="0.25">
      <c r="B2384" t="str">
        <v>306-75: Straightedges, Environmentally Certified Products</v>
      </c>
    </row>
    <row r="2385" spans="2:2" x14ac:dyDescent="0.25">
      <c r="B2385" t="str">
        <v>306-78: Surveying Instruments and Accessories: Alidades, Compasses, Levels, Theodolites, Transits, Tripods, etc. (See 305-60 for Surveyor's Measuring Equipment), Environmentally Certified Products</v>
      </c>
    </row>
    <row r="2386" spans="2:2" x14ac:dyDescent="0.25">
      <c r="B2386" t="str">
        <v>306-80: Surveying Systems, Geo Satellite Navigation Type, Environmentally Certified Products</v>
      </c>
    </row>
    <row r="2387" spans="2:2" x14ac:dyDescent="0.25">
      <c r="B2387" t="str">
        <v>306-82: Tables, Tracing and Light, Environmentally Certified Products</v>
      </c>
    </row>
    <row r="2388" spans="2:2" x14ac:dyDescent="0.25">
      <c r="B2388" t="str">
        <v>306-84: Technical Pens and Sets, Points and Refills, etc., Environmentally Certified Products</v>
      </c>
    </row>
    <row r="2389" spans="2:2" x14ac:dyDescent="0.25">
      <c r="B2389" t="str">
        <v>310-06: Envelopes: Clasp, String, etc.</v>
      </c>
    </row>
    <row r="2390" spans="2:2" x14ac:dyDescent="0.25">
      <c r="B2390" t="str">
        <v>310-24: Envelopes, Plain, Special, Colored wove, White wove</v>
      </c>
    </row>
    <row r="2391" spans="2:2" x14ac:dyDescent="0.25">
      <c r="B2391" t="str">
        <v>310-30: Envelopes, Plain, Stock Sizes</v>
      </c>
    </row>
    <row r="2392" spans="2:2" x14ac:dyDescent="0.25">
      <c r="B2392" t="str">
        <v>310-31: Envelopes, Plastic and Poly.</v>
      </c>
    </row>
    <row r="2393" spans="2:2" x14ac:dyDescent="0.25">
      <c r="B2393" t="str">
        <v>310-60: Envelopes, Recycled Paper</v>
      </c>
    </row>
    <row r="2394" spans="2:2" x14ac:dyDescent="0.25">
      <c r="B2394" t="str">
        <v>310-65: Envelopes: Seed, Metal or Plastic Closure</v>
      </c>
    </row>
    <row r="2395" spans="2:2" x14ac:dyDescent="0.25">
      <c r="B2395" t="str">
        <v>310-67: Envelopes, Shipping and Mailing</v>
      </c>
    </row>
    <row r="2396" spans="2:2" x14ac:dyDescent="0.25">
      <c r="B2396" t="str">
        <v>310-78: Envelopes, X-Ray Film Filing</v>
      </c>
    </row>
    <row r="2397" spans="2:2" x14ac:dyDescent="0.25">
      <c r="B2397" t="str">
        <v>312-22: Air Filtration Equipment for Aircraft, Boat and Ship, Cargo Containers and Vehicles</v>
      </c>
    </row>
    <row r="2398" spans="2:2" x14ac:dyDescent="0.25">
      <c r="B2398" t="str">
        <v>312-23: Air Filtration Equipment for Soft and Hard Shelters</v>
      </c>
    </row>
    <row r="2399" spans="2:2" x14ac:dyDescent="0.25">
      <c r="B2399" t="str">
        <v>312-38: Environmental Control Systems, Aircraft</v>
      </c>
    </row>
    <row r="2400" spans="2:2" x14ac:dyDescent="0.25">
      <c r="B2400" t="str">
        <v>312-39: Environmental Control Systems for Automobiles, Emergency Vehicles, Trucks</v>
      </c>
    </row>
    <row r="2401" spans="2:2" x14ac:dyDescent="0.25">
      <c r="B2401" t="str">
        <v>312-40: Environmental Control Systems for Boats, Ships, Marine</v>
      </c>
    </row>
    <row r="2402" spans="2:2" x14ac:dyDescent="0.25">
      <c r="B2402" t="str">
        <v>312-41: Environmental Control Systems for Cargo Containers, etc.</v>
      </c>
    </row>
    <row r="2403" spans="2:2" x14ac:dyDescent="0.25">
      <c r="B2403" t="str">
        <v>312-43: Environmental Control Systems, Spacecraft</v>
      </c>
    </row>
    <row r="2404" spans="2:2" x14ac:dyDescent="0.25">
      <c r="B2404" t="str">
        <v>312-46: Environmental Remote Control Systems</v>
      </c>
    </row>
    <row r="2405" spans="2:2" x14ac:dyDescent="0.25">
      <c r="B2405" t="str">
        <v>312-48: Environmental Test Chambers and Rooms, Controlled Temperature, Humidity, etc.</v>
      </c>
    </row>
    <row r="2406" spans="2:2" x14ac:dyDescent="0.25">
      <c r="B2406" t="str">
        <v>312-83: Tent Systems, Field, Ground Zero Environment</v>
      </c>
    </row>
    <row r="2407" spans="2:2" x14ac:dyDescent="0.25">
      <c r="B2407" t="str">
        <v>312-84: Tent Units, Contaminated Patient Isolation, Negative Pressure</v>
      </c>
    </row>
    <row r="2408" spans="2:2" x14ac:dyDescent="0.25">
      <c r="B2408" t="str">
        <v>315-10: Adhesives, For Concrete: Cured-to-Cured, Fresh-to-Cured, and Steel-to-Concrete</v>
      </c>
    </row>
    <row r="2409" spans="2:2" x14ac:dyDescent="0.25">
      <c r="B2409" t="str">
        <v>315-20: Adhesive, General Purpose</v>
      </c>
    </row>
    <row r="2410" spans="2:2" x14ac:dyDescent="0.25">
      <c r="B2410" t="str">
        <v>315-25: Casting, Encapsulating, and Potting Systems</v>
      </c>
    </row>
    <row r="2411" spans="2:2" x14ac:dyDescent="0.25">
      <c r="B2411" t="str">
        <v>315-30: Coatings, Protective, For Masonry Including Concrete Floor)</v>
      </c>
    </row>
    <row r="2412" spans="2:2" x14ac:dyDescent="0.25">
      <c r="B2412" t="str">
        <v>315-40: Coatings, Protective, For Metal</v>
      </c>
    </row>
    <row r="2413" spans="2:2" x14ac:dyDescent="0.25">
      <c r="B2413" t="str">
        <v>315-50: Coatings, Protective, For Wood</v>
      </c>
    </row>
    <row r="2414" spans="2:2" x14ac:dyDescent="0.25">
      <c r="B2414" t="str">
        <v>315-55: Coatings, Special, Abrasion and Chemical Resistant</v>
      </c>
    </row>
    <row r="2415" spans="2:2" x14ac:dyDescent="0.25">
      <c r="B2415" t="str">
        <v>315-70: Hardening Agents: Amines, Anhydrides, Polyamide Solutions, etc.</v>
      </c>
    </row>
    <row r="2416" spans="2:2" x14ac:dyDescent="0.25">
      <c r="B2416" t="str">
        <v>315-80: Mortars</v>
      </c>
    </row>
    <row r="2417" spans="2:2" x14ac:dyDescent="0.25">
      <c r="B2417" t="str">
        <v>315-89: Recycled Epoxy Based Formulations</v>
      </c>
    </row>
    <row r="2418" spans="2:2" x14ac:dyDescent="0.25">
      <c r="B2418" t="str">
        <v>315-90: Resins, Epoxy Only</v>
      </c>
    </row>
    <row r="2419" spans="2:2" x14ac:dyDescent="0.25">
      <c r="B2419" t="str">
        <v>318-20: Encoding Equipment</v>
      </c>
    </row>
    <row r="2420" spans="2:2" x14ac:dyDescent="0.25">
      <c r="B2420" t="str">
        <v>318-30: Fare Box</v>
      </c>
    </row>
    <row r="2421" spans="2:2" x14ac:dyDescent="0.25">
      <c r="B2421" t="str">
        <v>318-33: Fare Box Vault</v>
      </c>
    </row>
    <row r="2422" spans="2:2" x14ac:dyDescent="0.25">
      <c r="B2422" t="str">
        <v>318-40: Locks and Keys</v>
      </c>
    </row>
    <row r="2423" spans="2:2" x14ac:dyDescent="0.25">
      <c r="B2423" t="str">
        <v>318-50: Money Changers</v>
      </c>
    </row>
    <row r="2424" spans="2:2" x14ac:dyDescent="0.25">
      <c r="B2424" t="str">
        <v>318-55: Portable Safe and Money Cart</v>
      </c>
    </row>
    <row r="2425" spans="2:2" x14ac:dyDescent="0.25">
      <c r="B2425" t="str">
        <v>318-60: Receiver Bin and Terminal</v>
      </c>
    </row>
    <row r="2426" spans="2:2" x14ac:dyDescent="0.25">
      <c r="B2426" t="str">
        <v>318-62: Recycled Fare Collection Equipment and Supplies</v>
      </c>
    </row>
    <row r="2427" spans="2:2" x14ac:dyDescent="0.25">
      <c r="B2427" t="str">
        <v>318-70: Testing and Verifying Equipment</v>
      </c>
    </row>
    <row r="2428" spans="2:2" x14ac:dyDescent="0.25">
      <c r="B2428" t="str">
        <v>318-75: Tickets, Non-Magnetic</v>
      </c>
    </row>
    <row r="2429" spans="2:2" x14ac:dyDescent="0.25">
      <c r="B2429" t="str">
        <v>318-77: Tickets, Pre-Encoded</v>
      </c>
    </row>
    <row r="2430" spans="2:2" x14ac:dyDescent="0.25">
      <c r="B2430" t="str">
        <v>318-80: Tickets, Not Encoded</v>
      </c>
    </row>
    <row r="2431" spans="2:2" x14ac:dyDescent="0.25">
      <c r="B2431" t="str">
        <v>318-85: Ticket Vending Machine</v>
      </c>
    </row>
    <row r="2432" spans="2:2" x14ac:dyDescent="0.25">
      <c r="B2432" t="str">
        <v>318-88: Tokens</v>
      </c>
    </row>
    <row r="2433" spans="2:2" x14ac:dyDescent="0.25">
      <c r="B2433" t="str">
        <v>318-89: Transfer Machines</v>
      </c>
    </row>
    <row r="2434" spans="2:2" x14ac:dyDescent="0.25">
      <c r="B2434" t="str">
        <v>318-90: Turnstiles</v>
      </c>
    </row>
    <row r="2435" spans="2:2" x14ac:dyDescent="0.25">
      <c r="B2435" t="str">
        <v>320-10: Anchors, Expansion Shields, Molly Bolts, Plugs, Toggle Bolts, U-Bolts, etc.</v>
      </c>
    </row>
    <row r="2436" spans="2:2" x14ac:dyDescent="0.25">
      <c r="B2436" t="str">
        <v>320-20: Bolts, Steel</v>
      </c>
    </row>
    <row r="2437" spans="2:2" x14ac:dyDescent="0.25">
      <c r="B2437" t="str">
        <v>320-22: Bolts, Metal or Other Material, Not Steel</v>
      </c>
    </row>
    <row r="2438" spans="2:2" x14ac:dyDescent="0.25">
      <c r="B2438" t="str">
        <v>320-24: Box Stitching Machines, Wire, and Parts</v>
      </c>
    </row>
    <row r="2439" spans="2:2" x14ac:dyDescent="0.25">
      <c r="B2439" t="str">
        <v>320-35: Cotter Pins, Clevis Pins, Dowel Pins, Spring Pins, Taper Pins, and Woodruff Keys and Snaps</v>
      </c>
    </row>
    <row r="2440" spans="2:2" x14ac:dyDescent="0.25">
      <c r="B2440" t="str">
        <v>320-36: Fasteners (Not Otherwise Classified)</v>
      </c>
    </row>
    <row r="2441" spans="2:2" x14ac:dyDescent="0.25">
      <c r="B2441" t="str">
        <v>320-37: Grommets (See 590-16 for Sewing Type)</v>
      </c>
    </row>
    <row r="2442" spans="2:2" x14ac:dyDescent="0.25">
      <c r="B2442" t="str">
        <v>320-40: Mono-Bolts, Power Locking</v>
      </c>
    </row>
    <row r="2443" spans="2:2" x14ac:dyDescent="0.25">
      <c r="B2443" t="str">
        <v>320-42: Nuts, Steel, Including Nutserts</v>
      </c>
    </row>
    <row r="2444" spans="2:2" x14ac:dyDescent="0.25">
      <c r="B2444" t="str">
        <v>320-43: Nuts, Metal or Other Material, Not Steel</v>
      </c>
    </row>
    <row r="2445" spans="2:2" x14ac:dyDescent="0.25">
      <c r="B2445" t="str">
        <v>320-50: Package Tying Machines and Parts</v>
      </c>
    </row>
    <row r="2446" spans="2:2" x14ac:dyDescent="0.25">
      <c r="B2446" t="str">
        <v>320-55: Powder Actuated, Explosive Tools and Supplies</v>
      </c>
    </row>
    <row r="2447" spans="2:2" x14ac:dyDescent="0.25">
      <c r="B2447" t="str">
        <v>320-56: Recycled Fastening, Packaging, Strapping and Tying Equipment and Supplies</v>
      </c>
    </row>
    <row r="2448" spans="2:2" x14ac:dyDescent="0.25">
      <c r="B2448" t="str">
        <v>320-57: Retainers and Keepers</v>
      </c>
    </row>
    <row r="2449" spans="2:2" x14ac:dyDescent="0.25">
      <c r="B2449" t="str">
        <v>320-58: Rings, Retaining</v>
      </c>
    </row>
    <row r="2450" spans="2:2" x14ac:dyDescent="0.25">
      <c r="B2450" t="str">
        <v>320-60: Rivets, All Types, Except Brake Lining Rivets</v>
      </c>
    </row>
    <row r="2451" spans="2:2" x14ac:dyDescent="0.25">
      <c r="B2451" t="str">
        <v>320-62: Rivet Guns</v>
      </c>
    </row>
    <row r="2452" spans="2:2" x14ac:dyDescent="0.25">
      <c r="B2452" t="str">
        <v>320-69: Screws, All Kinds (Not Otherwise Classified)</v>
      </c>
    </row>
    <row r="2453" spans="2:2" x14ac:dyDescent="0.25">
      <c r="B2453" t="str">
        <v>320-70: Screws, Cap</v>
      </c>
    </row>
    <row r="2454" spans="2:2" x14ac:dyDescent="0.25">
      <c r="B2454" t="str">
        <v>320-71: Screws: Coach, Drywall, Eye, Lag, Phillips, Set, Thumb, etc.</v>
      </c>
    </row>
    <row r="2455" spans="2:2" x14ac:dyDescent="0.25">
      <c r="B2455" t="str">
        <v>320-72: Screws, Machine</v>
      </c>
    </row>
    <row r="2456" spans="2:2" x14ac:dyDescent="0.25">
      <c r="B2456" t="str">
        <v>320-73: Screws, Sheet Metal</v>
      </c>
    </row>
    <row r="2457" spans="2:2" x14ac:dyDescent="0.25">
      <c r="B2457" t="str">
        <v>320-74: Screws, Wood</v>
      </c>
    </row>
    <row r="2458" spans="2:2" x14ac:dyDescent="0.25">
      <c r="B2458" t="str">
        <v>320-75: Strapping, Seals, Banding and Tools and Equipment</v>
      </c>
    </row>
    <row r="2459" spans="2:2" x14ac:dyDescent="0.25">
      <c r="B2459" t="str">
        <v>320-83: Threaded Rods, Studs, and Fittings</v>
      </c>
    </row>
    <row r="2460" spans="2:2" x14ac:dyDescent="0.25">
      <c r="B2460" t="str">
        <v>320-85: Ties: Bar, Form, etc.</v>
      </c>
    </row>
    <row r="2461" spans="2:2" x14ac:dyDescent="0.25">
      <c r="B2461" t="str">
        <v>320-91: Washers, Steel</v>
      </c>
    </row>
    <row r="2462" spans="2:2" x14ac:dyDescent="0.25">
      <c r="B2462" t="str">
        <v>320-92: Washers, Metal or Other Material, Not Steel</v>
      </c>
    </row>
    <row r="2463" spans="2:2" x14ac:dyDescent="0.25">
      <c r="B2463" t="str">
        <v>325-04: Animal By-Products</v>
      </c>
    </row>
    <row r="2464" spans="2:2" x14ac:dyDescent="0.25">
      <c r="B2464" t="str">
        <v>325-05: Animal Food for Zoo and Farm Animals</v>
      </c>
    </row>
    <row r="2465" spans="2:2" x14ac:dyDescent="0.25">
      <c r="B2465" t="str">
        <v>325-08: Bedding, All Types</v>
      </c>
    </row>
    <row r="2466" spans="2:2" x14ac:dyDescent="0.25">
      <c r="B2466" t="str">
        <v>325-10: Bird Food, All Types</v>
      </c>
    </row>
    <row r="2467" spans="2:2" x14ac:dyDescent="0.25">
      <c r="B2467" t="str">
        <v>325-12: Calcium Carbonate</v>
      </c>
    </row>
    <row r="2468" spans="2:2" x14ac:dyDescent="0.25">
      <c r="B2468" t="str">
        <v>325-14: Citrus Pulp, Dried</v>
      </c>
    </row>
    <row r="2469" spans="2:2" x14ac:dyDescent="0.25">
      <c r="B2469" t="str">
        <v>325-16: Cottonseed Products</v>
      </c>
    </row>
    <row r="2470" spans="2:2" x14ac:dyDescent="0.25">
      <c r="B2470" t="str">
        <v>325-20: Dehydrated Feed</v>
      </c>
    </row>
    <row r="2471" spans="2:2" x14ac:dyDescent="0.25">
      <c r="B2471" t="str">
        <v>325-24: Distiller's Dried Solubles</v>
      </c>
    </row>
    <row r="2472" spans="2:2" x14ac:dyDescent="0.25">
      <c r="B2472" t="str">
        <v>325-25: Dog and Cat Food</v>
      </c>
    </row>
    <row r="2473" spans="2:2" x14ac:dyDescent="0.25">
      <c r="B2473" t="str">
        <v>325-26: Fat, Feed Grade</v>
      </c>
    </row>
    <row r="2474" spans="2:2" x14ac:dyDescent="0.25">
      <c r="B2474" t="str">
        <v>325-27: Feeders, All Types, Birds, Pets, Squirrels, etc.</v>
      </c>
    </row>
    <row r="2475" spans="2:2" x14ac:dyDescent="0.25">
      <c r="B2475" t="str">
        <v>325-28: Fish Food, Including Live</v>
      </c>
    </row>
    <row r="2476" spans="2:2" x14ac:dyDescent="0.25">
      <c r="B2476" t="str">
        <v>325-32: Grain, Chopped or Whole, Unmixed</v>
      </c>
    </row>
    <row r="2477" spans="2:2" x14ac:dyDescent="0.25">
      <c r="B2477" t="str">
        <v>325-36: Guar Products</v>
      </c>
    </row>
    <row r="2478" spans="2:2" x14ac:dyDescent="0.25">
      <c r="B2478" t="str">
        <v>325-40: Hay and Straw</v>
      </c>
    </row>
    <row r="2479" spans="2:2" x14ac:dyDescent="0.25">
      <c r="B2479" t="str">
        <v>325-44: Marine Products</v>
      </c>
    </row>
    <row r="2480" spans="2:2" x14ac:dyDescent="0.25">
      <c r="B2480" t="str">
        <v>325-48: Milk Products</v>
      </c>
    </row>
    <row r="2481" spans="2:2" x14ac:dyDescent="0.25">
      <c r="B2481" t="str">
        <v>325-52: Mixed Feed, All Types, Including Feed for Poultry, Deer, etc.</v>
      </c>
    </row>
    <row r="2482" spans="2:2" x14ac:dyDescent="0.25">
      <c r="B2482" t="str">
        <v>325-56: Molasses, Stock Feed</v>
      </c>
    </row>
    <row r="2483" spans="2:2" x14ac:dyDescent="0.25">
      <c r="B2483" t="str">
        <v>325-60: Peanut Products</v>
      </c>
    </row>
    <row r="2484" spans="2:2" x14ac:dyDescent="0.25">
      <c r="B2484" t="str">
        <v>325-62: Phosphate, Defluorinated</v>
      </c>
    </row>
    <row r="2485" spans="2:2" x14ac:dyDescent="0.25">
      <c r="B2485" t="str">
        <v>325-63: Potassium Carbonate, Feed Grade</v>
      </c>
    </row>
    <row r="2486" spans="2:2" x14ac:dyDescent="0.25">
      <c r="B2486" t="str">
        <v>325-64: Rations, Small Animal</v>
      </c>
    </row>
    <row r="2487" spans="2:2" x14ac:dyDescent="0.25">
      <c r="B2487" t="str">
        <v>325-66: Recycled Feed, Bedding, Vitamins and Supplements for Animals</v>
      </c>
    </row>
    <row r="2488" spans="2:2" x14ac:dyDescent="0.25">
      <c r="B2488" t="str">
        <v>325-67: Reptile Food, Including Live</v>
      </c>
    </row>
    <row r="2489" spans="2:2" x14ac:dyDescent="0.25">
      <c r="B2489" t="str">
        <v>325-68: Rice Products</v>
      </c>
    </row>
    <row r="2490" spans="2:2" x14ac:dyDescent="0.25">
      <c r="B2490" t="str">
        <v>325-72: Shell, Ground</v>
      </c>
    </row>
    <row r="2491" spans="2:2" x14ac:dyDescent="0.25">
      <c r="B2491" t="str">
        <v>325-76: Soybean Products</v>
      </c>
    </row>
    <row r="2492" spans="2:2" x14ac:dyDescent="0.25">
      <c r="B2492" t="str">
        <v>325-77: Supplement, Feed, Dry</v>
      </c>
    </row>
    <row r="2493" spans="2:2" x14ac:dyDescent="0.25">
      <c r="B2493" t="str">
        <v>325-78: Supplement, Liquid Feed</v>
      </c>
    </row>
    <row r="2494" spans="2:2" x14ac:dyDescent="0.25">
      <c r="B2494" t="str">
        <v>325-80: Urea, Feed Grade</v>
      </c>
    </row>
    <row r="2495" spans="2:2" x14ac:dyDescent="0.25">
      <c r="B2495" t="str">
        <v>325-84: Vitamins and Supplements</v>
      </c>
    </row>
    <row r="2496" spans="2:2" x14ac:dyDescent="0.25">
      <c r="B2496" t="str">
        <v>330-05: Fencing, Adobe, Cinderblock and Sand</v>
      </c>
    </row>
    <row r="2497" spans="2:2" x14ac:dyDescent="0.25">
      <c r="B2497" t="str">
        <v>330-10: Fencing, Concrete or Rock</v>
      </c>
    </row>
    <row r="2498" spans="2:2" x14ac:dyDescent="0.25">
      <c r="B2498" t="str">
        <v>330-13: Fencing, Chain Link, Including Fabric, Gates, Panels, Posts and Fittings</v>
      </c>
    </row>
    <row r="2499" spans="2:2" x14ac:dyDescent="0.25">
      <c r="B2499" t="str">
        <v>330-20: Fencing, Electrified</v>
      </c>
    </row>
    <row r="2500" spans="2:2" x14ac:dyDescent="0.25">
      <c r="B2500" t="str">
        <v>330-32: Fencing, Wrought Iron, Including Components</v>
      </c>
    </row>
    <row r="2501" spans="2:2" x14ac:dyDescent="0.25">
      <c r="B2501" t="str">
        <v>330-37: Fencing, Metal Slat and Tubular, Including Components</v>
      </c>
    </row>
    <row r="2502" spans="2:2" x14ac:dyDescent="0.25">
      <c r="B2502" t="str">
        <v>330-38: Fencing, Plastic, Polyethelene, and Composite Materials</v>
      </c>
    </row>
    <row r="2503" spans="2:2" x14ac:dyDescent="0.25">
      <c r="B2503" t="str">
        <v>330-40: Fencing, Ornamental</v>
      </c>
    </row>
    <row r="2504" spans="2:2" x14ac:dyDescent="0.25">
      <c r="B2504" t="str">
        <v>330-46: Fencing, Snow</v>
      </c>
    </row>
    <row r="2505" spans="2:2" x14ac:dyDescent="0.25">
      <c r="B2505" t="str">
        <v>330-49: Fencing, Split Rail</v>
      </c>
    </row>
    <row r="2506" spans="2:2" x14ac:dyDescent="0.25">
      <c r="B2506" t="str">
        <v>330-55: Fencing, Temporary Construction and Other Industrial or Safety Uses</v>
      </c>
    </row>
    <row r="2507" spans="2:2" x14ac:dyDescent="0.25">
      <c r="B2507" t="str">
        <v>330-58: Fencing, Wire</v>
      </c>
    </row>
    <row r="2508" spans="2:2" x14ac:dyDescent="0.25">
      <c r="B2508" t="str">
        <v>330-59: Fencing, Wood, Including Components</v>
      </c>
    </row>
    <row r="2509" spans="2:2" x14ac:dyDescent="0.25">
      <c r="B2509" t="str">
        <v>330-61: Windscreens and Accessories for Fencing</v>
      </c>
    </row>
    <row r="2510" spans="2:2" x14ac:dyDescent="0.25">
      <c r="B2510" t="str">
        <v>330-65: Wire, Barbed</v>
      </c>
    </row>
    <row r="2511" spans="2:2" x14ac:dyDescent="0.25">
      <c r="B2511" t="str">
        <v>330-69: Wire, Obstacle: Concertina, Including Razor Ribbon and Barbed Tape</v>
      </c>
    </row>
    <row r="2512" spans="2:2" x14ac:dyDescent="0.25">
      <c r="B2512" t="str">
        <v>330-78: Wire, Plain</v>
      </c>
    </row>
    <row r="2513" spans="2:2" x14ac:dyDescent="0.25">
      <c r="B2513" t="str">
        <v>330-91: Wire, Woven</v>
      </c>
    </row>
    <row r="2514" spans="2:2" x14ac:dyDescent="0.25">
      <c r="B2514" t="str">
        <v>330-95: Recycled Fencing and Supplies</v>
      </c>
    </row>
    <row r="2515" spans="2:2" x14ac:dyDescent="0.25">
      <c r="B2515" t="str">
        <v>335-04: Additives and Supplements, Fertilizer</v>
      </c>
    </row>
    <row r="2516" spans="2:2" x14ac:dyDescent="0.25">
      <c r="B2516" t="str">
        <v>335-06: Fertilizer, Ammonium Nitrate</v>
      </c>
    </row>
    <row r="2517" spans="2:2" x14ac:dyDescent="0.25">
      <c r="B2517" t="str">
        <v>335-09: Fertilizer, Ammonium Phosphate</v>
      </c>
    </row>
    <row r="2518" spans="2:2" x14ac:dyDescent="0.25">
      <c r="B2518" t="str">
        <v>335-12: Fertilizer, Ammonium Sulfate</v>
      </c>
    </row>
    <row r="2519" spans="2:2" x14ac:dyDescent="0.25">
      <c r="B2519" t="str">
        <v>335-18: Fertilizer, Anhydrous Ammonia</v>
      </c>
    </row>
    <row r="2520" spans="2:2" x14ac:dyDescent="0.25">
      <c r="B2520" t="str">
        <v>335-24: Fertilizer, Animal and Marine Content</v>
      </c>
    </row>
    <row r="2521" spans="2:2" x14ac:dyDescent="0.25">
      <c r="B2521" t="str">
        <v>335-30: Fertilizer, Blended or Dry Mix, Commercial</v>
      </c>
    </row>
    <row r="2522" spans="2:2" x14ac:dyDescent="0.25">
      <c r="B2522" t="str">
        <v>335-33: Soil Conditioner, Chemical Root Stimulators</v>
      </c>
    </row>
    <row r="2523" spans="2:2" x14ac:dyDescent="0.25">
      <c r="B2523" t="str">
        <v>335-36: Fertilizer, Ferrous Sulfate and Chelates of Iron and Zinc</v>
      </c>
    </row>
    <row r="2524" spans="2:2" x14ac:dyDescent="0.25">
      <c r="B2524" t="str">
        <v>335-37: Fertilizer, Combined with Fungicide and/or Insecticide</v>
      </c>
    </row>
    <row r="2525" spans="2:2" x14ac:dyDescent="0.25">
      <c r="B2525" t="str">
        <v>335-38: Fertilizer, Tree and Shrub, Spikes, Tablets, etc.</v>
      </c>
    </row>
    <row r="2526" spans="2:2" x14ac:dyDescent="0.25">
      <c r="B2526" t="str">
        <v>335-40: Fertilizer, Liquid, All Types, Except Anhydrous Ammonia</v>
      </c>
    </row>
    <row r="2527" spans="2:2" x14ac:dyDescent="0.25">
      <c r="B2527" t="str">
        <v>335-41: Fertilizer, Formulations and Components, (Not Otherwise Classified)</v>
      </c>
    </row>
    <row r="2528" spans="2:2" x14ac:dyDescent="0.25">
      <c r="B2528" t="str">
        <v>335-42: Fertilizer, Granulated or Pelletized, Commercial</v>
      </c>
    </row>
    <row r="2529" spans="2:2" x14ac:dyDescent="0.25">
      <c r="B2529" t="str">
        <v>335-45: Hydromulch</v>
      </c>
    </row>
    <row r="2530" spans="2:2" x14ac:dyDescent="0.25">
      <c r="B2530" t="str">
        <v>335-48: Limestone, Agricultural</v>
      </c>
    </row>
    <row r="2531" spans="2:2" x14ac:dyDescent="0.25">
      <c r="B2531" t="str">
        <v>335-54: Muriate of Potash, Potassium Chloride)</v>
      </c>
    </row>
    <row r="2532" spans="2:2" x14ac:dyDescent="0.25">
      <c r="B2532" t="str">
        <v>335-60: Organic Base, Including Manure and Guano</v>
      </c>
    </row>
    <row r="2533" spans="2:2" x14ac:dyDescent="0.25">
      <c r="B2533" t="str">
        <v>335-66: Phosphate, Agricultural, Including Triple Superphosphate</v>
      </c>
    </row>
    <row r="2534" spans="2:2" x14ac:dyDescent="0.25">
      <c r="B2534" t="str">
        <v>335-69: Recycled Fertilizer and Soil Conditioners</v>
      </c>
    </row>
    <row r="2535" spans="2:2" x14ac:dyDescent="0.25">
      <c r="B2535" t="str">
        <v>335-72: Soil Conditioners: Compost, Marine Humus, Sulfur, Synthetic Polymers, Mulch, etc.</v>
      </c>
    </row>
    <row r="2536" spans="2:2" x14ac:dyDescent="0.25">
      <c r="B2536" t="str">
        <v>335-75: Soil Stabilizers and Penetrants: Liquid and Solid</v>
      </c>
    </row>
    <row r="2537" spans="2:2" x14ac:dyDescent="0.25">
      <c r="B2537" t="str">
        <v>335-78: Urea, Fertilizer Grade</v>
      </c>
    </row>
    <row r="2538" spans="2:2" x14ac:dyDescent="0.25">
      <c r="B2538" t="str">
        <v>335-85: Wetting Agents</v>
      </c>
    </row>
    <row r="2539" spans="2:2" x14ac:dyDescent="0.25">
      <c r="B2539" t="str">
        <v>340-04: Backfiring and Burning Equipment: Firing Torches, Flame Guns, etc.</v>
      </c>
    </row>
    <row r="2540" spans="2:2" x14ac:dyDescent="0.25">
      <c r="B2540" t="str">
        <v>340-06: Brackets, Clamps and Holders For Fire Fighting Equipment</v>
      </c>
    </row>
    <row r="2541" spans="2:2" x14ac:dyDescent="0.25">
      <c r="B2541" t="str">
        <v>340-07: Breathing Equipment for Firemen, Including Mobile Air Filler Stations</v>
      </c>
    </row>
    <row r="2542" spans="2:2" x14ac:dyDescent="0.25">
      <c r="B2542" t="str">
        <v>340-08: Cabinets and Covers, For Fire Extinguishers, Fire Hose and Racks, Valves, etc.</v>
      </c>
    </row>
    <row r="2543" spans="2:2" x14ac:dyDescent="0.25">
      <c r="B2543" t="str">
        <v>340-10: Chemicals, Fire Retardant, Used to Make Various Materials Fire Retardant</v>
      </c>
    </row>
    <row r="2544" spans="2:2" x14ac:dyDescent="0.25">
      <c r="B2544" t="str">
        <v>340-12: Couplings, Fire Hose</v>
      </c>
    </row>
    <row r="2545" spans="2:2" x14ac:dyDescent="0.25">
      <c r="B2545" t="str">
        <v>340-14: Ejectors, Smoke</v>
      </c>
    </row>
    <row r="2546" spans="2:2" x14ac:dyDescent="0.25">
      <c r="B2546" t="str">
        <v>340-15: Fire and Medical Alert Systems</v>
      </c>
    </row>
    <row r="2547" spans="2:2" x14ac:dyDescent="0.25">
      <c r="B2547" t="str">
        <v>340-16: Fire Alarm Systems, Power Sirens, and Controls</v>
      </c>
    </row>
    <row r="2548" spans="2:2" x14ac:dyDescent="0.25">
      <c r="B2548" t="str">
        <v>340-18: Fire Blankets</v>
      </c>
    </row>
    <row r="2549" spans="2:2" x14ac:dyDescent="0.25">
      <c r="B2549" t="str">
        <v>340-20: Fire Detecting Equipment</v>
      </c>
    </row>
    <row r="2550" spans="2:2" x14ac:dyDescent="0.25">
      <c r="B2550" t="str">
        <v>340-21: Fire Emergency Access and Rapid Entry Equipment</v>
      </c>
    </row>
    <row r="2551" spans="2:2" x14ac:dyDescent="0.25">
      <c r="B2551" t="str">
        <v>340-24: Fire Escapes and Fire Exit Devices</v>
      </c>
    </row>
    <row r="2552" spans="2:2" x14ac:dyDescent="0.25">
      <c r="B2552" t="str">
        <v>340-28: Fire Extinguishers, Rechargers, and Parts</v>
      </c>
    </row>
    <row r="2553" spans="2:2" x14ac:dyDescent="0.25">
      <c r="B2553" t="str">
        <v>340-29: Fire Extinguisher Systems, Complete, All Types (See Item 28 for Individual Extinguishers)</v>
      </c>
    </row>
    <row r="2554" spans="2:2" x14ac:dyDescent="0.25">
      <c r="B2554" t="str">
        <v>340-32: Fire Hose Carts, Dryers, Racks, Reels, Rollers, and Winders, etc.</v>
      </c>
    </row>
    <row r="2555" spans="2:2" x14ac:dyDescent="0.25">
      <c r="B2555" t="str">
        <v>340-34: Fire Protection Clothing: Turnout Coats, Bunker Pants, Hoods, Gloves, etc., (See 345-56 for Fire Helmets)</v>
      </c>
    </row>
    <row r="2556" spans="2:2" x14ac:dyDescent="0.25">
      <c r="B2556" t="str">
        <v>340-36: Fire Pump, Back Carrying Type</v>
      </c>
    </row>
    <row r="2557" spans="2:2" x14ac:dyDescent="0.25">
      <c r="B2557" t="str">
        <v>340-38: Fire-Stop Equipment, Materials, Including Parts and Accessories</v>
      </c>
    </row>
    <row r="2558" spans="2:2" x14ac:dyDescent="0.25">
      <c r="B2558" t="str">
        <v>340-40: Fire Suppression Hand Tools: Fire Axe, Fire Rack, Fire Swatter, etc.</v>
      </c>
    </row>
    <row r="2559" spans="2:2" x14ac:dyDescent="0.25">
      <c r="B2559" t="str">
        <v>340-41: Fire Suppression Foam and Other Suppression Compounds</v>
      </c>
    </row>
    <row r="2560" spans="2:2" x14ac:dyDescent="0.25">
      <c r="B2560" t="str">
        <v>340-44: Fire Finder, Forest</v>
      </c>
    </row>
    <row r="2561" spans="2:2" x14ac:dyDescent="0.25">
      <c r="B2561" t="str">
        <v>340-45: Fireman Training and Instructional Aids and Materials</v>
      </c>
    </row>
    <row r="2562" spans="2:2" x14ac:dyDescent="0.25">
      <c r="B2562" t="str">
        <v>340-48: Flail Trencher</v>
      </c>
    </row>
    <row r="2563" spans="2:2" x14ac:dyDescent="0.25">
      <c r="B2563" t="str">
        <v>340-49: Foam Dispensing Equipment, Compressed Air, For Fires</v>
      </c>
    </row>
    <row r="2564" spans="2:2" x14ac:dyDescent="0.25">
      <c r="B2564" t="str">
        <v>340-50: Foam Generators, Truck or Trailer Mounted</v>
      </c>
    </row>
    <row r="2565" spans="2:2" x14ac:dyDescent="0.25">
      <c r="B2565" t="str">
        <v>340-52: Fusible Links, For Fire Doors</v>
      </c>
    </row>
    <row r="2566" spans="2:2" x14ac:dyDescent="0.25">
      <c r="B2566" t="str">
        <v>340-54: Gas Detection and Monitoring Equipment, Firemen</v>
      </c>
    </row>
    <row r="2567" spans="2:2" x14ac:dyDescent="0.25">
      <c r="B2567" t="str">
        <v>340-56: Hose, Fire, and Fittings, Coupled and Uncoupled (See 340-12 for Couplings)</v>
      </c>
    </row>
    <row r="2568" spans="2:2" x14ac:dyDescent="0.25">
      <c r="B2568" t="str">
        <v>340-60: Hydrants, Fire, Including Parts and Accessories</v>
      </c>
    </row>
    <row r="2569" spans="2:2" x14ac:dyDescent="0.25">
      <c r="B2569" t="str">
        <v>340-62: Ladders, Fire</v>
      </c>
    </row>
    <row r="2570" spans="2:2" x14ac:dyDescent="0.25">
      <c r="B2570" t="str">
        <v>340-63: Lockers, Turnout Gear</v>
      </c>
    </row>
    <row r="2571" spans="2:2" x14ac:dyDescent="0.25">
      <c r="B2571" t="str">
        <v>340-64: Nozzles and Parts, Fire Hose</v>
      </c>
    </row>
    <row r="2572" spans="2:2" x14ac:dyDescent="0.25">
      <c r="B2572" t="str">
        <v>340-67: Poles and Stanchions</v>
      </c>
    </row>
    <row r="2573" spans="2:2" x14ac:dyDescent="0.25">
      <c r="B2573" t="str">
        <v>340-70: Refurbished Fire Protection Equipment and Supplies</v>
      </c>
    </row>
    <row r="2574" spans="2:2" x14ac:dyDescent="0.25">
      <c r="B2574" t="str">
        <v>340-72: Rescue Equipment, Supplies and Accessories Including Confined Space Hard Line Communications Systems, Rescue Nets, Power Extractors (Jaws of Life), Rope and Life Harnesses, etc.</v>
      </c>
    </row>
    <row r="2575" spans="2:2" x14ac:dyDescent="0.25">
      <c r="B2575" t="str">
        <v>340-76: Smoke Bombs and Candles, Forestry</v>
      </c>
    </row>
    <row r="2576" spans="2:2" x14ac:dyDescent="0.25">
      <c r="B2576" t="str">
        <v>340-80: Smoke Detecting Equipment, Including Smoke Alarms</v>
      </c>
    </row>
    <row r="2577" spans="2:2" x14ac:dyDescent="0.25">
      <c r="B2577" t="str">
        <v>340-84: Sprinkler Heads and Systems</v>
      </c>
    </row>
    <row r="2578" spans="2:2" x14ac:dyDescent="0.25">
      <c r="B2578" t="str">
        <v>340-86: Swivels and Swivel Joints</v>
      </c>
    </row>
    <row r="2579" spans="2:2" x14ac:dyDescent="0.25">
      <c r="B2579" t="str">
        <v>340-87: Training Equipment and Supplies, Fire and Safety</v>
      </c>
    </row>
    <row r="2580" spans="2:2" x14ac:dyDescent="0.25">
      <c r="B2580" t="str">
        <v>340-88: Valves, Fire Hose</v>
      </c>
    </row>
    <row r="2581" spans="2:2" x14ac:dyDescent="0.25">
      <c r="B2581" t="str">
        <v>340-92: Vise, Fire Extinguisher, Pneumatic Belt</v>
      </c>
    </row>
    <row r="2582" spans="2:2" x14ac:dyDescent="0.25">
      <c r="B2582" t="str">
        <v>340-94: Washing Equipment for Face Masks, etc.</v>
      </c>
    </row>
    <row r="2583" spans="2:2" x14ac:dyDescent="0.25">
      <c r="B2583" t="str">
        <v>340-95: Water Clean-up Vacuums</v>
      </c>
    </row>
    <row r="2584" spans="2:2" x14ac:dyDescent="0.25">
      <c r="B2584" t="str">
        <v>345-04: Air Bags, Rescue Lifting Systems</v>
      </c>
    </row>
    <row r="2585" spans="2:2" x14ac:dyDescent="0.25">
      <c r="B2585" t="str">
        <v>345-05: Asbestos Abatement Equipment and Supplies</v>
      </c>
    </row>
    <row r="2586" spans="2:2" x14ac:dyDescent="0.25">
      <c r="B2586" t="str">
        <v>345-06: Chemical Light, Emergency</v>
      </c>
    </row>
    <row r="2587" spans="2:2" x14ac:dyDescent="0.25">
      <c r="B2587" t="str">
        <v>345-08: Clothing and Belts, Safety, Not Automotive, (See 345-79 for Reflective Type)</v>
      </c>
    </row>
    <row r="2588" spans="2:2" x14ac:dyDescent="0.25">
      <c r="B2588" t="str">
        <v>345-10: C.P.R. Equipment and Supplies (See 345-68 For Models)</v>
      </c>
    </row>
    <row r="2589" spans="2:2" x14ac:dyDescent="0.25">
      <c r="B2589" t="str">
        <v>345-16: Detectors and Parts, Dust, Gas, Voltage</v>
      </c>
    </row>
    <row r="2590" spans="2:2" x14ac:dyDescent="0.25">
      <c r="B2590" t="str">
        <v>345-18: Emergency Showers and Wash Stations</v>
      </c>
    </row>
    <row r="2591" spans="2:2" x14ac:dyDescent="0.25">
      <c r="B2591" t="str">
        <v>345-21: Extraction Equipment for the Removal of Exhaust Gases and Other Vapors from Buildings (OSHA)</v>
      </c>
    </row>
    <row r="2592" spans="2:2" x14ac:dyDescent="0.25">
      <c r="B2592" t="str">
        <v>345-22: Fall Protection Equipment and Accessories (For the Climber's Protection from Falls (See 445-83 for Pole and Tree Climbing Equipment)</v>
      </c>
    </row>
    <row r="2593" spans="2:2" x14ac:dyDescent="0.25">
      <c r="B2593" t="str">
        <v>345-24: Fireproof Curtains</v>
      </c>
    </row>
    <row r="2594" spans="2:2" x14ac:dyDescent="0.25">
      <c r="B2594" t="str">
        <v>345-30: First Aid Blankets, Stretchers, etc.</v>
      </c>
    </row>
    <row r="2595" spans="2:2" x14ac:dyDescent="0.25">
      <c r="B2595" t="str">
        <v>345-32: First Aid Cabinets, Kits, and Refills</v>
      </c>
    </row>
    <row r="2596" spans="2:2" x14ac:dyDescent="0.25">
      <c r="B2596" t="str">
        <v>345-40: First Aid and Safety Teaching Equipment and Supplies: Charts, Manuals, Posters, Safety Placards, Safety Training Videos, etc.</v>
      </c>
    </row>
    <row r="2597" spans="2:2" x14ac:dyDescent="0.25">
      <c r="B2597" t="str">
        <v>345-48: Gloves, Safety: Electrician's, Lineman's, etc., Including Sleeves</v>
      </c>
    </row>
    <row r="2598" spans="2:2" x14ac:dyDescent="0.25">
      <c r="B2598" t="str">
        <v>345-49: Gloves, Therapeutic</v>
      </c>
    </row>
    <row r="2599" spans="2:2" x14ac:dyDescent="0.25">
      <c r="B2599" t="str">
        <v>345-56: Hats and Helmets, Safety, Including Fire Helmets</v>
      </c>
    </row>
    <row r="2600" spans="2:2" x14ac:dyDescent="0.25">
      <c r="B2600" t="str">
        <v>345-64: Head, Ear, Eye and Face Protection</v>
      </c>
    </row>
    <row r="2601" spans="2:2" x14ac:dyDescent="0.25">
      <c r="B2601" t="str">
        <v>345-65: Labels, Warning</v>
      </c>
    </row>
    <row r="2602" spans="2:2" x14ac:dyDescent="0.25">
      <c r="B2602" t="str">
        <v>345-66: Lockout and Tagout Safety Kits and Supplies</v>
      </c>
    </row>
    <row r="2603" spans="2:2" x14ac:dyDescent="0.25">
      <c r="B2603" t="str">
        <v>345-68: Manikins and Models, First Aid and Safety Teaching</v>
      </c>
    </row>
    <row r="2604" spans="2:2" x14ac:dyDescent="0.25">
      <c r="B2604" t="str">
        <v>345-72: Masks, Filters, and Parts: Dust and Gas</v>
      </c>
    </row>
    <row r="2605" spans="2:2" x14ac:dyDescent="0.25">
      <c r="B2605" t="str">
        <v>345-73: Personal Distress Warning Devices</v>
      </c>
    </row>
    <row r="2606" spans="2:2" x14ac:dyDescent="0.25">
      <c r="B2606" t="str">
        <v>345-74: Personal Protective Equipment (PPE), Blood Borne Pathogen Protection, (Not Otherwise Classified)</v>
      </c>
    </row>
    <row r="2607" spans="2:2" x14ac:dyDescent="0.25">
      <c r="B2607" t="str">
        <v>345-78: Recycled First Aid and Safety Equipment and Supplies</v>
      </c>
    </row>
    <row r="2608" spans="2:2" x14ac:dyDescent="0.25">
      <c r="B2608" t="str">
        <v>345-79: Reflective Safety Apparel and Accessories (See 345-08 for Non-Reflective Type)</v>
      </c>
    </row>
    <row r="2609" spans="2:2" x14ac:dyDescent="0.25">
      <c r="B2609" t="str">
        <v>345-80: Respiratory Protection Equipment and Parts, Including CPAP Equipment and Parts</v>
      </c>
    </row>
    <row r="2610" spans="2:2" x14ac:dyDescent="0.25">
      <c r="B2610" t="str">
        <v>345-84: Resuscitators and Parts, Including Portable Rescue Units</v>
      </c>
    </row>
    <row r="2611" spans="2:2" x14ac:dyDescent="0.25">
      <c r="B2611" t="str">
        <v>345-86: Scissors, First Aid and Paramedic</v>
      </c>
    </row>
    <row r="2612" spans="2:2" x14ac:dyDescent="0.25">
      <c r="B2612" t="str">
        <v>345-87: Shoe Chain, For Icy and Slippery Surfaces</v>
      </c>
    </row>
    <row r="2613" spans="2:2" x14ac:dyDescent="0.25">
      <c r="B2613" t="str">
        <v>345-90: Vests, Life</v>
      </c>
    </row>
    <row r="2614" spans="2:2" x14ac:dyDescent="0.25">
      <c r="B2614" t="str">
        <v>345-92: Vests, Safety</v>
      </c>
    </row>
    <row r="2615" spans="2:2" x14ac:dyDescent="0.25">
      <c r="B2615" t="str">
        <v>345-94: Wipes, Decontamination, Personnel, Equipment</v>
      </c>
    </row>
    <row r="2616" spans="2:2" x14ac:dyDescent="0.25">
      <c r="B2616" t="str">
        <v>345-95: Wipes for Safety Equipment</v>
      </c>
    </row>
    <row r="2617" spans="2:2" x14ac:dyDescent="0.25">
      <c r="B2617" t="str">
        <v>350-10: Banners, Pennants, and Decorative Fans, Drapes, and Pull Downs</v>
      </c>
    </row>
    <row r="2618" spans="2:2" x14ac:dyDescent="0.25">
      <c r="B2618" t="str">
        <v>350-20: Flag Accessories: Belts, Brackets, Covers, Crosses, Eagles, Holders, Sockets, Spears, Staffs, Stands, and Tassels</v>
      </c>
    </row>
    <row r="2619" spans="2:2" x14ac:dyDescent="0.25">
      <c r="B2619" t="str">
        <v>350-30: Flag Poles, All Types</v>
      </c>
    </row>
    <row r="2620" spans="2:2" x14ac:dyDescent="0.25">
      <c r="B2620" t="str">
        <v>350-35: Flags, County</v>
      </c>
    </row>
    <row r="2621" spans="2:2" x14ac:dyDescent="0.25">
      <c r="B2621" t="str">
        <v>350-40: Flags, International and Special Occasion</v>
      </c>
    </row>
    <row r="2622" spans="2:2" x14ac:dyDescent="0.25">
      <c r="B2622" t="str">
        <v>350-45: Flags: Municipal, School, Departmental, Agency, etc.</v>
      </c>
    </row>
    <row r="2623" spans="2:2" x14ac:dyDescent="0.25">
      <c r="B2623" t="str">
        <v>350-60: Flags, Safety and Warning, Any Color</v>
      </c>
    </row>
    <row r="2624" spans="2:2" x14ac:dyDescent="0.25">
      <c r="B2624" t="str">
        <v>350-70: Flags: State and U.S.: Cotton, Nylon, Polyester, and Wool</v>
      </c>
    </row>
    <row r="2625" spans="2:2" x14ac:dyDescent="0.25">
      <c r="B2625" t="str">
        <v>350-72: Flags: State and U.S., Presentation: Nylon, Rayon, and Taffeta</v>
      </c>
    </row>
    <row r="2626" spans="2:2" x14ac:dyDescent="0.25">
      <c r="B2626" t="str">
        <v>350-80: Recycled Flags, Banners, and Accessories</v>
      </c>
    </row>
    <row r="2627" spans="2:2" x14ac:dyDescent="0.25">
      <c r="B2627" t="str">
        <v>360-05: Adhesive, Cement and Mastic</v>
      </c>
    </row>
    <row r="2628" spans="2:2" x14ac:dyDescent="0.25">
      <c r="B2628" t="str">
        <v>360-07: Base, Resilient, Cove and Straight</v>
      </c>
    </row>
    <row r="2629" spans="2:2" x14ac:dyDescent="0.25">
      <c r="B2629" t="str">
        <v>360-10: Carpets and Rugs: Cotton, Synthetic, Wool, etc.</v>
      </c>
    </row>
    <row r="2630" spans="2:2" x14ac:dyDescent="0.25">
      <c r="B2630" t="str">
        <v>360-11: Carpet and Rug Mills (Inactive, effective January 1, 2016)</v>
      </c>
    </row>
    <row r="2631" spans="2:2" x14ac:dyDescent="0.25">
      <c r="B2631" t="str">
        <v>360-14: Duckboards and Boardwalks</v>
      </c>
    </row>
    <row r="2632" spans="2:2" x14ac:dyDescent="0.25">
      <c r="B2632" t="str">
        <v>360-17: Felt and Paper</v>
      </c>
    </row>
    <row r="2633" spans="2:2" x14ac:dyDescent="0.25">
      <c r="B2633" t="str">
        <v>360-19: Floor Covering Accessories (Not Otherwise Classified)</v>
      </c>
    </row>
    <row r="2634" spans="2:2" x14ac:dyDescent="0.25">
      <c r="B2634" t="str">
        <v>360-20: Floor Covering, Seamless, All Types</v>
      </c>
    </row>
    <row r="2635" spans="2:2" x14ac:dyDescent="0.25">
      <c r="B2635" t="str">
        <v>360-21: Hardwood Flooring</v>
      </c>
    </row>
    <row r="2636" spans="2:2" x14ac:dyDescent="0.25">
      <c r="B2636" t="str">
        <v>360-22: Installation Supplies: Adhesive Edge Strip, Seam Tape, Tack Strips, etc.</v>
      </c>
    </row>
    <row r="2637" spans="2:2" x14ac:dyDescent="0.25">
      <c r="B2637" t="str">
        <v>360-25: Linoleum</v>
      </c>
    </row>
    <row r="2638" spans="2:2" x14ac:dyDescent="0.25">
      <c r="B2638" t="str">
        <v>360-27: Mats, All Kinds (Not Otherwise Classified)</v>
      </c>
    </row>
    <row r="2639" spans="2:2" x14ac:dyDescent="0.25">
      <c r="B2639" t="str">
        <v>360-28: Non-slip Floor Coverings: Mats, Rolls, Strips, etc.</v>
      </c>
    </row>
    <row r="2640" spans="2:2" x14ac:dyDescent="0.25">
      <c r="B2640" t="str">
        <v>360-30: Padding and Cushioning, Carpet</v>
      </c>
    </row>
    <row r="2641" spans="2:2" x14ac:dyDescent="0.25">
      <c r="B2641" t="str">
        <v>360-37: Recycled Floor Covering Products</v>
      </c>
    </row>
    <row r="2642" spans="2:2" x14ac:dyDescent="0.25">
      <c r="B2642" t="str">
        <v>360-40: Rugs, Cut and Bound Sizes: Cotton, Synthetic, Wool, etc.</v>
      </c>
    </row>
    <row r="2643" spans="2:2" x14ac:dyDescent="0.25">
      <c r="B2643" t="str">
        <v>360-50: Runners, Carpet and Fabric</v>
      </c>
    </row>
    <row r="2644" spans="2:2" x14ac:dyDescent="0.25">
      <c r="B2644" t="str">
        <v>360-52: Runners, Rubber and Synthetic</v>
      </c>
    </row>
    <row r="2645" spans="2:2" x14ac:dyDescent="0.25">
      <c r="B2645" t="str">
        <v>360-55: Sheet Rubber, Floor</v>
      </c>
    </row>
    <row r="2646" spans="2:2" x14ac:dyDescent="0.25">
      <c r="B2646" t="str">
        <v>360-56: Sheet Vinyl, Cushioned</v>
      </c>
    </row>
    <row r="2647" spans="2:2" x14ac:dyDescent="0.25">
      <c r="B2647" t="str">
        <v>360-58: Sheet Vinyl, Non-Cushioned</v>
      </c>
    </row>
    <row r="2648" spans="2:2" x14ac:dyDescent="0.25">
      <c r="B2648" t="str">
        <v>360-60: Special Flooring, Industrial: Resinous, Elastomeric Liquid, etc.</v>
      </c>
    </row>
    <row r="2649" spans="2:2" x14ac:dyDescent="0.25">
      <c r="B2649" t="str">
        <v>360-65: Stair Treads, Metal, Rubber and Vinyl</v>
      </c>
    </row>
    <row r="2650" spans="2:2" x14ac:dyDescent="0.25">
      <c r="B2650" t="str">
        <v>360-67: Stair Treads, Rubber  (Inactive, please see commodity code 360-65 effective January 1, 2016)</v>
      </c>
    </row>
    <row r="2651" spans="2:2" x14ac:dyDescent="0.25">
      <c r="B2651" t="str">
        <v>360-68: Stair Treads, Vinyl (Inactive, please see commodity code 360-65 effective January 1, 2016)</v>
      </c>
    </row>
    <row r="2652" spans="2:2" x14ac:dyDescent="0.25">
      <c r="B2652" t="str">
        <v>360-69: Steel Flooring</v>
      </c>
    </row>
    <row r="2653" spans="2:2" x14ac:dyDescent="0.25">
      <c r="B2653" t="str">
        <v>360-70: Steel Mats, Flexible</v>
      </c>
    </row>
    <row r="2654" spans="2:2" x14ac:dyDescent="0.25">
      <c r="B2654" t="str">
        <v>360-75: Tile, Asphalt</v>
      </c>
    </row>
    <row r="2655" spans="2:2" x14ac:dyDescent="0.25">
      <c r="B2655" t="str">
        <v>360-76: Tile, Carpet</v>
      </c>
    </row>
    <row r="2656" spans="2:2" x14ac:dyDescent="0.25">
      <c r="B2656" t="str">
        <v>360-77: Tile, Composition Asbestos-Vinyl</v>
      </c>
    </row>
    <row r="2657" spans="2:2" x14ac:dyDescent="0.25">
      <c r="B2657" t="str">
        <v>360-78: Tile, Coping Double Slant</v>
      </c>
    </row>
    <row r="2658" spans="2:2" x14ac:dyDescent="0.25">
      <c r="B2658" t="str">
        <v>360-79: Tile, Cork</v>
      </c>
    </row>
    <row r="2659" spans="2:2" x14ac:dyDescent="0.25">
      <c r="B2659" t="str">
        <v>360-81: Tile, Parquet</v>
      </c>
    </row>
    <row r="2660" spans="2:2" x14ac:dyDescent="0.25">
      <c r="B2660" t="str">
        <v>360-83: Tile, Rubber</v>
      </c>
    </row>
    <row r="2661" spans="2:2" x14ac:dyDescent="0.25">
      <c r="B2661" t="str">
        <v>360-84: Tile, Stone</v>
      </c>
    </row>
    <row r="2662" spans="2:2" x14ac:dyDescent="0.25">
      <c r="B2662" t="str">
        <v>360-85: Tile, Vinyl</v>
      </c>
    </row>
    <row r="2663" spans="2:2" x14ac:dyDescent="0.25">
      <c r="B2663" t="str">
        <v>360-89: Tools and Equipment, Floor Installation</v>
      </c>
    </row>
    <row r="2664" spans="2:2" x14ac:dyDescent="0.25">
      <c r="B2664" t="str">
        <v>360-90: Turf, Artificial, Indoor and Outdoor</v>
      </c>
    </row>
    <row r="2665" spans="2:2" x14ac:dyDescent="0.25">
      <c r="B2665" t="str">
        <v>365-10: Brushes and Pads, Floor Machine Type</v>
      </c>
    </row>
    <row r="2666" spans="2:2" x14ac:dyDescent="0.25">
      <c r="B2666" t="str">
        <v>365-15: Carpet Cleaning Machines, Foam, Hot Water, Steam, etc., Including Parts and Accessories</v>
      </c>
    </row>
    <row r="2667" spans="2:2" x14ac:dyDescent="0.25">
      <c r="B2667" t="str">
        <v>365-20: Edgers and Sanders, Floor Type, Including Parts and Accessories</v>
      </c>
    </row>
    <row r="2668" spans="2:2" x14ac:dyDescent="0.25">
      <c r="B2668" t="str">
        <v>365-25: Floor Covering Stripping Machines, For Removing Glued Down Floor Covering, Including Parts and Accessories</v>
      </c>
    </row>
    <row r="2669" spans="2:2" x14ac:dyDescent="0.25">
      <c r="B2669" t="str">
        <v>365-30: Polishing and Scrubbing Machines, Commercial Type, Including Parts and Accessories</v>
      </c>
    </row>
    <row r="2670" spans="2:2" x14ac:dyDescent="0.25">
      <c r="B2670" t="str">
        <v>365-50: Power Sweepers and Brooms, Warehouse Type, Not Road and Street, Including Parts and Accessories</v>
      </c>
    </row>
    <row r="2671" spans="2:2" x14ac:dyDescent="0.25">
      <c r="B2671" t="str">
        <v>365-56: Recycled Floor Maintenance Machines, Accessories and Supplies</v>
      </c>
    </row>
    <row r="2672" spans="2:2" x14ac:dyDescent="0.25">
      <c r="B2672" t="str">
        <v>365-60: Scrubbing Machines, With Vacuum Pickup, Including Parts and Accessories</v>
      </c>
    </row>
    <row r="2673" spans="2:2" x14ac:dyDescent="0.25">
      <c r="B2673" t="str">
        <v>365-70: Shampoo and Spray Buffing Machines, Including Parts and Accessories</v>
      </c>
    </row>
    <row r="2674" spans="2:2" x14ac:dyDescent="0.25">
      <c r="B2674" t="str">
        <v>365-80: Vacuum Cleaners, Commercial, Wet or Dry, Including Parts and Accessories</v>
      </c>
    </row>
    <row r="2675" spans="2:2" x14ac:dyDescent="0.25">
      <c r="B2675" t="str">
        <v>370-03: Blanchers, Fruit and Vegetable</v>
      </c>
    </row>
    <row r="2676" spans="2:2" x14ac:dyDescent="0.25">
      <c r="B2676" t="str">
        <v>370-04: Bottles: Wine, Juice, etc.</v>
      </c>
    </row>
    <row r="2677" spans="2:2" x14ac:dyDescent="0.25">
      <c r="B2677" t="str">
        <v>370-05: Reusable Water Bottle (Screw On Top, Flip Top Spout)</v>
      </c>
    </row>
    <row r="2678" spans="2:2" x14ac:dyDescent="0.25">
      <c r="B2678" t="str">
        <v>370-06: Closing and Labeling Machines</v>
      </c>
    </row>
    <row r="2679" spans="2:2" x14ac:dyDescent="0.25">
      <c r="B2679" t="str">
        <v>370-09: Cooker, Canning</v>
      </c>
    </row>
    <row r="2680" spans="2:2" x14ac:dyDescent="0.25">
      <c r="B2680" t="str">
        <v>370-12: Corn Machinery</v>
      </c>
    </row>
    <row r="2681" spans="2:2" x14ac:dyDescent="0.25">
      <c r="B2681" t="str">
        <v>370-14: Crushers, Food</v>
      </c>
    </row>
    <row r="2682" spans="2:2" x14ac:dyDescent="0.25">
      <c r="B2682" t="str">
        <v>370-15: Cutters and Shredders</v>
      </c>
    </row>
    <row r="2683" spans="2:2" x14ac:dyDescent="0.25">
      <c r="B2683" t="str">
        <v>370-16: Dehydrating Equipment, Food, Including Parts and Accessories</v>
      </c>
    </row>
    <row r="2684" spans="2:2" x14ac:dyDescent="0.25">
      <c r="B2684" t="str">
        <v>370-17: Drying Equipment, Freeze</v>
      </c>
    </row>
    <row r="2685" spans="2:2" x14ac:dyDescent="0.25">
      <c r="B2685" t="str">
        <v>370-18: Elevators, Continuous Bucket Type</v>
      </c>
    </row>
    <row r="2686" spans="2:2" x14ac:dyDescent="0.25">
      <c r="B2686" t="str">
        <v>370-21: Filling Machine</v>
      </c>
    </row>
    <row r="2687" spans="2:2" x14ac:dyDescent="0.25">
      <c r="B2687" t="str">
        <v>370-22: Food Conveyer Dryer and Cooler</v>
      </c>
    </row>
    <row r="2688" spans="2:2" x14ac:dyDescent="0.25">
      <c r="B2688" t="str">
        <v>370-23: Grease, USDA Approved for Food Processing</v>
      </c>
    </row>
    <row r="2689" spans="2:2" x14ac:dyDescent="0.25">
      <c r="B2689" t="str">
        <v>370-24: Hullers, Pea and Bean</v>
      </c>
    </row>
    <row r="2690" spans="2:2" x14ac:dyDescent="0.25">
      <c r="B2690" t="str">
        <v>370-25: Jars and Lids</v>
      </c>
    </row>
    <row r="2691" spans="2:2" x14ac:dyDescent="0.25">
      <c r="B2691" t="str">
        <v>370-26: Jars, Glass; and Lids</v>
      </c>
    </row>
    <row r="2692" spans="2:2" x14ac:dyDescent="0.25">
      <c r="B2692" t="str">
        <v>370-27: Juice Extractor</v>
      </c>
    </row>
    <row r="2693" spans="2:2" x14ac:dyDescent="0.25">
      <c r="B2693" t="str">
        <v>370-30: Juice Heating Equipment</v>
      </c>
    </row>
    <row r="2694" spans="2:2" x14ac:dyDescent="0.25">
      <c r="B2694" t="str">
        <v>370-33: Kettle, Heavy Duty</v>
      </c>
    </row>
    <row r="2695" spans="2:2" x14ac:dyDescent="0.25">
      <c r="B2695" t="str">
        <v>370-34: Milling Machines, Food</v>
      </c>
    </row>
    <row r="2696" spans="2:2" x14ac:dyDescent="0.25">
      <c r="B2696" t="str">
        <v>370-35: Oil, USDA Approved for Food Processing</v>
      </c>
    </row>
    <row r="2697" spans="2:2" x14ac:dyDescent="0.25">
      <c r="B2697" t="str">
        <v>370-36: Peelers, Slicers, and Dicers</v>
      </c>
    </row>
    <row r="2698" spans="2:2" x14ac:dyDescent="0.25">
      <c r="B2698" t="str">
        <v>370-38: Processing and Canning Equipment and Supplies, Food</v>
      </c>
    </row>
    <row r="2699" spans="2:2" x14ac:dyDescent="0.25">
      <c r="B2699" t="str">
        <v>370-39: Pulper</v>
      </c>
    </row>
    <row r="2700" spans="2:2" x14ac:dyDescent="0.25">
      <c r="B2700" t="str">
        <v>370-40: Pump, Stainless Steel,  For Wine Must, Juice or Pulp</v>
      </c>
    </row>
    <row r="2701" spans="2:2" x14ac:dyDescent="0.25">
      <c r="B2701" t="str">
        <v>370-41: Refurbished Food Processing and Canning Equipment and Supplies</v>
      </c>
    </row>
    <row r="2702" spans="2:2" x14ac:dyDescent="0.25">
      <c r="B2702" t="str">
        <v>370-42: Scalder</v>
      </c>
    </row>
    <row r="2703" spans="2:2" x14ac:dyDescent="0.25">
      <c r="B2703" t="str">
        <v>370-45: Sealer, Canning</v>
      </c>
    </row>
    <row r="2704" spans="2:2" x14ac:dyDescent="0.25">
      <c r="B2704" t="str">
        <v>370-46: Seed Extractors</v>
      </c>
    </row>
    <row r="2705" spans="2:2" x14ac:dyDescent="0.25">
      <c r="B2705" t="str">
        <v>370-48: Sorters: Seed, Grain, Dried Vegetables, etc.</v>
      </c>
    </row>
    <row r="2706" spans="2:2" x14ac:dyDescent="0.25">
      <c r="B2706" t="str">
        <v>370-51: Spice Bucket</v>
      </c>
    </row>
    <row r="2707" spans="2:2" x14ac:dyDescent="0.25">
      <c r="B2707" t="str">
        <v>370-54: Table, Grading</v>
      </c>
    </row>
    <row r="2708" spans="2:2" x14ac:dyDescent="0.25">
      <c r="B2708" t="str">
        <v>370-57: Table, Peeling</v>
      </c>
    </row>
    <row r="2709" spans="2:2" x14ac:dyDescent="0.25">
      <c r="B2709" t="str">
        <v>370-60: Table, Picking</v>
      </c>
    </row>
    <row r="2710" spans="2:2" x14ac:dyDescent="0.25">
      <c r="B2710" t="str">
        <v>370-63: Table, Sorting</v>
      </c>
    </row>
    <row r="2711" spans="2:2" x14ac:dyDescent="0.25">
      <c r="B2711" t="str">
        <v>370-65: Thermometers, Industrial, Including Recording Thermometers</v>
      </c>
    </row>
    <row r="2712" spans="2:2" x14ac:dyDescent="0.25">
      <c r="B2712" t="str">
        <v>370-66: Tin Cans and Lids, All Types</v>
      </c>
    </row>
    <row r="2713" spans="2:2" x14ac:dyDescent="0.25">
      <c r="B2713" t="str">
        <v>370-67: Tinning Equipment</v>
      </c>
    </row>
    <row r="2714" spans="2:2" x14ac:dyDescent="0.25">
      <c r="B2714" t="str">
        <v>370-69: Vacuum Pan</v>
      </c>
    </row>
    <row r="2715" spans="2:2" x14ac:dyDescent="0.25">
      <c r="B2715" t="str">
        <v>370-72: Vacuum Still</v>
      </c>
    </row>
    <row r="2716" spans="2:2" x14ac:dyDescent="0.25">
      <c r="B2716" t="str">
        <v>370-75: Washing Machine, Fruit and Vegetable</v>
      </c>
    </row>
    <row r="2717" spans="2:2" x14ac:dyDescent="0.25">
      <c r="B2717" t="str">
        <v>370-76: Washer, Can and Tins</v>
      </c>
    </row>
    <row r="2718" spans="2:2" x14ac:dyDescent="0.25">
      <c r="B2718" t="str">
        <v>375-15: Bread, Rolls, etc., Including Brown and Serve Items</v>
      </c>
    </row>
    <row r="2719" spans="2:2" x14ac:dyDescent="0.25">
      <c r="B2719" t="str">
        <v>375-30: Cakes, Cookies, and Pastries</v>
      </c>
    </row>
    <row r="2720" spans="2:2" x14ac:dyDescent="0.25">
      <c r="B2720" t="str">
        <v>375-45: Doughnuts, Fried Pies, Bagels, etc.</v>
      </c>
    </row>
    <row r="2721" spans="2:2" x14ac:dyDescent="0.25">
      <c r="B2721" t="str">
        <v>375-50: Pastry Shells</v>
      </c>
    </row>
    <row r="2722" spans="2:2" x14ac:dyDescent="0.25">
      <c r="B2722" t="str">
        <v>375-52: Pies</v>
      </c>
    </row>
    <row r="2723" spans="2:2" x14ac:dyDescent="0.25">
      <c r="B2723" t="str">
        <v>375-54: Pizzas</v>
      </c>
    </row>
    <row r="2724" spans="2:2" x14ac:dyDescent="0.25">
      <c r="B2724" t="str">
        <v>375-60: Taco Shells and Tortillas</v>
      </c>
    </row>
    <row r="2725" spans="2:2" x14ac:dyDescent="0.25">
      <c r="B2725" t="str">
        <v>380-10: Butter, (See 390-56 for Margarine)</v>
      </c>
    </row>
    <row r="2726" spans="2:2" x14ac:dyDescent="0.25">
      <c r="B2726" t="str">
        <v>380-15: Cottage Cheese</v>
      </c>
    </row>
    <row r="2727" spans="2:2" x14ac:dyDescent="0.25">
      <c r="B2727" t="str">
        <v>380-30: Cream, All Types (Including Sour Cream)</v>
      </c>
    </row>
    <row r="2728" spans="2:2" x14ac:dyDescent="0.25">
      <c r="B2728" t="str">
        <v>380-33: Desserts, Milk Based (Not Otherwise Classified)</v>
      </c>
    </row>
    <row r="2729" spans="2:2" x14ac:dyDescent="0.25">
      <c r="B2729" t="str">
        <v>380-35: Eggnog and Mix</v>
      </c>
    </row>
    <row r="2730" spans="2:2" x14ac:dyDescent="0.25">
      <c r="B2730" t="str">
        <v>380-45: Ice Cream</v>
      </c>
    </row>
    <row r="2731" spans="2:2" x14ac:dyDescent="0.25">
      <c r="B2731" t="str">
        <v>380-50: Ice Milk and Mellorine</v>
      </c>
    </row>
    <row r="2732" spans="2:2" x14ac:dyDescent="0.25">
      <c r="B2732" t="str">
        <v>380-60: Mellorine</v>
      </c>
    </row>
    <row r="2733" spans="2:2" x14ac:dyDescent="0.25">
      <c r="B2733" t="str">
        <v>380-75: Milk, All Types</v>
      </c>
    </row>
    <row r="2734" spans="2:2" x14ac:dyDescent="0.25">
      <c r="B2734" t="str">
        <v>380-80: Sherbet</v>
      </c>
    </row>
    <row r="2735" spans="2:2" x14ac:dyDescent="0.25">
      <c r="B2735" t="str">
        <v>380-85: Toppings, Whipped, Refrigerated</v>
      </c>
    </row>
    <row r="2736" spans="2:2" x14ac:dyDescent="0.25">
      <c r="B2736" t="str">
        <v>380-90: Yogurt</v>
      </c>
    </row>
    <row r="2737" spans="2:2" x14ac:dyDescent="0.25">
      <c r="B2737" t="str">
        <v>385-06: Bread, Biscuits, Bagels, etc.</v>
      </c>
    </row>
    <row r="2738" spans="2:2" x14ac:dyDescent="0.25">
      <c r="B2738" t="str">
        <v>385-12: Cakes, Cookies, Dough, Pastries, etc.</v>
      </c>
    </row>
    <row r="2739" spans="2:2" x14ac:dyDescent="0.25">
      <c r="B2739" t="str">
        <v>385-14: Coffee</v>
      </c>
    </row>
    <row r="2740" spans="2:2" x14ac:dyDescent="0.25">
      <c r="B2740" t="str">
        <v>385-17: Dairy Products, Frozen (Not Otherwise Classified)</v>
      </c>
    </row>
    <row r="2741" spans="2:2" x14ac:dyDescent="0.25">
      <c r="B2741" t="str">
        <v>385-18: Desserts, Except Cake and Pastry</v>
      </c>
    </row>
    <row r="2742" spans="2:2" x14ac:dyDescent="0.25">
      <c r="B2742" t="str">
        <v>385-30: Eggs and Egg Mixes</v>
      </c>
    </row>
    <row r="2743" spans="2:2" x14ac:dyDescent="0.25">
      <c r="B2743" t="str">
        <v>385-31: Eggs and Egg Mixes, Freeze Dried</v>
      </c>
    </row>
    <row r="2744" spans="2:2" x14ac:dyDescent="0.25">
      <c r="B2744" t="str">
        <v>385-41: Entrees, Freeze Dried: Meat, Poultry and Seafood</v>
      </c>
    </row>
    <row r="2745" spans="2:2" x14ac:dyDescent="0.25">
      <c r="B2745" t="str">
        <v>385-42: Entrees, Meat, Including Beef and Pork</v>
      </c>
    </row>
    <row r="2746" spans="2:2" x14ac:dyDescent="0.25">
      <c r="B2746" t="str">
        <v>385-44: Entrees, Poultry</v>
      </c>
    </row>
    <row r="2747" spans="2:2" x14ac:dyDescent="0.25">
      <c r="B2747" t="str">
        <v>385-46: Entrees, Seafood</v>
      </c>
    </row>
    <row r="2748" spans="2:2" x14ac:dyDescent="0.25">
      <c r="B2748" t="str">
        <v>385-47: Entrees, Specialty, Including Corn Dogs, Lasagna, Macaroni/Cheese, Mexican Food, Pasta, etc.</v>
      </c>
    </row>
    <row r="2749" spans="2:2" x14ac:dyDescent="0.25">
      <c r="B2749" t="str">
        <v>385-48: Fruits, Frozen</v>
      </c>
    </row>
    <row r="2750" spans="2:2" x14ac:dyDescent="0.25">
      <c r="B2750" t="str">
        <v>385-49: Fruits, Frozen: Organic and Non GMO (Genetically Modified Organism)</v>
      </c>
    </row>
    <row r="2751" spans="2:2" x14ac:dyDescent="0.25">
      <c r="B2751" t="str">
        <v>385-54: Juices</v>
      </c>
    </row>
    <row r="2752" spans="2:2" x14ac:dyDescent="0.25">
      <c r="B2752" t="str">
        <v>385-55: Meat and Poultry Products, Processed and Minimally Processed, Organic and Non GMO</v>
      </c>
    </row>
    <row r="2753" spans="2:2" x14ac:dyDescent="0.25">
      <c r="B2753" t="str">
        <v>385-56: Pancakes, Waffles and French Toast</v>
      </c>
    </row>
    <row r="2754" spans="2:2" x14ac:dyDescent="0.25">
      <c r="B2754" t="str">
        <v>385-57: Pizzas</v>
      </c>
    </row>
    <row r="2755" spans="2:2" x14ac:dyDescent="0.25">
      <c r="B2755" t="str">
        <v>385-58: Pretzels, Soft Frozen</v>
      </c>
    </row>
    <row r="2756" spans="2:2" x14ac:dyDescent="0.25">
      <c r="B2756" t="str">
        <v>385-64: Salad Mixes, Frozen</v>
      </c>
    </row>
    <row r="2757" spans="2:2" x14ac:dyDescent="0.25">
      <c r="B2757" t="str">
        <v>385-65: Sandwiches, Ready-Made</v>
      </c>
    </row>
    <row r="2758" spans="2:2" x14ac:dyDescent="0.25">
      <c r="B2758" t="str">
        <v>385-66: Seafood, Freeze Dried, Not Entrees)</v>
      </c>
    </row>
    <row r="2759" spans="2:2" x14ac:dyDescent="0.25">
      <c r="B2759" t="str">
        <v>385-67: Seafood, Frozen, Not Entrees</v>
      </c>
    </row>
    <row r="2760" spans="2:2" x14ac:dyDescent="0.25">
      <c r="B2760" t="str">
        <v>385-68: Seafood, Wild and Farm Raised, Fish and Shellfish</v>
      </c>
    </row>
    <row r="2761" spans="2:2" x14ac:dyDescent="0.25">
      <c r="B2761" t="str">
        <v>385-80: Shakes, Frozen</v>
      </c>
    </row>
    <row r="2762" spans="2:2" x14ac:dyDescent="0.25">
      <c r="B2762" t="str">
        <v>385-84: Soups and Sauces, Frozen</v>
      </c>
    </row>
    <row r="2763" spans="2:2" x14ac:dyDescent="0.25">
      <c r="B2763" t="str">
        <v>385-85: Spices, Herbs, Seasonings, Starches, Including Seasoned Salt and Pepper, Frozen</v>
      </c>
    </row>
    <row r="2764" spans="2:2" x14ac:dyDescent="0.25">
      <c r="B2764" t="str">
        <v>385-95: Vegetables, Freeze Dried</v>
      </c>
    </row>
    <row r="2765" spans="2:2" x14ac:dyDescent="0.25">
      <c r="B2765" t="str">
        <v>385-96: Vegetables, Frozen</v>
      </c>
    </row>
    <row r="2766" spans="2:2" x14ac:dyDescent="0.25">
      <c r="B2766" t="str">
        <v>385-97: Vegetables, Frozen: Organic and Non GMO (Genetically Modified Organism)</v>
      </c>
    </row>
    <row r="2767" spans="2:2" x14ac:dyDescent="0.25">
      <c r="B2767" t="str">
        <v>390-02: Aquatic Invertebrates, Octopus, Squid, Anemones, Sea Cucumbers</v>
      </c>
    </row>
    <row r="2768" spans="2:2" x14ac:dyDescent="0.25">
      <c r="B2768" t="str">
        <v>390-03: Bread, Refrigerated Dough</v>
      </c>
    </row>
    <row r="2769" spans="2:2" x14ac:dyDescent="0.25">
      <c r="B2769" t="str">
        <v>390-05: Casings, Meat, All Types</v>
      </c>
    </row>
    <row r="2770" spans="2:2" x14ac:dyDescent="0.25">
      <c r="B2770" t="str">
        <v>390-07: Cheese</v>
      </c>
    </row>
    <row r="2771" spans="2:2" x14ac:dyDescent="0.25">
      <c r="B2771" t="str">
        <v>390-15: Dips, Food</v>
      </c>
    </row>
    <row r="2772" spans="2:2" x14ac:dyDescent="0.25">
      <c r="B2772" t="str">
        <v>390-21: Eggs, Fresh</v>
      </c>
    </row>
    <row r="2773" spans="2:2" x14ac:dyDescent="0.25">
      <c r="B2773" t="str">
        <v>390-28: Fruits, Fresh</v>
      </c>
    </row>
    <row r="2774" spans="2:2" x14ac:dyDescent="0.25">
      <c r="B2774" t="str">
        <v>390-29: Fruits, Fresh, Organic and Non GMO (Genetically Modified Organism)</v>
      </c>
    </row>
    <row r="2775" spans="2:2" x14ac:dyDescent="0.25">
      <c r="B2775" t="str">
        <v>390-33: Hors d'oeuvres, Meat Trays, Vegetable Trays, Dessert Trays, etc. For Meetings and Parties</v>
      </c>
    </row>
    <row r="2776" spans="2:2" x14ac:dyDescent="0.25">
      <c r="B2776" t="str">
        <v>390-35: Ice</v>
      </c>
    </row>
    <row r="2777" spans="2:2" x14ac:dyDescent="0.25">
      <c r="B2777" t="str">
        <v>390-42: Ice, Dry</v>
      </c>
    </row>
    <row r="2778" spans="2:2" x14ac:dyDescent="0.25">
      <c r="B2778" t="str">
        <v>390-49: Meat: Cured, Fresh, and Frozen</v>
      </c>
    </row>
    <row r="2779" spans="2:2" x14ac:dyDescent="0.25">
      <c r="B2779" t="str">
        <v>390-56: Margarine (See 380-10 for Butter)</v>
      </c>
    </row>
    <row r="2780" spans="2:2" x14ac:dyDescent="0.25">
      <c r="B2780" t="str">
        <v>390-63: Poultry, Dressed</v>
      </c>
    </row>
    <row r="2781" spans="2:2" x14ac:dyDescent="0.25">
      <c r="B2781" t="str">
        <v>390-68: Salad Mix, Fresh</v>
      </c>
    </row>
    <row r="2782" spans="2:2" x14ac:dyDescent="0.25">
      <c r="B2782" t="str">
        <v>390-69: Salted or Smoked Foods, Fruit, Meat, Seafood, Nuts, etc.</v>
      </c>
    </row>
    <row r="2783" spans="2:2" x14ac:dyDescent="0.25">
      <c r="B2783" t="str">
        <v>390-70: Seafood, Fresh</v>
      </c>
    </row>
    <row r="2784" spans="2:2" x14ac:dyDescent="0.25">
      <c r="B2784" t="str">
        <v>390-71: Sandwiches, Ready Made, Deli, Fresh</v>
      </c>
    </row>
    <row r="2785" spans="2:2" x14ac:dyDescent="0.25">
      <c r="B2785" t="str">
        <v>390-72: Shellfish, Fresh</v>
      </c>
    </row>
    <row r="2786" spans="2:2" x14ac:dyDescent="0.25">
      <c r="B2786" t="str">
        <v>390-75: Shortening, Except Vegetable and Lard</v>
      </c>
    </row>
    <row r="2787" spans="2:2" x14ac:dyDescent="0.25">
      <c r="B2787" t="str">
        <v>390-77: Tamales, Fresh</v>
      </c>
    </row>
    <row r="2788" spans="2:2" x14ac:dyDescent="0.25">
      <c r="B2788" t="str">
        <v>390-84: Vegetables, Fresh</v>
      </c>
    </row>
    <row r="2789" spans="2:2" x14ac:dyDescent="0.25">
      <c r="B2789" t="str">
        <v>390-85: Vegetables, Fresh, Organic and Non GMO (Genetically Modified Organism)</v>
      </c>
    </row>
    <row r="2790" spans="2:2" x14ac:dyDescent="0.25">
      <c r="B2790" t="str">
        <v>390-91: Water, Bottled, Drinking, Including  Distilled, Mineral, Sparkling and Spring</v>
      </c>
    </row>
    <row r="2791" spans="2:2" x14ac:dyDescent="0.25">
      <c r="B2791" t="str">
        <v>393-03: Breading</v>
      </c>
    </row>
    <row r="2792" spans="2:2" x14ac:dyDescent="0.25">
      <c r="B2792" t="str">
        <v>393-04: Bread Mixes, All Types</v>
      </c>
    </row>
    <row r="2793" spans="2:2" x14ac:dyDescent="0.25">
      <c r="B2793" t="str">
        <v>393-05: Cones, Ice Cream</v>
      </c>
    </row>
    <row r="2794" spans="2:2" x14ac:dyDescent="0.25">
      <c r="B2794" t="str">
        <v>393-06: Combination Meals and Entrees, Shelf Stable, Including Ready to Eat Prepared Meals (MRE)</v>
      </c>
    </row>
    <row r="2795" spans="2:2" x14ac:dyDescent="0.25">
      <c r="B2795" t="str">
        <v>393-07: Combination Food Gift Packs</v>
      </c>
    </row>
    <row r="2796" spans="2:2" x14ac:dyDescent="0.25">
      <c r="B2796" t="str">
        <v>393-10: Chips, All Types</v>
      </c>
    </row>
    <row r="2797" spans="2:2" x14ac:dyDescent="0.25">
      <c r="B2797" t="str">
        <v>393-30: Beverages, Thirst Quenching, With Electrolyte</v>
      </c>
    </row>
    <row r="2798" spans="2:2" x14ac:dyDescent="0.25">
      <c r="B2798" t="str">
        <v>393-31: Baby Food</v>
      </c>
    </row>
    <row r="2799" spans="2:2" x14ac:dyDescent="0.25">
      <c r="B2799" t="str">
        <v>393-32: Baking Powder and Baking Soda</v>
      </c>
    </row>
    <row r="2800" spans="2:2" x14ac:dyDescent="0.25">
      <c r="B2800" t="str">
        <v>393-33: Beverage Base, Not Fountain</v>
      </c>
    </row>
    <row r="2801" spans="2:2" x14ac:dyDescent="0.25">
      <c r="B2801" t="str">
        <v>393-34: Candy, Confectionery and Marshmallows, Including After Dinner Mints or Savories</v>
      </c>
    </row>
    <row r="2802" spans="2:2" x14ac:dyDescent="0.25">
      <c r="B2802" t="str">
        <v>393-35: Cereals, Ready-to-Eat</v>
      </c>
    </row>
    <row r="2803" spans="2:2" x14ac:dyDescent="0.25">
      <c r="B2803" t="str">
        <v>393-36: Cereals, Uncooked</v>
      </c>
    </row>
    <row r="2804" spans="2:2" x14ac:dyDescent="0.25">
      <c r="B2804" t="str">
        <v>393-37: Cocoa and Chocolate</v>
      </c>
    </row>
    <row r="2805" spans="2:2" x14ac:dyDescent="0.25">
      <c r="B2805" t="str">
        <v>393-38: Coconut</v>
      </c>
    </row>
    <row r="2806" spans="2:2" x14ac:dyDescent="0.25">
      <c r="B2806" t="str">
        <v>393-39: Coffee Extender</v>
      </c>
    </row>
    <row r="2807" spans="2:2" x14ac:dyDescent="0.25">
      <c r="B2807" t="str">
        <v>393-40: Coffee, Instant, Regular and Decaffeinated</v>
      </c>
    </row>
    <row r="2808" spans="2:2" x14ac:dyDescent="0.25">
      <c r="B2808" t="str">
        <v>393-41: Coffee, Whole Bean and Ground</v>
      </c>
    </row>
    <row r="2809" spans="2:2" x14ac:dyDescent="0.25">
      <c r="B2809" t="str">
        <v>393-42: Cornstarch, Cooking</v>
      </c>
    </row>
    <row r="2810" spans="2:2" x14ac:dyDescent="0.25">
      <c r="B2810" t="str">
        <v>393-43: Crackers and Cookies, Packaged</v>
      </c>
    </row>
    <row r="2811" spans="2:2" x14ac:dyDescent="0.25">
      <c r="B2811" t="str">
        <v>393-44: Creamer, Cream Substitutes and Other Non-Dairy Items</v>
      </c>
    </row>
    <row r="2812" spans="2:2" x14ac:dyDescent="0.25">
      <c r="B2812" t="str">
        <v>393-45: Curing Compounds, Meat</v>
      </c>
    </row>
    <row r="2813" spans="2:2" x14ac:dyDescent="0.25">
      <c r="B2813" t="str">
        <v>393-46: Desserts: Packaged, Canned, and Mixes, Including Cake Mixes, Gelatins, Icings, Pie Fillings, etc.)</v>
      </c>
    </row>
    <row r="2814" spans="2:2" x14ac:dyDescent="0.25">
      <c r="B2814" t="str">
        <v>393-47: Diet Foods, All Types (See Class 271-28)</v>
      </c>
    </row>
    <row r="2815" spans="2:2" x14ac:dyDescent="0.25">
      <c r="B2815" t="str">
        <v>393-48: Dressings, Condiments, Sauces, and Gravies</v>
      </c>
    </row>
    <row r="2816" spans="2:2" x14ac:dyDescent="0.25">
      <c r="B2816" t="str">
        <v>393-49: Eggs and Meringue, Powdered</v>
      </c>
    </row>
    <row r="2817" spans="2:2" x14ac:dyDescent="0.25">
      <c r="B2817" t="str">
        <v>393-50: Extracts, Flavoring, and Food Coloring</v>
      </c>
    </row>
    <row r="2818" spans="2:2" x14ac:dyDescent="0.25">
      <c r="B2818" t="str">
        <v>393-51: Flour and Flour Binder</v>
      </c>
    </row>
    <row r="2819" spans="2:2" x14ac:dyDescent="0.25">
      <c r="B2819" t="str">
        <v>393-52: Flour, Binder</v>
      </c>
    </row>
    <row r="2820" spans="2:2" x14ac:dyDescent="0.25">
      <c r="B2820" t="str">
        <v>393-53: Fruits, Vegetables, and Full Meal Entrees, Dehydrated</v>
      </c>
    </row>
    <row r="2821" spans="2:2" x14ac:dyDescent="0.25">
      <c r="B2821" t="str">
        <v>393-54: Fruits, Canned, Processed and Preserved, Including Fruit Sauces and Puree and Non GMO</v>
      </c>
    </row>
    <row r="2822" spans="2:2" x14ac:dyDescent="0.25">
      <c r="B2822" t="str">
        <v>393-55: Fruits, Dried</v>
      </c>
    </row>
    <row r="2823" spans="2:2" x14ac:dyDescent="0.25">
      <c r="B2823" t="str">
        <v>393-56: Grocers' Items: Cake Decorations, Candles, Canned Fuel, Food Preservatives, Matches, Meal Kits, Toothpicks, Meal Preparation Items, etc.</v>
      </c>
    </row>
    <row r="2824" spans="2:2" x14ac:dyDescent="0.25">
      <c r="B2824" t="str">
        <v>393-57: Honey</v>
      </c>
    </row>
    <row r="2825" spans="2:2" x14ac:dyDescent="0.25">
      <c r="B2825" t="str">
        <v>393-58: Ice Cream Mix, Emulsifiers, Stabilizers, and Toppings</v>
      </c>
    </row>
    <row r="2826" spans="2:2" x14ac:dyDescent="0.25">
      <c r="B2826" t="str">
        <v>393-59: Jams, Jellies, and Preserves</v>
      </c>
    </row>
    <row r="2827" spans="2:2" x14ac:dyDescent="0.25">
      <c r="B2827" t="str">
        <v>393-60: Juices, Fruit and Vegetable, Not Frozen</v>
      </c>
    </row>
    <row r="2828" spans="2:2" x14ac:dyDescent="0.25">
      <c r="B2828" t="str">
        <v>393-61: Pasta, Including Macaroni, Noodles, and Spaghetti</v>
      </c>
    </row>
    <row r="2829" spans="2:2" x14ac:dyDescent="0.25">
      <c r="B2829" t="str">
        <v>393-62: Meal, Corn</v>
      </c>
    </row>
    <row r="2830" spans="2:2" x14ac:dyDescent="0.25">
      <c r="B2830" t="str">
        <v>393-63: Meat and Meat Products, Canned, Including Meat Substitutes</v>
      </c>
    </row>
    <row r="2831" spans="2:2" x14ac:dyDescent="0.25">
      <c r="B2831" t="str">
        <v>393-64: Milk, Evaporated and Condensed</v>
      </c>
    </row>
    <row r="2832" spans="2:2" x14ac:dyDescent="0.25">
      <c r="B2832" t="str">
        <v>393-65: Milk, Powdered</v>
      </c>
    </row>
    <row r="2833" spans="2:2" x14ac:dyDescent="0.25">
      <c r="B2833" t="str">
        <v>393-66: Mincemeat</v>
      </c>
    </row>
    <row r="2834" spans="2:2" x14ac:dyDescent="0.25">
      <c r="B2834" t="str">
        <v>393-67: Nuts, Edible, Including Sunflower Seeds</v>
      </c>
    </row>
    <row r="2835" spans="2:2" x14ac:dyDescent="0.25">
      <c r="B2835" t="str">
        <v>393-68: Peanut Butter and Other Nut Butter</v>
      </c>
    </row>
    <row r="2836" spans="2:2" x14ac:dyDescent="0.25">
      <c r="B2836" t="str">
        <v>393-69: Pickles, Relishes, and Olives, Including Pickled Foods</v>
      </c>
    </row>
    <row r="2837" spans="2:2" x14ac:dyDescent="0.25">
      <c r="B2837" t="str">
        <v>393-70: Protein Food Supplement</v>
      </c>
    </row>
    <row r="2838" spans="2:2" x14ac:dyDescent="0.25">
      <c r="B2838" t="str">
        <v>393-71: Popcorn</v>
      </c>
    </row>
    <row r="2839" spans="2:2" x14ac:dyDescent="0.25">
      <c r="B2839" t="str">
        <v>393-72: Rice</v>
      </c>
    </row>
    <row r="2840" spans="2:2" x14ac:dyDescent="0.25">
      <c r="B2840" t="str">
        <v>393-73: Salt, Table</v>
      </c>
    </row>
    <row r="2841" spans="2:2" x14ac:dyDescent="0.25">
      <c r="B2841" t="str">
        <v>393-74: Seafood, Canned</v>
      </c>
    </row>
    <row r="2842" spans="2:2" x14ac:dyDescent="0.25">
      <c r="B2842" t="str">
        <v>393-75: Shortening and Oil, Vegetable, Cooking Oil, Including Shortening Filter Powder</v>
      </c>
    </row>
    <row r="2843" spans="2:2" x14ac:dyDescent="0.25">
      <c r="B2843" t="str">
        <v>393-76: Soda, Baking</v>
      </c>
    </row>
    <row r="2844" spans="2:2" x14ac:dyDescent="0.25">
      <c r="B2844" t="str">
        <v>393-77: Soft Drinks</v>
      </c>
    </row>
    <row r="2845" spans="2:2" x14ac:dyDescent="0.25">
      <c r="B2845" t="str">
        <v>393-78: Soup, Soup Base, and Entree Mixes, Canned and Dehydrated  (Incl. Bouillon)</v>
      </c>
    </row>
    <row r="2846" spans="2:2" x14ac:dyDescent="0.25">
      <c r="B2846" t="str">
        <v>393-79: Soy Products: Extender, Flour, Grits, Meatless Products, Milk, etc.</v>
      </c>
    </row>
    <row r="2847" spans="2:2" x14ac:dyDescent="0.25">
      <c r="B2847" t="str">
        <v>393-80: Spices, Herbs, Seasonings, Starches, Including Seasoned Salt and Pepper</v>
      </c>
    </row>
    <row r="2848" spans="2:2" x14ac:dyDescent="0.25">
      <c r="B2848" t="str">
        <v>393-81: Sugar and Sweeteners</v>
      </c>
    </row>
    <row r="2849" spans="2:2" x14ac:dyDescent="0.25">
      <c r="B2849" t="str">
        <v>393-82: Syrups and Molasses, Except Fountain</v>
      </c>
    </row>
    <row r="2850" spans="2:2" x14ac:dyDescent="0.25">
      <c r="B2850" t="str">
        <v>393-83: Syrups, Fountain</v>
      </c>
    </row>
    <row r="2851" spans="2:2" x14ac:dyDescent="0.25">
      <c r="B2851" t="str">
        <v>393-84: Tea (Not Instant)</v>
      </c>
    </row>
    <row r="2852" spans="2:2" x14ac:dyDescent="0.25">
      <c r="B2852" t="str">
        <v>393-85: Tea, Instant</v>
      </c>
    </row>
    <row r="2853" spans="2:2" x14ac:dyDescent="0.25">
      <c r="B2853" t="str">
        <v>393-86: Vegetables, Canned, Processed and Preserved, Including Canned Salads, Sauces and Puree</v>
      </c>
    </row>
    <row r="2854" spans="2:2" x14ac:dyDescent="0.25">
      <c r="B2854" t="str">
        <v>393-87: Vegetables, Dried, Beans, Peas, etc.</v>
      </c>
    </row>
    <row r="2855" spans="2:2" x14ac:dyDescent="0.25">
      <c r="B2855" t="str">
        <v>393-88: Vinegar</v>
      </c>
    </row>
    <row r="2856" spans="2:2" x14ac:dyDescent="0.25">
      <c r="B2856" t="str">
        <v>393-89: Wheat Germ</v>
      </c>
    </row>
    <row r="2857" spans="2:2" x14ac:dyDescent="0.25">
      <c r="B2857" t="str">
        <v>393-90: Yeast</v>
      </c>
    </row>
    <row r="2858" spans="2:2" x14ac:dyDescent="0.25">
      <c r="B2858" t="str">
        <v>393-93: Sanitizer, Liquid, (For Elimination of Bacteria, Viruses and Fungi Caused by Contact With Food</v>
      </c>
    </row>
    <row r="2859" spans="2:2" x14ac:dyDescent="0.25">
      <c r="B2859" t="str">
        <v>393-95: Recycled Grocer's Miscellaneous Products</v>
      </c>
    </row>
    <row r="2860" spans="2:2" x14ac:dyDescent="0.25">
      <c r="B2860" t="str">
        <v>393-97: Food Products, Scrap or Waste</v>
      </c>
    </row>
    <row r="2861" spans="2:2" x14ac:dyDescent="0.25">
      <c r="B2861" t="str">
        <v>395-15: Binders and Documentation Folders For Continuous Forms, Including Self-Mailers</v>
      </c>
    </row>
    <row r="2862" spans="2:2" x14ac:dyDescent="0.25">
      <c r="B2862" t="str">
        <v>395-25: Continuous Form Labels, Pressure Sensitive, Custom</v>
      </c>
    </row>
    <row r="2863" spans="2:2" x14ac:dyDescent="0.25">
      <c r="B2863" t="str">
        <v>395-27: Continuous Form Labels, Pressure Sensitive, Stock</v>
      </c>
    </row>
    <row r="2864" spans="2:2" x14ac:dyDescent="0.25">
      <c r="B2864" t="str">
        <v>395-29: Continuous Forms, Carbon Interleaved</v>
      </c>
    </row>
    <row r="2865" spans="2:2" x14ac:dyDescent="0.25">
      <c r="B2865" t="str">
        <v>395-30: Continuous Forms, Custom</v>
      </c>
    </row>
    <row r="2866" spans="2:2" x14ac:dyDescent="0.25">
      <c r="B2866" t="str">
        <v>395-40: Continuous Forms, Carbonless Paper, Chemical Transfer</v>
      </c>
    </row>
    <row r="2867" spans="2:2" x14ac:dyDescent="0.25">
      <c r="B2867" t="str">
        <v>395-50: Continuous Forms (Computer Paper), Stock (Including Blank, Ruled, and Tinted Types -See Class 525 for Library Stock Continuous Forms)</v>
      </c>
    </row>
    <row r="2868" spans="2:2" x14ac:dyDescent="0.25">
      <c r="B2868" t="str">
        <v>395-51: Recycled Computer Paper, Continuous Forms, Form Labels, Snap-Out Forms, Binders, Folders, etc.</v>
      </c>
    </row>
    <row r="2869" spans="2:2" x14ac:dyDescent="0.25">
      <c r="B2869" t="str">
        <v>395-70: Snap-Out Forms, Carbon Interleaved</v>
      </c>
    </row>
    <row r="2870" spans="2:2" x14ac:dyDescent="0.25">
      <c r="B2870" t="str">
        <v>395-80: Snap-Out Forms, Carbonless Paper (Chemical Transfer)</v>
      </c>
    </row>
    <row r="2871" spans="2:2" x14ac:dyDescent="0.25">
      <c r="B2871" t="str">
        <v>395-81: Snap-Out Forms, Tab Card Set</v>
      </c>
    </row>
    <row r="2872" spans="2:2" x14ac:dyDescent="0.25">
      <c r="B2872" t="str">
        <v>400-15: Castings, Aluminum</v>
      </c>
    </row>
    <row r="2873" spans="2:2" x14ac:dyDescent="0.25">
      <c r="B2873" t="str">
        <v>400-23: Castings, Beryllium</v>
      </c>
    </row>
    <row r="2874" spans="2:2" x14ac:dyDescent="0.25">
      <c r="B2874" t="str">
        <v>400-25: Castings, Brass and Bronze</v>
      </c>
    </row>
    <row r="2875" spans="2:2" x14ac:dyDescent="0.25">
      <c r="B2875" t="str">
        <v>400-28: Castings, Copper</v>
      </c>
    </row>
    <row r="2876" spans="2:2" x14ac:dyDescent="0.25">
      <c r="B2876" t="str">
        <v>400-33: Castings, Ductile Iron</v>
      </c>
    </row>
    <row r="2877" spans="2:2" x14ac:dyDescent="0.25">
      <c r="B2877" t="str">
        <v>400-34: Castings, Ferrous and Non-Ferrous Alloy</v>
      </c>
    </row>
    <row r="2878" spans="2:2" x14ac:dyDescent="0.25">
      <c r="B2878" t="str">
        <v>400-35: Castings, Gray Iron</v>
      </c>
    </row>
    <row r="2879" spans="2:2" x14ac:dyDescent="0.25">
      <c r="B2879" t="str">
        <v>400-37: Castings, Lead</v>
      </c>
    </row>
    <row r="2880" spans="2:2" x14ac:dyDescent="0.25">
      <c r="B2880" t="str">
        <v>400-44: Castings, Magnesium</v>
      </c>
    </row>
    <row r="2881" spans="2:2" x14ac:dyDescent="0.25">
      <c r="B2881" t="str">
        <v>400-45: Castings, Malleable Iron</v>
      </c>
    </row>
    <row r="2882" spans="2:2" x14ac:dyDescent="0.25">
      <c r="B2882" t="str">
        <v>400-46: Castings, Mold: Permanent, Shell, Investment, Centrifugal, Ceramic, Graphite, Plaster, V-Process</v>
      </c>
    </row>
    <row r="2883" spans="2:2" x14ac:dyDescent="0.25">
      <c r="B2883" t="str">
        <v>400-47: Castings, Steel</v>
      </c>
    </row>
    <row r="2884" spans="2:2" x14ac:dyDescent="0.25">
      <c r="B2884" t="str">
        <v>400-48: Castings, Stainless Steel</v>
      </c>
    </row>
    <row r="2885" spans="2:2" x14ac:dyDescent="0.25">
      <c r="B2885" t="str">
        <v>400-49: Castings, Stone and Mortar, etc.</v>
      </c>
    </row>
    <row r="2886" spans="2:2" x14ac:dyDescent="0.25">
      <c r="B2886" t="str">
        <v>400-50: Castings, Tin</v>
      </c>
    </row>
    <row r="2887" spans="2:2" x14ac:dyDescent="0.25">
      <c r="B2887" t="str">
        <v>400-51: Castings, Titanium</v>
      </c>
    </row>
    <row r="2888" spans="2:2" x14ac:dyDescent="0.25">
      <c r="B2888" t="str">
        <v>400-52: Castings, Precious Metal</v>
      </c>
    </row>
    <row r="2889" spans="2:2" x14ac:dyDescent="0.25">
      <c r="B2889" t="str">
        <v>400-53: Castings, Zinc</v>
      </c>
    </row>
    <row r="2890" spans="2:2" x14ac:dyDescent="0.25">
      <c r="B2890" t="str">
        <v>400-55: Foundry Equipment and Supplies: Anvils, Bellows, Clays, Flasks, Fluxes, Ladles, Molds, Sand, Shovels, etc.</v>
      </c>
    </row>
    <row r="2891" spans="2:2" x14ac:dyDescent="0.25">
      <c r="B2891" t="str">
        <v>400-60: Forgings</v>
      </c>
    </row>
    <row r="2892" spans="2:2" x14ac:dyDescent="0.25">
      <c r="B2892" t="str">
        <v>400-75: Ovens, Annealing</v>
      </c>
    </row>
    <row r="2893" spans="2:2" x14ac:dyDescent="0.25">
      <c r="B2893" t="str">
        <v>400-80: Recycled Foundry Castings and Supplies</v>
      </c>
    </row>
    <row r="2894" spans="2:2" x14ac:dyDescent="0.25">
      <c r="B2894" t="str">
        <v>405-02: Alternative Fuels (Not Otherwise Classified)</v>
      </c>
    </row>
    <row r="2895" spans="2:2" x14ac:dyDescent="0.25">
      <c r="B2895" t="str">
        <v>405-03: Butane and Propane, Including Liquefied Petroleum Gas</v>
      </c>
    </row>
    <row r="2896" spans="2:2" x14ac:dyDescent="0.25">
      <c r="B2896" t="str">
        <v>405-05: Charcoal  (Inactive, please see commodity code 405-06 effective January 1, 2016)</v>
      </c>
    </row>
    <row r="2897" spans="2:2" x14ac:dyDescent="0.25">
      <c r="B2897" t="str">
        <v>405-06: Coal, Coke, Lignite, Peat and Charcoal</v>
      </c>
    </row>
    <row r="2898" spans="2:2" x14ac:dyDescent="0.25">
      <c r="B2898" t="str">
        <v>405-07: Fuel Additives, Extenders, Octane Enhancers, etc.</v>
      </c>
    </row>
    <row r="2899" spans="2:2" x14ac:dyDescent="0.25">
      <c r="B2899" t="str">
        <v>405-08: Distillates, Petroleum (Not Otherwise Classified)</v>
      </c>
    </row>
    <row r="2900" spans="2:2" x14ac:dyDescent="0.25">
      <c r="B2900" t="str">
        <v>405-09: Fuel Oil, Diesel (Use 405-02 for Biodiesel)</v>
      </c>
    </row>
    <row r="2901" spans="2:2" x14ac:dyDescent="0.25">
      <c r="B2901" t="str">
        <v>405-12: Fuel Oil, Heating (Use 405-02 for Biodiesel)</v>
      </c>
    </row>
    <row r="2902" spans="2:2" x14ac:dyDescent="0.25">
      <c r="B2902" t="str">
        <v>405-13: Gas, Natural, Including Compressed Natural Gas (CNG)</v>
      </c>
    </row>
    <row r="2903" spans="2:2" x14ac:dyDescent="0.25">
      <c r="B2903" t="str">
        <v>405-14: Gasohol</v>
      </c>
    </row>
    <row r="2904" spans="2:2" x14ac:dyDescent="0.25">
      <c r="B2904" t="str">
        <v>405-15: Gasoline, Automotive</v>
      </c>
    </row>
    <row r="2905" spans="2:2" x14ac:dyDescent="0.25">
      <c r="B2905" t="str">
        <v>405-18: Gasoline, Aviation, Including Jet Fuel</v>
      </c>
    </row>
    <row r="2906" spans="2:2" x14ac:dyDescent="0.25">
      <c r="B2906" t="str">
        <v>405-21: Gasoline, Marine White</v>
      </c>
    </row>
    <row r="2907" spans="2:2" x14ac:dyDescent="0.25">
      <c r="B2907" t="str">
        <v>405-23: Graphite Lubricant  (Inactive, please see commodity code 405-31 effective January 1, 2016)</v>
      </c>
    </row>
    <row r="2908" spans="2:2" x14ac:dyDescent="0.25">
      <c r="B2908" t="str">
        <v>405-24: Grease, Lubrication Type</v>
      </c>
    </row>
    <row r="2909" spans="2:2" x14ac:dyDescent="0.25">
      <c r="B2909" t="str">
        <v>405-27: Grease, Protective Coating Type</v>
      </c>
    </row>
    <row r="2910" spans="2:2" x14ac:dyDescent="0.25">
      <c r="B2910" t="str">
        <v>405-30: Kerosene</v>
      </c>
    </row>
    <row r="2911" spans="2:2" x14ac:dyDescent="0.25">
      <c r="B2911" t="str">
        <v>405-31: Lubricants, Industrial Type, Including Biodegradable Type and Graphite</v>
      </c>
    </row>
    <row r="2912" spans="2:2" x14ac:dyDescent="0.25">
      <c r="B2912" t="str">
        <v>405-32: Methanol, Fuel</v>
      </c>
    </row>
    <row r="2913" spans="2:2" x14ac:dyDescent="0.25">
      <c r="B2913" t="str">
        <v>405-33: Naphtha</v>
      </c>
    </row>
    <row r="2914" spans="2:2" x14ac:dyDescent="0.25">
      <c r="B2914" t="str">
        <v>405-36: Oil, Automotive Transmission</v>
      </c>
    </row>
    <row r="2915" spans="2:2" x14ac:dyDescent="0.25">
      <c r="B2915" t="str">
        <v>405-37: Oil, Crude</v>
      </c>
    </row>
    <row r="2916" spans="2:2" x14ac:dyDescent="0.25">
      <c r="B2916" t="str">
        <v>405-38: Oil and Grease Additives</v>
      </c>
    </row>
    <row r="2917" spans="2:2" x14ac:dyDescent="0.25">
      <c r="B2917" t="str">
        <v>405-39: Oil, Automotive Engine</v>
      </c>
    </row>
    <row r="2918" spans="2:2" x14ac:dyDescent="0.25">
      <c r="B2918" t="str">
        <v>405-42: Oil, Aviation Engine</v>
      </c>
    </row>
    <row r="2919" spans="2:2" x14ac:dyDescent="0.25">
      <c r="B2919" t="str">
        <v>405-45: Oil, Chain Saw</v>
      </c>
    </row>
    <row r="2920" spans="2:2" x14ac:dyDescent="0.25">
      <c r="B2920" t="str">
        <v>405-47: Oil, Compressor</v>
      </c>
    </row>
    <row r="2921" spans="2:2" x14ac:dyDescent="0.25">
      <c r="B2921" t="str">
        <v>405-48: Oil, Cutting</v>
      </c>
    </row>
    <row r="2922" spans="2:2" x14ac:dyDescent="0.25">
      <c r="B2922" t="str">
        <v>405-49: Oil, Gear</v>
      </c>
    </row>
    <row r="2923" spans="2:2" x14ac:dyDescent="0.25">
      <c r="B2923" t="str">
        <v>405-50: Oil, Heat Transfer Fluid, Fire-Resistant</v>
      </c>
    </row>
    <row r="2924" spans="2:2" x14ac:dyDescent="0.25">
      <c r="B2924" t="str">
        <v>405-51: Oil and Fluid, Hydraulic</v>
      </c>
    </row>
    <row r="2925" spans="2:2" x14ac:dyDescent="0.25">
      <c r="B2925" t="str">
        <v>405-52: Oil, Instrument</v>
      </c>
    </row>
    <row r="2926" spans="2:2" x14ac:dyDescent="0.25">
      <c r="B2926" t="str">
        <v>405-54: Oil, Lubricating: Household, General Purpose, etc.</v>
      </c>
    </row>
    <row r="2927" spans="2:2" x14ac:dyDescent="0.25">
      <c r="B2927" t="str">
        <v>405-57: Oil, Lubricating: Differential and Gear Lubricant</v>
      </c>
    </row>
    <row r="2928" spans="2:2" x14ac:dyDescent="0.25">
      <c r="B2928" t="str">
        <v>405-60: Oil, Marine Engine</v>
      </c>
    </row>
    <row r="2929" spans="2:2" x14ac:dyDescent="0.25">
      <c r="B2929" t="str">
        <v>405-63: Oil, Outboard Motor</v>
      </c>
    </row>
    <row r="2930" spans="2:2" x14ac:dyDescent="0.25">
      <c r="B2930" t="str">
        <v>405-66: Oil, Penetrating, Special Use, May Contain Graphite</v>
      </c>
    </row>
    <row r="2931" spans="2:2" x14ac:dyDescent="0.25">
      <c r="B2931" t="str">
        <v>405-69: Oil, Pump, Vacuum</v>
      </c>
    </row>
    <row r="2932" spans="2:2" x14ac:dyDescent="0.25">
      <c r="B2932" t="str">
        <v>405-72: Oil, Refrigeration</v>
      </c>
    </row>
    <row r="2933" spans="2:2" x14ac:dyDescent="0.25">
      <c r="B2933" t="str">
        <v>405-73: Oils and Lubricants for Special/Severe Service</v>
      </c>
    </row>
    <row r="2934" spans="2:2" x14ac:dyDescent="0.25">
      <c r="B2934" t="str">
        <v>405-74: Oil, Steam Cylinder</v>
      </c>
    </row>
    <row r="2935" spans="2:2" x14ac:dyDescent="0.25">
      <c r="B2935" t="str">
        <v>405-75: Oil, Transformer</v>
      </c>
    </row>
    <row r="2936" spans="2:2" x14ac:dyDescent="0.25">
      <c r="B2936" t="str">
        <v>405-81: Oil, Turbine</v>
      </c>
    </row>
    <row r="2937" spans="2:2" x14ac:dyDescent="0.25">
      <c r="B2937" t="str">
        <v>405-82: Oil, Two-Cycle Engine</v>
      </c>
    </row>
    <row r="2938" spans="2:2" x14ac:dyDescent="0.25">
      <c r="B2938" t="str">
        <v>405-84: Oil, Wax, Paraffin</v>
      </c>
    </row>
    <row r="2939" spans="2:2" x14ac:dyDescent="0.25">
      <c r="B2939" t="str">
        <v>405-85: Power Steering Fluid</v>
      </c>
    </row>
    <row r="2940" spans="2:2" x14ac:dyDescent="0.25">
      <c r="B2940" t="str">
        <v>405-86: Propellant Fuels and Oxidizers, Chemical and Petroleum Based</v>
      </c>
    </row>
    <row r="2941" spans="2:2" x14ac:dyDescent="0.25">
      <c r="B2941" t="str">
        <v>405-87: Recycled Petroleum Products</v>
      </c>
    </row>
    <row r="2942" spans="2:2" x14ac:dyDescent="0.25">
      <c r="B2942" t="str">
        <v>405-90: Synthetic Petroleum Products</v>
      </c>
    </row>
    <row r="2943" spans="2:2" x14ac:dyDescent="0.25">
      <c r="B2943" t="str">
        <v>405-95: Petroleum Products, Scrap or Waste</v>
      </c>
    </row>
    <row r="2944" spans="2:2" x14ac:dyDescent="0.25">
      <c r="B2944" t="str">
        <v>410-03: Beds and Mattresses, Hospital Specialized: Air Beds, Intensive Care, Orthopedic, Waterbeds, etc.</v>
      </c>
    </row>
    <row r="2945" spans="2:2" x14ac:dyDescent="0.25">
      <c r="B2945" t="str">
        <v>410-06: Cabinets, Instrument and Treatment</v>
      </c>
    </row>
    <row r="2946" spans="2:2" x14ac:dyDescent="0.25">
      <c r="B2946" t="str">
        <v>410-09: Cabinets, Narcotics</v>
      </c>
    </row>
    <row r="2947" spans="2:2" x14ac:dyDescent="0.25">
      <c r="B2947" t="str">
        <v>410-12: Carts: Dressing, Laboratory, Medication, Patient Tray, Resuscitation and Utility</v>
      </c>
    </row>
    <row r="2948" spans="2:2" x14ac:dyDescent="0.25">
      <c r="B2948" t="str">
        <v>410-15: Chairs and Modules, Blood Collecting</v>
      </c>
    </row>
    <row r="2949" spans="2:2" x14ac:dyDescent="0.25">
      <c r="B2949" t="str">
        <v>410-18: Chart Cabinets, Carts, and Holders</v>
      </c>
    </row>
    <row r="2950" spans="2:2" x14ac:dyDescent="0.25">
      <c r="B2950" t="str">
        <v>410-24: Cubicle Curtains and Privacy Screens</v>
      </c>
    </row>
    <row r="2951" spans="2:2" x14ac:dyDescent="0.25">
      <c r="B2951" t="str">
        <v>410-30: Examining Room Suites, Not Optical or Auditory</v>
      </c>
    </row>
    <row r="2952" spans="2:2" x14ac:dyDescent="0.25">
      <c r="B2952" t="str">
        <v>410-33: Furniture, Health Care, Custom Made</v>
      </c>
    </row>
    <row r="2953" spans="2:2" x14ac:dyDescent="0.25">
      <c r="B2953" t="str">
        <v>410-34: Furniture, Hospital, Not Specialized</v>
      </c>
    </row>
    <row r="2954" spans="2:2" x14ac:dyDescent="0.25">
      <c r="B2954" t="str">
        <v>410-36: Incubators, Infant</v>
      </c>
    </row>
    <row r="2955" spans="2:2" x14ac:dyDescent="0.25">
      <c r="B2955" t="str">
        <v>410-42: Mortuary Furniture: Autopsy Tables, Cadaver Tables, Refrigerators, etc.</v>
      </c>
    </row>
    <row r="2956" spans="2:2" x14ac:dyDescent="0.25">
      <c r="B2956" t="str">
        <v>410-48: Nurses' Desks and Accessories</v>
      </c>
    </row>
    <row r="2957" spans="2:2" x14ac:dyDescent="0.25">
      <c r="B2957" t="str">
        <v>410-54: Nursery Equipment and Furniture, Infant (See 420-13 for Household Types)</v>
      </c>
    </row>
    <row r="2958" spans="2:2" x14ac:dyDescent="0.25">
      <c r="B2958" t="str">
        <v>410-60: Operating and Examination Room Furniture: Instrument Tables and Stands, IV Stands, Stools, Work Tables, etc.</v>
      </c>
    </row>
    <row r="2959" spans="2:2" x14ac:dyDescent="0.25">
      <c r="B2959" t="str">
        <v>410-66: Recovery and Treatment Room Furniture: Reclining Chairs, etc.</v>
      </c>
    </row>
    <row r="2960" spans="2:2" x14ac:dyDescent="0.25">
      <c r="B2960" t="str">
        <v>410-68: Recycled Health Care and Hospital Furniture</v>
      </c>
    </row>
    <row r="2961" spans="2:2" x14ac:dyDescent="0.25">
      <c r="B2961" t="str">
        <v>410-72: Tables, Examination, Including Parts and Accessories</v>
      </c>
    </row>
    <row r="2962" spans="2:2" x14ac:dyDescent="0.25">
      <c r="B2962" t="str">
        <v>410-78: Tables, Operating, Including Parts and Accessories</v>
      </c>
    </row>
    <row r="2963" spans="2:2" x14ac:dyDescent="0.25">
      <c r="B2963" t="str">
        <v>410-84: Tables, Treatment, Including Parts and Accessories</v>
      </c>
    </row>
    <row r="2964" spans="2:2" x14ac:dyDescent="0.25">
      <c r="B2964" t="str">
        <v>410-98: (CTE) Health Science Equipment &gt; $750 &amp; &lt; $5000</v>
      </c>
    </row>
    <row r="2965" spans="2:2" x14ac:dyDescent="0.25">
      <c r="B2965" t="str">
        <v>415-13: Cabinets, Storage, Floor and Wall</v>
      </c>
    </row>
    <row r="2966" spans="2:2" x14ac:dyDescent="0.25">
      <c r="B2966" t="str">
        <v>415-26: Cases: Laboratory, Specimen Storage, etc.</v>
      </c>
    </row>
    <row r="2967" spans="2:2" x14ac:dyDescent="0.25">
      <c r="B2967" t="str">
        <v>415-39: Casework, Metal</v>
      </c>
    </row>
    <row r="2968" spans="2:2" x14ac:dyDescent="0.25">
      <c r="B2968" t="str">
        <v>415-40: Casework, Wood</v>
      </c>
    </row>
    <row r="2969" spans="2:2" x14ac:dyDescent="0.25">
      <c r="B2969" t="str">
        <v>415-52: Fume Hoods, Laminar Flow Hoods, Biological Cabinets and Isolators, etc.</v>
      </c>
    </row>
    <row r="2970" spans="2:2" x14ac:dyDescent="0.25">
      <c r="B2970" t="str">
        <v>415-55: Furniture, Laboratory, Custom Made</v>
      </c>
    </row>
    <row r="2971" spans="2:2" x14ac:dyDescent="0.25">
      <c r="B2971" t="str">
        <v>415-57: Recycled Laboratory Furniture, All Types</v>
      </c>
    </row>
    <row r="2972" spans="2:2" x14ac:dyDescent="0.25">
      <c r="B2972" t="str">
        <v>415-58: Refrigerators and Cooling Equipment, Laboratory, Specialized: Explosion-Proof, Ultra-Low Temperature, etc.</v>
      </c>
    </row>
    <row r="2973" spans="2:2" x14ac:dyDescent="0.25">
      <c r="B2973" t="str">
        <v>415-65: Service Fixtures: Cocks, Connectors, Sink Traps, Valves, etc.</v>
      </c>
    </row>
    <row r="2974" spans="2:2" x14ac:dyDescent="0.25">
      <c r="B2974" t="str">
        <v>415-78: Sinks, Laboratory Type</v>
      </c>
    </row>
    <row r="2975" spans="2:2" x14ac:dyDescent="0.25">
      <c r="B2975" t="str">
        <v>415-85: Stools, Laboratory</v>
      </c>
    </row>
    <row r="2976" spans="2:2" x14ac:dyDescent="0.25">
      <c r="B2976" t="str">
        <v>415-91: Tables, Laboratory Type</v>
      </c>
    </row>
    <row r="2977" spans="2:2" x14ac:dyDescent="0.25">
      <c r="B2977" t="str">
        <v>420-03: Arts and Crafts Furniture, Tables, etc.</v>
      </c>
    </row>
    <row r="2978" spans="2:2" x14ac:dyDescent="0.25">
      <c r="B2978" t="str">
        <v>420-04: Auditorium, Stadium, Team Seating Furniture and Bleachers</v>
      </c>
    </row>
    <row r="2979" spans="2:2" x14ac:dyDescent="0.25">
      <c r="B2979" t="str">
        <v>420-08: Cafeteria Furniture: Chairs and Tables, Including Stacking Types</v>
      </c>
    </row>
    <row r="2980" spans="2:2" x14ac:dyDescent="0.25">
      <c r="B2980" t="str">
        <v>420-09: Cafeteria Furniture, Booths</v>
      </c>
    </row>
    <row r="2981" spans="2:2" x14ac:dyDescent="0.25">
      <c r="B2981" t="str">
        <v>420-11: Casework and Cabinets, Custom, All Types</v>
      </c>
    </row>
    <row r="2982" spans="2:2" x14ac:dyDescent="0.25">
      <c r="B2982" t="str">
        <v>420-12: Chapel Furnishings: Pews, Pulpits, etc.</v>
      </c>
    </row>
    <row r="2983" spans="2:2" x14ac:dyDescent="0.25">
      <c r="B2983" t="str">
        <v>420-13: Children's Furniture, Including Stackable Types, (See 41054 for Hospital Types)</v>
      </c>
    </row>
    <row r="2984" spans="2:2" x14ac:dyDescent="0.25">
      <c r="B2984" t="str">
        <v>420-14: Counters, Sales and Store</v>
      </c>
    </row>
    <row r="2985" spans="2:2" x14ac:dyDescent="0.25">
      <c r="B2985" t="str">
        <v>420-15: Courtroom Furniture: Chairs, Tables, etc.</v>
      </c>
    </row>
    <row r="2986" spans="2:2" x14ac:dyDescent="0.25">
      <c r="B2986" t="str">
        <v>420-16: Dormitory Furniture, Metal: Wardrobes, Beds, Bunkbeds, Desks, etc.</v>
      </c>
    </row>
    <row r="2987" spans="2:2" x14ac:dyDescent="0.25">
      <c r="B2987" t="str">
        <v>420-18: Dormitory Furniture, Plastic: Wardrobes, Beds, Bunkbeds, Desks, etc.</v>
      </c>
    </row>
    <row r="2988" spans="2:2" x14ac:dyDescent="0.25">
      <c r="B2988" t="str">
        <v>420-20: Dormitory Furniture, Wood: Wardrobes, Beds, Bunkbeds, Desks, etc.</v>
      </c>
    </row>
    <row r="2989" spans="2:2" x14ac:dyDescent="0.25">
      <c r="B2989" t="str">
        <v>420-24: Folding Chairs, Tables, and Chair Trucks, Metal</v>
      </c>
    </row>
    <row r="2990" spans="2:2" x14ac:dyDescent="0.25">
      <c r="B2990" t="str">
        <v>420-25: Folding Chairs and Tables, Plastic or Resin</v>
      </c>
    </row>
    <row r="2991" spans="2:2" x14ac:dyDescent="0.25">
      <c r="B2991" t="str">
        <v>420-28: Folding Chairs and Tables, Wood</v>
      </c>
    </row>
    <row r="2992" spans="2:2" x14ac:dyDescent="0.25">
      <c r="B2992" t="str">
        <v>420-30: Furniture, General, Custom Made</v>
      </c>
    </row>
    <row r="2993" spans="2:2" x14ac:dyDescent="0.25">
      <c r="B2993" t="str">
        <v>420-34: Furnishings (Not Otherwise Classified)</v>
      </c>
    </row>
    <row r="2994" spans="2:2" x14ac:dyDescent="0.25">
      <c r="B2994" t="str">
        <v>420-40: Household Furniture, General Line</v>
      </c>
    </row>
    <row r="2995" spans="2:2" x14ac:dyDescent="0.25">
      <c r="B2995" t="str">
        <v>420-44: Institutional Furniture, All Types</v>
      </c>
    </row>
    <row r="2996" spans="2:2" x14ac:dyDescent="0.25">
      <c r="B2996" t="str">
        <v>420-48: Library Shelving, Metal</v>
      </c>
    </row>
    <row r="2997" spans="2:2" x14ac:dyDescent="0.25">
      <c r="B2997" t="str">
        <v>420-52: Library Shelving, Wood</v>
      </c>
    </row>
    <row r="2998" spans="2:2" x14ac:dyDescent="0.25">
      <c r="B2998" t="str">
        <v>420-56: Library Furniture: Book Trucks, Card Cabinets, Carrels, Chairs, Curb-Side Book Returns, Dictionary Stands, Step Stools, Tables, etc.</v>
      </c>
    </row>
    <row r="2999" spans="2:2" x14ac:dyDescent="0.25">
      <c r="B2999" t="str">
        <v>420-59: Lounge Furniture, Upholstered</v>
      </c>
    </row>
    <row r="3000" spans="2:2" x14ac:dyDescent="0.25">
      <c r="B3000" t="str">
        <v>420-60: Lounge Furniture, Steel, Indoor</v>
      </c>
    </row>
    <row r="3001" spans="2:2" x14ac:dyDescent="0.25">
      <c r="B3001" t="str">
        <v>420-61: Lounge Furniture, Steel, Outdoor</v>
      </c>
    </row>
    <row r="3002" spans="2:2" x14ac:dyDescent="0.25">
      <c r="B3002" t="str">
        <v>420-62: Lounge Furniture, Indoor: Fiberglass, Plastic, etc., Including Stacking Types</v>
      </c>
    </row>
    <row r="3003" spans="2:2" x14ac:dyDescent="0.25">
      <c r="B3003" t="str">
        <v>420-63: Lounge Furniture, Outdoor: Fiberglass, Plastic, Aluminum, etc., Including Stacking Types</v>
      </c>
    </row>
    <row r="3004" spans="2:2" x14ac:dyDescent="0.25">
      <c r="B3004" t="str">
        <v>420-64: Lounge Furniture, Indoor, Wood</v>
      </c>
    </row>
    <row r="3005" spans="2:2" x14ac:dyDescent="0.25">
      <c r="B3005" t="str">
        <v>420-65: Lounge Furniture, Outdoor, Wood, Including Outdoor Household Swings</v>
      </c>
    </row>
    <row r="3006" spans="2:2" x14ac:dyDescent="0.25">
      <c r="B3006" t="str">
        <v>420-66: Mailroom Furniture: Bins, Boxes, Carts, Consoles, Including Wrapping Consoles, Mail Systems, Sorters, Tables, etc.</v>
      </c>
    </row>
    <row r="3007" spans="2:2" x14ac:dyDescent="0.25">
      <c r="B3007" t="str">
        <v>420-68: Mattresses and Bedsprings, Including Fillers, (See Class 410 for Hospital Type)</v>
      </c>
    </row>
    <row r="3008" spans="2:2" x14ac:dyDescent="0.25">
      <c r="B3008" t="str">
        <v>420-72: Mirrors, Glass, Not Auto, Barber, Safety, Security, or Telescope, Including Parts and Accessories</v>
      </c>
    </row>
    <row r="3009" spans="2:2" x14ac:dyDescent="0.25">
      <c r="B3009" t="str">
        <v>420-73: Mirrors, Safety and Security, Non-Glass, Flat Type, Correctional Facilities or High Risk Areas, Including Parts and Accessories</v>
      </c>
    </row>
    <row r="3010" spans="2:2" x14ac:dyDescent="0.25">
      <c r="B3010" t="str">
        <v>420-74: Mirrors, Safety and Security, For Blind Corners in Hallways, etc.: Parabolic, Convex, Hemispherical, etc., Including Parts and Accessories</v>
      </c>
    </row>
    <row r="3011" spans="2:2" x14ac:dyDescent="0.25">
      <c r="B3011" t="str">
        <v>420-81: Recycled Furniture: Cafeteria, Chapel, Dormitory, Household, Library, Lounge and School, All Types</v>
      </c>
    </row>
    <row r="3012" spans="2:2" x14ac:dyDescent="0.25">
      <c r="B3012" t="str">
        <v>420-84: Schoolroom Furniture, Metal: Cabinets, Chairs, Desks, etc.</v>
      </c>
    </row>
    <row r="3013" spans="2:2" x14ac:dyDescent="0.25">
      <c r="B3013" t="str">
        <v>420-86: Schoolroom Furniture; Plastic, Polypropylene, Fiberglass Type: Cabinets, Chairs, Desks, etc., Including Stacking Types</v>
      </c>
    </row>
    <row r="3014" spans="2:2" x14ac:dyDescent="0.25">
      <c r="B3014" t="str">
        <v>420-88: Schoolroom Furniture, Wood: Cabinets, Chairs, Desks, etc.</v>
      </c>
    </row>
    <row r="3015" spans="2:2" x14ac:dyDescent="0.25">
      <c r="B3015" t="str">
        <v>420-92: Showcase, Trophy Cases and Exhibit Cases</v>
      </c>
    </row>
    <row r="3016" spans="2:2" x14ac:dyDescent="0.25">
      <c r="B3016" t="str">
        <v>420-93: Stools, Household</v>
      </c>
    </row>
    <row r="3017" spans="2:2" x14ac:dyDescent="0.25">
      <c r="B3017" t="str">
        <v>420-96: Work Benches, Shop Desks and Tables</v>
      </c>
    </row>
    <row r="3018" spans="2:2" x14ac:dyDescent="0.25">
      <c r="B3018" t="str">
        <v>425-03: Bookcases and Bookshelves, Metal and Wood</v>
      </c>
    </row>
    <row r="3019" spans="2:2" x14ac:dyDescent="0.25">
      <c r="B3019" t="str">
        <v>425-06: Chairs, Metal</v>
      </c>
    </row>
    <row r="3020" spans="2:2" x14ac:dyDescent="0.25">
      <c r="B3020" t="str">
        <v>425-07: Chairs, Wood</v>
      </c>
    </row>
    <row r="3021" spans="2:2" x14ac:dyDescent="0.25">
      <c r="B3021" t="str">
        <v>425-10: Costumers, Racks, Stands and Trees: Clothes, Coat, Hat, etc.</v>
      </c>
    </row>
    <row r="3022" spans="2:2" x14ac:dyDescent="0.25">
      <c r="B3022" t="str">
        <v>425-11: Counter, Work</v>
      </c>
    </row>
    <row r="3023" spans="2:2" x14ac:dyDescent="0.25">
      <c r="B3023" t="str">
        <v>425-13: Credenza Unit, Metal</v>
      </c>
    </row>
    <row r="3024" spans="2:2" x14ac:dyDescent="0.25">
      <c r="B3024" t="str">
        <v>425-14: Credenza Unit, Wood</v>
      </c>
    </row>
    <row r="3025" spans="2:2" x14ac:dyDescent="0.25">
      <c r="B3025" t="str">
        <v>425-17: Data Processing Furniture, Metal and Plastic (See 425-87 For Storage Cabinets)</v>
      </c>
    </row>
    <row r="3026" spans="2:2" x14ac:dyDescent="0.25">
      <c r="B3026" t="str">
        <v>425-18: Data Processing Office Furniture, Wood, (See Item 87 For Not Storage Cabinets)</v>
      </c>
    </row>
    <row r="3027" spans="2:2" x14ac:dyDescent="0.25">
      <c r="B3027" t="str">
        <v>425-20: Desks and Tables, Metal</v>
      </c>
    </row>
    <row r="3028" spans="2:2" x14ac:dyDescent="0.25">
      <c r="B3028" t="str">
        <v>425-21: Desks and Tables, Wood</v>
      </c>
    </row>
    <row r="3029" spans="2:2" x14ac:dyDescent="0.25">
      <c r="B3029" t="str">
        <v>425-30: Drafting Chairs and Stools, Metal and Wood</v>
      </c>
    </row>
    <row r="3030" spans="2:2" x14ac:dyDescent="0.25">
      <c r="B3030" t="str">
        <v>425-33: Drafting Plan and Map Files, Metal</v>
      </c>
    </row>
    <row r="3031" spans="2:2" x14ac:dyDescent="0.25">
      <c r="B3031" t="str">
        <v>425-34: Drafting Plan and Map Files, Wood</v>
      </c>
    </row>
    <row r="3032" spans="2:2" x14ac:dyDescent="0.25">
      <c r="B3032" t="str">
        <v>425-37: Drafting Tables, Metal and Wood</v>
      </c>
    </row>
    <row r="3033" spans="2:2" x14ac:dyDescent="0.25">
      <c r="B3033" t="str">
        <v>425-40: Filing Cabinets, Metal: Card, Jumbo, Lateral, Legal, and Letter</v>
      </c>
    </row>
    <row r="3034" spans="2:2" x14ac:dyDescent="0.25">
      <c r="B3034" t="str">
        <v>425-41: Filing Cabinets, Wood: Card, Lateral, Legal, and Letter</v>
      </c>
    </row>
    <row r="3035" spans="2:2" x14ac:dyDescent="0.25">
      <c r="B3035" t="str">
        <v>425-42: Filing Systems, Mobile, High Density, Electrical and Mechanical</v>
      </c>
    </row>
    <row r="3036" spans="2:2" x14ac:dyDescent="0.25">
      <c r="B3036" t="str">
        <v>425-44: Fire Files</v>
      </c>
    </row>
    <row r="3037" spans="2:2" x14ac:dyDescent="0.25">
      <c r="B3037" t="str">
        <v>425-47: Floors, Raised Access Type, For Data Processing Equipment</v>
      </c>
    </row>
    <row r="3038" spans="2:2" x14ac:dyDescent="0.25">
      <c r="B3038" t="str">
        <v>425-48: Furniture, Office, Custom Made</v>
      </c>
    </row>
    <row r="3039" spans="2:2" x14ac:dyDescent="0.25">
      <c r="B3039" t="str">
        <v>425-49: Hutches for Desks, Credenzas, etc.</v>
      </c>
    </row>
    <row r="3040" spans="2:2" x14ac:dyDescent="0.25">
      <c r="B3040" t="str">
        <v>425-50: Key Storage Cabinets and Files</v>
      </c>
    </row>
    <row r="3041" spans="2:2" x14ac:dyDescent="0.25">
      <c r="B3041" t="str">
        <v>425-53: Lockers, Storage: Coats, Hats and Baggage (Includes Foot Locker Type)</v>
      </c>
    </row>
    <row r="3042" spans="2:2" x14ac:dyDescent="0.25">
      <c r="B3042" t="str">
        <v>425-54: Modular Panel Systems, With Metal Connecting Mechanism</v>
      </c>
    </row>
    <row r="3043" spans="2:2" x14ac:dyDescent="0.25">
      <c r="B3043" t="str">
        <v>425-55: Modular Panel Systems, With Synthetic Connecting Mechanism</v>
      </c>
    </row>
    <row r="3044" spans="2:2" x14ac:dyDescent="0.25">
      <c r="B3044" t="str">
        <v>425-56: Partitions, Free Standing, All Types, Custom and Stock Sizes</v>
      </c>
    </row>
    <row r="3045" spans="2:2" x14ac:dyDescent="0.25">
      <c r="B3045" t="str">
        <v>425-57: Partitions, Hardware</v>
      </c>
    </row>
    <row r="3046" spans="2:2" x14ac:dyDescent="0.25">
      <c r="B3046" t="str">
        <v>425-58: Plastic, Polypropylene, Fiberglass Office Furniture: Chairs, Desks, Tables, etc.</v>
      </c>
    </row>
    <row r="3047" spans="2:2" x14ac:dyDescent="0.25">
      <c r="B3047" t="str">
        <v>425-59: Posting Stands and Trays</v>
      </c>
    </row>
    <row r="3048" spans="2:2" x14ac:dyDescent="0.25">
      <c r="B3048" t="str">
        <v>425-60: Posture Chairs, Ergonomic</v>
      </c>
    </row>
    <row r="3049" spans="2:2" x14ac:dyDescent="0.25">
      <c r="B3049" t="str">
        <v>425-62: Racks, Metal, Stationary and Mobile</v>
      </c>
    </row>
    <row r="3050" spans="2:2" x14ac:dyDescent="0.25">
      <c r="B3050" t="str">
        <v>425-64: Recycled Office Furniture: Bookshelves, Chairs, Credenzas, Computer Furniture, Desks, Tables, Hutches, Workstations</v>
      </c>
    </row>
    <row r="3051" spans="2:2" x14ac:dyDescent="0.25">
      <c r="B3051" t="str">
        <v>425-65: Recycled Office Furniture: File Cabinets, Storage Cabinets and Lockers, Partitions, Modular Furniture, Racks, Shelving</v>
      </c>
    </row>
    <row r="3052" spans="2:2" x14ac:dyDescent="0.25">
      <c r="B3052" t="str">
        <v>425-68: Filing Systems, Rotary</v>
      </c>
    </row>
    <row r="3053" spans="2:2" x14ac:dyDescent="0.25">
      <c r="B3053" t="str">
        <v>425-71: Safe Files (Inactive, please see commodity code 425-74 effective January 1, 2016)</v>
      </c>
    </row>
    <row r="3054" spans="2:2" x14ac:dyDescent="0.25">
      <c r="B3054" t="str">
        <v>425-74: Safes, Safe Files, Vaults, and Night Depository Boxes, Including Parts and Accessories</v>
      </c>
    </row>
    <row r="3055" spans="2:2" x14ac:dyDescent="0.25">
      <c r="B3055" t="str">
        <v>425-77: Stepladders, Safety, Office Use</v>
      </c>
    </row>
    <row r="3056" spans="2:2" x14ac:dyDescent="0.25">
      <c r="B3056" t="str">
        <v>425-79: Shelving, Wood, Not Library or Shop</v>
      </c>
    </row>
    <row r="3057" spans="2:2" x14ac:dyDescent="0.25">
      <c r="B3057" t="str">
        <v>425-80: Shelving, Metal, Not Library or Shop</v>
      </c>
    </row>
    <row r="3058" spans="2:2" x14ac:dyDescent="0.25">
      <c r="B3058" t="str">
        <v>425-81: Shelving, Mobile, Track or Trackless Type</v>
      </c>
    </row>
    <row r="3059" spans="2:2" x14ac:dyDescent="0.25">
      <c r="B3059" t="str">
        <v>425-82: Shims, Leveling, For Furniture</v>
      </c>
    </row>
    <row r="3060" spans="2:2" x14ac:dyDescent="0.25">
      <c r="B3060" t="str">
        <v>425-83: Stands, Office Equipment and Machines</v>
      </c>
    </row>
    <row r="3061" spans="2:2" x14ac:dyDescent="0.25">
      <c r="B3061" t="str">
        <v>425-87: Storage Cabinets, Data Processing</v>
      </c>
    </row>
    <row r="3062" spans="2:2" x14ac:dyDescent="0.25">
      <c r="B3062" t="str">
        <v>425-89: Storage Cabinets, Metal</v>
      </c>
    </row>
    <row r="3063" spans="2:2" x14ac:dyDescent="0.25">
      <c r="B3063" t="str">
        <v>425-90: Storage Cabinets, Non-Metal</v>
      </c>
    </row>
    <row r="3064" spans="2:2" x14ac:dyDescent="0.25">
      <c r="B3064" t="str">
        <v>425-92: Filing Systems, Visual</v>
      </c>
    </row>
    <row r="3065" spans="2:2" x14ac:dyDescent="0.25">
      <c r="B3065" t="str">
        <v>425-94: Work Stations, Modular, Systems Furniture</v>
      </c>
    </row>
    <row r="3066" spans="2:2" x14ac:dyDescent="0.25">
      <c r="B3066" t="str">
        <v>430-12: Containers, Liquefied Gases, Large Dewars (See Class 175 For Laboratory Sizes)</v>
      </c>
    </row>
    <row r="3067" spans="2:2" x14ac:dyDescent="0.25">
      <c r="B3067" t="str">
        <v>430-20: Filters, Natural and LPG Gas</v>
      </c>
    </row>
    <row r="3068" spans="2:2" x14ac:dyDescent="0.25">
      <c r="B3068" t="str">
        <v>430-24: Gas Cylinder Carts, Clamps, and Stands, Hospital and Laboratory Type</v>
      </c>
    </row>
    <row r="3069" spans="2:2" x14ac:dyDescent="0.25">
      <c r="B3069" t="str">
        <v>430-27: Gas Cylinders, Empty, Commercial Sizes</v>
      </c>
    </row>
    <row r="3070" spans="2:2" x14ac:dyDescent="0.25">
      <c r="B3070" t="str">
        <v>430-30: Gases, Radioactive Counting: Methane, PR-Gas, Q-Gas, etc.</v>
      </c>
    </row>
    <row r="3071" spans="2:2" x14ac:dyDescent="0.25">
      <c r="B3071" t="str">
        <v>430-32: Gas Distribution Equipment, Components and Fittings</v>
      </c>
    </row>
    <row r="3072" spans="2:2" x14ac:dyDescent="0.25">
      <c r="B3072" t="str">
        <v>430-33: Gas Mixtures, Special Purpose</v>
      </c>
    </row>
    <row r="3073" spans="2:2" x14ac:dyDescent="0.25">
      <c r="B3073" t="str">
        <v>430-36: Gas Regulators, Gauges, Fittings, and Parts</v>
      </c>
    </row>
    <row r="3074" spans="2:2" x14ac:dyDescent="0.25">
      <c r="B3074" t="str">
        <v>430-42: Laboratory Gases: Argon, Carbon Dioxide, Helium, Hydrogen, Nitrogen, etc.</v>
      </c>
    </row>
    <row r="3075" spans="2:2" x14ac:dyDescent="0.25">
      <c r="B3075" t="str">
        <v>430-48: Medical Gases, Anesthesia and Respiration Therapy: Carbon Dioxide, Cyclopropane, Nitrous Oxide, Pure Oxygen, etc.</v>
      </c>
    </row>
    <row r="3076" spans="2:2" x14ac:dyDescent="0.25">
      <c r="B3076" t="str">
        <v>430-51: Noble (Inert) Gases: Argon, Helium, Krypton, Neon, Radon, Xenon</v>
      </c>
    </row>
    <row r="3077" spans="2:2" x14ac:dyDescent="0.25">
      <c r="B3077" t="str">
        <v>430-62: Pure (Elemental) Gases (Not Otherwise Classified)</v>
      </c>
    </row>
    <row r="3078" spans="2:2" x14ac:dyDescent="0.25">
      <c r="B3078" t="str">
        <v>430-63: Purifiers, For Gases: Soda Lime, etc.</v>
      </c>
    </row>
    <row r="3079" spans="2:2" x14ac:dyDescent="0.25">
      <c r="B3079" t="str">
        <v>430-72: Rare or Highly Purified Gases, For Research Uses, etc.</v>
      </c>
    </row>
    <row r="3080" spans="2:2" x14ac:dyDescent="0.25">
      <c r="B3080" t="str">
        <v>430-75: Recycled Gases and Containers</v>
      </c>
    </row>
    <row r="3081" spans="2:2" x14ac:dyDescent="0.25">
      <c r="B3081" t="str">
        <v>430-84: Sterilizing Gases: Ethylene Oxide, etc.</v>
      </c>
    </row>
    <row r="3082" spans="2:2" x14ac:dyDescent="0.25">
      <c r="B3082" t="str">
        <v>430-92: Welding and Industrial Gases: Acetylene, Argon, Carbon Dioxide, Oxygen, etc.</v>
      </c>
    </row>
    <row r="3083" spans="2:2" x14ac:dyDescent="0.25">
      <c r="B3083" t="str">
        <v>435-04: Antimicrobial Solutions, Topical: Surgical Prep, etc.</v>
      </c>
    </row>
    <row r="3084" spans="2:2" x14ac:dyDescent="0.25">
      <c r="B3084" t="str">
        <v>435-05: Antimicrobial Protectant Solutions, Aqueous Based</v>
      </c>
    </row>
    <row r="3085" spans="2:2" x14ac:dyDescent="0.25">
      <c r="B3085" t="str">
        <v>435-08: Benzalkonium Chloride, USP, Aqueous Solution</v>
      </c>
    </row>
    <row r="3086" spans="2:2" x14ac:dyDescent="0.25">
      <c r="B3086" t="str">
        <v>435-16: Detergent, Surgical Scrub, All Types</v>
      </c>
    </row>
    <row r="3087" spans="2:2" x14ac:dyDescent="0.25">
      <c r="B3087" t="str">
        <v>435-24: Detergent-Disinfectant, Phenolic Type, Liquid</v>
      </c>
    </row>
    <row r="3088" spans="2:2" x14ac:dyDescent="0.25">
      <c r="B3088" t="str">
        <v>435-25: Disinfectant, Germicidal</v>
      </c>
    </row>
    <row r="3089" spans="2:2" x14ac:dyDescent="0.25">
      <c r="B3089" t="str">
        <v>435-40: Detergent-Disinfectant, Iodophor Type</v>
      </c>
    </row>
    <row r="3090" spans="2:2" x14ac:dyDescent="0.25">
      <c r="B3090" t="str">
        <v>435-56: Detergent-Disinfectant, Quaternary Ammonium Type</v>
      </c>
    </row>
    <row r="3091" spans="2:2" x14ac:dyDescent="0.25">
      <c r="B3091" t="str">
        <v>435-59: Disinfestation Equipment and Supplies, Ambulances, Hospital Rooms, etc.</v>
      </c>
    </row>
    <row r="3092" spans="2:2" x14ac:dyDescent="0.25">
      <c r="B3092" t="str">
        <v>435-64: Instrument Sterilizing Solution, Hospital</v>
      </c>
    </row>
    <row r="3093" spans="2:2" x14ac:dyDescent="0.25">
      <c r="B3093" t="str">
        <v>435-66: Recycled Detergents, Disinfectants and Cleaners for Health Care Personnel</v>
      </c>
    </row>
    <row r="3094" spans="2:2" x14ac:dyDescent="0.25">
      <c r="B3094" t="str">
        <v>435-67: Sanitizing and Disinfecting Supplies, Health Care Personnel</v>
      </c>
    </row>
    <row r="3095" spans="2:2" x14ac:dyDescent="0.25">
      <c r="B3095" t="str">
        <v>435-68: Skin Cleansers: Emollient, Nonalkaline, etc.</v>
      </c>
    </row>
    <row r="3096" spans="2:2" x14ac:dyDescent="0.25">
      <c r="B3096" t="str">
        <v>435-70: Skin Cleaners, Antimicrobial: Emollient, Nonalkaline, etc. (See Class 485 for Janitorial Hand and Skin Cleaners)</v>
      </c>
    </row>
    <row r="3097" spans="2:2" x14ac:dyDescent="0.25">
      <c r="B3097" t="str">
        <v>435-71: Skin Cleaners, Topical Lotions, Non-Alcohol, Long Term Killing Activity</v>
      </c>
    </row>
    <row r="3098" spans="2:2" x14ac:dyDescent="0.25">
      <c r="B3098" t="str">
        <v>435-72: Soap, Surgical Scrub (See 485-85 for Janitorial Type Scrubbing Soap)</v>
      </c>
    </row>
    <row r="3099" spans="2:2" x14ac:dyDescent="0.25">
      <c r="B3099" t="str">
        <v>435-73: Soap, Surgical Scrub, Hand Sanitizer, Alcohol Based, Long Term Killing Activity</v>
      </c>
    </row>
    <row r="3100" spans="2:2" x14ac:dyDescent="0.25">
      <c r="B3100" t="str">
        <v>435-90: Whirlpool Additives, Antimicrobial</v>
      </c>
    </row>
    <row r="3101" spans="2:2" x14ac:dyDescent="0.25">
      <c r="B3101" t="str">
        <v>436-04: Antimicrobial Solutions, Topical: Surgical Prep, etc., Environmentally Certified Products</v>
      </c>
    </row>
    <row r="3102" spans="2:2" x14ac:dyDescent="0.25">
      <c r="B3102" t="str">
        <v>436-05: Antimicrobial Protectant Solutions, Aqueous Based, Environmentally Certified Products</v>
      </c>
    </row>
    <row r="3103" spans="2:2" x14ac:dyDescent="0.25">
      <c r="B3103" t="str">
        <v>436-08: Benzalkonium Chloride, USP, Aqueous Solution, Environmentally Certified Products</v>
      </c>
    </row>
    <row r="3104" spans="2:2" x14ac:dyDescent="0.25">
      <c r="B3104" t="str">
        <v>436-16: Detergent, Surgical Scrub, All Types, Environmentally Certified Products</v>
      </c>
    </row>
    <row r="3105" spans="2:2" x14ac:dyDescent="0.25">
      <c r="B3105" t="str">
        <v>436-24: Detergent-Disinfectant, Phenolic Type, Liquid, Environmentally Certified Products</v>
      </c>
    </row>
    <row r="3106" spans="2:2" x14ac:dyDescent="0.25">
      <c r="B3106" t="str">
        <v>436-25: Disinfectant, Germicidal, Environmentally Certified Products</v>
      </c>
    </row>
    <row r="3107" spans="2:2" x14ac:dyDescent="0.25">
      <c r="B3107" t="str">
        <v>436-40: Detergent-Disinfectant, Iodophor Type, Environmentally Certified Products</v>
      </c>
    </row>
    <row r="3108" spans="2:2" x14ac:dyDescent="0.25">
      <c r="B3108" t="str">
        <v>436-56: Detergent-Disinfectant, Quaternary Ammonium Type, Environmentally Certified Products</v>
      </c>
    </row>
    <row r="3109" spans="2:2" x14ac:dyDescent="0.25">
      <c r="B3109" t="str">
        <v>436-59: Disinfestation Equipment and Supplies, Ambulances, Hospital Rooms, etc., Environmentally Certified Products</v>
      </c>
    </row>
    <row r="3110" spans="2:2" x14ac:dyDescent="0.25">
      <c r="B3110" t="str">
        <v>436-64: Instrument Sterilizing Solution, Hospital, Environmentally Certified Products</v>
      </c>
    </row>
    <row r="3111" spans="2:2" x14ac:dyDescent="0.25">
      <c r="B3111" t="str">
        <v>436-66: Recycled Detergents, Disinfectants and Cleaners for Health Care Personnel, Environmentally Certified Products</v>
      </c>
    </row>
    <row r="3112" spans="2:2" x14ac:dyDescent="0.25">
      <c r="B3112" t="str">
        <v>436-67: Sanitizing and Disinfecting Supplies, Health Care Personnel, Environmentally Certified Products</v>
      </c>
    </row>
    <row r="3113" spans="2:2" x14ac:dyDescent="0.25">
      <c r="B3113" t="str">
        <v>436-68: Skin Cleansers: Emollient, Nonalkaline, etc., Environmentally Certified Products</v>
      </c>
    </row>
    <row r="3114" spans="2:2" x14ac:dyDescent="0.25">
      <c r="B3114" t="str">
        <v>436-70: Skin Cleaners, Antimicrobial: Emollient, Nonalkaline, etc. (See Class 485 for Janitorial Hand and Skin Cleaners), Environmentally Certified Products</v>
      </c>
    </row>
    <row r="3115" spans="2:2" x14ac:dyDescent="0.25">
      <c r="B3115" t="str">
        <v>436-71: Skin Cleaners, Topical Lotions, Non-Alcohol, Long Term Killing Activity, Environmentally Certified Products</v>
      </c>
    </row>
    <row r="3116" spans="2:2" x14ac:dyDescent="0.25">
      <c r="B3116" t="str">
        <v>436-72: Soap, Surgical Scrub (See 485-85 for Janitorial Type Scrubbing Soap), Environmentally Certified Products</v>
      </c>
    </row>
    <row r="3117" spans="2:2" x14ac:dyDescent="0.25">
      <c r="B3117" t="str">
        <v>436-73: Soap, Surgical Scrub, Hand Sanitizer, Alcohol Based, Long Term Killing Activity, Environmentally Certified Products</v>
      </c>
    </row>
    <row r="3118" spans="2:2" x14ac:dyDescent="0.25">
      <c r="B3118" t="str">
        <v>436-90: Whirlpool Additives, Antimicrobial, Environmentally Certified Products</v>
      </c>
    </row>
    <row r="3119" spans="2:2" x14ac:dyDescent="0.25">
      <c r="B3119" t="str">
        <v>440-03: Glass, Beveled</v>
      </c>
    </row>
    <row r="3120" spans="2:2" x14ac:dyDescent="0.25">
      <c r="B3120" t="str">
        <v>440-04: Glass, Blocks</v>
      </c>
    </row>
    <row r="3121" spans="2:2" x14ac:dyDescent="0.25">
      <c r="B3121" t="str">
        <v>440-05: Glass, Bullet Resistant</v>
      </c>
    </row>
    <row r="3122" spans="2:2" x14ac:dyDescent="0.25">
      <c r="B3122" t="str">
        <v>440-07: Felts and Pads, Desk</v>
      </c>
    </row>
    <row r="3123" spans="2:2" x14ac:dyDescent="0.25">
      <c r="B3123" t="str">
        <v>440-10: Glass, Crystal</v>
      </c>
    </row>
    <row r="3124" spans="2:2" x14ac:dyDescent="0.25">
      <c r="B3124" t="str">
        <v>440-12: Glass, Factrolite</v>
      </c>
    </row>
    <row r="3125" spans="2:2" x14ac:dyDescent="0.25">
      <c r="B3125" t="str">
        <v>440-14: Glass, Florentine</v>
      </c>
    </row>
    <row r="3126" spans="2:2" x14ac:dyDescent="0.25">
      <c r="B3126" t="str">
        <v>440-21: Glass Cutting Machines</v>
      </c>
    </row>
    <row r="3127" spans="2:2" x14ac:dyDescent="0.25">
      <c r="B3127" t="str">
        <v>440-28: Glass Cutting Tables</v>
      </c>
    </row>
    <row r="3128" spans="2:2" x14ac:dyDescent="0.25">
      <c r="B3128" t="str">
        <v>440-29: Glass Handling Tools and Equipment</v>
      </c>
    </row>
    <row r="3129" spans="2:2" x14ac:dyDescent="0.25">
      <c r="B3129" t="str">
        <v>440-30: Glass Tinting Film and Supplies, Including Glazing Compounds</v>
      </c>
    </row>
    <row r="3130" spans="2:2" x14ac:dyDescent="0.25">
      <c r="B3130" t="str">
        <v>440-32: Glass and Glass Products, Scrap or Waste</v>
      </c>
    </row>
    <row r="3131" spans="2:2" x14ac:dyDescent="0.25">
      <c r="B3131" t="str">
        <v>440-35: Glaziers' Clips and Points</v>
      </c>
    </row>
    <row r="3132" spans="2:2" x14ac:dyDescent="0.25">
      <c r="B3132" t="str">
        <v>440-40: Glass, Hammered or Bubble</v>
      </c>
    </row>
    <row r="3133" spans="2:2" x14ac:dyDescent="0.25">
      <c r="B3133" t="str">
        <v>440-42: Glass, Heat-Tempered Safety, Fully Tempered</v>
      </c>
    </row>
    <row r="3134" spans="2:2" x14ac:dyDescent="0.25">
      <c r="B3134" t="str">
        <v>440-49: Glass, Heat-Tempered, Partially Tempered</v>
      </c>
    </row>
    <row r="3135" spans="2:2" x14ac:dyDescent="0.25">
      <c r="B3135" t="str">
        <v>440-50: Glass, Mirror</v>
      </c>
    </row>
    <row r="3136" spans="2:2" x14ac:dyDescent="0.25">
      <c r="B3136" t="str">
        <v>440-51: Glass, Obscure, Not Florentine</v>
      </c>
    </row>
    <row r="3137" spans="2:2" x14ac:dyDescent="0.25">
      <c r="B3137" t="str">
        <v>440-52: Glass, Lead</v>
      </c>
    </row>
    <row r="3138" spans="2:2" x14ac:dyDescent="0.25">
      <c r="B3138" t="str">
        <v>440-56: Glass, Annealed</v>
      </c>
    </row>
    <row r="3139" spans="2:2" x14ac:dyDescent="0.25">
      <c r="B3139" t="str">
        <v>440-60: Glass, Pyrex</v>
      </c>
    </row>
    <row r="3140" spans="2:2" x14ac:dyDescent="0.25">
      <c r="B3140" t="str">
        <v>440-62: Recycled Glass Products</v>
      </c>
    </row>
    <row r="3141" spans="2:2" x14ac:dyDescent="0.25">
      <c r="B3141" t="str">
        <v>440-63: Glass, Safety, Laminated</v>
      </c>
    </row>
    <row r="3142" spans="2:2" x14ac:dyDescent="0.25">
      <c r="B3142" t="str">
        <v>440-70: Stripping, Desk Top Glass</v>
      </c>
    </row>
    <row r="3143" spans="2:2" x14ac:dyDescent="0.25">
      <c r="B3143" t="str">
        <v>440-73: Glass, Thermo, Insulated</v>
      </c>
    </row>
    <row r="3144" spans="2:2" x14ac:dyDescent="0.25">
      <c r="B3144" t="str">
        <v>440-75: Tile, Field Glass, Including Borders and Medallions</v>
      </c>
    </row>
    <row r="3145" spans="2:2" x14ac:dyDescent="0.25">
      <c r="B3145" t="str">
        <v>440-77: Glass, Window</v>
      </c>
    </row>
    <row r="3146" spans="2:2" x14ac:dyDescent="0.25">
      <c r="B3146" t="str">
        <v>440-84: Glass, Wire</v>
      </c>
    </row>
    <row r="3147" spans="2:2" x14ac:dyDescent="0.25">
      <c r="B3147" t="str">
        <v>445-02: Air Pumps: Sporting Goods, Toys, etc. (See 075-83 for Tire Pumps)</v>
      </c>
    </row>
    <row r="3148" spans="2:2" x14ac:dyDescent="0.25">
      <c r="B3148" t="str">
        <v>445-03: Axes, Adzes, Bush Hooks, Hatchets, Mattocks, Picks, etc.</v>
      </c>
    </row>
    <row r="3149" spans="2:2" x14ac:dyDescent="0.25">
      <c r="B3149" t="str">
        <v>445-05: Balancers, Tool, Industrial</v>
      </c>
    </row>
    <row r="3150" spans="2:2" x14ac:dyDescent="0.25">
      <c r="B3150" t="str">
        <v>445-06: Bits, Dies, Drivers, Reamers, Taps, etc., Hand Tools, Powered and Non-Powered</v>
      </c>
    </row>
    <row r="3151" spans="2:2" x14ac:dyDescent="0.25">
      <c r="B3151" t="str">
        <v>445-08: Blades, Hand Saw, Non-Powered</v>
      </c>
    </row>
    <row r="3152" spans="2:2" x14ac:dyDescent="0.25">
      <c r="B3152" t="str">
        <v>445-09: Blades: Handsaw, Powered, Circular, and Reciprocating, For Powered and Non-Powered Portable Saws</v>
      </c>
    </row>
    <row r="3153" spans="2:2" x14ac:dyDescent="0.25">
      <c r="B3153" t="str">
        <v>445-10: Bricklaying Tools</v>
      </c>
    </row>
    <row r="3154" spans="2:2" x14ac:dyDescent="0.25">
      <c r="B3154" t="str">
        <v>445-12: Caulking Guns, Putty Knives, Scrapers, etc.</v>
      </c>
    </row>
    <row r="3155" spans="2:2" x14ac:dyDescent="0.25">
      <c r="B3155" t="str">
        <v>445-13: Carpet Laying Tools, Including Knee Pads</v>
      </c>
    </row>
    <row r="3156" spans="2:2" x14ac:dyDescent="0.25">
      <c r="B3156" t="str">
        <v>445-15: Chisels, Drawknives, Planes, etc.</v>
      </c>
    </row>
    <row r="3157" spans="2:2" x14ac:dyDescent="0.25">
      <c r="B3157" t="str">
        <v>445-18: Clamps: Bar, "C", Carriage, Hand, Spring, etc.; and Clamp Fixtures</v>
      </c>
    </row>
    <row r="3158" spans="2:2" x14ac:dyDescent="0.25">
      <c r="B3158" t="str">
        <v>445-19: Concrete Tools and Accessories (Not Otherwise Classified)</v>
      </c>
    </row>
    <row r="3159" spans="2:2" x14ac:dyDescent="0.25">
      <c r="B3159" t="str">
        <v>445-20: Copper and Tinsmith Tools and Equipment</v>
      </c>
    </row>
    <row r="3160" spans="2:2" x14ac:dyDescent="0.25">
      <c r="B3160" t="str">
        <v>445-21: Cutters and Knives: Bolt, Burrs, Glass, Nippers, Pinchers, etc.</v>
      </c>
    </row>
    <row r="3161" spans="2:2" x14ac:dyDescent="0.25">
      <c r="B3161" t="str">
        <v>445-26: Drills, Hand, Non-Powered: Braces, etc.</v>
      </c>
    </row>
    <row r="3162" spans="2:2" x14ac:dyDescent="0.25">
      <c r="B3162" t="str">
        <v>445-27: Drills, Hand, Portable, Powered, Automatic</v>
      </c>
    </row>
    <row r="3163" spans="2:2" x14ac:dyDescent="0.25">
      <c r="B3163" t="str">
        <v>445-29: Extractors, Pullers, and Inserters</v>
      </c>
    </row>
    <row r="3164" spans="2:2" x14ac:dyDescent="0.25">
      <c r="B3164" t="str">
        <v>445-30: Fastening Tools: Nailing Machines, Staplers, Tackers, etc.</v>
      </c>
    </row>
    <row r="3165" spans="2:2" x14ac:dyDescent="0.25">
      <c r="B3165" t="str">
        <v>445-32: Files and Rasps</v>
      </c>
    </row>
    <row r="3166" spans="2:2" x14ac:dyDescent="0.25">
      <c r="B3166" t="str">
        <v>445-33: Fireplace Components: Flues, Grates, Tools, Stokers, etc. (Inactive, please see commodity code 150-32 effective January 1, 2016)</v>
      </c>
    </row>
    <row r="3167" spans="2:2" x14ac:dyDescent="0.25">
      <c r="B3167" t="str">
        <v>445-35: Gauges: Feeler, Sheet Metal, Spark Plugs, Wire Size, etc.</v>
      </c>
    </row>
    <row r="3168" spans="2:2" x14ac:dyDescent="0.25">
      <c r="B3168" t="str">
        <v>445-37: Guns, Heat</v>
      </c>
    </row>
    <row r="3169" spans="2:2" x14ac:dyDescent="0.25">
      <c r="B3169" t="str">
        <v>445-38: Hammers, Mallets, Crow Bars, Pinch Bars, Pry Bars, Ripping Bars, Sledges, Wrecking Bars, All Types</v>
      </c>
    </row>
    <row r="3170" spans="2:2" x14ac:dyDescent="0.25">
      <c r="B3170" t="str">
        <v>445-39: Hand Tools (Not Otherwise Classified)</v>
      </c>
    </row>
    <row r="3171" spans="2:2" x14ac:dyDescent="0.25">
      <c r="B3171" t="str">
        <v>445-40: Handles, Tool, All Kinds (See 285-30 for Dielectric Handles)</v>
      </c>
    </row>
    <row r="3172" spans="2:2" x14ac:dyDescent="0.25">
      <c r="B3172" t="str">
        <v>445-41: Hazardous Material Equipment, Tools and Supplies</v>
      </c>
    </row>
    <row r="3173" spans="2:2" x14ac:dyDescent="0.25">
      <c r="B3173" t="str">
        <v>445-42: Knives, Utility and Pen, All Types and Accessories</v>
      </c>
    </row>
    <row r="3174" spans="2:2" x14ac:dyDescent="0.25">
      <c r="B3174" t="str">
        <v>445-43: Hoes, Leaf Loaders, Rakes, Weed Cutters, etc.</v>
      </c>
    </row>
    <row r="3175" spans="2:2" x14ac:dyDescent="0.25">
      <c r="B3175" t="str">
        <v>445-44: Hooks</v>
      </c>
    </row>
    <row r="3176" spans="2:2" x14ac:dyDescent="0.25">
      <c r="B3176" t="str">
        <v>445-45: Leather and Canvas Aprons and Tool Pouches, Carpenter's and Electrician's</v>
      </c>
    </row>
    <row r="3177" spans="2:2" x14ac:dyDescent="0.25">
      <c r="B3177" t="str">
        <v>445-46: Levels, Chalk Lines, Chalk Line Refills, etc.</v>
      </c>
    </row>
    <row r="3178" spans="2:2" x14ac:dyDescent="0.25">
      <c r="B3178" t="str">
        <v>445-47: Mitre Boxes</v>
      </c>
    </row>
    <row r="3179" spans="2:2" x14ac:dyDescent="0.25">
      <c r="B3179" t="str">
        <v>445-48: Mirrors, Inspection Type</v>
      </c>
    </row>
    <row r="3180" spans="2:2" x14ac:dyDescent="0.25">
      <c r="B3180" t="str">
        <v>445-49: Punches, Etchers, Marking Tools, Nail Sets, Scratch Awls, etc.</v>
      </c>
    </row>
    <row r="3181" spans="2:2" x14ac:dyDescent="0.25">
      <c r="B3181" t="str">
        <v>445-50: Presses, Hand Type</v>
      </c>
    </row>
    <row r="3182" spans="2:2" x14ac:dyDescent="0.25">
      <c r="B3182" t="str">
        <v>445-51: Pick-up Tools, Magnetic</v>
      </c>
    </row>
    <row r="3183" spans="2:2" x14ac:dyDescent="0.25">
      <c r="B3183" t="str">
        <v>445-52: Pliers, All Kinds, Except Stock Tagging)</v>
      </c>
    </row>
    <row r="3184" spans="2:2" x14ac:dyDescent="0.25">
      <c r="B3184" t="str">
        <v>445-53: Planers, Wood</v>
      </c>
    </row>
    <row r="3185" spans="2:2" x14ac:dyDescent="0.25">
      <c r="B3185" t="str">
        <v>445-55: Posthole Diggers, Earth Augers, etc., Including Utility Probes for Testing Digging Sites</v>
      </c>
    </row>
    <row r="3186" spans="2:2" x14ac:dyDescent="0.25">
      <c r="B3186" t="str">
        <v>445-56: Re-Toothing Machines, Hand Saw</v>
      </c>
    </row>
    <row r="3187" spans="2:2" x14ac:dyDescent="0.25">
      <c r="B3187" t="str">
        <v>445-57: Rules, Squares, and Tapes, Carpenter, etc.)</v>
      </c>
    </row>
    <row r="3188" spans="2:2" x14ac:dyDescent="0.25">
      <c r="B3188" t="str">
        <v>445-58: Saws (Non-Powered): Hack, Keyhole, Pruning, Pole, etc.</v>
      </c>
    </row>
    <row r="3189" spans="2:2" x14ac:dyDescent="0.25">
      <c r="B3189" t="str">
        <v>445-59: Saws, Hand, Portable, Powered</v>
      </c>
    </row>
    <row r="3190" spans="2:2" x14ac:dyDescent="0.25">
      <c r="B3190" t="str">
        <v>445-61: Scoops, Shovels, Spades, Spading Forks, etc., Including Entrenching Tools</v>
      </c>
    </row>
    <row r="3191" spans="2:2" x14ac:dyDescent="0.25">
      <c r="B3191" t="str">
        <v>445-62: Scrapers, Chipping and Sealing</v>
      </c>
    </row>
    <row r="3192" spans="2:2" x14ac:dyDescent="0.25">
      <c r="B3192" t="str">
        <v>445-63: Scrapers, Ice and Snow (See Class 765 For Motorized Type)</v>
      </c>
    </row>
    <row r="3193" spans="2:2" x14ac:dyDescent="0.25">
      <c r="B3193" t="str">
        <v>445-64: Screwdrivers, All Kinds</v>
      </c>
    </row>
    <row r="3194" spans="2:2" x14ac:dyDescent="0.25">
      <c r="B3194" t="str">
        <v>445-66: Shaft Machines, Flexible, Powered</v>
      </c>
    </row>
    <row r="3195" spans="2:2" x14ac:dyDescent="0.25">
      <c r="B3195" t="str">
        <v>445-70: Snips: Metal, Tin, etc.</v>
      </c>
    </row>
    <row r="3196" spans="2:2" x14ac:dyDescent="0.25">
      <c r="B3196" t="str">
        <v>445-73: Soldering Coppers, Guns, Irons, etc.</v>
      </c>
    </row>
    <row r="3197" spans="2:2" x14ac:dyDescent="0.25">
      <c r="B3197" t="str">
        <v>445-75: Stud Finder Tool</v>
      </c>
    </row>
    <row r="3198" spans="2:2" x14ac:dyDescent="0.25">
      <c r="B3198" t="str">
        <v>445-76: Steel Figures and Letters, Stamping</v>
      </c>
    </row>
    <row r="3199" spans="2:2" x14ac:dyDescent="0.25">
      <c r="B3199" t="str">
        <v>445-77: Thread Cutters (See 670-15 for Pipe Threader)</v>
      </c>
    </row>
    <row r="3200" spans="2:2" x14ac:dyDescent="0.25">
      <c r="B3200" t="str">
        <v>445-78: Tool Lathe, Quick-Change Type</v>
      </c>
    </row>
    <row r="3201" spans="2:2" x14ac:dyDescent="0.25">
      <c r="B3201" t="str">
        <v>445-79: Tool Boxes, Cabinets, and Chests (See Class 065 For Truck Tool Compartment Boxes)</v>
      </c>
    </row>
    <row r="3202" spans="2:2" x14ac:dyDescent="0.25">
      <c r="B3202" t="str">
        <v>445-80: Tools, Machinist</v>
      </c>
    </row>
    <row r="3203" spans="2:2" x14ac:dyDescent="0.25">
      <c r="B3203" t="str">
        <v>445-81: Tool Holders, Collets, etc., (See 445-45 for Tool Pouches)</v>
      </c>
    </row>
    <row r="3204" spans="2:2" x14ac:dyDescent="0.25">
      <c r="B3204" t="str">
        <v>445-82: Tool Sets, All Kinds</v>
      </c>
    </row>
    <row r="3205" spans="2:2" x14ac:dyDescent="0.25">
      <c r="B3205" t="str">
        <v>445-83: Tree and Pole Climbing Equipment</v>
      </c>
    </row>
    <row r="3206" spans="2:2" x14ac:dyDescent="0.25">
      <c r="B3206" t="str">
        <v>445-85: Trowels and Floats, All Kinds</v>
      </c>
    </row>
    <row r="3207" spans="2:2" x14ac:dyDescent="0.25">
      <c r="B3207" t="str">
        <v>445-87: Upholstery Tools (Inactive, effective January 1, 2016)</v>
      </c>
    </row>
    <row r="3208" spans="2:2" x14ac:dyDescent="0.25">
      <c r="B3208" t="str">
        <v>445-88: Vises, All Kinds</v>
      </c>
    </row>
    <row r="3209" spans="2:2" x14ac:dyDescent="0.25">
      <c r="B3209" t="str">
        <v>445-90: Winches, (Not Otherwise Classified)</v>
      </c>
    </row>
    <row r="3210" spans="2:2" x14ac:dyDescent="0.25">
      <c r="B3210" t="str">
        <v>445-91: Wrenches, All Kinds, Including Sockets</v>
      </c>
    </row>
    <row r="3211" spans="2:2" x14ac:dyDescent="0.25">
      <c r="B3211" t="str">
        <v>445-95: Recycled Hand Tools</v>
      </c>
    </row>
    <row r="3212" spans="2:2" x14ac:dyDescent="0.25">
      <c r="B3212" t="str">
        <v>450-01: Adhesives and Sealants (Not Otherwise Classified)</v>
      </c>
    </row>
    <row r="3213" spans="2:2" x14ac:dyDescent="0.25">
      <c r="B3213" t="str">
        <v>450-02: Adhesives, Rubber and Silicone</v>
      </c>
    </row>
    <row r="3214" spans="2:2" x14ac:dyDescent="0.25">
      <c r="B3214" t="str">
        <v>450-03: Adhesives: Glue and Glue Guns, Gum, Paste, etc.</v>
      </c>
    </row>
    <row r="3215" spans="2:2" x14ac:dyDescent="0.25">
      <c r="B3215" t="str">
        <v>450-04: Baling Wire and Ties</v>
      </c>
    </row>
    <row r="3216" spans="2:2" x14ac:dyDescent="0.25">
      <c r="B3216" t="str">
        <v>450-05: Barrel or Drum Stands</v>
      </c>
    </row>
    <row r="3217" spans="2:2" x14ac:dyDescent="0.25">
      <c r="B3217" t="str">
        <v>450-06: *Batteries, Dry Cell, Except Communications Radio and Electronic</v>
      </c>
    </row>
    <row r="3218" spans="2:2" x14ac:dyDescent="0.25">
      <c r="B3218" t="str">
        <v>450-07: Battery Chargers</v>
      </c>
    </row>
    <row r="3219" spans="2:2" x14ac:dyDescent="0.25">
      <c r="B3219" t="str">
        <v>450-08: Bins, Cabinets, and Shelves, Metal, Not Office Type</v>
      </c>
    </row>
    <row r="3220" spans="2:2" x14ac:dyDescent="0.25">
      <c r="B3220" t="str">
        <v>450-09: Bins, Cabinets, and Shelves, Wood, Not Office Type</v>
      </c>
    </row>
    <row r="3221" spans="2:2" x14ac:dyDescent="0.25">
      <c r="B3221" t="str">
        <v>450-10: Bins, Cabinets, and Shelves, Other than Metal or Wood, Not Office Type</v>
      </c>
    </row>
    <row r="3222" spans="2:2" x14ac:dyDescent="0.25">
      <c r="B3222" t="str">
        <v>450-11: Blocks: Snatch, Tackle, etc.</v>
      </c>
    </row>
    <row r="3223" spans="2:2" x14ac:dyDescent="0.25">
      <c r="B3223" t="str">
        <v>450-13: Blow Torches, Furnaces, Ladles, Melting Pots, etc.</v>
      </c>
    </row>
    <row r="3224" spans="2:2" x14ac:dyDescent="0.25">
      <c r="B3224" t="str">
        <v>450-14: Cabinets, Safety, Flammable Liquids, etc.</v>
      </c>
    </row>
    <row r="3225" spans="2:2" x14ac:dyDescent="0.25">
      <c r="B3225" t="str">
        <v>450-15: Camping and Outdoor Equipment: Camp Stoves, Cots, Lanterns (See 450-32 for Battery Types), Mantles, Sleeping Bags, Stools, Tarpaulins and Tents</v>
      </c>
    </row>
    <row r="3226" spans="2:2" x14ac:dyDescent="0.25">
      <c r="B3226" t="str">
        <v>450-16: Casters, All Types</v>
      </c>
    </row>
    <row r="3227" spans="2:2" x14ac:dyDescent="0.25">
      <c r="B3227" t="str">
        <v>450-17: Cans, Safety: Gasoline, Kerosene, Oil, etc.</v>
      </c>
    </row>
    <row r="3228" spans="2:2" x14ac:dyDescent="0.25">
      <c r="B3228" t="str">
        <v>450-18: Cans, Buckets, and Lids, General Purpose, Including Paint Cans and Buckets</v>
      </c>
    </row>
    <row r="3229" spans="2:2" x14ac:dyDescent="0.25">
      <c r="B3229" t="str">
        <v>450-19: Chain Hooks, Links, Cold Shuts, Shackles, Slips, etc.</v>
      </c>
    </row>
    <row r="3230" spans="2:2" x14ac:dyDescent="0.25">
      <c r="B3230" t="str">
        <v>450-20: Cans, Food and Beverage Packaging</v>
      </c>
    </row>
    <row r="3231" spans="2:2" x14ac:dyDescent="0.25">
      <c r="B3231" t="str">
        <v>450-21: Chain, All Types: Coil, Link, Machine, Sash, Tow, Weldless, etc.</v>
      </c>
    </row>
    <row r="3232" spans="2:2" x14ac:dyDescent="0.25">
      <c r="B3232" t="str">
        <v>450-22: Cloth, Hardware</v>
      </c>
    </row>
    <row r="3233" spans="2:2" x14ac:dyDescent="0.25">
      <c r="B3233" t="str">
        <v>450-23: Coasters and Cups, Furniture</v>
      </c>
    </row>
    <row r="3234" spans="2:2" x14ac:dyDescent="0.25">
      <c r="B3234" t="str">
        <v>450-24: Cords and Ropes Including Accessories: Cotton, Manila, Nylon, Sisal, etc.</v>
      </c>
    </row>
    <row r="3235" spans="2:2" x14ac:dyDescent="0.25">
      <c r="B3235" t="str">
        <v>450-25: Cords, Power, Electrical</v>
      </c>
    </row>
    <row r="3236" spans="2:2" x14ac:dyDescent="0.25">
      <c r="B3236" t="str">
        <v>450-26: Door Closers, Escutcheons, Eyes, Hangers, Holders, Overhead and Sliding Door Hardware, Panic Hardware, Thresholds, etc.</v>
      </c>
    </row>
    <row r="3237" spans="2:2" x14ac:dyDescent="0.25">
      <c r="B3237" t="str">
        <v>450-28: Drawer Glides, Rollers, Tracks, etc.</v>
      </c>
    </row>
    <row r="3238" spans="2:2" x14ac:dyDescent="0.25">
      <c r="B3238" t="str">
        <v>450-30: Electric Fence Controllers and Accessories</v>
      </c>
    </row>
    <row r="3239" spans="2:2" x14ac:dyDescent="0.25">
      <c r="B3239" t="str">
        <v>450-31: Flashlights and Spotlights, Security Type</v>
      </c>
    </row>
    <row r="3240" spans="2:2" x14ac:dyDescent="0.25">
      <c r="B3240" t="str">
        <v>450-32: Flashlights and Lanterns, Battery Type, (See 450-15 for Fuel Types)</v>
      </c>
    </row>
    <row r="3241" spans="2:2" x14ac:dyDescent="0.25">
      <c r="B3241" t="str">
        <v>450-33: Funnels and Spouts, All Types, Except Glass</v>
      </c>
    </row>
    <row r="3242" spans="2:2" x14ac:dyDescent="0.25">
      <c r="B3242" t="str">
        <v>450-34: Garbage Cans, Containers and Racks</v>
      </c>
    </row>
    <row r="3243" spans="2:2" x14ac:dyDescent="0.25">
      <c r="B3243" t="str">
        <v>450-35: Glides, Furniture  (Inactive, please see commodity code 450-36 effective January 1, 2016)</v>
      </c>
    </row>
    <row r="3244" spans="2:2" x14ac:dyDescent="0.25">
      <c r="B3244" t="str">
        <v>450-36: Hasps, Hinges, Hooks, Knobs, Latches, Pulls, Shelf Brackets, Swivels, Furniture Glides, 070etc.</v>
      </c>
    </row>
    <row r="3245" spans="2:2" x14ac:dyDescent="0.25">
      <c r="B3245" t="str">
        <v>450-37: Hardware Accessories: Mounts, Patches, Plates, Seats, Shoes, Stays, etc.</v>
      </c>
    </row>
    <row r="3246" spans="2:2" x14ac:dyDescent="0.25">
      <c r="B3246" t="str">
        <v>450-38: Heaters, Salamander Type</v>
      </c>
    </row>
    <row r="3247" spans="2:2" x14ac:dyDescent="0.25">
      <c r="B3247" t="str">
        <v>450-39: Holders, Broom and Mop</v>
      </c>
    </row>
    <row r="3248" spans="2:2" x14ac:dyDescent="0.25">
      <c r="B3248" t="str">
        <v>450-40: Horseshoes, Horseshoe Nails, Farrier Tools, and Blacksmith Tools</v>
      </c>
    </row>
    <row r="3249" spans="2:2" x14ac:dyDescent="0.25">
      <c r="B3249" t="str">
        <v>450-41: Hardware and Related Items (Not Otherwise Classified)</v>
      </c>
    </row>
    <row r="3250" spans="2:2" x14ac:dyDescent="0.25">
      <c r="B3250" t="str">
        <v>450-42: House and Building Numbers and Letters, All Kinds</v>
      </c>
    </row>
    <row r="3251" spans="2:2" x14ac:dyDescent="0.25">
      <c r="B3251" t="str">
        <v>450-44: Ice Chests, Portable, Thermos Bottles, etc.</v>
      </c>
    </row>
    <row r="3252" spans="2:2" x14ac:dyDescent="0.25">
      <c r="B3252" t="str">
        <v>450-46: Incinerators, Industrial</v>
      </c>
    </row>
    <row r="3253" spans="2:2" x14ac:dyDescent="0.25">
      <c r="B3253" t="str">
        <v>450-47: Knives, Pocket</v>
      </c>
    </row>
    <row r="3254" spans="2:2" x14ac:dyDescent="0.25">
      <c r="B3254" t="str">
        <v>450-48: Ladders, Fiberglass, All Types (See Class 340 for Fire Ladders)</v>
      </c>
    </row>
    <row r="3255" spans="2:2" x14ac:dyDescent="0.25">
      <c r="B3255" t="str">
        <v>450-49: Ladders, Metal, All Types (See Class 340 for Fire Ladders)</v>
      </c>
    </row>
    <row r="3256" spans="2:2" x14ac:dyDescent="0.25">
      <c r="B3256" t="str">
        <v>450-51: Ladders, Wood, All Types (See Class 340 for Fire Ladders)</v>
      </c>
    </row>
    <row r="3257" spans="2:2" x14ac:dyDescent="0.25">
      <c r="B3257" t="str">
        <v>450-52: Ladders, Extension, (See Class 340 for Fire Ladders)</v>
      </c>
    </row>
    <row r="3258" spans="2:2" x14ac:dyDescent="0.25">
      <c r="B3258" t="str">
        <v>450-53: Loadbinders and Tie Downs</v>
      </c>
    </row>
    <row r="3259" spans="2:2" x14ac:dyDescent="0.25">
      <c r="B3259" t="str">
        <v>450-54: Levelers and Jacks for Ladders</v>
      </c>
    </row>
    <row r="3260" spans="2:2" x14ac:dyDescent="0.25">
      <c r="B3260" t="str">
        <v>450-55: Locks, Key Blanks, and Locksmith Tools, Including Time Locks</v>
      </c>
    </row>
    <row r="3261" spans="2:2" x14ac:dyDescent="0.25">
      <c r="B3261" t="str">
        <v>450-56: Machine Finishing Compounds, Layout Fluids, etc., For Metals</v>
      </c>
    </row>
    <row r="3262" spans="2:2" x14ac:dyDescent="0.25">
      <c r="B3262" t="str">
        <v>450-57: Mailboxes and Supports</v>
      </c>
    </row>
    <row r="3263" spans="2:2" x14ac:dyDescent="0.25">
      <c r="B3263" t="str">
        <v>450-58: Nails, Brads, Concrete Nails, Masonry Nails, Spikes, Staples, Tacks, etc. (See 559-79 for Railroad Track Spikes)</v>
      </c>
    </row>
    <row r="3264" spans="2:2" x14ac:dyDescent="0.25">
      <c r="B3264" t="str">
        <v>450-59: Measuring Devices for Cable, Hose, Rope, etc.</v>
      </c>
    </row>
    <row r="3265" spans="2:2" x14ac:dyDescent="0.25">
      <c r="B3265" t="str">
        <v>450-60: Oilers, Hand</v>
      </c>
    </row>
    <row r="3266" spans="2:2" x14ac:dyDescent="0.25">
      <c r="B3266" t="str">
        <v>450-61: Pails, Buckets, Tubs, etc. (See 450-34 and 450-87 for Other Types)</v>
      </c>
    </row>
    <row r="3267" spans="2:2" x14ac:dyDescent="0.25">
      <c r="B3267" t="str">
        <v>450-62: Pads, Equipment Foundation, All Types, Including Recycled Type</v>
      </c>
    </row>
    <row r="3268" spans="2:2" x14ac:dyDescent="0.25">
      <c r="B3268" t="str">
        <v>450-63: Pulleys and Sheaves</v>
      </c>
    </row>
    <row r="3269" spans="2:2" x14ac:dyDescent="0.25">
      <c r="B3269" t="str">
        <v>450-64: Recycled Hardware and Rubber Products</v>
      </c>
    </row>
    <row r="3270" spans="2:2" x14ac:dyDescent="0.25">
      <c r="B3270" t="str">
        <v>450-65: Refuse Carts, Chutes, Containers, and Holders (Commercial)</v>
      </c>
    </row>
    <row r="3271" spans="2:2" x14ac:dyDescent="0.25">
      <c r="B3271" t="str">
        <v>450-66: Rope Slings, Halyards and Lanyards (See 765-93 for Wire Rope)</v>
      </c>
    </row>
    <row r="3272" spans="2:2" x14ac:dyDescent="0.25">
      <c r="B3272" t="str">
        <v>450-67: Rubbish Burners</v>
      </c>
    </row>
    <row r="3273" spans="2:2" x14ac:dyDescent="0.25">
      <c r="B3273" t="str">
        <v>450-68: Rubber, Not Recapping or Tire, Including Structural Rubber Shapes</v>
      </c>
    </row>
    <row r="3274" spans="2:2" x14ac:dyDescent="0.25">
      <c r="B3274" t="str">
        <v>450-69: Rubber, Scrap or Waste</v>
      </c>
    </row>
    <row r="3275" spans="2:2" x14ac:dyDescent="0.25">
      <c r="B3275" t="str">
        <v>450-70: Sash and Window Hardware, (See Class 150 For Casement Type)</v>
      </c>
    </row>
    <row r="3276" spans="2:2" x14ac:dyDescent="0.25">
      <c r="B3276" t="str">
        <v>450-72: Scaffolding, Sectional, Including Work Platforms</v>
      </c>
    </row>
    <row r="3277" spans="2:2" x14ac:dyDescent="0.25">
      <c r="B3277" t="str">
        <v>450-73: Security Seals</v>
      </c>
    </row>
    <row r="3278" spans="2:2" x14ac:dyDescent="0.25">
      <c r="B3278" t="str">
        <v>450-74: Shaft Couplings, Flexible and Rigid</v>
      </c>
    </row>
    <row r="3279" spans="2:2" x14ac:dyDescent="0.25">
      <c r="B3279" t="str">
        <v>450-75: Shutters, Inside and Outside Types (Inactive, please see commodity code 870-35 effective January 1, 2016)</v>
      </c>
    </row>
    <row r="3280" spans="2:2" x14ac:dyDescent="0.25">
      <c r="B3280" t="str">
        <v>450-76: Solder and Babbitt Metals</v>
      </c>
    </row>
    <row r="3281" spans="2:2" x14ac:dyDescent="0.25">
      <c r="B3281" t="str">
        <v>450-77: Tarpaulins and Tents, Commercial Weight (See 450-15 For Recreational Type), (See 065-84For Truck Body Type)</v>
      </c>
    </row>
    <row r="3282" spans="2:2" x14ac:dyDescent="0.25">
      <c r="B3282" t="str">
        <v>450-78: Traps and Snares, Animal</v>
      </c>
    </row>
    <row r="3283" spans="2:2" x14ac:dyDescent="0.25">
      <c r="B3283" t="str">
        <v>450-79: Steps, Portable</v>
      </c>
    </row>
    <row r="3284" spans="2:2" x14ac:dyDescent="0.25">
      <c r="B3284" t="str">
        <v>450-80: Trench Braces and Column Clamps</v>
      </c>
    </row>
    <row r="3285" spans="2:2" x14ac:dyDescent="0.25">
      <c r="B3285" t="str">
        <v>450-81: Tarpaulins, Large Scale Projects, Includes Installation</v>
      </c>
    </row>
    <row r="3286" spans="2:2" x14ac:dyDescent="0.25">
      <c r="B3286" t="str">
        <v>450-83: Trunnions</v>
      </c>
    </row>
    <row r="3287" spans="2:2" x14ac:dyDescent="0.25">
      <c r="B3287" t="str">
        <v>450-86: Water Repellents</v>
      </c>
    </row>
    <row r="3288" spans="2:2" x14ac:dyDescent="0.25">
      <c r="B3288" t="str">
        <v>450-87: Water Bags, Cans, Jugs, and Kegs</v>
      </c>
    </row>
    <row r="3289" spans="2:2" x14ac:dyDescent="0.25">
      <c r="B3289" t="str">
        <v>450-88: Wire and Accessories, Clothesline</v>
      </c>
    </row>
    <row r="3290" spans="2:2" x14ac:dyDescent="0.25">
      <c r="B3290" t="str">
        <v>450-89: Wheelbarrows</v>
      </c>
    </row>
    <row r="3291" spans="2:2" x14ac:dyDescent="0.25">
      <c r="B3291" t="str">
        <v>450-90: Wire Cloth, Screen, All Metals</v>
      </c>
    </row>
    <row r="3292" spans="2:2" x14ac:dyDescent="0.25">
      <c r="B3292" t="str">
        <v>450-91: Wire, General Purpose Tying and Wrapping, Including Parts and Accessories</v>
      </c>
    </row>
    <row r="3293" spans="2:2" x14ac:dyDescent="0.25">
      <c r="B3293" t="str">
        <v>450-92: Wire and Cable, Mechanical</v>
      </c>
    </row>
    <row r="3294" spans="2:2" x14ac:dyDescent="0.25">
      <c r="B3294" t="str">
        <v>450-93: Wire Stretchers</v>
      </c>
    </row>
    <row r="3295" spans="2:2" x14ac:dyDescent="0.25">
      <c r="B3295" t="str">
        <v>450-94: Wire, Non Electric, Iron, Steel, Nonferrous Metal</v>
      </c>
    </row>
    <row r="3296" spans="2:2" x14ac:dyDescent="0.25">
      <c r="B3296" t="str">
        <v>460-04: Accessories, Hose, Hangers, Reels, etc.</v>
      </c>
    </row>
    <row r="3297" spans="2:2" x14ac:dyDescent="0.25">
      <c r="B3297" t="str">
        <v>460-05: Acid/Chemical Hoses and Fittings</v>
      </c>
    </row>
    <row r="3298" spans="2:2" x14ac:dyDescent="0.25">
      <c r="B3298" t="str">
        <v>460-10: Air Hoses and Fittings</v>
      </c>
    </row>
    <row r="3299" spans="2:2" x14ac:dyDescent="0.25">
      <c r="B3299" t="str">
        <v>460-18: Fittings, Hose, Miscellaneous</v>
      </c>
    </row>
    <row r="3300" spans="2:2" x14ac:dyDescent="0.25">
      <c r="B3300" t="str">
        <v>460-20: Fuel Hoses: Diesel, Gasoline, etc., Including Fittings</v>
      </c>
    </row>
    <row r="3301" spans="2:2" x14ac:dyDescent="0.25">
      <c r="B3301" t="str">
        <v>460-30: Garden (Water) Hoses: Plastic and Rubber, Including Soaker Hose)</v>
      </c>
    </row>
    <row r="3302" spans="2:2" x14ac:dyDescent="0.25">
      <c r="B3302" t="str">
        <v>460-35: Garden Hose Accessories: Bands, Couplings, Nozzles, Splicers, etc.</v>
      </c>
    </row>
    <row r="3303" spans="2:2" x14ac:dyDescent="0.25">
      <c r="B3303" t="str">
        <v>460-36: Hoses, General Purpose</v>
      </c>
    </row>
    <row r="3304" spans="2:2" x14ac:dyDescent="0.25">
      <c r="B3304" t="str">
        <v>460-38: Gaskets, Hose and Coupling</v>
      </c>
    </row>
    <row r="3305" spans="2:2" x14ac:dyDescent="0.25">
      <c r="B3305" t="str">
        <v>460-39: Hose Fitting Machine</v>
      </c>
    </row>
    <row r="3306" spans="2:2" x14ac:dyDescent="0.25">
      <c r="B3306" t="str">
        <v>460-40: Hot Water Hoses</v>
      </c>
    </row>
    <row r="3307" spans="2:2" x14ac:dyDescent="0.25">
      <c r="B3307" t="str">
        <v>460-45: Hydraulic Hoses and Fittings (See 285-30 for Dielectric Hose and Fittings)</v>
      </c>
    </row>
    <row r="3308" spans="2:2" x14ac:dyDescent="0.25">
      <c r="B3308" t="str">
        <v>460-48: Menders, Hose</v>
      </c>
    </row>
    <row r="3309" spans="2:2" x14ac:dyDescent="0.25">
      <c r="B3309" t="str">
        <v>460-50: Linen Hoses</v>
      </c>
    </row>
    <row r="3310" spans="2:2" x14ac:dyDescent="0.25">
      <c r="B3310" t="str">
        <v>460-60: Metallic Hoses and Fittings</v>
      </c>
    </row>
    <row r="3311" spans="2:2" x14ac:dyDescent="0.25">
      <c r="B3311" t="str">
        <v>460-65: Mud Jack Hoses</v>
      </c>
    </row>
    <row r="3312" spans="2:2" x14ac:dyDescent="0.25">
      <c r="B3312" t="str">
        <v>460-70: Recycled Hoses and Accessories</v>
      </c>
    </row>
    <row r="3313" spans="2:2" x14ac:dyDescent="0.25">
      <c r="B3313" t="str">
        <v>460-75: Sand Blasting Hoses and Fittings</v>
      </c>
    </row>
    <row r="3314" spans="2:2" x14ac:dyDescent="0.25">
      <c r="B3314" t="str">
        <v>460-77: Sewage and Sludge Pump Hoses</v>
      </c>
    </row>
    <row r="3315" spans="2:2" x14ac:dyDescent="0.25">
      <c r="B3315" t="str">
        <v>460-78: Silicone Hoses</v>
      </c>
    </row>
    <row r="3316" spans="2:2" x14ac:dyDescent="0.25">
      <c r="B3316" t="str">
        <v>460-80: Steam Hoses and Fittings</v>
      </c>
    </row>
    <row r="3317" spans="2:2" x14ac:dyDescent="0.25">
      <c r="B3317" t="str">
        <v>460-85: Suction and Discharge Hoses and Fittings</v>
      </c>
    </row>
    <row r="3318" spans="2:2" x14ac:dyDescent="0.25">
      <c r="B3318" t="str">
        <v>460-90: Water Hoses and Fittings, High Pressure</v>
      </c>
    </row>
    <row r="3319" spans="2:2" x14ac:dyDescent="0.25">
      <c r="B3319" t="str">
        <v>460-91: Wire Reinforced Hoses</v>
      </c>
    </row>
    <row r="3320" spans="2:2" x14ac:dyDescent="0.25">
      <c r="B3320" t="str">
        <v>465-01: *Analyzer Equipment, Medical (Not Otherwise Classified)</v>
      </c>
    </row>
    <row r="3321" spans="2:2" x14ac:dyDescent="0.25">
      <c r="B3321" t="str">
        <v>465-02: Anesthesia and Respiration Equipment, Hospital: Controls, Gauges, Outlets, Tents, Valves, Ventilators, etc.</v>
      </c>
    </row>
    <row r="3322" spans="2:2" x14ac:dyDescent="0.25">
      <c r="B3322" t="str">
        <v>465-03: Angiocardiography, Angiography and Angioplasty Equipment and Supplies</v>
      </c>
    </row>
    <row r="3323" spans="2:2" x14ac:dyDescent="0.25">
      <c r="B3323" t="str">
        <v>465-04: Biofeedback Equipment and Supplies</v>
      </c>
    </row>
    <row r="3324" spans="2:2" x14ac:dyDescent="0.25">
      <c r="B3324" t="str">
        <v>465-05: Blood Cell Counters, Processors, Separators, and Accessories: IV Sets, etc.</v>
      </c>
    </row>
    <row r="3325" spans="2:2" x14ac:dyDescent="0.25">
      <c r="B3325" t="str">
        <v>465-07: *Blood Chemistry Equipment, For Clotting Time, Blood Glucose, etc.</v>
      </c>
    </row>
    <row r="3326" spans="2:2" x14ac:dyDescent="0.25">
      <c r="B3326" t="str">
        <v>465-09: Blood Oxygenators and Heat Exchangers</v>
      </c>
    </row>
    <row r="3327" spans="2:2" x14ac:dyDescent="0.25">
      <c r="B3327" t="str">
        <v>465-11: Blood Pressure and Blood Flow Detection Equipment: Dopplers, Sphygmomanometers, Stethoscopes, etc.</v>
      </c>
    </row>
    <row r="3328" spans="2:2" x14ac:dyDescent="0.25">
      <c r="B3328" t="str">
        <v>465-12: Cancer Equipment and Supplies, Including Chemotherapy and Radiation Equipment</v>
      </c>
    </row>
    <row r="3329" spans="2:2" x14ac:dyDescent="0.25">
      <c r="B3329" t="str">
        <v>465-13: Cardiac Pacemakers, Heart Valves, Stents, etc.</v>
      </c>
    </row>
    <row r="3330" spans="2:2" x14ac:dyDescent="0.25">
      <c r="B3330" t="str">
        <v>465-14: Cardiovascular Instrumentation: Defibrillators, Heart Pumps, Monitoring Equipment, etc.</v>
      </c>
    </row>
    <row r="3331" spans="2:2" x14ac:dyDescent="0.25">
      <c r="B3331" t="str">
        <v>465-16: Clinical Forensic and Postmortem Equipment and Supplies (Not Otherwise Classified)</v>
      </c>
    </row>
    <row r="3332" spans="2:2" x14ac:dyDescent="0.25">
      <c r="B3332" t="str">
        <v>465-17: Clinical Chemical Analysis Systems, Automatic: Colorimetric, Ion Electrode, Titrating, etc.</v>
      </c>
    </row>
    <row r="3333" spans="2:2" x14ac:dyDescent="0.25">
      <c r="B3333" t="str">
        <v>465-18: Clinical Chemical Analysis Accessories: Clinical Centrifuges and Rotators, Fraction Collectors, Multiple Sample Dispensers, Spotters, etc.</v>
      </c>
    </row>
    <row r="3334" spans="2:2" x14ac:dyDescent="0.25">
      <c r="B3334" t="str">
        <v>465-19: Cryosurgical Equipment</v>
      </c>
    </row>
    <row r="3335" spans="2:2" x14ac:dyDescent="0.25">
      <c r="B3335" t="str">
        <v>465-22: *Diagnostic Equipment, Computerized: Plethysmographs, Spirometers, etc.</v>
      </c>
    </row>
    <row r="3336" spans="2:2" x14ac:dyDescent="0.25">
      <c r="B3336" t="str">
        <v>465-23: Diagnostic Equipment, Minor: Headlights, Penlights, Percussion Hammers, Specula, Tourniquets (Blood Pressure), Tuning Forks, etc.</v>
      </c>
    </row>
    <row r="3337" spans="2:2" x14ac:dyDescent="0.25">
      <c r="B3337" t="str">
        <v>465-24: Diagnostic and Surgical Equipment, Optical and Fiber Optics: Arthroscopes, Bronchoscopes, Colonoscopes, Endoscopes, Proctoscopes, etc.</v>
      </c>
    </row>
    <row r="3338" spans="2:2" x14ac:dyDescent="0.25">
      <c r="B3338" t="str">
        <v>465-25: Diagnostic Equipment, Electronic (Not Otherwise Classified)</v>
      </c>
    </row>
    <row r="3339" spans="2:2" x14ac:dyDescent="0.25">
      <c r="B3339" t="str">
        <v>465-27: Diathermy and Ultrasonic Equipment, For Diagnostic and Therapeutic Services)</v>
      </c>
    </row>
    <row r="3340" spans="2:2" x14ac:dyDescent="0.25">
      <c r="B3340" t="str">
        <v>465-29: Electrical Safety Analyzers, For Current Leakage Detection)</v>
      </c>
    </row>
    <row r="3341" spans="2:2" x14ac:dyDescent="0.25">
      <c r="B3341" t="str">
        <v>465-30: Electrocardiographs (EKG) and Supplies</v>
      </c>
    </row>
    <row r="3342" spans="2:2" x14ac:dyDescent="0.25">
      <c r="B3342" t="str">
        <v>465-32: Electroencephalographs (EEG) and Supplies</v>
      </c>
    </row>
    <row r="3343" spans="2:2" x14ac:dyDescent="0.25">
      <c r="B3343" t="str">
        <v>465-34: Electrosurgical and Laser Surgery Instruments and Accessories</v>
      </c>
    </row>
    <row r="3344" spans="2:2" x14ac:dyDescent="0.25">
      <c r="B3344" t="str">
        <v>465-37: Eye, Ear, Nose, and Throat Equipment, Hand Held: Laryngoscopes, Ophthalmoscopes, Otoscopes, Retinoscopes, etc.</v>
      </c>
    </row>
    <row r="3345" spans="2:2" x14ac:dyDescent="0.25">
      <c r="B3345" t="str">
        <v>465-38: Fertility, Sterility, and Impotence Equipment and Supplies</v>
      </c>
    </row>
    <row r="3346" spans="2:2" x14ac:dyDescent="0.25">
      <c r="B3346" t="str">
        <v>465-40: Freezers and Refrigerators, Blood Bank Type</v>
      </c>
    </row>
    <row r="3347" spans="2:2" x14ac:dyDescent="0.25">
      <c r="B3347" t="str">
        <v>465-44: Hemodialysis Equipment and Accessories</v>
      </c>
    </row>
    <row r="3348" spans="2:2" x14ac:dyDescent="0.25">
      <c r="B3348" t="str">
        <v xml:space="preserve">465-48:  Hospital and Surgical Equipment and Accessories (Not Otherwise Classified)                                                                                                                                                                               </v>
      </c>
    </row>
    <row r="3349" spans="2:2" x14ac:dyDescent="0.25">
      <c r="B3349" t="str">
        <v>465-50: Housekeeping Equipment and Supplies, Specialized, Hospitals, Including Chemicals</v>
      </c>
    </row>
    <row r="3350" spans="2:2" x14ac:dyDescent="0.25">
      <c r="B3350" t="str">
        <v>465-53: Hypothermia Systems Equipment and Supplies</v>
      </c>
    </row>
    <row r="3351" spans="2:2" x14ac:dyDescent="0.25">
      <c r="B3351" t="str">
        <v>465-54: Injection Guns, Jet Injectors, Including Parts and Accessories</v>
      </c>
    </row>
    <row r="3352" spans="2:2" x14ac:dyDescent="0.25">
      <c r="B3352" t="str">
        <v>465-55: Intravenous and Arterial Infusion Equipment and Supplies (Not Otherwise Classified)</v>
      </c>
    </row>
    <row r="3353" spans="2:2" x14ac:dyDescent="0.25">
      <c r="B3353" t="str">
        <v>465-56: Lavage Systems and Accessories for Treatment of Wounds</v>
      </c>
    </row>
    <row r="3354" spans="2:2" x14ac:dyDescent="0.25">
      <c r="B3354" t="str">
        <v>465-57: Lithotripters, For Breaking Kidney and Other Stones</v>
      </c>
    </row>
    <row r="3355" spans="2:2" x14ac:dyDescent="0.25">
      <c r="B3355" t="str">
        <v>465-58: Lamps, Examining and Surgical (See Item 23 For Headlights)</v>
      </c>
    </row>
    <row r="3356" spans="2:2" x14ac:dyDescent="0.25">
      <c r="B3356" t="str">
        <v>465-60: Monitoring Systems, All Types, Hospital and Patient</v>
      </c>
    </row>
    <row r="3357" spans="2:2" x14ac:dyDescent="0.25">
      <c r="B3357" t="str">
        <v>465-61: Mortuary and Morgue Equipment and Supplies: Embalming Fluid, Embalming Pumps, Injectors, etc. (See 410-42 for Furniture; 475-73 for Cadaver Bags and Shrouds; 495-82 for Scales)</v>
      </c>
    </row>
    <row r="3358" spans="2:2" x14ac:dyDescent="0.25">
      <c r="B3358" t="str">
        <v>465-63: Nursery Supplies: Infant Measuring Devices, etc. (See Class 410 For Incubators)</v>
      </c>
    </row>
    <row r="3359" spans="2:2" x14ac:dyDescent="0.25">
      <c r="B3359" t="str">
        <v>465-64: Operating Room Equipment, Not Furniture</v>
      </c>
    </row>
    <row r="3360" spans="2:2" x14ac:dyDescent="0.25">
      <c r="B3360" t="str">
        <v>465-65: Obstetrical and Gynecological Equipment and Supplies</v>
      </c>
    </row>
    <row r="3361" spans="2:2" x14ac:dyDescent="0.25">
      <c r="B3361" t="str">
        <v>465-66: Organ Preservation Equipment: Perfusion Chambers, etc.</v>
      </c>
    </row>
    <row r="3362" spans="2:2" x14ac:dyDescent="0.25">
      <c r="B3362" t="str">
        <v>465-67: Orthopedic Equipment: Bone Plates, Bone Saws, Cast Cutters, Drills, Nails, Pins, Prosthetic Bones and Joints, Screws, etc.</v>
      </c>
    </row>
    <row r="3363" spans="2:2" x14ac:dyDescent="0.25">
      <c r="B3363" t="str">
        <v>465-70: Pads and Pumping Systems, Alternating Pressure Point</v>
      </c>
    </row>
    <row r="3364" spans="2:2" x14ac:dyDescent="0.25">
      <c r="B3364" t="str">
        <v>465-72: Pads and Systems, Fluid Circulating, Cooling and Warming</v>
      </c>
    </row>
    <row r="3365" spans="2:2" x14ac:dyDescent="0.25">
      <c r="B3365" t="str">
        <v>465-73: Pads, Heating, Standard Type</v>
      </c>
    </row>
    <row r="3366" spans="2:2" x14ac:dyDescent="0.25">
      <c r="B3366" t="str">
        <v>465-74: Plastic or Reconstructive Surgery Equipment and Supplies</v>
      </c>
    </row>
    <row r="3367" spans="2:2" x14ac:dyDescent="0.25">
      <c r="B3367" t="str">
        <v>465-75: Pharmacy Equipment, Dispensers and Accessories</v>
      </c>
    </row>
    <row r="3368" spans="2:2" x14ac:dyDescent="0.25">
      <c r="B3368" t="str">
        <v>465-76: Physical Therapy Equipment and Supplies</v>
      </c>
    </row>
    <row r="3369" spans="2:2" x14ac:dyDescent="0.25">
      <c r="B3369" t="str">
        <v>465-77: Pulmonary Equipment and Supplies</v>
      </c>
    </row>
    <row r="3370" spans="2:2" x14ac:dyDescent="0.25">
      <c r="B3370" t="str">
        <v>465-78: Pumps, Hospital: Breast, Enteral and IV Feeding, Infusion, Pressure, Suction (Aspirators), and Vacuum</v>
      </c>
    </row>
    <row r="3371" spans="2:2" x14ac:dyDescent="0.25">
      <c r="B3371" t="str">
        <v>465-79: Psychologist and Psychiatrist Equipment and Supplies</v>
      </c>
    </row>
    <row r="3372" spans="2:2" x14ac:dyDescent="0.25">
      <c r="B3372" t="str">
        <v>465-80: Robotics, Surgical</v>
      </c>
    </row>
    <row r="3373" spans="2:2" x14ac:dyDescent="0.25">
      <c r="B3373" t="str">
        <v>465-81: Recycled Hospital and Surgical Equipment</v>
      </c>
    </row>
    <row r="3374" spans="2:2" x14ac:dyDescent="0.25">
      <c r="B3374" t="str">
        <v>465-82: Rehabilitation Equipment and Supplies, For Hydrotherapy, Physiotherapy, Phototherapy, etc.</v>
      </c>
    </row>
    <row r="3375" spans="2:2" x14ac:dyDescent="0.25">
      <c r="B3375" t="str">
        <v>465-83: Repair Kits, Hospital and Medical Equipment</v>
      </c>
    </row>
    <row r="3376" spans="2:2" x14ac:dyDescent="0.25">
      <c r="B3376" t="str">
        <v>465-84: Shield, Protective, Surgical</v>
      </c>
    </row>
    <row r="3377" spans="2:2" x14ac:dyDescent="0.25">
      <c r="B3377" t="str">
        <v>465-85: Shock Treatment Units and Accessories</v>
      </c>
    </row>
    <row r="3378" spans="2:2" x14ac:dyDescent="0.25">
      <c r="B3378" t="str">
        <v>465-88: Splints and Tourniquets</v>
      </c>
    </row>
    <row r="3379" spans="2:2" x14ac:dyDescent="0.25">
      <c r="B3379" t="str">
        <v>465-90: Sterilizing Equipment, Hospital and Research: Autoclaves and Sterilizers, Chemical, Dry Heat, Gas, Steam, etc.</v>
      </c>
    </row>
    <row r="3380" spans="2:2" x14ac:dyDescent="0.25">
      <c r="B3380" t="str">
        <v>465-91: Stress Relief and Test Equipment</v>
      </c>
    </row>
    <row r="3381" spans="2:2" x14ac:dyDescent="0.25">
      <c r="B3381" t="str">
        <v>465-92: Surgical Instruments, Floor Grade</v>
      </c>
    </row>
    <row r="3382" spans="2:2" x14ac:dyDescent="0.25">
      <c r="B3382" t="str">
        <v>465-93: Surgical Instruments, Operating Room Grade</v>
      </c>
    </row>
    <row r="3383" spans="2:2" x14ac:dyDescent="0.25">
      <c r="B3383" t="str">
        <v>465-94: Medical Valves</v>
      </c>
    </row>
    <row r="3384" spans="2:2" x14ac:dyDescent="0.25">
      <c r="B3384" t="str">
        <v>465-95: Vaporizers, Humidifiers, and Nebulizers (Including Room Size)</v>
      </c>
    </row>
    <row r="3385" spans="2:2" x14ac:dyDescent="0.25">
      <c r="B3385" t="str">
        <v>465-97: Warming Cabinets, For Blood, IV Solutions, etc.</v>
      </c>
    </row>
    <row r="3386" spans="2:2" x14ac:dyDescent="0.25">
      <c r="B3386" t="str">
        <v>470-06: *Alarm and Warning Devices, Hospitals or Nursing Homes</v>
      </c>
    </row>
    <row r="3387" spans="2:2" x14ac:dyDescent="0.25">
      <c r="B3387" t="str">
        <v>470-10: Ambulance Cots and Stretchers, Including, Shifting Boards</v>
      </c>
    </row>
    <row r="3388" spans="2:2" x14ac:dyDescent="0.25">
      <c r="B3388" t="str">
        <v>470-13: Anatomical Braces and Supports: Arm Slings, Back Supports, Torso Supports, Neck Braces, Trusses, etc.</v>
      </c>
    </row>
    <row r="3389" spans="2:2" x14ac:dyDescent="0.25">
      <c r="B3389" t="str">
        <v>470-17: Canes, Crutches, Gait Trainers, Walkers, etc.</v>
      </c>
    </row>
    <row r="3390" spans="2:2" x14ac:dyDescent="0.25">
      <c r="B3390" t="str">
        <v>470-20: Commode Chairs and Shower Chairs</v>
      </c>
    </row>
    <row r="3391" spans="2:2" x14ac:dyDescent="0.25">
      <c r="B3391" t="str">
        <v>470-25: *Communications Systems, For the Speech Impaired, Display Scanning Type</v>
      </c>
    </row>
    <row r="3392" spans="2:2" x14ac:dyDescent="0.25">
      <c r="B3392" t="str">
        <v>470-35: Environmental Remote Control Systems</v>
      </c>
    </row>
    <row r="3393" spans="2:2" x14ac:dyDescent="0.25">
      <c r="B3393" t="str">
        <v>470-40: Fracture Frames, Traction Apparatus, Trapeze Bars, etc.</v>
      </c>
    </row>
    <row r="3394" spans="2:2" x14ac:dyDescent="0.25">
      <c r="B3394" t="str">
        <v>470-45: Hospital and Surgical Equipment and Accessories (Not Otherwise Classified)</v>
      </c>
    </row>
    <row r="3395" spans="2:2" x14ac:dyDescent="0.25">
      <c r="B3395" t="str">
        <v>470-50: Lifting Devices, Patient</v>
      </c>
    </row>
    <row r="3396" spans="2:2" x14ac:dyDescent="0.25">
      <c r="B3396" t="str">
        <v>470-54: Orientation or Navigational Aids for the Disabled</v>
      </c>
    </row>
    <row r="3397" spans="2:2" x14ac:dyDescent="0.25">
      <c r="B3397" t="str">
        <v>470-55: Page Turners</v>
      </c>
    </row>
    <row r="3398" spans="2:2" x14ac:dyDescent="0.25">
      <c r="B3398" t="str">
        <v>470-56: Personal Care Devices for the Disabled (Not Otherwise Classified)</v>
      </c>
    </row>
    <row r="3399" spans="2:2" x14ac:dyDescent="0.25">
      <c r="B3399" t="str">
        <v>470-58: Recycled Mobility, Speech Impaired and Restraint Items</v>
      </c>
    </row>
    <row r="3400" spans="2:2" x14ac:dyDescent="0.25">
      <c r="B3400" t="str">
        <v>470-60: Restraint and Protection Items: Crib Nets, Foam Helmets, Jackets, Mittens, Wristlets, etc.</v>
      </c>
    </row>
    <row r="3401" spans="2:2" x14ac:dyDescent="0.25">
      <c r="B3401" t="str">
        <v>470-62: *Robots for Assisting Disabled Persons</v>
      </c>
    </row>
    <row r="3402" spans="2:2" x14ac:dyDescent="0.25">
      <c r="B3402" t="str">
        <v>470-64: Specialized Cooking and Housekeeping Aids for the Disabled</v>
      </c>
    </row>
    <row r="3403" spans="2:2" x14ac:dyDescent="0.25">
      <c r="B3403" t="str">
        <v>470-65: Specialized Mobility Items: Gridlock or Other Devices for Wheelchair Mobility in Sand, Tricycles, etc. (See 470-80 For Wheelchairs)</v>
      </c>
    </row>
    <row r="3404" spans="2:2" x14ac:dyDescent="0.25">
      <c r="B3404" t="str">
        <v>470-67: *Speech Synthesizers</v>
      </c>
    </row>
    <row r="3405" spans="2:2" x14ac:dyDescent="0.25">
      <c r="B3405" t="str">
        <v>470-78: Training and Recreational Aids for the Disabled</v>
      </c>
    </row>
    <row r="3406" spans="2:2" x14ac:dyDescent="0.25">
      <c r="B3406" t="str">
        <v>470-79: Vision Impaired Mobility Devices and Equipment</v>
      </c>
    </row>
    <row r="3407" spans="2:2" x14ac:dyDescent="0.25">
      <c r="B3407" t="str">
        <v>470-80: Wheelchairs, Including Mobile Treatment Chairs</v>
      </c>
    </row>
    <row r="3408" spans="2:2" x14ac:dyDescent="0.25">
      <c r="B3408" t="str">
        <v>470-81: Wheelchair Lifting Devices and Accessories, Other than Vehicle Type</v>
      </c>
    </row>
    <row r="3409" spans="2:2" x14ac:dyDescent="0.25">
      <c r="B3409" t="str">
        <v>470-90: Wheeled Stretchers</v>
      </c>
    </row>
    <row r="3410" spans="2:2" x14ac:dyDescent="0.25">
      <c r="B3410" t="str">
        <v>475-05: Apnea Equipment and Supplies, Sleep</v>
      </c>
    </row>
    <row r="3411" spans="2:2" x14ac:dyDescent="0.25">
      <c r="B3411" t="str">
        <v>475-06: Atomizers and Nebulizers, Pocket Size</v>
      </c>
    </row>
    <row r="3412" spans="2:2" x14ac:dyDescent="0.25">
      <c r="B3412" t="str">
        <v>475-08: Bags, Physician and Nurse</v>
      </c>
    </row>
    <row r="3413" spans="2:2" x14ac:dyDescent="0.25">
      <c r="B3413" t="str">
        <v>475-09: Bandages (All Types): Adhesive Tapes, Dressings, Plaster of Paris, and Surgical Gauze (Including Casts)</v>
      </c>
    </row>
    <row r="3414" spans="2:2" x14ac:dyDescent="0.25">
      <c r="B3414" t="str">
        <v>475-10: Bath Systems Complete, Patient</v>
      </c>
    </row>
    <row r="3415" spans="2:2" x14ac:dyDescent="0.25">
      <c r="B3415" t="str">
        <v>475-11: Blades and Handles, Surgeons'</v>
      </c>
    </row>
    <row r="3416" spans="2:2" x14ac:dyDescent="0.25">
      <c r="B3416" t="str">
        <v>475-12: Body Parts for Transplanting, Artificial and Human</v>
      </c>
    </row>
    <row r="3417" spans="2:2" x14ac:dyDescent="0.25">
      <c r="B3417" t="str">
        <v>475-14: Brush-Sponges, Scrub Brushes, and Dispensers</v>
      </c>
    </row>
    <row r="3418" spans="2:2" x14ac:dyDescent="0.25">
      <c r="B3418" t="str">
        <v>475-15: Brushes, Specialized, Instrument Cleaning: Tracheal Tube, etc.</v>
      </c>
    </row>
    <row r="3419" spans="2:2" x14ac:dyDescent="0.25">
      <c r="B3419" t="str">
        <v>475-16: Catheters, IV: Around Needle, Inside Needle, and Winged Vein Sets</v>
      </c>
    </row>
    <row r="3420" spans="2:2" x14ac:dyDescent="0.25">
      <c r="B3420" t="str">
        <v>475-17: Catheters and Urinary Drainage Systems, Plastic and Rubber</v>
      </c>
    </row>
    <row r="3421" spans="2:2" x14ac:dyDescent="0.25">
      <c r="B3421" t="str">
        <v>475-18: Catheters, Specialized and Guide Wires</v>
      </c>
    </row>
    <row r="3422" spans="2:2" x14ac:dyDescent="0.25">
      <c r="B3422" t="str">
        <v>475-19: Cement and Tape Remover, Surgical</v>
      </c>
    </row>
    <row r="3423" spans="2:2" x14ac:dyDescent="0.25">
      <c r="B3423" t="str">
        <v>475-20: Cleaning Equipment and Supplies, For Infectious Body Fluid</v>
      </c>
    </row>
    <row r="3424" spans="2:2" x14ac:dyDescent="0.25">
      <c r="B3424" t="str">
        <v>475-21: Care Supplies, Patient (Not Otherwise Classified)</v>
      </c>
    </row>
    <row r="3425" spans="2:2" x14ac:dyDescent="0.25">
      <c r="B3425" t="str">
        <v>475-22: Clips, Wound, Not for Use in Automatic Suturing Instruments</v>
      </c>
    </row>
    <row r="3426" spans="2:2" x14ac:dyDescent="0.25">
      <c r="B3426" t="str">
        <v>475-24: Collection Systems, Suction, Disposable</v>
      </c>
    </row>
    <row r="3427" spans="2:2" x14ac:dyDescent="0.25">
      <c r="B3427" t="str">
        <v>475-26: Crushers and Cutters, Tablet</v>
      </c>
    </row>
    <row r="3428" spans="2:2" x14ac:dyDescent="0.25">
      <c r="B3428" t="str">
        <v>475-27: Cotton and Rayon, Surgical, Dry or Impregnated With Germicide)Applicators, Balls, Padding, Swabs, etc.</v>
      </c>
    </row>
    <row r="3429" spans="2:2" x14ac:dyDescent="0.25">
      <c r="B3429" t="str">
        <v>475-28: Debridement Products and Supplies</v>
      </c>
    </row>
    <row r="3430" spans="2:2" x14ac:dyDescent="0.25">
      <c r="B3430" t="str">
        <v>475-29: *Diabetes Test Kits, Including Syringes</v>
      </c>
    </row>
    <row r="3431" spans="2:2" x14ac:dyDescent="0.25">
      <c r="B3431" t="str">
        <v>475-30: Decubitus Pads: Sheepskin Shearlings, Synthetics, etc.</v>
      </c>
    </row>
    <row r="3432" spans="2:2" x14ac:dyDescent="0.25">
      <c r="B3432" t="str">
        <v>475-31: Dispensers, Hospital (Not Otherwise Classified)</v>
      </c>
    </row>
    <row r="3433" spans="2:2" x14ac:dyDescent="0.25">
      <c r="B3433" t="str">
        <v>475-32: Disposals, Sanitary Napkin</v>
      </c>
    </row>
    <row r="3434" spans="2:2" x14ac:dyDescent="0.25">
      <c r="B3434" t="str">
        <v>475-33: Dermatome Blades, Cement, and Tape</v>
      </c>
    </row>
    <row r="3435" spans="2:2" x14ac:dyDescent="0.25">
      <c r="B3435" t="str">
        <v>475-34: Disposal Systems, Non-reusable: Blades, Hospital Waste Containers, Needles, Syringes, etc.</v>
      </c>
    </row>
    <row r="3436" spans="2:2" x14ac:dyDescent="0.25">
      <c r="B3436" t="str">
        <v>475-35: Electrodes, Grounding Pads, Lead Wires, and Electrode Gel, For Monitoring Devices, Disposable</v>
      </c>
    </row>
    <row r="3437" spans="2:2" x14ac:dyDescent="0.25">
      <c r="B3437" t="str">
        <v>475-36: Glassware: Bottles, Prescription and Nursing; Glasses, Medicine; Jars, Ointment and Dressing; Vials, Medicine, Specimen, etc.</v>
      </c>
    </row>
    <row r="3438" spans="2:2" x14ac:dyDescent="0.25">
      <c r="B3438" t="str">
        <v>475-37: Emergency Medical Services (EMS) Equipment and Supplies: Response Kits, Life Support Kits, Trauma Kits, etc.</v>
      </c>
    </row>
    <row r="3439" spans="2:2" x14ac:dyDescent="0.25">
      <c r="B3439" t="str">
        <v>475-39: Glove Powder and Detergents</v>
      </c>
    </row>
    <row r="3440" spans="2:2" x14ac:dyDescent="0.25">
      <c r="B3440" t="str">
        <v>475-40: Grafts and Implants, External</v>
      </c>
    </row>
    <row r="3441" spans="2:2" x14ac:dyDescent="0.25">
      <c r="B3441" t="str">
        <v>475-41: Gloves and Finger Cots, Medical Type</v>
      </c>
    </row>
    <row r="3442" spans="2:2" x14ac:dyDescent="0.25">
      <c r="B3442" t="str">
        <v>475-42: Grafts and Implants, Internal</v>
      </c>
    </row>
    <row r="3443" spans="2:2" x14ac:dyDescent="0.25">
      <c r="B3443" t="str">
        <v>475-43: Height Measurement Devices</v>
      </c>
    </row>
    <row r="3444" spans="2:2" x14ac:dyDescent="0.25">
      <c r="B3444" t="str">
        <v>475-44: Hosiery, Orthopedic and Surgical</v>
      </c>
    </row>
    <row r="3445" spans="2:2" x14ac:dyDescent="0.25">
      <c r="B3445" t="str">
        <v>475-45: Hospital Tubing and Accessories, All Types</v>
      </c>
    </row>
    <row r="3446" spans="2:2" x14ac:dyDescent="0.25">
      <c r="B3446" t="str">
        <v>475-47: Identification Supplies, Patient</v>
      </c>
    </row>
    <row r="3447" spans="2:2" x14ac:dyDescent="0.25">
      <c r="B3447" t="str">
        <v>475-48: Instrument Cleaners: Instrument Milk, Detergents, Lubricants, Rust Inhibitors, etc.</v>
      </c>
    </row>
    <row r="3448" spans="2:2" x14ac:dyDescent="0.25">
      <c r="B3448" t="str">
        <v>475-49: Instructional Aids and Training Programs, Medical (See Class 345 and/or Class 785 for Manikins and Models)</v>
      </c>
    </row>
    <row r="3449" spans="2:2" x14ac:dyDescent="0.25">
      <c r="B3449" t="str">
        <v>475-50: Lancets, Blood</v>
      </c>
    </row>
    <row r="3450" spans="2:2" x14ac:dyDescent="0.25">
      <c r="B3450" t="str">
        <v>475-51: Lymphatic Equipment and Supplies, Mapping, Navigator, etc.</v>
      </c>
    </row>
    <row r="3451" spans="2:2" x14ac:dyDescent="0.25">
      <c r="B3451" t="str">
        <v>475-52: Medical Ergonomic Instruments and Equipment</v>
      </c>
    </row>
    <row r="3452" spans="2:2" x14ac:dyDescent="0.25">
      <c r="B3452" t="str">
        <v>475-53: Medical I.D. Bracelets, Tags, etc., for Hospital Patients and Medical Emergency</v>
      </c>
    </row>
    <row r="3453" spans="2:2" x14ac:dyDescent="0.25">
      <c r="B3453" t="str">
        <v>475-54: Medical Documentation Forms, Charts, Labels, etc.</v>
      </c>
    </row>
    <row r="3454" spans="2:2" x14ac:dyDescent="0.25">
      <c r="B3454" t="str">
        <v>475-55: Medical Examination Equipment and Supplies (Not Otherwise Classified)</v>
      </c>
    </row>
    <row r="3455" spans="2:2" x14ac:dyDescent="0.25">
      <c r="B3455" t="str">
        <v>475-61: Needles, Specialized: Amniocentesis Type, Biopsy, Spinal, Surgical, etc.</v>
      </c>
    </row>
    <row r="3456" spans="2:2" x14ac:dyDescent="0.25">
      <c r="B3456" t="str">
        <v>475-62: Operating and Examining Apparel, Disposable: Capes, Caps, Examination Paper, Gowns, Masks, etc.</v>
      </c>
    </row>
    <row r="3457" spans="2:2" x14ac:dyDescent="0.25">
      <c r="B3457" t="str">
        <v>475-63: Ostomy Care Products</v>
      </c>
    </row>
    <row r="3458" spans="2:2" x14ac:dyDescent="0.25">
      <c r="B3458" t="str">
        <v>475-64: Paper Goods: Diapers, Medication Blister Cards, Pillow Cases, Sheets, Wiping Tissues, etc.</v>
      </c>
    </row>
    <row r="3459" spans="2:2" x14ac:dyDescent="0.25">
      <c r="B3459" t="str">
        <v>475-65: Pads, Sterile, Impregnated, For Topical Applications</v>
      </c>
    </row>
    <row r="3460" spans="2:2" x14ac:dyDescent="0.25">
      <c r="B3460" t="str">
        <v>475-66: Packs, Pads, and Drapes, Surgical: Lap Sponges, OB Pads, etc.</v>
      </c>
    </row>
    <row r="3461" spans="2:2" x14ac:dyDescent="0.25">
      <c r="B3461" t="str">
        <v>475-67: Personal Items: Applicators, Corn Plasters, Safety Pins, Suspensories, Tongue Blades, etc.</v>
      </c>
    </row>
    <row r="3462" spans="2:2" x14ac:dyDescent="0.25">
      <c r="B3462" t="str">
        <v>475-68: Paramedic Equipment and Supplies (Not Otherwise Classified)</v>
      </c>
    </row>
    <row r="3463" spans="2:2" x14ac:dyDescent="0.25">
      <c r="B3463" t="str">
        <v>475-69: Pharmaceutical Equipment and Supplies (Not Otherwise Classified)</v>
      </c>
    </row>
    <row r="3464" spans="2:2" x14ac:dyDescent="0.25">
      <c r="B3464" t="str">
        <v>475-70: Plastic Ware: Bottles; Prescription and Nursing; Cups, Medicine; Jars, Ointment and Dressing; Vials, Medicine; Specimen, Sickness Bags, etc.</v>
      </c>
    </row>
    <row r="3465" spans="2:2" x14ac:dyDescent="0.25">
      <c r="B3465" t="str">
        <v>475-71: Protective Wall and Corner Guards Installed in Health and Nursing Facilities, For Patients Safety and Protection</v>
      </c>
    </row>
    <row r="3466" spans="2:2" x14ac:dyDescent="0.25">
      <c r="B3466" t="str">
        <v>475-72: Recycled Hospital Accessories and Sundry Equipment and Supplies</v>
      </c>
    </row>
    <row r="3467" spans="2:2" x14ac:dyDescent="0.25">
      <c r="B3467" t="str">
        <v>475-73: Rubber, Fabric, and Plastic Goods: Cadaver Bags and Shrouds, Ice Bags, Sheeting, Tubing, Water Bottles, etc.</v>
      </c>
    </row>
    <row r="3468" spans="2:2" x14ac:dyDescent="0.25">
      <c r="B3468" t="str">
        <v>475-74: Sets, Procedural, Disposable: Catheter Care, Enema, Irrigation, Surgical Prep, Surgical Scrub, Suture Removal, Urine and Stool Collection Kits, etc.</v>
      </c>
    </row>
    <row r="3469" spans="2:2" x14ac:dyDescent="0.25">
      <c r="B3469" t="str">
        <v>475-75: Stopcocks and Adapters, Reusable</v>
      </c>
    </row>
    <row r="3470" spans="2:2" x14ac:dyDescent="0.25">
      <c r="B3470" t="str">
        <v>475-76: Stopcocks, Disposable</v>
      </c>
    </row>
    <row r="3471" spans="2:2" x14ac:dyDescent="0.25">
      <c r="B3471" t="str">
        <v>475-77: Sterilizing, Sanitizing and Disinfecting Supplies: Biohazard Bags, Indicators, Sterilizing Tapes, Tubes, Wraps, etc.</v>
      </c>
    </row>
    <row r="3472" spans="2:2" x14ac:dyDescent="0.25">
      <c r="B3472" t="str">
        <v>475-78: Sutures and Suturing Needles, Disposable, Including Skin Staplers, Skin Closures and Supplies</v>
      </c>
    </row>
    <row r="3473" spans="2:2" x14ac:dyDescent="0.25">
      <c r="B3473" t="str">
        <v>475-79: Surgical Bougies, Sounds, Obturators, etc.</v>
      </c>
    </row>
    <row r="3474" spans="2:2" x14ac:dyDescent="0.25">
      <c r="B3474" t="str">
        <v>475-80: Syringes and Needles, Hypodermic, Reusable</v>
      </c>
    </row>
    <row r="3475" spans="2:2" x14ac:dyDescent="0.25">
      <c r="B3475" t="str">
        <v>475-81: Surgical Support Supplies Including Post-Surgery (Not Otherwise Classified)</v>
      </c>
    </row>
    <row r="3476" spans="2:2" x14ac:dyDescent="0.25">
      <c r="B3476" t="str">
        <v>475-82: Syringes, Hypodermic and Irrigation, Disposable, and Hypodermic Needles</v>
      </c>
    </row>
    <row r="3477" spans="2:2" x14ac:dyDescent="0.25">
      <c r="B3477" t="str">
        <v>475-83: Tissues, Body</v>
      </c>
    </row>
    <row r="3478" spans="2:2" x14ac:dyDescent="0.25">
      <c r="B3478" t="str">
        <v>475-84: Trauma Packs and Kits</v>
      </c>
    </row>
    <row r="3479" spans="2:2" x14ac:dyDescent="0.25">
      <c r="B3479" t="str">
        <v>475-85: Thermometers, Clinical; Sheaths and Dispensers, Including Electronic</v>
      </c>
    </row>
    <row r="3480" spans="2:2" x14ac:dyDescent="0.25">
      <c r="B3480" t="str">
        <v>475-86: Trays, Preparation</v>
      </c>
    </row>
    <row r="3481" spans="2:2" x14ac:dyDescent="0.25">
      <c r="B3481" t="str">
        <v>475-87: Tracheotomy Equipment and Accessories, Including Tracheal Tubes, Masks, etc.</v>
      </c>
    </row>
    <row r="3482" spans="2:2" x14ac:dyDescent="0.25">
      <c r="B3482" t="str">
        <v>475-88: Utensils, Sickroom: Aluminum, Enamelware, Stainless Steel, etc., Bed Pans, etc.) (Inactive, please see commodity code 475-90 effective January 1, 2016)</v>
      </c>
    </row>
    <row r="3483" spans="2:2" x14ac:dyDescent="0.25">
      <c r="B3483" t="str">
        <v>475-89: Utensils, Sickroom, Fiber: Bed Pans, Preparation Trays, Pill Bottles, etc.(Inactive, please see commodity code 475-90 effective January 1, 2016)</v>
      </c>
    </row>
    <row r="3484" spans="2:2" x14ac:dyDescent="0.25">
      <c r="B3484" t="str">
        <v>475-90: Utensils, Sickroom, Aluminum, Enamelware, Fiber, Stainless Steel, Plastic, Bed Pans, etc.</v>
      </c>
    </row>
    <row r="3485" spans="2:2" x14ac:dyDescent="0.25">
      <c r="B3485" t="str">
        <v>475-93: Vaccination Needles and Devices, Including Immunology Equipment</v>
      </c>
    </row>
    <row r="3486" spans="2:2" x14ac:dyDescent="0.25">
      <c r="B3486" t="str">
        <v>475-95: Vacuum Blood-Collecting Sets, Tubes, Tube-Holders and Needles</v>
      </c>
    </row>
    <row r="3487" spans="2:2" x14ac:dyDescent="0.25">
      <c r="B3487" t="str">
        <v>475-97: Vaginal Speculums and Dilators, Disposable</v>
      </c>
    </row>
    <row r="3488" spans="2:2" x14ac:dyDescent="0.25">
      <c r="B3488" t="str">
        <v>485-01: Ammonia and Other Chemicals, Household, Plain or Sudsing</v>
      </c>
    </row>
    <row r="3489" spans="2:2" x14ac:dyDescent="0.25">
      <c r="B3489" t="str">
        <v>485-02: Animal Cage Cleaning Compound</v>
      </c>
    </row>
    <row r="3490" spans="2:2" x14ac:dyDescent="0.25">
      <c r="B3490" t="str">
        <v>485-03: Adhesive Removers</v>
      </c>
    </row>
    <row r="3491" spans="2:2" x14ac:dyDescent="0.25">
      <c r="B3491" t="str">
        <v>485-04: Applicators, Floor Finish, All Types, Except Brushes</v>
      </c>
    </row>
    <row r="3492" spans="2:2" x14ac:dyDescent="0.25">
      <c r="B3492" t="str">
        <v>485-05: Bags and Liners, Plastic: Garbage Can Liners, Janitor Cart Liners, Linen Hamper Liners, Litter Bags, Polyethylene Bags, etc., Including Biodegradable</v>
      </c>
    </row>
    <row r="3493" spans="2:2" x14ac:dyDescent="0.25">
      <c r="B3493" t="str">
        <v>485-06: Bottles, Glass, (For Cleaners, Detergents, and Janitorial Supplies</v>
      </c>
    </row>
    <row r="3494" spans="2:2" x14ac:dyDescent="0.25">
      <c r="B3494" t="str">
        <v>485-08: Bottles, Plastic, For Cleaners, Detergents, and Janitorial Supplies</v>
      </c>
    </row>
    <row r="3495" spans="2:2" x14ac:dyDescent="0.25">
      <c r="B3495" t="str">
        <v>485-09: Brush Cleaner</v>
      </c>
    </row>
    <row r="3496" spans="2:2" x14ac:dyDescent="0.25">
      <c r="B3496" t="str">
        <v>485-10: Brooms, Brushes, and Handles</v>
      </c>
    </row>
    <row r="3497" spans="2:2" x14ac:dyDescent="0.25">
      <c r="B3497" t="str">
        <v>485-11: Cleaner and Detergent, Paste and Tablets</v>
      </c>
    </row>
    <row r="3498" spans="2:2" x14ac:dyDescent="0.25">
      <c r="B3498" t="str">
        <v>485-12: Cleaner and Polish, Metal, Brass, Stainless Steel, etc.</v>
      </c>
    </row>
    <row r="3499" spans="2:2" x14ac:dyDescent="0.25">
      <c r="B3499" t="str">
        <v>485-13: Cleaner, Hand and Skin, Synthetic Detergent Type (See 435-68, 70 for Skin Cleaners for Health Care Personnel</v>
      </c>
    </row>
    <row r="3500" spans="2:2" x14ac:dyDescent="0.25">
      <c r="B3500" t="str">
        <v>485-14: Cleaner, Hand, Mechanics' Waterless</v>
      </c>
    </row>
    <row r="3501" spans="2:2" x14ac:dyDescent="0.25">
      <c r="B3501" t="str">
        <v>485-15: Cleaner and Polish, Plastic</v>
      </c>
    </row>
    <row r="3502" spans="2:2" x14ac:dyDescent="0.25">
      <c r="B3502" t="str">
        <v>485-16: Cleaner, Hard Products, General Purpose, Liquid, Including Graffiti Cleaners</v>
      </c>
    </row>
    <row r="3503" spans="2:2" x14ac:dyDescent="0.25">
      <c r="B3503" t="str">
        <v>485-17: Cleaner and Polish, Wood</v>
      </c>
    </row>
    <row r="3504" spans="2:2" x14ac:dyDescent="0.25">
      <c r="B3504" t="str">
        <v>485-18: Cleaner, Heavy Duty Degreaser, Including Oven Cleaners</v>
      </c>
    </row>
    <row r="3505" spans="2:2" x14ac:dyDescent="0.25">
      <c r="B3505" t="str">
        <v>485-19: Cleaner/Remover, Lead-Based Debris</v>
      </c>
    </row>
    <row r="3506" spans="2:2" x14ac:dyDescent="0.25">
      <c r="B3506" t="str">
        <v>485-20: Cleaner and Polish for Marble, Masonry, Porcelain, etc.</v>
      </c>
    </row>
    <row r="3507" spans="2:2" x14ac:dyDescent="0.25">
      <c r="B3507" t="str">
        <v>485-21: Cleaner, Spray</v>
      </c>
    </row>
    <row r="3508" spans="2:2" x14ac:dyDescent="0.25">
      <c r="B3508" t="str">
        <v>485-22: Cleaner, Sewer, Septic Tank, and Waste Pipe, Acid and Caustic Types, Including  Drain Openers</v>
      </c>
    </row>
    <row r="3509" spans="2:2" x14ac:dyDescent="0.25">
      <c r="B3509" t="str">
        <v>485-24: Cleaner, Sewer, Septic Tank, and Waste Pipe, Aerobic Bacteria and Fungi Type</v>
      </c>
    </row>
    <row r="3510" spans="2:2" x14ac:dyDescent="0.25">
      <c r="B3510" t="str">
        <v>485-25: Cleaner, Tile and Grout</v>
      </c>
    </row>
    <row r="3511" spans="2:2" x14ac:dyDescent="0.25">
      <c r="B3511" t="str">
        <v>485-26: Cleaner, Toilet Bowl, Granular and Liquid</v>
      </c>
    </row>
    <row r="3512" spans="2:2" x14ac:dyDescent="0.25">
      <c r="B3512" t="str">
        <v>485-27: Cleaner, Vinyl, Upholstery</v>
      </c>
    </row>
    <row r="3513" spans="2:2" x14ac:dyDescent="0.25">
      <c r="B3513" t="str">
        <v>485-28: Cleaner and Wax: Window, Mirror, and Glass</v>
      </c>
    </row>
    <row r="3514" spans="2:2" x14ac:dyDescent="0.25">
      <c r="B3514" t="str">
        <v>485-29: Cleanser, Powdered, Chlorinated</v>
      </c>
    </row>
    <row r="3515" spans="2:2" x14ac:dyDescent="0.25">
      <c r="B3515" t="str">
        <v>485-30: Deodorant Blocks, All Types</v>
      </c>
    </row>
    <row r="3516" spans="2:2" x14ac:dyDescent="0.25">
      <c r="B3516" t="str">
        <v>485-31: Deodorants for Portable Toilets, Including Ozone Air Freshener Type</v>
      </c>
    </row>
    <row r="3517" spans="2:2" x14ac:dyDescent="0.25">
      <c r="B3517" t="str">
        <v>485-32: Deodorants, Room, All Types</v>
      </c>
    </row>
    <row r="3518" spans="2:2" x14ac:dyDescent="0.25">
      <c r="B3518" t="str">
        <v>485-33: Deodorants, Industrial</v>
      </c>
    </row>
    <row r="3519" spans="2:2" x14ac:dyDescent="0.25">
      <c r="B3519" t="str">
        <v>485-34: Detergent, Steam and Hot Water Spray Cleaning</v>
      </c>
    </row>
    <row r="3520" spans="2:2" x14ac:dyDescent="0.25">
      <c r="B3520" t="str">
        <v>485-36: Detergent, Car Washing, Cold Water Type</v>
      </c>
    </row>
    <row r="3521" spans="2:2" x14ac:dyDescent="0.25">
      <c r="B3521" t="str">
        <v>485-37: Detergent-Disinfectant, Washroom Type, Liquid and Aerosol (See Class 435 for Health Care and 505 for Laundry Type)</v>
      </c>
    </row>
    <row r="3522" spans="2:2" x14ac:dyDescent="0.25">
      <c r="B3522" t="str">
        <v>485-38: Dishwashing Compounds, Hand and Machine Type, Including Rinse Solutions</v>
      </c>
    </row>
    <row r="3523" spans="2:2" x14ac:dyDescent="0.25">
      <c r="B3523" t="str">
        <v>485-40: Disinfectants, Spray and Powdered</v>
      </c>
    </row>
    <row r="3524" spans="2:2" x14ac:dyDescent="0.25">
      <c r="B3524" t="str">
        <v>485-42: Disinfectants, Pine Oil</v>
      </c>
    </row>
    <row r="3525" spans="2:2" x14ac:dyDescent="0.25">
      <c r="B3525" t="str">
        <v>485-44: Dispensers, Lotion and Soap, Including Waterless Soap Dispenser</v>
      </c>
    </row>
    <row r="3526" spans="2:2" x14ac:dyDescent="0.25">
      <c r="B3526" t="str">
        <v>485-45: Dispensers, For Metered Aerosol Deodorants, Air Sanitizers, and Insecticides, AC and DC Models</v>
      </c>
    </row>
    <row r="3527" spans="2:2" x14ac:dyDescent="0.25">
      <c r="B3527" t="str">
        <v>485-46: Dispensers and Holders, For Cleaning Rags, Paper Towels, Toilet Tissue, and Toilet Seat Covers</v>
      </c>
    </row>
    <row r="3528" spans="2:2" x14ac:dyDescent="0.25">
      <c r="B3528" t="str">
        <v>485-48: Dispensers, For Sanitary Napkins and Tampons</v>
      </c>
    </row>
    <row r="3529" spans="2:2" x14ac:dyDescent="0.25">
      <c r="B3529" t="str">
        <v>485-50: Door Mats, All Types</v>
      </c>
    </row>
    <row r="3530" spans="2:2" x14ac:dyDescent="0.25">
      <c r="B3530" t="str">
        <v>485-51: Dry Powder Processing Machine, For the Production and Packaging of Powder Soap</v>
      </c>
    </row>
    <row r="3531" spans="2:2" x14ac:dyDescent="0.25">
      <c r="B3531" t="str">
        <v>485-52: Dusting Cloths, Treated</v>
      </c>
    </row>
    <row r="3532" spans="2:2" x14ac:dyDescent="0.25">
      <c r="B3532" t="str">
        <v>485-53: Dusters: Feather, Lambs Wool, Split, etc.</v>
      </c>
    </row>
    <row r="3533" spans="2:2" x14ac:dyDescent="0.25">
      <c r="B3533" t="str">
        <v>485-54: Floor Polishes and Waxes, Floor Sealer, and Dust Mop Treating Compound</v>
      </c>
    </row>
    <row r="3534" spans="2:2" x14ac:dyDescent="0.25">
      <c r="B3534" t="str">
        <v>485-55: Floor Stripper and Cleaners</v>
      </c>
    </row>
    <row r="3535" spans="2:2" x14ac:dyDescent="0.25">
      <c r="B3535" t="str">
        <v>485-56: Floor Sweeping Compound and Oil</v>
      </c>
    </row>
    <row r="3536" spans="2:2" x14ac:dyDescent="0.25">
      <c r="B3536" t="str">
        <v>485-57: Fly-Swatters</v>
      </c>
    </row>
    <row r="3537" spans="2:2" x14ac:dyDescent="0.25">
      <c r="B3537" t="str">
        <v>485-58: Furniture Polish</v>
      </c>
    </row>
    <row r="3538" spans="2:2" x14ac:dyDescent="0.25">
      <c r="B3538" t="str">
        <v>485-59: Insect Control Units, Chemical or Electric, Lures and Traps</v>
      </c>
    </row>
    <row r="3539" spans="2:2" x14ac:dyDescent="0.25">
      <c r="B3539" t="str">
        <v>485-60: Insecticides and Repellents, Household</v>
      </c>
    </row>
    <row r="3540" spans="2:2" x14ac:dyDescent="0.25">
      <c r="B3540" t="str">
        <v>485-62: Insecticide Spraying Equipment, Household</v>
      </c>
    </row>
    <row r="3541" spans="2:2" x14ac:dyDescent="0.25">
      <c r="B3541" t="str">
        <v>485-64: Janitor Carts and Bags</v>
      </c>
    </row>
    <row r="3542" spans="2:2" x14ac:dyDescent="0.25">
      <c r="B3542" t="str">
        <v>485-65: Janitorial Equipment and Supplies (Not Otherwise Classified)</v>
      </c>
    </row>
    <row r="3543" spans="2:2" x14ac:dyDescent="0.25">
      <c r="B3543" t="str">
        <v>485-66: Linen Hampers and Bags</v>
      </c>
    </row>
    <row r="3544" spans="2:2" x14ac:dyDescent="0.25">
      <c r="B3544" t="str">
        <v>485-67: Litter Pickup Devices</v>
      </c>
    </row>
    <row r="3545" spans="2:2" x14ac:dyDescent="0.25">
      <c r="B3545" t="str">
        <v>485-68: Mop Buckets, Wringers, Bucket Trucks, and Attachments</v>
      </c>
    </row>
    <row r="3546" spans="2:2" x14ac:dyDescent="0.25">
      <c r="B3546" t="str">
        <v>485-70: Mops, Heads, and Handles, Dry and Treated Types</v>
      </c>
    </row>
    <row r="3547" spans="2:2" x14ac:dyDescent="0.25">
      <c r="B3547" t="str">
        <v>485-72: Mops, Heads, and Handles, Wet Types</v>
      </c>
    </row>
    <row r="3548" spans="2:2" x14ac:dyDescent="0.25">
      <c r="B3548" t="str">
        <v>485-73: Protectant, For Furniture, Carpet, Fabrics, etc.</v>
      </c>
    </row>
    <row r="3549" spans="2:2" x14ac:dyDescent="0.25">
      <c r="B3549" t="str">
        <v>485-74: Oil, Chemical, and Hazardous Material Spill Absorbents, Cleaners, Neutralizers, and Pads, Including Microorganisms, Live; Peat Moss</v>
      </c>
    </row>
    <row r="3550" spans="2:2" x14ac:dyDescent="0.25">
      <c r="B3550" t="str">
        <v>485-75: Receptacle Liners: Vinyl and Steel (See 665-24 For Plastic Type), Including Biodegradable</v>
      </c>
    </row>
    <row r="3551" spans="2:2" x14ac:dyDescent="0.25">
      <c r="B3551" t="str">
        <v>485-76: Recycled Janitorial Supplies</v>
      </c>
    </row>
    <row r="3552" spans="2:2" x14ac:dyDescent="0.25">
      <c r="B3552" t="str">
        <v>485-77: Rubber Cleaner</v>
      </c>
    </row>
    <row r="3553" spans="2:2" x14ac:dyDescent="0.25">
      <c r="B3553" t="str">
        <v>485-78: Rug and Carpet Shampoo and Spot Remover, Including Deodorizes</v>
      </c>
    </row>
    <row r="3554" spans="2:2" x14ac:dyDescent="0.25">
      <c r="B3554" t="str">
        <v>485-79: Dispensing Equipment, Chemical, Automatic</v>
      </c>
    </row>
    <row r="3555" spans="2:2" x14ac:dyDescent="0.25">
      <c r="B3555" t="str">
        <v>485-80: Sand Urns, Filling Materials, Smoking Stands, Wall Mounted Ashtrays, and Cuspidors</v>
      </c>
    </row>
    <row r="3556" spans="2:2" x14ac:dyDescent="0.25">
      <c r="B3556" t="str">
        <v>485-82: Sanitary Napkins and Tampons, Dispensable Type</v>
      </c>
    </row>
    <row r="3557" spans="2:2" x14ac:dyDescent="0.25">
      <c r="B3557" t="str">
        <v>485-83: Sanitizing and Disinfecting Supplies, Janitorial</v>
      </c>
    </row>
    <row r="3558" spans="2:2" x14ac:dyDescent="0.25">
      <c r="B3558" t="str">
        <v>485-84: Scale Remover, Acid Type Cleaners For Dishwashers, Steam Tables, etc.)</v>
      </c>
    </row>
    <row r="3559" spans="2:2" x14ac:dyDescent="0.25">
      <c r="B3559" t="str">
        <v>485-85: Soap, Scrubbing Type (See 435-72 for Surgical Scrub)</v>
      </c>
    </row>
    <row r="3560" spans="2:2" x14ac:dyDescent="0.25">
      <c r="B3560" t="str">
        <v>485-86: Soap, Hand: Bar, Liquid, and Powdered</v>
      </c>
    </row>
    <row r="3561" spans="2:2" x14ac:dyDescent="0.25">
      <c r="B3561" t="str">
        <v>485-87: Soil Retardant, For Carpets, Rugs, etc.)</v>
      </c>
    </row>
    <row r="3562" spans="2:2" x14ac:dyDescent="0.25">
      <c r="B3562" t="str">
        <v>485-88: Squeegees, Sponges, and Scrubbing Pad, For Manual Hard Surface Cleaning</v>
      </c>
    </row>
    <row r="3563" spans="2:2" x14ac:dyDescent="0.25">
      <c r="B3563" t="str">
        <v>485-90: Stain Remover, Active Chlorine or Oxygen Type, For Coffee Urns, Plastic Dishes, etc.</v>
      </c>
    </row>
    <row r="3564" spans="2:2" x14ac:dyDescent="0.25">
      <c r="B3564" t="str">
        <v>485-91: Stain Remover, Pet</v>
      </c>
    </row>
    <row r="3565" spans="2:2" x14ac:dyDescent="0.25">
      <c r="B3565" t="str">
        <v>485-94: Waste Receptacles and Dust Pans</v>
      </c>
    </row>
    <row r="3566" spans="2:2" x14ac:dyDescent="0.25">
      <c r="B3566" t="str">
        <v>486-01: Ammonia and Other Chemicals, Household, Plain or Sudsing, Environmentally Certified Products</v>
      </c>
    </row>
    <row r="3567" spans="2:2" x14ac:dyDescent="0.25">
      <c r="B3567" t="str">
        <v>486-02: Animal Cage Cleaning Compound, Environmentally Certified Products</v>
      </c>
    </row>
    <row r="3568" spans="2:2" x14ac:dyDescent="0.25">
      <c r="B3568" t="str">
        <v>486-03: Adhesive Removers, Environmentally Certified Products</v>
      </c>
    </row>
    <row r="3569" spans="2:2" x14ac:dyDescent="0.25">
      <c r="B3569" t="str">
        <v>486-04: Applicators, Floor Finish, All Types, Except Brushes, Environmentally Certified Products</v>
      </c>
    </row>
    <row r="3570" spans="2:2" x14ac:dyDescent="0.25">
      <c r="B3570" t="str">
        <v>486-06: Bottles, Glass, For Cleaners, Detergents, and Janitorial Supplies, Environmentally Certified Products</v>
      </c>
    </row>
    <row r="3571" spans="2:2" x14ac:dyDescent="0.25">
      <c r="B3571" t="str">
        <v>486-08: Bottles, Plastic, For Cleaners, Detergents, and Janitorial Supplies, Environmentally Certified Products</v>
      </c>
    </row>
    <row r="3572" spans="2:2" x14ac:dyDescent="0.25">
      <c r="B3572" t="str">
        <v>486-09: Brush Cleaner, Environmentally Certified Products</v>
      </c>
    </row>
    <row r="3573" spans="2:2" x14ac:dyDescent="0.25">
      <c r="B3573" t="str">
        <v>486-10: Brooms, Brushes, and Handles, Environmentally Certified Products</v>
      </c>
    </row>
    <row r="3574" spans="2:2" x14ac:dyDescent="0.25">
      <c r="B3574" t="str">
        <v>486-11: Cleaner and Detergent, Paste and Tablets, Environmentally Certified Products</v>
      </c>
    </row>
    <row r="3575" spans="2:2" x14ac:dyDescent="0.25">
      <c r="B3575" t="str">
        <v>486-12: Cleaner and Polish, Metal, Brass, Stainless Steel, etc., Environmentally Certified Products</v>
      </c>
    </row>
    <row r="3576" spans="2:2" x14ac:dyDescent="0.25">
      <c r="B3576" t="str">
        <v>486-13: Cleaner, Hand and Skin, Synthetic Detergent Type (See 435-68, 70 for Skin Cleaners for Health Care Personnel, Environmentally Certified Products</v>
      </c>
    </row>
    <row r="3577" spans="2:2" x14ac:dyDescent="0.25">
      <c r="B3577" t="str">
        <v>486-14: Cleaner, Hand, Mechanics' Waterless, Environmentally Certified Products</v>
      </c>
    </row>
    <row r="3578" spans="2:2" x14ac:dyDescent="0.25">
      <c r="B3578" t="str">
        <v>486-15: Cleaner and Polish, Plastic, Environmentally Certified Products</v>
      </c>
    </row>
    <row r="3579" spans="2:2" x14ac:dyDescent="0.25">
      <c r="B3579" t="str">
        <v>486-16: Cleaner, Hard Products, General Purpose, Liquid, Including Graffiti Cleaners, Environmentally Certified Products</v>
      </c>
    </row>
    <row r="3580" spans="2:2" x14ac:dyDescent="0.25">
      <c r="B3580" t="str">
        <v>486-17: Cleaner and Polish, Wood, Environmentally Certified Products</v>
      </c>
    </row>
    <row r="3581" spans="2:2" x14ac:dyDescent="0.25">
      <c r="B3581" t="str">
        <v>486-18: Cleaner, Heavy Duty Degreaser, Including Oven Cleaners, Environmentally Certified Products</v>
      </c>
    </row>
    <row r="3582" spans="2:2" x14ac:dyDescent="0.25">
      <c r="B3582" t="str">
        <v>486-19: Cleaner/Remover, Lead-Based Debris, Environmentally Certified Products</v>
      </c>
    </row>
    <row r="3583" spans="2:2" x14ac:dyDescent="0.25">
      <c r="B3583" t="str">
        <v>486-20: Cleaner and Polish for Marble, Masonry, Porcelain, etc., Environmentally Certified Products</v>
      </c>
    </row>
    <row r="3584" spans="2:2" x14ac:dyDescent="0.25">
      <c r="B3584" t="str">
        <v>486-21: Cleaner, Spray, Environmentally Certified Products</v>
      </c>
    </row>
    <row r="3585" spans="2:2" x14ac:dyDescent="0.25">
      <c r="B3585" t="str">
        <v>486-22: Cleaner, Sewer, Septic Tank, and Waste Pipe, Acid and Caustic Types, Including Drain Openers, Environmentally Certified Products</v>
      </c>
    </row>
    <row r="3586" spans="2:2" x14ac:dyDescent="0.25">
      <c r="B3586" t="str">
        <v>486-24: Cleaner, Sewer, Septic Tank, and Waste Pipe, Aerobic Bacteria and Fungi Type, Environmentally Certified Products</v>
      </c>
    </row>
    <row r="3587" spans="2:2" x14ac:dyDescent="0.25">
      <c r="B3587" t="str">
        <v>486-25: Cleaner, Tile, Grout, and Concrete, Environmentally Certified Products</v>
      </c>
    </row>
    <row r="3588" spans="2:2" x14ac:dyDescent="0.25">
      <c r="B3588" t="str">
        <v>486-26: Cleaner, Toilet Bowl, Granular and Liquid, Environmentally Certified Products</v>
      </c>
    </row>
    <row r="3589" spans="2:2" x14ac:dyDescent="0.25">
      <c r="B3589" t="str">
        <v>486-27: Cleaner, Vinyl, Upholstery, Environmentally Certified Products</v>
      </c>
    </row>
    <row r="3590" spans="2:2" x14ac:dyDescent="0.25">
      <c r="B3590" t="str">
        <v>486-28: Cleaner and Wax: Window, Mirror, and Glass, Environmentally Certified Products</v>
      </c>
    </row>
    <row r="3591" spans="2:2" x14ac:dyDescent="0.25">
      <c r="B3591" t="str">
        <v>486-29: Cleanser, Powdered, Chlorinated, Environmentally Certified Products</v>
      </c>
    </row>
    <row r="3592" spans="2:2" x14ac:dyDescent="0.25">
      <c r="B3592" t="str">
        <v>486-30: Deodorant Blocks, All Types, Environmentally Certified Products</v>
      </c>
    </row>
    <row r="3593" spans="2:2" x14ac:dyDescent="0.25">
      <c r="B3593" t="str">
        <v>486-31: Deodorants for Portable Toilet, (Including Ozone Air Freshener Type, Environmentally Certified Products</v>
      </c>
    </row>
    <row r="3594" spans="2:2" x14ac:dyDescent="0.25">
      <c r="B3594" t="str">
        <v>486-32: Deodorants, Room, All Types, Environmentally Certified Products</v>
      </c>
    </row>
    <row r="3595" spans="2:2" x14ac:dyDescent="0.25">
      <c r="B3595" t="str">
        <v>486-34: Detergent, Steam and Hot Water Spray Cleaning, Environmentally Certified Product</v>
      </c>
    </row>
    <row r="3596" spans="2:2" x14ac:dyDescent="0.25">
      <c r="B3596" t="str">
        <v>486-36: Detergent, Car Washing, Cold Water Type, Environmentally Certified Products</v>
      </c>
    </row>
    <row r="3597" spans="2:2" x14ac:dyDescent="0.25">
      <c r="B3597" t="str">
        <v>486-37: Detergent-Disinfectant, Washroom Type, Liquid and Aerosol (See Class 435 for Health Care and 505 for Laundry Type), Environmentally Certified Products</v>
      </c>
    </row>
    <row r="3598" spans="2:2" x14ac:dyDescent="0.25">
      <c r="B3598" t="str">
        <v>486-38: Dishwashing Compounds, Hand and Machine Type, Including Rinse Solutions, Environmentally Certified Products</v>
      </c>
    </row>
    <row r="3599" spans="2:2" x14ac:dyDescent="0.25">
      <c r="B3599" t="str">
        <v>486-40: Disinfectants, Spray and Powdered, Environmentally Certified Products</v>
      </c>
    </row>
    <row r="3600" spans="2:2" x14ac:dyDescent="0.25">
      <c r="B3600" t="str">
        <v>486-42: Disinfectants, Pine Oil, Environmentally Certified Products</v>
      </c>
    </row>
    <row r="3601" spans="2:2" x14ac:dyDescent="0.25">
      <c r="B3601" t="str">
        <v>486-44: Dispensers, Lotion and Soap, Including Waterless Soap Dispenser, Environmentally Certified Products</v>
      </c>
    </row>
    <row r="3602" spans="2:2" x14ac:dyDescent="0.25">
      <c r="B3602" t="str">
        <v>486-45: Dispensers (For Metered Aerosol Deodorants, Air Sanitizers, and Insecticides), AC and DC Models, Environmentally Certified Products</v>
      </c>
    </row>
    <row r="3603" spans="2:2" x14ac:dyDescent="0.25">
      <c r="B3603" t="str">
        <v>486-46: Dispensers and Holders, For Cleaning Rags, Paper Towels, Toilet Tissue, and Toilet Seat Covers, Environmentally Certified Products</v>
      </c>
    </row>
    <row r="3604" spans="2:2" x14ac:dyDescent="0.25">
      <c r="B3604" t="str">
        <v>486-48: Dispensers, For Sanitary Napkins and Tampons, Environmentally Certified Products</v>
      </c>
    </row>
    <row r="3605" spans="2:2" x14ac:dyDescent="0.25">
      <c r="B3605" t="str">
        <v>486-50: Door Mats, All Types, Environmentally Certified Products</v>
      </c>
    </row>
    <row r="3606" spans="2:2" x14ac:dyDescent="0.25">
      <c r="B3606" t="str">
        <v>486-51: Dry Powder Processing Machine, For the Production and Packaging of Powder Soap, Environmentally Certified Products</v>
      </c>
    </row>
    <row r="3607" spans="2:2" x14ac:dyDescent="0.25">
      <c r="B3607" t="str">
        <v>486-52: Dusting Cloths, Treated, Environmentally Certified Products</v>
      </c>
    </row>
    <row r="3608" spans="2:2" x14ac:dyDescent="0.25">
      <c r="B3608" t="str">
        <v>486-53: Dusters: Feather, Lambs Wool, Split, etc., Environmentally Certified Products</v>
      </c>
    </row>
    <row r="3609" spans="2:2" x14ac:dyDescent="0.25">
      <c r="B3609" t="str">
        <v>486-54: Floor Polishes and Waxes, Floor Sealer, and Dust Mop Treating Compound, Environmentally Certified Products</v>
      </c>
    </row>
    <row r="3610" spans="2:2" x14ac:dyDescent="0.25">
      <c r="B3610" t="str">
        <v>486-55: Floor Stripper and Cleaners, Environmentally Certified Products</v>
      </c>
    </row>
    <row r="3611" spans="2:2" x14ac:dyDescent="0.25">
      <c r="B3611" t="str">
        <v>486-56: Floor Sweeping Compound and Oil, Environmentally Certified Products</v>
      </c>
    </row>
    <row r="3612" spans="2:2" x14ac:dyDescent="0.25">
      <c r="B3612" t="str">
        <v>486-57: Fly-Swatters, Environmentally Certified Products</v>
      </c>
    </row>
    <row r="3613" spans="2:2" x14ac:dyDescent="0.25">
      <c r="B3613" t="str">
        <v>486-58: Furniture Polish, Environmentally Certified Products</v>
      </c>
    </row>
    <row r="3614" spans="2:2" x14ac:dyDescent="0.25">
      <c r="B3614" t="str">
        <v>486-59: Insect Control Units, Chemical or Electric, Lures and Traps, Environmentally Certified Products</v>
      </c>
    </row>
    <row r="3615" spans="2:2" x14ac:dyDescent="0.25">
      <c r="B3615" t="str">
        <v>486-60: Insecticides and Repellents, Household, Environmentally Certified Products</v>
      </c>
    </row>
    <row r="3616" spans="2:2" x14ac:dyDescent="0.25">
      <c r="B3616" t="str">
        <v>486-62: Insecticide Spraying Equipment, Household, Environmentally Certified Products</v>
      </c>
    </row>
    <row r="3617" spans="2:2" x14ac:dyDescent="0.25">
      <c r="B3617" t="str">
        <v>486-64: Janitor Carts and Bags, Environmentally Certified Products</v>
      </c>
    </row>
    <row r="3618" spans="2:2" x14ac:dyDescent="0.25">
      <c r="B3618" t="str">
        <v>486-65: Janitorial Equipment and Supplies (Not Otherwise Classified), Environmentally Certified Products</v>
      </c>
    </row>
    <row r="3619" spans="2:2" x14ac:dyDescent="0.25">
      <c r="B3619" t="str">
        <v>486-66: Linen Hampers and Bags, Environmentally Certified Products</v>
      </c>
    </row>
    <row r="3620" spans="2:2" x14ac:dyDescent="0.25">
      <c r="B3620" t="str">
        <v>486-67: Litter Pickup Devices, Environmentally Certified Products</v>
      </c>
    </row>
    <row r="3621" spans="2:2" x14ac:dyDescent="0.25">
      <c r="B3621" t="str">
        <v>486-68: Mop Buckets, Wringers, Bucket Trucks, and Attachments, Environmentally Certified Products</v>
      </c>
    </row>
    <row r="3622" spans="2:2" x14ac:dyDescent="0.25">
      <c r="B3622" t="str">
        <v>486-70: Mops, Heads, and Handles, Dry and Treated Types, Environmentally Certified Products</v>
      </c>
    </row>
    <row r="3623" spans="2:2" x14ac:dyDescent="0.25">
      <c r="B3623" t="str">
        <v>486-72: Mops, Heads, and Handles, Wet Types, Environmentally Certified Products</v>
      </c>
    </row>
    <row r="3624" spans="2:2" x14ac:dyDescent="0.25">
      <c r="B3624" t="str">
        <v>486-73: Protectant (For Furniture, Carpet, Fabrics, etc.), Environmentally Certified Products</v>
      </c>
    </row>
    <row r="3625" spans="2:2" x14ac:dyDescent="0.25">
      <c r="B3625" t="str">
        <v>486-74: Oil, Chemical, and Hazardous Material Spill Absorbents, Cleaners, Neutralizers, and Pads (Including Microorganisms, Live; Peat Moss)), Environmentally Certified Products</v>
      </c>
    </row>
    <row r="3626" spans="2:2" x14ac:dyDescent="0.25">
      <c r="B3626" t="str">
        <v>486-75: Receptacle Liners: Vinyl and Steel (See 665-24 For Plastic Type), Including Biodegradable, Environmentally Certified Products</v>
      </c>
    </row>
    <row r="3627" spans="2:2" x14ac:dyDescent="0.25">
      <c r="B3627" t="str">
        <v>486-76: Recycled Janitorial Supplies, Environmentally Certified Products</v>
      </c>
    </row>
    <row r="3628" spans="2:2" x14ac:dyDescent="0.25">
      <c r="B3628" t="str">
        <v>486-77: Rubber Cleaner, Environmentally Certified Products</v>
      </c>
    </row>
    <row r="3629" spans="2:2" x14ac:dyDescent="0.25">
      <c r="B3629" t="str">
        <v>486-78: Rug and Carpet Shampoo and Spot Remover Including Deodorizers, Environmentally Certified Products</v>
      </c>
    </row>
    <row r="3630" spans="2:2" x14ac:dyDescent="0.25">
      <c r="B3630" t="str">
        <v>486-80: Sand Urns, Filling Materials, Smoking Stands, Wall Mounted Ashtrays, and Cuspidors, Environmentally Certified Products</v>
      </c>
    </row>
    <row r="3631" spans="2:2" x14ac:dyDescent="0.25">
      <c r="B3631" t="str">
        <v>486-82: Sanitary Napkins and Tampons, Dispensable Type, Environmentally Certified Products</v>
      </c>
    </row>
    <row r="3632" spans="2:2" x14ac:dyDescent="0.25">
      <c r="B3632" t="str">
        <v>486-83: Sanitizing and Disinfecting Supplies, Janitorial, Environmentally Certified Products</v>
      </c>
    </row>
    <row r="3633" spans="2:2" x14ac:dyDescent="0.25">
      <c r="B3633" t="str">
        <v>486-84: Scale Remover, Acid Type Cleaners For Dishwashers, Steam Tables, etc., Environmentally Certified Products</v>
      </c>
    </row>
    <row r="3634" spans="2:2" x14ac:dyDescent="0.25">
      <c r="B3634" t="str">
        <v>486-85: Soap, Scrubbing Type (See 435-72 for Surgical Scrub), Environmentally Certified Products</v>
      </c>
    </row>
    <row r="3635" spans="2:2" x14ac:dyDescent="0.25">
      <c r="B3635" t="str">
        <v>486-86: Soap, Hand: Bar, Liquid, and Powdered, Environmentally Certified Products</v>
      </c>
    </row>
    <row r="3636" spans="2:2" x14ac:dyDescent="0.25">
      <c r="B3636" t="str">
        <v>486-87: Soil Retardant, For Carpets, Rugs, etc., Environmentally Certified Products</v>
      </c>
    </row>
    <row r="3637" spans="2:2" x14ac:dyDescent="0.25">
      <c r="B3637" t="str">
        <v>486-88: Squeegees, Sponges, and Scrubbing Pads, For Manual Hard Surface Cleaning, Environmentally Certified Products</v>
      </c>
    </row>
    <row r="3638" spans="2:2" x14ac:dyDescent="0.25">
      <c r="B3638" t="str">
        <v>486-90: Stain Remover, Active Chlorine or Oxygen Type, For Coffee Urns, Plastic Dishes, etc., Environmentally Certified Products</v>
      </c>
    </row>
    <row r="3639" spans="2:2" x14ac:dyDescent="0.25">
      <c r="B3639" t="str">
        <v>486-91: Stain Remover, Pet, Environmentally Certified Products</v>
      </c>
    </row>
    <row r="3640" spans="2:2" x14ac:dyDescent="0.25">
      <c r="B3640" t="str">
        <v>486-94: Waste Receptacles and Dust Pans, Environmentally Certified Products</v>
      </c>
    </row>
    <row r="3641" spans="2:2" x14ac:dyDescent="0.25">
      <c r="B3641" t="str">
        <v>490-06: Barometers and Manometers, Laboratory</v>
      </c>
    </row>
    <row r="3642" spans="2:2" x14ac:dyDescent="0.25">
      <c r="B3642" t="str">
        <v>490-07: Cabinets, Safety, Laboratory</v>
      </c>
    </row>
    <row r="3643" spans="2:2" x14ac:dyDescent="0.25">
      <c r="B3643" t="str">
        <v>490-08: Calorimeters and Accessories, Laboratory</v>
      </c>
    </row>
    <row r="3644" spans="2:2" x14ac:dyDescent="0.25">
      <c r="B3644" t="str">
        <v>490-09: Centrifuges, Desk Top and Free Standing, Laboratory</v>
      </c>
    </row>
    <row r="3645" spans="2:2" x14ac:dyDescent="0.25">
      <c r="B3645" t="str">
        <v>490-14: Cleaners, Ultrasonic, Laboratory ,</v>
      </c>
    </row>
    <row r="3646" spans="2:2" x14ac:dyDescent="0.25">
      <c r="B3646" t="str">
        <v>490-15: Colorimeters, Reflectance, Laboratory</v>
      </c>
    </row>
    <row r="3647" spans="2:2" x14ac:dyDescent="0.25">
      <c r="B3647" t="str">
        <v>490-16: Colorimeters, Optical, Comparators, Laboratory, (See Class 493 for Photoelectric Colorimeters)</v>
      </c>
    </row>
    <row r="3648" spans="2:2" x14ac:dyDescent="0.25">
      <c r="B3648" t="str">
        <v>490-17: Crystallography Equipment and Supplies, Laboratory, (Not Otherwise Classified)</v>
      </c>
    </row>
    <row r="3649" spans="2:2" x14ac:dyDescent="0.25">
      <c r="B3649" t="str">
        <v>490-19: Density Gradient Equipment, Laboratory: Fractionators, Mixers, etc.</v>
      </c>
    </row>
    <row r="3650" spans="2:2" x14ac:dyDescent="0.25">
      <c r="B3650" t="str">
        <v>490-21: Dry Boxes and Glove Boxes, Laboratory</v>
      </c>
    </row>
    <row r="3651" spans="2:2" x14ac:dyDescent="0.25">
      <c r="B3651" t="str">
        <v>490-24: Dynamometers, Laboratory, (See 075 For Automotive)</v>
      </c>
    </row>
    <row r="3652" spans="2:2" x14ac:dyDescent="0.25">
      <c r="B3652" t="str">
        <v>490-29: Electron Microscopy Equipment, Laboratory: Electron Microscopes, Vacuum Sputtering Systems, etc.</v>
      </c>
    </row>
    <row r="3653" spans="2:2" x14ac:dyDescent="0.25">
      <c r="B3653" t="str">
        <v>490-30: Electron Guns, Laboratory</v>
      </c>
    </row>
    <row r="3654" spans="2:2" x14ac:dyDescent="0.25">
      <c r="B3654" t="str">
        <v>490-32: Environmental Test Chambers and Rooms, Laboratory</v>
      </c>
    </row>
    <row r="3655" spans="2:2" x14ac:dyDescent="0.25">
      <c r="B3655" t="str">
        <v>490-34: Filters, Optical: IR Interference, etc., Laboratory</v>
      </c>
    </row>
    <row r="3656" spans="2:2" x14ac:dyDescent="0.25">
      <c r="B3656" t="str">
        <v>490-36: Glassware Washing Apparatus, Laboratory</v>
      </c>
    </row>
    <row r="3657" spans="2:2" x14ac:dyDescent="0.25">
      <c r="B3657" t="str">
        <v>490-39: High-Pressure Equipment and Accessories, Laboratory</v>
      </c>
    </row>
    <row r="3658" spans="2:2" x14ac:dyDescent="0.25">
      <c r="B3658" t="str">
        <v>490-40: High Vacuum Fittings, Valves, Supplies, etc., Laboratory .</v>
      </c>
    </row>
    <row r="3659" spans="2:2" x14ac:dyDescent="0.25">
      <c r="B3659" t="str">
        <v>490-43: Laboratory and Scientific Equipment and Supplies (Not Otherwise Classified)</v>
      </c>
    </row>
    <row r="3660" spans="2:2" x14ac:dyDescent="0.25">
      <c r="B3660" t="str">
        <v>490-44: Lamps and Other Radiation Sources, Specialized, Laboratory, Cathode, Infrared, and Ultraviolet Lamps, etc.</v>
      </c>
    </row>
    <row r="3661" spans="2:2" x14ac:dyDescent="0.25">
      <c r="B3661" t="str">
        <v>490-47: Liquid Scintillation Counting Systems, Laboratory</v>
      </c>
    </row>
    <row r="3662" spans="2:2" x14ac:dyDescent="0.25">
      <c r="B3662" t="str">
        <v>490-51: Lasers, Masers, and Accessories, Laboratory</v>
      </c>
    </row>
    <row r="3663" spans="2:2" x14ac:dyDescent="0.25">
      <c r="B3663" t="str">
        <v>490-52: Leak Detectors, Vacuum: Helium, Ultrasonic, etc., Laboratory</v>
      </c>
    </row>
    <row r="3664" spans="2:2" x14ac:dyDescent="0.25">
      <c r="B3664" t="str">
        <v>490-53: Magnetic Equipment, Laboratory: Demagnetizers, Electromagnets, Fluxmeters, Gaussmeters, Magnetometers, etc.</v>
      </c>
    </row>
    <row r="3665" spans="2:2" x14ac:dyDescent="0.25">
      <c r="B3665" t="str">
        <v>490-55: Mass Spectrometers and Accessories, Laboratory</v>
      </c>
    </row>
    <row r="3666" spans="2:2" x14ac:dyDescent="0.25">
      <c r="B3666" t="str">
        <v>490-56: Micromanipulator, Laboratory ,</v>
      </c>
    </row>
    <row r="3667" spans="2:2" x14ac:dyDescent="0.25">
      <c r="B3667" t="str">
        <v>490-57: Microscope Accessories: Adapters, Condensers, Filters, Illuminators, Lenses, etc., Laboratory</v>
      </c>
    </row>
    <row r="3668" spans="2:2" x14ac:dyDescent="0.25">
      <c r="B3668" t="str">
        <v>490-58: Microscopes, All Types, (See 490-29 For Electron and See 465 For Operating Room)</v>
      </c>
    </row>
    <row r="3669" spans="2:2" x14ac:dyDescent="0.25">
      <c r="B3669" t="str">
        <v>490-63: Natural Science Equipment and Supplies, Laboratory</v>
      </c>
    </row>
    <row r="3670" spans="2:2" x14ac:dyDescent="0.25">
      <c r="B3670" t="str">
        <v>490-65: Nuclear Equipment and Accessories, Laboratory: Magnetic Shielding, Particle Accelerators, Counters (Research Type), Scintillating Crystals, etc.</v>
      </c>
    </row>
    <row r="3671" spans="2:2" x14ac:dyDescent="0.25">
      <c r="B3671" t="str">
        <v>490-68: Nuclear Magnetic Resonance (NMR) Apparatus, Laboratory</v>
      </c>
    </row>
    <row r="3672" spans="2:2" x14ac:dyDescent="0.25">
      <c r="B3672" t="str">
        <v>490-69: Nuclear Radiation Sources, Laboratory, Not for Medical Use</v>
      </c>
    </row>
    <row r="3673" spans="2:2" x14ac:dyDescent="0.25">
      <c r="B3673" t="str">
        <v>490-71: Nuclear Safety Equipment and Supplies, Laboratory: Dosimeters, Film Badges, Lead Shielding, Radiation Monitors, Survey Meters, (See Class 832 For Warning Tape)</v>
      </c>
    </row>
    <row r="3674" spans="2:2" x14ac:dyDescent="0.25">
      <c r="B3674" t="str">
        <v>490-72: Optical Laboratory Equipment: Beam Splitters, Choppers, Diffraction Gratings, Interferometers, Monochromators, Optical Benches and Tables, etc.</v>
      </c>
    </row>
    <row r="3675" spans="2:2" x14ac:dyDescent="0.25">
      <c r="B3675" t="str">
        <v>490-73: Photometers, Reflectance, Laboratory</v>
      </c>
    </row>
    <row r="3676" spans="2:2" x14ac:dyDescent="0.25">
      <c r="B3676" t="str">
        <v>490-74: Physics Equipment, Laboratory, (Not Otherwise Classified)</v>
      </c>
    </row>
    <row r="3677" spans="2:2" x14ac:dyDescent="0.25">
      <c r="B3677" t="str">
        <v>490-75: Plasma Generators, Laboratory</v>
      </c>
    </row>
    <row r="3678" spans="2:2" x14ac:dyDescent="0.25">
      <c r="B3678" t="str">
        <v>490-76: Plasticizers, Laboratory: Agriculture Oils, Glutarates, Phthalates, Polymerics, Sulfonamides, Etc.</v>
      </c>
    </row>
    <row r="3679" spans="2:2" x14ac:dyDescent="0.25">
      <c r="B3679" t="str">
        <v>490-77: Pumps, Liquid, Laboratory: Metering, Peristaltic, Syringe, etc.</v>
      </c>
    </row>
    <row r="3680" spans="2:2" x14ac:dyDescent="0.25">
      <c r="B3680" t="str">
        <v>490-78: Pumps, Vacuum and Pressure Vacuum, Laboratory</v>
      </c>
    </row>
    <row r="3681" spans="2:2" x14ac:dyDescent="0.25">
      <c r="B3681" t="str">
        <v>490-79: Radioactive Waste Disposal Systems and Accessories, Laboratory</v>
      </c>
    </row>
    <row r="3682" spans="2:2" x14ac:dyDescent="0.25">
      <c r="B3682" t="str">
        <v>490-80: Sorption Measurement Systems, Laboratory, For Surface Area of Fine Particles, etc.</v>
      </c>
    </row>
    <row r="3683" spans="2:2" x14ac:dyDescent="0.25">
      <c r="B3683" t="str">
        <v>490-81: Semiconductor Devices, Laboratory</v>
      </c>
    </row>
    <row r="3684" spans="2:2" x14ac:dyDescent="0.25">
      <c r="B3684" t="str">
        <v>490-82: Separators, Laboratory</v>
      </c>
    </row>
    <row r="3685" spans="2:2" x14ac:dyDescent="0.25">
      <c r="B3685" t="str">
        <v>490-83: Spectrographs, Laboratory</v>
      </c>
    </row>
    <row r="3686" spans="2:2" x14ac:dyDescent="0.25">
      <c r="B3686" t="str">
        <v>490-84: Spectrometers, Laboratory: Auger, Electron Energy Loss, X-Ray Frequency, etc. (See 490-55 For Mass Spectrometers)</v>
      </c>
    </row>
    <row r="3687" spans="2:2" x14ac:dyDescent="0.25">
      <c r="B3687" t="str">
        <v>490-88: Spectroscopes, Direct Reading, Laboratory</v>
      </c>
    </row>
    <row r="3688" spans="2:2" x14ac:dyDescent="0.25">
      <c r="B3688" t="str">
        <v>490-90: Testing Instruments, Laboratory, (Not Otherwise Classified)</v>
      </c>
    </row>
    <row r="3689" spans="2:2" x14ac:dyDescent="0.25">
      <c r="B3689" t="str">
        <v>490-92: Thermal Analysis, Thermogravimetry, and Thermal Conductivity Apparatus, Laboratory</v>
      </c>
    </row>
    <row r="3690" spans="2:2" x14ac:dyDescent="0.25">
      <c r="B3690" t="str">
        <v>490-93: Ultrasonic Equipment, Laboratory, Research: Ultrasound Interferometers, Pulse Generators, etc.</v>
      </c>
    </row>
    <row r="3691" spans="2:2" x14ac:dyDescent="0.25">
      <c r="B3691" t="str">
        <v>490-94: Vibration Isolation Supports, Laboratory</v>
      </c>
    </row>
    <row r="3692" spans="2:2" x14ac:dyDescent="0.25">
      <c r="B3692" t="str">
        <v>490-95: Vacuum Equipment, Laboratory, (Not Otherwise Classified)</v>
      </c>
    </row>
    <row r="3693" spans="2:2" x14ac:dyDescent="0.25">
      <c r="B3693" t="str">
        <v>490-96: X-Ray Diffraction and Electron Diffraction Equipment, Laboratory</v>
      </c>
    </row>
    <row r="3694" spans="2:2" x14ac:dyDescent="0.25">
      <c r="B3694" t="str">
        <v>490-97: Recycled Nuclear, Optical and Physical Laboratory Equipment and Supplies</v>
      </c>
    </row>
    <row r="3695" spans="2:2" x14ac:dyDescent="0.25">
      <c r="B3695" t="str">
        <v>493-04: *Air Quality Monitoring Equipment and Accessories, Laboratory, Including Ozone Type</v>
      </c>
    </row>
    <row r="3696" spans="2:2" x14ac:dyDescent="0.25">
      <c r="B3696" t="str">
        <v>493-05: Airborne Bacteria and Virus Inactivation Equipment, Laboratory, Ozone Type</v>
      </c>
    </row>
    <row r="3697" spans="2:2" x14ac:dyDescent="0.25">
      <c r="B3697" t="str">
        <v>493-06: Baths, Constant Temperature, Hot or Cold , Laboratory, Recirculating, Shaking, etc.</v>
      </c>
    </row>
    <row r="3698" spans="2:2" x14ac:dyDescent="0.25">
      <c r="B3698" t="str">
        <v>493-08: Biochemical Research Equipment, Laboratory: DNA Synthesizers, Enzyme Analyzers, Respirometers, etc.</v>
      </c>
    </row>
    <row r="3699" spans="2:2" x14ac:dyDescent="0.25">
      <c r="B3699" t="str">
        <v>493-09: Chemical Analysis Systems, Automated, Laboratory: Ion-Sensing Electrode, Micro-Kjeldahl, Titration, etc.</v>
      </c>
    </row>
    <row r="3700" spans="2:2" x14ac:dyDescent="0.25">
      <c r="B3700" t="str">
        <v>493-10: Chemical Reactors, Laboratory: High Pressure, Autoclaves, Catalytic, Fluid-Bed, Photochemical, etc.</v>
      </c>
    </row>
    <row r="3701" spans="2:2" x14ac:dyDescent="0.25">
      <c r="B3701" t="str">
        <v>493-11: *Chromatographs, Laboratory, Gas</v>
      </c>
    </row>
    <row r="3702" spans="2:2" x14ac:dyDescent="0.25">
      <c r="B3702" t="str">
        <v>493-12: Chromatographs, Laboratory, Liquid: High-Performance (HPLC), Preparative, etc., and Major Accessories: Absorbance/Fluorescence Detectors and Monitors, etc.</v>
      </c>
    </row>
    <row r="3703" spans="2:2" x14ac:dyDescent="0.25">
      <c r="B3703" t="str">
        <v>493-13: Colloids, Laboratory: Aerosols, Emulsions, Gels, Suspensions, etc.</v>
      </c>
    </row>
    <row r="3704" spans="2:2" x14ac:dyDescent="0.25">
      <c r="B3704" t="str">
        <v>493-14: Combustion Analysis Equipment, Laboratory, Automatic, For Carbon, Nitrogen, Sulfur, etc.</v>
      </c>
    </row>
    <row r="3705" spans="2:2" x14ac:dyDescent="0.25">
      <c r="B3705" t="str">
        <v>493-16: Densitometers, Laboratory, Scanning, Gel or Plate Scanners</v>
      </c>
    </row>
    <row r="3706" spans="2:2" x14ac:dyDescent="0.25">
      <c r="B3706" t="str">
        <v>493-17: Deodorizers, Laboratory, Convection Type</v>
      </c>
    </row>
    <row r="3707" spans="2:2" x14ac:dyDescent="0.25">
      <c r="B3707" t="str">
        <v>493-18: Deodorizers and Room Air Fresheners, Laboratory, Ozone. Portable</v>
      </c>
    </row>
    <row r="3708" spans="2:2" x14ac:dyDescent="0.25">
      <c r="B3708" t="str">
        <v>493-24: Electrophoresis Equipment, Laboratory: Electrofocussing Cells, Gel Driers and Slicers, Power Supplies, etc.</v>
      </c>
    </row>
    <row r="3709" spans="2:2" x14ac:dyDescent="0.25">
      <c r="B3709" t="str">
        <v>493-25: Entomological Equipment and Accessories, Laboratory, Insect Science</v>
      </c>
    </row>
    <row r="3710" spans="2:2" x14ac:dyDescent="0.25">
      <c r="B3710" t="str">
        <v>493-30: Evaporators, Laboratory, Analytical, Air or Nitrogen Jet</v>
      </c>
    </row>
    <row r="3711" spans="2:2" x14ac:dyDescent="0.25">
      <c r="B3711" t="str">
        <v>493-32: Evaporators, Laboratory, Vacuum: Flash, Rotating, etc.</v>
      </c>
    </row>
    <row r="3712" spans="2:2" x14ac:dyDescent="0.25">
      <c r="B3712" t="str">
        <v>493-35: Fluorometers and Spectrofluorometers, Laboratory</v>
      </c>
    </row>
    <row r="3713" spans="2:2" x14ac:dyDescent="0.25">
      <c r="B3713" t="str">
        <v>493-38: Freeze-Drying and Critical-Point Drying Apparatus, Laboratory</v>
      </c>
    </row>
    <row r="3714" spans="2:2" x14ac:dyDescent="0.25">
      <c r="B3714" t="str">
        <v>493-42: Gas Analysis and Monitoring Equipment, Laboratory, For CO2 Oxygen, etc., in Gas Mixtures</v>
      </c>
    </row>
    <row r="3715" spans="2:2" x14ac:dyDescent="0.25">
      <c r="B3715" t="str">
        <v>493-44: Gas Generating and Purifying Equipment, Laboratory: Hydrogen, Oxygen, Ozone, Pure Air, etc.</v>
      </c>
    </row>
    <row r="3716" spans="2:2" x14ac:dyDescent="0.25">
      <c r="B3716" t="str">
        <v>493-45: Incubators, Laboratory, Bacteriological</v>
      </c>
    </row>
    <row r="3717" spans="2:2" x14ac:dyDescent="0.25">
      <c r="B3717" t="str">
        <v>493-46: Ion Chromatographs, Laboratory, Including Parts and Accessories</v>
      </c>
    </row>
    <row r="3718" spans="2:2" x14ac:dyDescent="0.25">
      <c r="B3718" t="str">
        <v>493-48: Odor Control Equipment, Laboratory, Duct Mount Ozonators</v>
      </c>
    </row>
    <row r="3719" spans="2:2" x14ac:dyDescent="0.25">
      <c r="B3719" t="str">
        <v>493-50: Osmometers, Laboratory</v>
      </c>
    </row>
    <row r="3720" spans="2:2" x14ac:dyDescent="0.25">
      <c r="B3720" t="str">
        <v>493-52: Photometers, Laboratory, Flame</v>
      </c>
    </row>
    <row r="3721" spans="2:2" x14ac:dyDescent="0.25">
      <c r="B3721" t="str">
        <v>493-54: Photometers, Laboratory, Photoelectric, Colorimeters, Transmittance</v>
      </c>
    </row>
    <row r="3722" spans="2:2" x14ac:dyDescent="0.25">
      <c r="B3722" t="str">
        <v>493-58: Polarimeters, Laboratory</v>
      </c>
    </row>
    <row r="3723" spans="2:2" x14ac:dyDescent="0.25">
      <c r="B3723" t="str">
        <v>493-60: Polarographs, Laboratory</v>
      </c>
    </row>
    <row r="3724" spans="2:2" x14ac:dyDescent="0.25">
      <c r="B3724" t="str">
        <v>493-62: Sample Collecting, Diluting and Multiple Dispensing Apparatus, Laboratory, Automatic: Pipetting Machines, etc.</v>
      </c>
    </row>
    <row r="3725" spans="2:2" x14ac:dyDescent="0.25">
      <c r="B3725" t="str">
        <v>493-63: Sample Concentrators, Laboratory, For Multiple Samples, Vacuum Type</v>
      </c>
    </row>
    <row r="3726" spans="2:2" x14ac:dyDescent="0.25">
      <c r="B3726" t="str">
        <v>493-64: Sample Preparation Systems, Laboratory</v>
      </c>
    </row>
    <row r="3727" spans="2:2" x14ac:dyDescent="0.25">
      <c r="B3727" t="str">
        <v>493-69: Spectrometers, Laboratory, Emission, Argon Plasma and Conventional</v>
      </c>
    </row>
    <row r="3728" spans="2:2" x14ac:dyDescent="0.25">
      <c r="B3728" t="str">
        <v>493-73: Spectrophotometers, Laboratory, Atomic Absorption</v>
      </c>
    </row>
    <row r="3729" spans="2:2" x14ac:dyDescent="0.25">
      <c r="B3729" t="str">
        <v>493-75: Spectrophotometers, Laboratory, Infrared</v>
      </c>
    </row>
    <row r="3730" spans="2:2" x14ac:dyDescent="0.25">
      <c r="B3730" t="str">
        <v>493-77: Spectrophotometers, Laboratory, Ultraviolet and Visible</v>
      </c>
    </row>
    <row r="3731" spans="2:2" x14ac:dyDescent="0.25">
      <c r="B3731" t="str">
        <v>493-80: Tensiometers, Laboratory, For Surface Tension Measurements</v>
      </c>
    </row>
    <row r="3732" spans="2:2" x14ac:dyDescent="0.25">
      <c r="B3732" t="str">
        <v>493-84: Tissue Disrupting, Grinding, and Homogenizing Equipment, Laboratory: Frozen Tissue Pulverizers, Ultrasonic Cell Disrupters, etc.</v>
      </c>
    </row>
    <row r="3733" spans="2:2" x14ac:dyDescent="0.25">
      <c r="B3733" t="str">
        <v>493-92: Vacuum Still, Laboratory: Short Path, Spinning Band, etc.</v>
      </c>
    </row>
    <row r="3734" spans="2:2" x14ac:dyDescent="0.25">
      <c r="B3734" t="str">
        <v>493-96: Water Quality Monitoring Equipment, Laboratory: BOD Analyzers, Turbidimeters, Well Samplers, etc.</v>
      </c>
    </row>
    <row r="3735" spans="2:2" x14ac:dyDescent="0.25">
      <c r="B3735" t="str">
        <v>493-97: Recycled Biochemistry, Chemistry, and Environmental Science Equipment and Supplies, Laboratory</v>
      </c>
    </row>
    <row r="3736" spans="2:2" x14ac:dyDescent="0.25">
      <c r="B3736" t="str">
        <v>495-05: Activity Cages, Mazes, and Other Animal Psychology Equipment</v>
      </c>
    </row>
    <row r="3737" spans="2:2" x14ac:dyDescent="0.25">
      <c r="B3737" t="str">
        <v>495-07: Agricultural Science Equipment: Diffusive Resistance Meters, Leaf Porometers and Water Potential Measuring Equipment, Seed Counters and Germinators, Soil Sterilizers, etc.</v>
      </c>
    </row>
    <row r="3738" spans="2:2" x14ac:dyDescent="0.25">
      <c r="B3738" t="str">
        <v>495-08: Amphibia For Laboratory Research, Preserved)</v>
      </c>
    </row>
    <row r="3739" spans="2:2" x14ac:dyDescent="0.25">
      <c r="B3739" t="str">
        <v>495-09: Animal Cage and Rack Washing Equipment</v>
      </c>
    </row>
    <row r="3740" spans="2:2" x14ac:dyDescent="0.25">
      <c r="B3740" t="str">
        <v>495-10: Animal Cages and Supplies, Including Litter, Laboratory</v>
      </c>
    </row>
    <row r="3741" spans="2:2" x14ac:dyDescent="0.25">
      <c r="B3741" t="str">
        <v>495-12: Animals, Experimental, Not Specially Bred</v>
      </c>
    </row>
    <row r="3742" spans="2:2" x14ac:dyDescent="0.25">
      <c r="B3742" t="str">
        <v>495-13: Animals, Experimental, Specially Bred or Selected (e.g., Albino Mice and Rats)</v>
      </c>
    </row>
    <row r="3743" spans="2:2" x14ac:dyDescent="0.25">
      <c r="B3743" t="str">
        <v>495-15: Aquariums and Supplies</v>
      </c>
    </row>
    <row r="3744" spans="2:2" x14ac:dyDescent="0.25">
      <c r="B3744" t="str">
        <v>495-20: Biology Equipment and Supplies (Not Otherwise Classified)</v>
      </c>
    </row>
    <row r="3745" spans="2:2" x14ac:dyDescent="0.25">
      <c r="B3745" t="str">
        <v>495-25: Biology Specimens and Cultures, Except Microbial</v>
      </c>
    </row>
    <row r="3746" spans="2:2" x14ac:dyDescent="0.25">
      <c r="B3746" t="str">
        <v>495-26: Biology Specimens and Cultures, Including Microbial: Complete Ecosystems, etc.</v>
      </c>
    </row>
    <row r="3747" spans="2:2" x14ac:dyDescent="0.25">
      <c r="B3747" t="str">
        <v>495-28: Biotechnology and Clinical Equipment and Supplies</v>
      </c>
    </row>
    <row r="3748" spans="2:2" x14ac:dyDescent="0.25">
      <c r="B3748" t="str">
        <v>495-29: Botanical Laboratory Equipment and Accessories</v>
      </c>
    </row>
    <row r="3749" spans="2:2" x14ac:dyDescent="0.25">
      <c r="B3749" t="str">
        <v>495-30: Botany Specimens</v>
      </c>
    </row>
    <row r="3750" spans="2:2" x14ac:dyDescent="0.25">
      <c r="B3750" t="str">
        <v>495-33: Breeding and Other Insect Equipment, Laboratory</v>
      </c>
    </row>
    <row r="3751" spans="2:2" x14ac:dyDescent="0.25">
      <c r="B3751" t="str">
        <v>495-35: Cabinets and Cases, Storage, For Slides and Specimens</v>
      </c>
    </row>
    <row r="3752" spans="2:2" x14ac:dyDescent="0.25">
      <c r="B3752" t="str">
        <v>495-36: Charts, Anatomical and Life Sciences</v>
      </c>
    </row>
    <row r="3753" spans="2:2" x14ac:dyDescent="0.25">
      <c r="B3753" t="str">
        <v>495-37: Counters and Counting Chambers, For Bacterial Colonies, Blood Cells, etc.: Hemacytometers, etc.</v>
      </c>
    </row>
    <row r="3754" spans="2:2" x14ac:dyDescent="0.25">
      <c r="B3754" t="str">
        <v>495-38: Cultures, Microbial, Living Organism</v>
      </c>
    </row>
    <row r="3755" spans="2:2" x14ac:dyDescent="0.25">
      <c r="B3755" t="str">
        <v>495-41: Fermentation Equipment: Chemostats, Chemotaxis Chambers, Fermenters, etc.</v>
      </c>
    </row>
    <row r="3756" spans="2:2" x14ac:dyDescent="0.25">
      <c r="B3756" t="str">
        <v>495-43: Geology, Earth Science</v>
      </c>
    </row>
    <row r="3757" spans="2:2" x14ac:dyDescent="0.25">
      <c r="B3757" t="str">
        <v>495-44: Geology Equipment and Supplies</v>
      </c>
    </row>
    <row r="3758" spans="2:2" x14ac:dyDescent="0.25">
      <c r="B3758" t="str">
        <v>495-45: Geology Specimens and Collections</v>
      </c>
    </row>
    <row r="3759" spans="2:2" x14ac:dyDescent="0.25">
      <c r="B3759" t="str">
        <v>495-48: Incubators: Convection, CO2, Anaerobic Chambers, etc., and Plant Growth Chambers</v>
      </c>
    </row>
    <row r="3760" spans="2:2" x14ac:dyDescent="0.25">
      <c r="B3760" t="str">
        <v>495-49: Invertebrates and Vertebrates, Preserved</v>
      </c>
    </row>
    <row r="3761" spans="2:2" x14ac:dyDescent="0.25">
      <c r="B3761" t="str">
        <v>495-50: Herbarium Equipment and Supplies: Drying Cases, etc.</v>
      </c>
    </row>
    <row r="3762" spans="2:2" x14ac:dyDescent="0.25">
      <c r="B3762" t="str">
        <v>495-54: Insects for Laboratory Research</v>
      </c>
    </row>
    <row r="3763" spans="2:2" x14ac:dyDescent="0.25">
      <c r="B3763" t="str">
        <v>495-55: Instruments, Dissecting</v>
      </c>
    </row>
    <row r="3764" spans="2:2" x14ac:dyDescent="0.25">
      <c r="B3764" t="str">
        <v>495-56: Microbiology Equipment and Accessories (Not Otherwise Classified)</v>
      </c>
    </row>
    <row r="3765" spans="2:2" x14ac:dyDescent="0.25">
      <c r="B3765" t="str">
        <v>495-57: Microscope Slide Preparation Equipment: Staining Racks and Trays, Slide Warmers, etc.</v>
      </c>
    </row>
    <row r="3766" spans="2:2" x14ac:dyDescent="0.25">
      <c r="B3766" t="str">
        <v>495-58: Microscopy Supplies: Cement, Immersion Oil, Slide Holders, Dispensers and Mailers, etc.</v>
      </c>
    </row>
    <row r="3767" spans="2:2" x14ac:dyDescent="0.25">
      <c r="B3767" t="str">
        <v>495-60: Mounts and Models</v>
      </c>
    </row>
    <row r="3768" spans="2:2" x14ac:dyDescent="0.25">
      <c r="B3768" t="str">
        <v>495-65: Museum Preparations and Supplies: Labels, etc.</v>
      </c>
    </row>
    <row r="3769" spans="2:2" x14ac:dyDescent="0.25">
      <c r="B3769" t="str">
        <v>495-69: Neuropsychological Testing Equipment: Reaction Time, Rotary Pursuit, etc.</v>
      </c>
    </row>
    <row r="3770" spans="2:2" x14ac:dyDescent="0.25">
      <c r="B3770" t="str">
        <v>495-70: Oceanography and Limnology Equipment: Dredges, Thermographs, etc.</v>
      </c>
    </row>
    <row r="3771" spans="2:2" x14ac:dyDescent="0.25">
      <c r="B3771" t="str">
        <v>495-73: Physiological Testing and Recording Equipment, Single and Multichannel, and Accessories: Electrodes, Monitors, Stimulators, etc.</v>
      </c>
    </row>
    <row r="3772" spans="2:2" x14ac:dyDescent="0.25">
      <c r="B3772" t="str">
        <v>495-75: Prepared Slides, Microscope</v>
      </c>
    </row>
    <row r="3773" spans="2:2" x14ac:dyDescent="0.25">
      <c r="B3773" t="str">
        <v>495-78: Reptiles, Preserved</v>
      </c>
    </row>
    <row r="3774" spans="2:2" x14ac:dyDescent="0.25">
      <c r="B3774" t="str">
        <v>495-82: Scales, Laboratory, Animal and Human: Autopsy Scales, Underwater Scales, etc.</v>
      </c>
    </row>
    <row r="3775" spans="2:2" x14ac:dyDescent="0.25">
      <c r="B3775" t="str">
        <v>495-84: Slide Stainer Equipment and Accessories (Not Otherwise Classified)</v>
      </c>
    </row>
    <row r="3776" spans="2:2" x14ac:dyDescent="0.25">
      <c r="B3776" t="str">
        <v>495-85: Skeletons: Mounted, Unmounted, and Partial</v>
      </c>
    </row>
    <row r="3777" spans="2:2" x14ac:dyDescent="0.25">
      <c r="B3777" t="str">
        <v>495-88: Tissue and Organ Culture Equipment: Cell Harvesters, Roller Drums, etc.</v>
      </c>
    </row>
    <row r="3778" spans="2:2" x14ac:dyDescent="0.25">
      <c r="B3778" t="str">
        <v>495-90: Tissue-Processing Equipment and Supplies, For Histology: Cryostats, Flotation Baths, Microtomes, Paraffin Embedment Systems, etc.</v>
      </c>
    </row>
    <row r="3779" spans="2:2" x14ac:dyDescent="0.25">
      <c r="B3779" t="str">
        <v>495-95: Zoology Specimens, Live and Injected</v>
      </c>
    </row>
    <row r="3780" spans="2:2" x14ac:dyDescent="0.25">
      <c r="B3780" t="str">
        <v>495-97: Recycled Biology, Botany, Geology, Microbiology and Zoology Equipment and Supplies</v>
      </c>
    </row>
    <row r="3781" spans="2:2" x14ac:dyDescent="0.25">
      <c r="B3781" t="str">
        <v>500-03: Conditioning and Finishing Equipment: Chambers, Tunnels, etc.</v>
      </c>
    </row>
    <row r="3782" spans="2:2" x14ac:dyDescent="0.25">
      <c r="B3782" t="str">
        <v>500-05: Dry Cleaning Plants, Petroleum Solvent</v>
      </c>
    </row>
    <row r="3783" spans="2:2" x14ac:dyDescent="0.25">
      <c r="B3783" t="str">
        <v>500-10: Dry Cleaning Plants, Synthetic Solvent</v>
      </c>
    </row>
    <row r="3784" spans="2:2" x14ac:dyDescent="0.25">
      <c r="B3784" t="str">
        <v>500-15: Drying Tumblers: Steam, Electric and Gas Fired</v>
      </c>
    </row>
    <row r="3785" spans="2:2" x14ac:dyDescent="0.25">
      <c r="B3785" t="str">
        <v>500-17: Drying Tumblers: Steam, Electric and Gas Fired, Up to Fifty Pounds</v>
      </c>
    </row>
    <row r="3786" spans="2:2" x14ac:dyDescent="0.25">
      <c r="B3786" t="str">
        <v>500-20: Extractors, Centrifugal</v>
      </c>
    </row>
    <row r="3787" spans="2:2" x14ac:dyDescent="0.25">
      <c r="B3787" t="str">
        <v>500-25: Extractors, Hydraulic</v>
      </c>
    </row>
    <row r="3788" spans="2:2" x14ac:dyDescent="0.25">
      <c r="B3788" t="str">
        <v>500-30: Folders and Folder-Stackers, Flatwork</v>
      </c>
    </row>
    <row r="3789" spans="2:2" x14ac:dyDescent="0.25">
      <c r="B3789" t="str">
        <v>500-40: Ironers and Accessories, Flatwork</v>
      </c>
    </row>
    <row r="3790" spans="2:2" x14ac:dyDescent="0.25">
      <c r="B3790" t="str">
        <v>500-45: Ironing Tables and Spray Guns</v>
      </c>
    </row>
    <row r="3791" spans="2:2" x14ac:dyDescent="0.25">
      <c r="B3791" t="str">
        <v>500-47: Lint Disposal and Removal Systems</v>
      </c>
    </row>
    <row r="3792" spans="2:2" x14ac:dyDescent="0.25">
      <c r="B3792" t="str">
        <v>500-50: Marking Machines</v>
      </c>
    </row>
    <row r="3793" spans="2:2" x14ac:dyDescent="0.25">
      <c r="B3793" t="str">
        <v>500-55: Patching Machines, Electric</v>
      </c>
    </row>
    <row r="3794" spans="2:2" x14ac:dyDescent="0.25">
      <c r="B3794" t="str">
        <v>500-60: Presses</v>
      </c>
    </row>
    <row r="3795" spans="2:2" x14ac:dyDescent="0.25">
      <c r="B3795" t="str">
        <v>500-63: Refurbished Laundry and Dry Cleaning Equipment and Supplies</v>
      </c>
    </row>
    <row r="3796" spans="2:2" x14ac:dyDescent="0.25">
      <c r="B3796" t="str">
        <v>500-65: Soap Tanks and Automatic Supply Injection Systems</v>
      </c>
    </row>
    <row r="3797" spans="2:2" x14ac:dyDescent="0.25">
      <c r="B3797" t="str">
        <v>500-68: Stands, Laundry Equipment</v>
      </c>
    </row>
    <row r="3798" spans="2:2" x14ac:dyDescent="0.25">
      <c r="B3798" t="str">
        <v>500-70: Starch Cookers</v>
      </c>
    </row>
    <row r="3799" spans="2:2" x14ac:dyDescent="0.25">
      <c r="B3799" t="str">
        <v>500-75: Tables, Shirt Finishing and Folding</v>
      </c>
    </row>
    <row r="3800" spans="2:2" x14ac:dyDescent="0.25">
      <c r="B3800" t="str">
        <v>500-87: Washer Extractors, Rated Under 100 Pound</v>
      </c>
    </row>
    <row r="3801" spans="2:2" x14ac:dyDescent="0.25">
      <c r="B3801" t="str">
        <v>500-90: Washer Extractors, Rated at 100 Pounds and Over</v>
      </c>
    </row>
    <row r="3802" spans="2:2" x14ac:dyDescent="0.25">
      <c r="B3802" t="str">
        <v>500-95: Washing Machines, Commercial</v>
      </c>
    </row>
    <row r="3803" spans="2:2" x14ac:dyDescent="0.25">
      <c r="B3803" t="str">
        <v>500-96: Washers and Dryers, Coin-Operated Type</v>
      </c>
    </row>
    <row r="3804" spans="2:2" x14ac:dyDescent="0.25">
      <c r="B3804" t="str">
        <v>500-97: Water Recovery System, Laundry</v>
      </c>
    </row>
    <row r="3805" spans="2:2" x14ac:dyDescent="0.25">
      <c r="B3805" t="str">
        <v>505-09: Additives, Rinse</v>
      </c>
    </row>
    <row r="3806" spans="2:2" x14ac:dyDescent="0.25">
      <c r="B3806" t="str">
        <v>505-15: Bluing, Inks, and Vat Dyes</v>
      </c>
    </row>
    <row r="3807" spans="2:2" x14ac:dyDescent="0.25">
      <c r="B3807" t="str">
        <v>505-20: Boron Compounds: Granulated Borax, Sodium Perborate, etc.</v>
      </c>
    </row>
    <row r="3808" spans="2:2" x14ac:dyDescent="0.25">
      <c r="B3808" t="str">
        <v>505-25: Bleach, Chlorine and Peroxide</v>
      </c>
    </row>
    <row r="3809" spans="2:2" x14ac:dyDescent="0.25">
      <c r="B3809" t="str">
        <v>505-30: Chemicals, Laundry (Not Otherwise Classified)</v>
      </c>
    </row>
    <row r="3810" spans="2:2" x14ac:dyDescent="0.25">
      <c r="B3810" t="str">
        <v>505-33: Detergents, Special Formula, For Removing Proteins, Tannin, and Other Soils</v>
      </c>
    </row>
    <row r="3811" spans="2:2" x14ac:dyDescent="0.25">
      <c r="B3811" t="str">
        <v>505-35: Detergents, Synthetic</v>
      </c>
    </row>
    <row r="3812" spans="2:2" x14ac:dyDescent="0.25">
      <c r="B3812" t="str">
        <v>505-37: Detergents, Synthetic, Germicidal</v>
      </c>
    </row>
    <row r="3813" spans="2:2" x14ac:dyDescent="0.25">
      <c r="B3813" t="str">
        <v>505-40: Dry Cleaning Materials: Detergents, Naphtha and Other Solvents, etc.</v>
      </c>
    </row>
    <row r="3814" spans="2:2" x14ac:dyDescent="0.25">
      <c r="B3814" t="str">
        <v>505-41: Dry Cleaning Solvent Regeneration Materials: Activated Carbon, Absorbent Powder, Diatomite, Filter Powder, etc.</v>
      </c>
    </row>
    <row r="3815" spans="2:2" x14ac:dyDescent="0.25">
      <c r="B3815" t="str">
        <v>505-42: Dry Cleaning Supplies: Bone Scrapers, Spotting Brushes, Spotting Tools, etc.</v>
      </c>
    </row>
    <row r="3816" spans="2:2" x14ac:dyDescent="0.25">
      <c r="B3816" t="str">
        <v>505-47: Fabric Softeners and Refreshers, Germicidal and Nongermicidal</v>
      </c>
    </row>
    <row r="3817" spans="2:2" x14ac:dyDescent="0.25">
      <c r="B3817" t="str">
        <v>505-57: Laundry Alkalis: Sodium Hydroxide, Caustic Soda, Sodium Metasilicate, Sodium Orthosilicate, etc.</v>
      </c>
    </row>
    <row r="3818" spans="2:2" x14ac:dyDescent="0.25">
      <c r="B3818" t="str">
        <v>505-63: Paper Goods: Shirt Bands and Boards, etc.</v>
      </c>
    </row>
    <row r="3819" spans="2:2" x14ac:dyDescent="0.25">
      <c r="B3819" t="str">
        <v>505-68: Paraffin Wax</v>
      </c>
    </row>
    <row r="3820" spans="2:2" x14ac:dyDescent="0.25">
      <c r="B3820" t="str">
        <v>505-70: Recycled Laundry and Dry Cleaning Compounds, Detergents, Solvents and Soaps, Environmentally Certified</v>
      </c>
    </row>
    <row r="3821" spans="2:2" x14ac:dyDescent="0.25">
      <c r="B3821" t="str">
        <v>505-73: Sizing, Textile Finishing</v>
      </c>
    </row>
    <row r="3822" spans="2:2" x14ac:dyDescent="0.25">
      <c r="B3822" t="str">
        <v>505-78: Soaps: Bar, Chip, Flake, and Granular</v>
      </c>
    </row>
    <row r="3823" spans="2:2" x14ac:dyDescent="0.25">
      <c r="B3823" t="str">
        <v>505-80: Soaps, Germicidal: Bar, Chip, Flake, and Granular</v>
      </c>
    </row>
    <row r="3824" spans="2:2" x14ac:dyDescent="0.25">
      <c r="B3824" t="str">
        <v>505-85: Sours, Laundry</v>
      </c>
    </row>
    <row r="3825" spans="2:2" x14ac:dyDescent="0.25">
      <c r="B3825" t="str">
        <v>505-88: Stain and Spot Remover, Fabric and Sours</v>
      </c>
    </row>
    <row r="3826" spans="2:2" x14ac:dyDescent="0.25">
      <c r="B3826" t="str">
        <v>505-90: Starches</v>
      </c>
    </row>
    <row r="3827" spans="2:2" x14ac:dyDescent="0.25">
      <c r="B3827" t="str">
        <v>505-95: Waxes and Cleaners, For Ironers, Presses, etc.</v>
      </c>
    </row>
    <row r="3828" spans="2:2" x14ac:dyDescent="0.25">
      <c r="B3828" t="str">
        <v>510-08: Aprons, Flatwork Ironer</v>
      </c>
    </row>
    <row r="3829" spans="2:2" x14ac:dyDescent="0.25">
      <c r="B3829" t="str">
        <v>510-16: Asbestos Covers and Pads</v>
      </c>
    </row>
    <row r="3830" spans="2:2" x14ac:dyDescent="0.25">
      <c r="B3830" t="str">
        <v>510-20: Bag Holders, Baskets, Carts, and Trucks</v>
      </c>
    </row>
    <row r="3831" spans="2:2" x14ac:dyDescent="0.25">
      <c r="B3831" t="str">
        <v>510-22: Bags, Laundry, Cloth</v>
      </c>
    </row>
    <row r="3832" spans="2:2" x14ac:dyDescent="0.25">
      <c r="B3832" t="str">
        <v>510-24: Bags, Laundry, Water Soluble</v>
      </c>
    </row>
    <row r="3833" spans="2:2" x14ac:dyDescent="0.25">
      <c r="B3833" t="str">
        <v>510-32: Bags and Liners, For Bag Holders, Baskets, and Trucks</v>
      </c>
    </row>
    <row r="3834" spans="2:2" x14ac:dyDescent="0.25">
      <c r="B3834" t="str">
        <v>510-48: Belts and Feed Ribbons</v>
      </c>
    </row>
    <row r="3835" spans="2:2" x14ac:dyDescent="0.25">
      <c r="B3835" t="str">
        <v>510-56: Covers and Cover Cloths</v>
      </c>
    </row>
    <row r="3836" spans="2:2" x14ac:dyDescent="0.25">
      <c r="B3836" t="str">
        <v>510-64: Identification Pins, Tags, etc.</v>
      </c>
    </row>
    <row r="3837" spans="2:2" x14ac:dyDescent="0.25">
      <c r="B3837" t="str">
        <v>510-72: Net Pins</v>
      </c>
    </row>
    <row r="3838" spans="2:2" x14ac:dyDescent="0.25">
      <c r="B3838" t="str">
        <v>510-80: Nets, Laundry</v>
      </c>
    </row>
    <row r="3839" spans="2:2" x14ac:dyDescent="0.25">
      <c r="B3839" t="str">
        <v>510-83: Pads and Padding, Textile</v>
      </c>
    </row>
    <row r="3840" spans="2:2" x14ac:dyDescent="0.25">
      <c r="B3840" t="str">
        <v>510-85: Press Pads, Metal</v>
      </c>
    </row>
    <row r="3841" spans="2:2" x14ac:dyDescent="0.25">
      <c r="B3841" t="str">
        <v>510-88: Recycled Laundry Textiles and Supplies</v>
      </c>
    </row>
    <row r="3842" spans="2:2" x14ac:dyDescent="0.25">
      <c r="B3842" t="str">
        <v>510-90: Slings, Laundry, For Conveyor Systems</v>
      </c>
    </row>
    <row r="3843" spans="2:2" x14ac:dyDescent="0.25">
      <c r="B3843" t="str">
        <v>515-05: Aerators, Pluggers, and Spikers</v>
      </c>
    </row>
    <row r="3844" spans="2:2" x14ac:dyDescent="0.25">
      <c r="B3844" t="str">
        <v>515-06: Baggers and Catchers, Grass, Lawn Mower</v>
      </c>
    </row>
    <row r="3845" spans="2:2" x14ac:dyDescent="0.25">
      <c r="B3845" t="str">
        <v>515-07: Blowers, Lawn, Power</v>
      </c>
    </row>
    <row r="3846" spans="2:2" x14ac:dyDescent="0.25">
      <c r="B3846" t="str">
        <v>515-08: Carts, Lawn</v>
      </c>
    </row>
    <row r="3847" spans="2:2" x14ac:dyDescent="0.25">
      <c r="B3847" t="str">
        <v>515-10: Edgers, Trimmers, and Weed Cutters</v>
      </c>
    </row>
    <row r="3848" spans="2:2" x14ac:dyDescent="0.25">
      <c r="B3848" t="str">
        <v>515-15: Engines, Motors, and Parts, For Lawn Equipment</v>
      </c>
    </row>
    <row r="3849" spans="2:2" x14ac:dyDescent="0.25">
      <c r="B3849" t="str">
        <v>515-18: Feeders, Root</v>
      </c>
    </row>
    <row r="3850" spans="2:2" x14ac:dyDescent="0.25">
      <c r="B3850" t="str">
        <v>515-20: Fertilizer Distributors, Lawn Type (See Class 020 for Commercial Distributors)</v>
      </c>
    </row>
    <row r="3851" spans="2:2" x14ac:dyDescent="0.25">
      <c r="B3851" t="str">
        <v>515-23: Gang Mowers for Lawns and Grounds, All Types</v>
      </c>
    </row>
    <row r="3852" spans="2:2" x14ac:dyDescent="0.25">
      <c r="B3852" t="str">
        <v>515-24: Garden Hand Tools, Including Sickles, (Not Otherwise Classified)</v>
      </c>
    </row>
    <row r="3853" spans="2:2" x14ac:dyDescent="0.25">
      <c r="B3853" t="str">
        <v>515-25: Irrigation Systems, Supplies, Parts, and Accessories</v>
      </c>
    </row>
    <row r="3854" spans="2:2" x14ac:dyDescent="0.25">
      <c r="B3854" t="str">
        <v>515-29: Lawn and Grounds Equipment Rollover Protection (ROPS)</v>
      </c>
    </row>
    <row r="3855" spans="2:2" x14ac:dyDescent="0.25">
      <c r="B3855" t="str">
        <v>515-30: Lawn Mowers, Hand, Reel Type, Manual</v>
      </c>
    </row>
    <row r="3856" spans="2:2" x14ac:dyDescent="0.25">
      <c r="B3856" t="str">
        <v>515-35: Lawn Mowers, Power, Heavy Duty, Flail Type (See Class 020 For Highway Type)</v>
      </c>
    </row>
    <row r="3857" spans="2:2" x14ac:dyDescent="0.25">
      <c r="B3857" t="str">
        <v>515-40: Lawn Mowers, Power, Heavy Duty, Reel Type (See Class 020 For Highway Type)</v>
      </c>
    </row>
    <row r="3858" spans="2:2" x14ac:dyDescent="0.25">
      <c r="B3858" t="str">
        <v>515-45: Lawn Mowers, Power, Heavy Duty, Rotary Type, Including Self-Propelled Types, (See Class 020 For Highway Type)</v>
      </c>
    </row>
    <row r="3859" spans="2:2" x14ac:dyDescent="0.25">
      <c r="B3859" t="str">
        <v>515-50: Lawn Mowers, Power, Light Duty, Reel Type, Yard Use</v>
      </c>
    </row>
    <row r="3860" spans="2:2" x14ac:dyDescent="0.25">
      <c r="B3860" t="str">
        <v>515-55: Lawn Mowers, Power, Light Duty, Rotary Type, Yard Use</v>
      </c>
    </row>
    <row r="3861" spans="2:2" x14ac:dyDescent="0.25">
      <c r="B3861" t="str">
        <v>515-56: Lawn Mowers, Riding Type, Including Parts and Accessories</v>
      </c>
    </row>
    <row r="3862" spans="2:2" x14ac:dyDescent="0.25">
      <c r="B3862" t="str">
        <v>515-59: Pads, Kneeling, Lawn and Garden</v>
      </c>
    </row>
    <row r="3863" spans="2:2" x14ac:dyDescent="0.25">
      <c r="B3863" t="str">
        <v>515-60: Pruners and Grass Clippers, Hand Type</v>
      </c>
    </row>
    <row r="3864" spans="2:2" x14ac:dyDescent="0.25">
      <c r="B3864" t="str">
        <v>515-63: Recycled Lawn Equipment, Including Parts and  Accessories</v>
      </c>
    </row>
    <row r="3865" spans="2:2" x14ac:dyDescent="0.25">
      <c r="B3865" t="str">
        <v>515-64: Rollers, Lawn, Including Parts and Accessories</v>
      </c>
    </row>
    <row r="3866" spans="2:2" x14ac:dyDescent="0.25">
      <c r="B3866" t="str">
        <v>515-65: Rakers and Combers, Lawn, Power</v>
      </c>
    </row>
    <row r="3867" spans="2:2" x14ac:dyDescent="0.25">
      <c r="B3867" t="str">
        <v>515-66: Shears: Grass, Hedge, Lopping, Pruning, etc.</v>
      </c>
    </row>
    <row r="3868" spans="2:2" x14ac:dyDescent="0.25">
      <c r="B3868" t="str">
        <v>515-67: Shredders and Screeners, For Conditioning Soil</v>
      </c>
    </row>
    <row r="3869" spans="2:2" x14ac:dyDescent="0.25">
      <c r="B3869" t="str">
        <v>515-68: Snowblowers and Snowthrowers, Tractor Mounted, Lawns and Grounds</v>
      </c>
    </row>
    <row r="3870" spans="2:2" x14ac:dyDescent="0.25">
      <c r="B3870" t="str">
        <v>515-69: Snowblowers and Snowthrowers, Walk Behind, Lawns and Grounds</v>
      </c>
    </row>
    <row r="3871" spans="2:2" x14ac:dyDescent="0.25">
      <c r="B3871" t="str">
        <v>515-70: Sod Cutters and Lifters</v>
      </c>
    </row>
    <row r="3872" spans="2:2" x14ac:dyDescent="0.25">
      <c r="B3872" t="str">
        <v>515-75: Spreaders: Broadcast, Fertilizer and Seed</v>
      </c>
    </row>
    <row r="3873" spans="2:2" x14ac:dyDescent="0.25">
      <c r="B3873" t="str">
        <v>515-80: Sprinklers, Portable</v>
      </c>
    </row>
    <row r="3874" spans="2:2" x14ac:dyDescent="0.25">
      <c r="B3874" t="str">
        <v>515-82: Sprinkler Systems, Lawn and Turf, Including Parts and Accessories</v>
      </c>
    </row>
    <row r="3875" spans="2:2" x14ac:dyDescent="0.25">
      <c r="B3875" t="str">
        <v>515-83: Tree Trimming and Pruning Equipment: Portable, Power Operated, Not Saws</v>
      </c>
    </row>
    <row r="3876" spans="2:2" x14ac:dyDescent="0.25">
      <c r="B3876" t="str">
        <v>515-85: Vacuum Cleaners and Other Litter Pickup Devices: Lawn, Parking Area, Sidewalk, etc.</v>
      </c>
    </row>
    <row r="3877" spans="2:2" x14ac:dyDescent="0.25">
      <c r="B3877" t="str">
        <v>520-06: Beeswax</v>
      </c>
    </row>
    <row r="3878" spans="2:2" x14ac:dyDescent="0.25">
      <c r="B3878" t="str">
        <v>520-08: Blankets, Bags, Cinches, and Pads, Saddle</v>
      </c>
    </row>
    <row r="3879" spans="2:2" x14ac:dyDescent="0.25">
      <c r="B3879" t="str">
        <v>520-10: Bottom fillers and Bottom Filler (See Class 010 For Cork) Materials For Shoe Manufacturing</v>
      </c>
    </row>
    <row r="3880" spans="2:2" x14ac:dyDescent="0.25">
      <c r="B3880" t="str">
        <v>520-12: Box Toes</v>
      </c>
    </row>
    <row r="3881" spans="2:2" x14ac:dyDescent="0.25">
      <c r="B3881" t="str">
        <v>520-13: Brushes, Shoe</v>
      </c>
    </row>
    <row r="3882" spans="2:2" x14ac:dyDescent="0.25">
      <c r="B3882" t="str">
        <v>520-14: Cement, Adhesives, and Thinner, For Leather and Rubber</v>
      </c>
    </row>
    <row r="3883" spans="2:2" x14ac:dyDescent="0.25">
      <c r="B3883" t="str">
        <v>520-16: Hand Tools, Leather Working</v>
      </c>
    </row>
    <row r="3884" spans="2:2" x14ac:dyDescent="0.25">
      <c r="B3884" t="str">
        <v>520-18: Hardware, Harness</v>
      </c>
    </row>
    <row r="3885" spans="2:2" x14ac:dyDescent="0.25">
      <c r="B3885" t="str">
        <v>520-20: Harness, Leather</v>
      </c>
    </row>
    <row r="3886" spans="2:2" x14ac:dyDescent="0.25">
      <c r="B3886" t="str">
        <v>520-22: Heel and Toe Plates</v>
      </c>
    </row>
    <row r="3887" spans="2:2" x14ac:dyDescent="0.25">
      <c r="B3887" t="str">
        <v>520-24: Heel Braces</v>
      </c>
    </row>
    <row r="3888" spans="2:2" x14ac:dyDescent="0.25">
      <c r="B3888" t="str">
        <v>520-26: Heel Fillers, Grippers, Liners, Scaphoid Pads, etc.</v>
      </c>
    </row>
    <row r="3889" spans="2:2" x14ac:dyDescent="0.25">
      <c r="B3889" t="str">
        <v>520-28: Heels, Leather and Wood</v>
      </c>
    </row>
    <row r="3890" spans="2:2" x14ac:dyDescent="0.25">
      <c r="B3890" t="str">
        <v>520-29: Heels, Soles, and Strips</v>
      </c>
    </row>
    <row r="3891" spans="2:2" x14ac:dyDescent="0.25">
      <c r="B3891" t="str">
        <v>520-30: Heels, Soles, and Strips, Composition</v>
      </c>
    </row>
    <row r="3892" spans="2:2" x14ac:dyDescent="0.25">
      <c r="B3892" t="str">
        <v>520-32: Heels, Soles, and Strips, Rubber</v>
      </c>
    </row>
    <row r="3893" spans="2:2" x14ac:dyDescent="0.25">
      <c r="B3893" t="str">
        <v>520-33: Heels, Soles, and Strips, Leather</v>
      </c>
    </row>
    <row r="3894" spans="2:2" x14ac:dyDescent="0.25">
      <c r="B3894" t="str">
        <v>520-34: Horse Collars, Harnesses, Reins, All Types, Including Hardware</v>
      </c>
    </row>
    <row r="3895" spans="2:2" x14ac:dyDescent="0.25">
      <c r="B3895" t="str">
        <v>520-36: Ink and Brushes, Leather Working</v>
      </c>
    </row>
    <row r="3896" spans="2:2" x14ac:dyDescent="0.25">
      <c r="B3896" t="str">
        <v>520-38: Insoles and Counters, Shoe</v>
      </c>
    </row>
    <row r="3897" spans="2:2" x14ac:dyDescent="0.25">
      <c r="B3897" t="str">
        <v>520-40: Leather, Belt</v>
      </c>
    </row>
    <row r="3898" spans="2:2" x14ac:dyDescent="0.25">
      <c r="B3898" t="str">
        <v>520-42: Leather, Harness</v>
      </c>
    </row>
    <row r="3899" spans="2:2" x14ac:dyDescent="0.25">
      <c r="B3899" t="str">
        <v>520-43: Leggings and Chaps, Leather</v>
      </c>
    </row>
    <row r="3900" spans="2:2" x14ac:dyDescent="0.25">
      <c r="B3900" t="str">
        <v>520-44: Leather, Shoe: Sole Bends, Split, and Upper</v>
      </c>
    </row>
    <row r="3901" spans="2:2" x14ac:dyDescent="0.25">
      <c r="B3901" t="str">
        <v>520-45: Leather Tanning and Finishing Equipment and Supplies</v>
      </c>
    </row>
    <row r="3902" spans="2:2" x14ac:dyDescent="0.25">
      <c r="B3902" t="str">
        <v>520-46: Leather Preparation, Repairing and Working Equipment</v>
      </c>
    </row>
    <row r="3903" spans="2:2" x14ac:dyDescent="0.25">
      <c r="B3903" t="str">
        <v>520-47: Lining, Base, Used in Shoe Manufacturing</v>
      </c>
    </row>
    <row r="3904" spans="2:2" x14ac:dyDescent="0.25">
      <c r="B3904" t="str">
        <v>520-48: Lining, Shoe Tongue</v>
      </c>
    </row>
    <row r="3905" spans="2:2" x14ac:dyDescent="0.25">
      <c r="B3905" t="str">
        <v>520-49: Measurement Devices, Foot</v>
      </c>
    </row>
    <row r="3906" spans="2:2" x14ac:dyDescent="0.25">
      <c r="B3906" t="str">
        <v>520-50: Metal Eyelets, For Leather</v>
      </c>
    </row>
    <row r="3907" spans="2:2" x14ac:dyDescent="0.25">
      <c r="B3907" t="str">
        <v>520-52: Nails, Tacks, and Wire, Shoe</v>
      </c>
    </row>
    <row r="3908" spans="2:2" x14ac:dyDescent="0.25">
      <c r="B3908" t="str">
        <v>520-54: Neat's Foot Oil</v>
      </c>
    </row>
    <row r="3909" spans="2:2" x14ac:dyDescent="0.25">
      <c r="B3909" t="str">
        <v>520-56: Needles and Awls, Shoe Machine</v>
      </c>
    </row>
    <row r="3910" spans="2:2" x14ac:dyDescent="0.25">
      <c r="B3910" t="str">
        <v>520-58: Patching and Upper Shoe Machine</v>
      </c>
    </row>
    <row r="3911" spans="2:2" x14ac:dyDescent="0.25">
      <c r="B3911" t="str">
        <v>520-59: Pellets, Shoe Sole</v>
      </c>
    </row>
    <row r="3912" spans="2:2" x14ac:dyDescent="0.25">
      <c r="B3912" t="str">
        <v>520-60: Polishes and Conditioners: Leather, Shoe, Boot, etc. (Incl. Dyes)</v>
      </c>
    </row>
    <row r="3913" spans="2:2" x14ac:dyDescent="0.25">
      <c r="B3913" t="str">
        <v>520-61: Recycled Leather Products</v>
      </c>
    </row>
    <row r="3914" spans="2:2" x14ac:dyDescent="0.25">
      <c r="B3914" t="str">
        <v>520-62: Saddles and Accessories</v>
      </c>
    </row>
    <row r="3915" spans="2:2" x14ac:dyDescent="0.25">
      <c r="B3915" t="str">
        <v>520-64: Saddle Trees</v>
      </c>
    </row>
    <row r="3916" spans="2:2" x14ac:dyDescent="0.25">
      <c r="B3916" t="str">
        <v>520-66: Shanks, Shoe, Steel and Fiber</v>
      </c>
    </row>
    <row r="3917" spans="2:2" x14ac:dyDescent="0.25">
      <c r="B3917" t="str">
        <v>520-67: Shoe Accessories (Not otherwise classified)</v>
      </c>
    </row>
    <row r="3918" spans="2:2" x14ac:dyDescent="0.25">
      <c r="B3918" t="str">
        <v>520-68: Shoe Lasts: Iron, Wood, and Plastic</v>
      </c>
    </row>
    <row r="3919" spans="2:2" x14ac:dyDescent="0.25">
      <c r="B3919" t="str">
        <v>520-70: Shoe Repair Supplies: Beading, Belting, Cleats, Elastic, Pads, Piping, etc.</v>
      </c>
    </row>
    <row r="3920" spans="2:2" x14ac:dyDescent="0.25">
      <c r="B3920" t="str">
        <v>520-72: Shoe Shine Brushes and Cloths</v>
      </c>
    </row>
    <row r="3921" spans="2:2" x14ac:dyDescent="0.25">
      <c r="B3921" t="str">
        <v>520-74: Shoe Shine Machines, Electric</v>
      </c>
    </row>
    <row r="3922" spans="2:2" x14ac:dyDescent="0.25">
      <c r="B3922" t="str">
        <v>520-76: Shoelaces, All Types</v>
      </c>
    </row>
    <row r="3923" spans="2:2" x14ac:dyDescent="0.25">
      <c r="B3923" t="str">
        <v>520-78: Skins, Skivers, and Pelts, For Shoe Manufacturing</v>
      </c>
    </row>
    <row r="3924" spans="2:2" x14ac:dyDescent="0.25">
      <c r="B3924" t="str">
        <v>520-80: Soap, Saddle</v>
      </c>
    </row>
    <row r="3925" spans="2:2" x14ac:dyDescent="0.25">
      <c r="B3925" t="str">
        <v>520-81: Stretchers, Shoe/Boot</v>
      </c>
    </row>
    <row r="3926" spans="2:2" x14ac:dyDescent="0.25">
      <c r="B3926" t="str">
        <v>520-82: Stirrups, Saddle</v>
      </c>
    </row>
    <row r="3927" spans="2:2" x14ac:dyDescent="0.25">
      <c r="B3927" t="str">
        <v>520-83: Taps, Shoe</v>
      </c>
    </row>
    <row r="3928" spans="2:2" x14ac:dyDescent="0.25">
      <c r="B3928" t="str">
        <v>520-84: Thread, Shoe Stitching</v>
      </c>
    </row>
    <row r="3929" spans="2:2" x14ac:dyDescent="0.25">
      <c r="B3929" t="str">
        <v>520-86: Wax, Stitching</v>
      </c>
    </row>
    <row r="3930" spans="2:2" x14ac:dyDescent="0.25">
      <c r="B3930" t="str">
        <v>520-88: Welting, Shoe</v>
      </c>
    </row>
    <row r="3931" spans="2:2" x14ac:dyDescent="0.25">
      <c r="B3931" t="str">
        <v>520-90: Wheel Covers, Cloth, Shoe Manufacturing, (See Class 005 For Abrasives)</v>
      </c>
    </row>
    <row r="3932" spans="2:2" x14ac:dyDescent="0.25">
      <c r="B3932" t="str">
        <v>525-05: Archival Storage Materials, Acid Free: Document Cases, Envelopes, File Folders, etc.</v>
      </c>
    </row>
    <row r="3933" spans="2:2" x14ac:dyDescent="0.25">
      <c r="B3933" t="str">
        <v>525-06: Automation Equipment, Used to Process or Transport Lending Materials</v>
      </c>
    </row>
    <row r="3934" spans="2:2" x14ac:dyDescent="0.25">
      <c r="B3934" t="str">
        <v>525-10: Binders, Covers, Jackets, Protectors, Sticks, etc.: Books, Magazines, Newspapers, Pamphlets, Photographs, etc.</v>
      </c>
    </row>
    <row r="3935" spans="2:2" x14ac:dyDescent="0.25">
      <c r="B3935" t="str">
        <v>525-20: Book Cards, Date Slips, Pockets, Protectors, etc.</v>
      </c>
    </row>
    <row r="3936" spans="2:2" x14ac:dyDescent="0.25">
      <c r="B3936" t="str">
        <v>525-25: Book Ends, Holders, Supports, etc.</v>
      </c>
    </row>
    <row r="3937" spans="2:2" x14ac:dyDescent="0.25">
      <c r="B3937" t="str">
        <v>525-30: Book Mending, Rebinding, and Repairing Supplies (See 590-68 for Binding Tape for Sewing Purposes)</v>
      </c>
    </row>
    <row r="3938" spans="2:2" x14ac:dyDescent="0.25">
      <c r="B3938" t="str">
        <v>525-40: Book Security Systems, Equipment, and Supplies</v>
      </c>
    </row>
    <row r="3939" spans="2:2" x14ac:dyDescent="0.25">
      <c r="B3939" t="str">
        <v>525-50: Books, Accession</v>
      </c>
    </row>
    <row r="3940" spans="2:2" x14ac:dyDescent="0.25">
      <c r="B3940" t="str">
        <v>525-51: Boxes, Drop, Library</v>
      </c>
    </row>
    <row r="3941" spans="2:2" x14ac:dyDescent="0.25">
      <c r="B3941" t="str">
        <v>525-55: Daters, Pencil and Band Type; and Supplies</v>
      </c>
    </row>
    <row r="3942" spans="2:2" x14ac:dyDescent="0.25">
      <c r="B3942" t="str">
        <v>525-60: Library Catalog Cards and Accessories, Cards, Guides, Protectors, Sorters, Trays, etc.</v>
      </c>
    </row>
    <row r="3943" spans="2:2" x14ac:dyDescent="0.25">
      <c r="B3943" t="str">
        <v>525-65: Library Forms, All Kinds: Circulation Record, Continuous, Strip, etc.</v>
      </c>
    </row>
    <row r="3944" spans="2:2" x14ac:dyDescent="0.25">
      <c r="B3944" t="str">
        <v>525-70: Library Labeling Supplies: Labels, Letters, Signals, etc.</v>
      </c>
    </row>
    <row r="3945" spans="2:2" x14ac:dyDescent="0.25">
      <c r="B3945" t="str">
        <v>525-75: Library Machines: Card Duplicators, Card Master Machines, Charging Machines, Pasting Machines, etc.</v>
      </c>
    </row>
    <row r="3946" spans="2:2" x14ac:dyDescent="0.25">
      <c r="B3946" t="str">
        <v>525-80: Library Supplies, Miscellaneous</v>
      </c>
    </row>
    <row r="3947" spans="2:2" x14ac:dyDescent="0.25">
      <c r="B3947" t="str">
        <v>525-95: Recycled Library Books, Equipment and Supplies</v>
      </c>
    </row>
    <row r="3948" spans="2:2" x14ac:dyDescent="0.25">
      <c r="B3948" t="str">
        <v>530-15: Attache Cases</v>
      </c>
    </row>
    <row r="3949" spans="2:2" x14ac:dyDescent="0.25">
      <c r="B3949" t="str">
        <v>530-25: Back and Fanny Packs</v>
      </c>
    </row>
    <row r="3950" spans="2:2" x14ac:dyDescent="0.25">
      <c r="B3950" t="str">
        <v>530-30: Brief Cases, Brief Bags, and Portfolios</v>
      </c>
    </row>
    <row r="3951" spans="2:2" x14ac:dyDescent="0.25">
      <c r="B3951" t="str">
        <v>530-39: Business and Credit Card Holders, Binders, Folders, etc.</v>
      </c>
    </row>
    <row r="3952" spans="2:2" x14ac:dyDescent="0.25">
      <c r="B3952" t="str">
        <v>530-45: Cases, Catalog, ID Card, Salesman's and Special</v>
      </c>
    </row>
    <row r="3953" spans="2:2" x14ac:dyDescent="0.25">
      <c r="B3953" t="str">
        <v>530-46: Cases, Computer, Tablets, Notebooks, MP3 Players etc.</v>
      </c>
    </row>
    <row r="3954" spans="2:2" x14ac:dyDescent="0.25">
      <c r="B3954" t="str">
        <v>530-50: Duffle and Tote Bags</v>
      </c>
    </row>
    <row r="3955" spans="2:2" x14ac:dyDescent="0.25">
      <c r="B3955" t="str">
        <v>530-60: Luggage and Trunks</v>
      </c>
    </row>
    <row r="3956" spans="2:2" x14ac:dyDescent="0.25">
      <c r="B3956" t="str">
        <v>530-65: Purses, Wallets, Key Cases, etc.</v>
      </c>
    </row>
    <row r="3957" spans="2:2" x14ac:dyDescent="0.25">
      <c r="B3957" t="str">
        <v>530-68: Recycled Luggage, Brief Cases, and Purses</v>
      </c>
    </row>
    <row r="3958" spans="2:2" x14ac:dyDescent="0.25">
      <c r="B3958" t="str">
        <v>530-75: Travel Kits and Accessories</v>
      </c>
    </row>
    <row r="3959" spans="2:2" x14ac:dyDescent="0.25">
      <c r="B3959" t="str">
        <v>540-05: Asbestos Sheets, All Types, Except Insulation and Roofing</v>
      </c>
    </row>
    <row r="3960" spans="2:2" x14ac:dyDescent="0.25">
      <c r="B3960" t="str">
        <v>540-08: Asbestos Siding, Flat</v>
      </c>
    </row>
    <row r="3961" spans="2:2" x14ac:dyDescent="0.25">
      <c r="B3961" t="str">
        <v>540-09: Blocking Wood</v>
      </c>
    </row>
    <row r="3962" spans="2:2" x14ac:dyDescent="0.25">
      <c r="B3962" t="str">
        <v>540-10: Bridge Timbers and Railroad Ties, Treated</v>
      </c>
    </row>
    <row r="3963" spans="2:2" x14ac:dyDescent="0.25">
      <c r="B3963" t="str">
        <v>540-11: Fiberboard, Medium Density (MDF)</v>
      </c>
    </row>
    <row r="3964" spans="2:2" x14ac:dyDescent="0.25">
      <c r="B3964" t="str">
        <v>540-12: Forms, Wood (See 210-13 and 755-73 for Concrete Forms)</v>
      </c>
    </row>
    <row r="3965" spans="2:2" x14ac:dyDescent="0.25">
      <c r="B3965" t="str">
        <v>540-14: Lumber, Cedar</v>
      </c>
    </row>
    <row r="3966" spans="2:2" x14ac:dyDescent="0.25">
      <c r="B3966" t="str">
        <v>540-17: Lumber, Cypress</v>
      </c>
    </row>
    <row r="3967" spans="2:2" x14ac:dyDescent="0.25">
      <c r="B3967" t="str">
        <v>540-20: Lumber, Fir</v>
      </c>
    </row>
    <row r="3968" spans="2:2" x14ac:dyDescent="0.25">
      <c r="B3968" t="str">
        <v>540-23: Lumber, Hardwood, All Kinds</v>
      </c>
    </row>
    <row r="3969" spans="2:2" x14ac:dyDescent="0.25">
      <c r="B3969" t="str">
        <v>540-26: Lumber, Parana Pine</v>
      </c>
    </row>
    <row r="3970" spans="2:2" x14ac:dyDescent="0.25">
      <c r="B3970" t="str">
        <v>540-29: Lumber, Poplar and Willow</v>
      </c>
    </row>
    <row r="3971" spans="2:2" x14ac:dyDescent="0.25">
      <c r="B3971" t="str">
        <v>540-32: Lumber, Redwood</v>
      </c>
    </row>
    <row r="3972" spans="2:2" x14ac:dyDescent="0.25">
      <c r="B3972" t="str">
        <v>540-34: Lumber, Softwood (SPF)</v>
      </c>
    </row>
    <row r="3973" spans="2:2" x14ac:dyDescent="0.25">
      <c r="B3973" t="str">
        <v>540-35: Lumber, Southern Pine, Laminated Structural Type</v>
      </c>
    </row>
    <row r="3974" spans="2:2" x14ac:dyDescent="0.25">
      <c r="B3974" t="str">
        <v>540-41: Lumber, Treated: Creosote, Penta, Wolmanized, etc.</v>
      </c>
    </row>
    <row r="3975" spans="2:2" x14ac:dyDescent="0.25">
      <c r="B3975" t="str">
        <v>540-42: Lumber, Treated: Fire Retardant</v>
      </c>
    </row>
    <row r="3976" spans="2:2" x14ac:dyDescent="0.25">
      <c r="B3976" t="str">
        <v>540-43: Lumber, Walnut</v>
      </c>
    </row>
    <row r="3977" spans="2:2" x14ac:dyDescent="0.25">
      <c r="B3977" t="str">
        <v>540-44: Lumber, White Pine, Including Ponderosa Pine</v>
      </c>
    </row>
    <row r="3978" spans="2:2" x14ac:dyDescent="0.25">
      <c r="B3978" t="str">
        <v>540-47: Lumber, Yellow Pine</v>
      </c>
    </row>
    <row r="3979" spans="2:2" x14ac:dyDescent="0.25">
      <c r="B3979" t="str">
        <v>540-49: Oriented Strand Board (OSB, Wafer Board)</v>
      </c>
    </row>
    <row r="3980" spans="2:2" x14ac:dyDescent="0.25">
      <c r="B3980" t="str">
        <v>540-50: Particleboard, All Types</v>
      </c>
    </row>
    <row r="3981" spans="2:2" x14ac:dyDescent="0.25">
      <c r="B3981" t="str">
        <v>540-52: Lumber, Plastic, and Related Products</v>
      </c>
    </row>
    <row r="3982" spans="2:2" x14ac:dyDescent="0.25">
      <c r="B3982" t="str">
        <v>540-53: Pressed Paper Sheets</v>
      </c>
    </row>
    <row r="3983" spans="2:2" x14ac:dyDescent="0.25">
      <c r="B3983" t="str">
        <v>540-56: Pressed Wood Sheets: Masonite, etc.</v>
      </c>
    </row>
    <row r="3984" spans="2:2" x14ac:dyDescent="0.25">
      <c r="B3984" t="str">
        <v>540-57: Pilings, Treated</v>
      </c>
    </row>
    <row r="3985" spans="2:2" x14ac:dyDescent="0.25">
      <c r="B3985" t="str">
        <v>540-58: Pipe Sticks, Wooden</v>
      </c>
    </row>
    <row r="3986" spans="2:2" x14ac:dyDescent="0.25">
      <c r="B3986" t="str">
        <v>540-59: Plywood, Softwood (SPF)</v>
      </c>
    </row>
    <row r="3987" spans="2:2" x14ac:dyDescent="0.25">
      <c r="B3987" t="str">
        <v>540-62: Plywood, Hardwood Type, Except Decorative and Plastic Faced</v>
      </c>
    </row>
    <row r="3988" spans="2:2" x14ac:dyDescent="0.25">
      <c r="B3988" t="str">
        <v>540-65: Plywood Panels, Decorative, Prefinished</v>
      </c>
    </row>
    <row r="3989" spans="2:2" x14ac:dyDescent="0.25">
      <c r="B3989" t="str">
        <v>540-66: Plywood Panels, Decorative, Unfinished</v>
      </c>
    </row>
    <row r="3990" spans="2:2" x14ac:dyDescent="0.25">
      <c r="B3990" t="str">
        <v>540-68: Plywood Panels, Plastic Faced, For Highway Signs, etc.</v>
      </c>
    </row>
    <row r="3991" spans="2:2" x14ac:dyDescent="0.25">
      <c r="B3991" t="str">
        <v>540-70: Poles, Treated and Untreated</v>
      </c>
    </row>
    <row r="3992" spans="2:2" x14ac:dyDescent="0.25">
      <c r="B3992" t="str">
        <v>540-71: Posts, Cedar</v>
      </c>
    </row>
    <row r="3993" spans="2:2" x14ac:dyDescent="0.25">
      <c r="B3993" t="str">
        <v>540-73: Posts, Treated and Untreated, Including Wooden Guard Rail Posts, (See 570-28 for Metal Posts)</v>
      </c>
    </row>
    <row r="3994" spans="2:2" x14ac:dyDescent="0.25">
      <c r="B3994" t="str">
        <v>540-75: Railings  (Inactive, please see commodity code 150-34 effective January 1, 2016)</v>
      </c>
    </row>
    <row r="3995" spans="2:2" x14ac:dyDescent="0.25">
      <c r="B3995" t="str">
        <v>540-77: Recycled Lumber</v>
      </c>
    </row>
    <row r="3996" spans="2:2" x14ac:dyDescent="0.25">
      <c r="B3996" t="str">
        <v>540-78: Sawdust and Shavings</v>
      </c>
    </row>
    <row r="3997" spans="2:2" x14ac:dyDescent="0.25">
      <c r="B3997" t="str">
        <v>540-79: Wood and Lumber Products, Scrap or Waste</v>
      </c>
    </row>
    <row r="3998" spans="2:2" x14ac:dyDescent="0.25">
      <c r="B3998" t="str">
        <v>540-81: Sheetrock and Accessories: Cement, Corners, Floating Compound, etc. (See Class 832 For Tape, Including Recycled Type</v>
      </c>
    </row>
    <row r="3999" spans="2:2" x14ac:dyDescent="0.25">
      <c r="B3999" t="str">
        <v>540-84: Shakes and Shims, Wood</v>
      </c>
    </row>
    <row r="4000" spans="2:2" x14ac:dyDescent="0.25">
      <c r="B4000" t="str">
        <v>540-87: Siding, Prefinished Particleboard</v>
      </c>
    </row>
    <row r="4001" spans="2:2" x14ac:dyDescent="0.25">
      <c r="B4001" t="str">
        <v>540-88: Siding, Vinyl Clad, Including Recycled Types</v>
      </c>
    </row>
    <row r="4002" spans="2:2" x14ac:dyDescent="0.25">
      <c r="B4002" t="str">
        <v>540-89: Siding, Wood, All Types</v>
      </c>
    </row>
    <row r="4003" spans="2:2" x14ac:dyDescent="0.25">
      <c r="B4003" t="str">
        <v>540-90: Stakes: Engineers', Agricultural, etc.</v>
      </c>
    </row>
    <row r="4004" spans="2:2" x14ac:dyDescent="0.25">
      <c r="B4004" t="str">
        <v>540-91: Structural Wood Products (Not Otherwise Classified): Beams, Framing Lumber, Planks, Joists, etc.</v>
      </c>
    </row>
    <row r="4005" spans="2:2" x14ac:dyDescent="0.25">
      <c r="B4005" t="str">
        <v>540-92: Timbers, Construction Type, Laminated, Treated and Untreated</v>
      </c>
    </row>
    <row r="4006" spans="2:2" x14ac:dyDescent="0.25">
      <c r="B4006" t="str">
        <v>540-94: Underlayment</v>
      </c>
    </row>
    <row r="4007" spans="2:2" x14ac:dyDescent="0.25">
      <c r="B4007" t="str">
        <v>540-95: Veneers, All Kinds</v>
      </c>
    </row>
    <row r="4008" spans="2:2" x14ac:dyDescent="0.25">
      <c r="B4008" t="str">
        <v>540-96: Wood Bi-Products (Not Otherwise Classified)</v>
      </c>
    </row>
    <row r="4009" spans="2:2" x14ac:dyDescent="0.25">
      <c r="B4009" t="str">
        <v>540-97: Wood, Fire</v>
      </c>
    </row>
    <row r="4010" spans="2:2" x14ac:dyDescent="0.25">
      <c r="B4010" t="str">
        <v>545-02: Bits, Dies, Reamers, Taps, etc., For Stationary Power Tools</v>
      </c>
    </row>
    <row r="4011" spans="2:2" x14ac:dyDescent="0.25">
      <c r="B4011" t="str">
        <v>545-03: Broaching Machines and Tools</v>
      </c>
    </row>
    <row r="4012" spans="2:2" x14ac:dyDescent="0.25">
      <c r="B4012" t="str">
        <v>545-04: Blades, Power Saw, Stationary: Circular and Reciprocating</v>
      </c>
    </row>
    <row r="4013" spans="2:2" x14ac:dyDescent="0.25">
      <c r="B4013" t="str">
        <v>545-05: Bushings, Machinery, (Not Otherwise Classified)</v>
      </c>
    </row>
    <row r="4014" spans="2:2" x14ac:dyDescent="0.25">
      <c r="B4014" t="str">
        <v>545-06: Chain Hoists and Cable Lifts</v>
      </c>
    </row>
    <row r="4015" spans="2:2" x14ac:dyDescent="0.25">
      <c r="B4015" t="str">
        <v>545-07: Can Crusher, Industrial: Paint, etc.</v>
      </c>
    </row>
    <row r="4016" spans="2:2" x14ac:dyDescent="0.25">
      <c r="B4016" t="str">
        <v>545-08: Can Puncturing and Biofiltration Unit, Aerosol</v>
      </c>
    </row>
    <row r="4017" spans="2:2" x14ac:dyDescent="0.25">
      <c r="B4017" t="str">
        <v>545-09: Chain Saws</v>
      </c>
    </row>
    <row r="4018" spans="2:2" x14ac:dyDescent="0.25">
      <c r="B4018" t="str">
        <v>545-10: Coating Machines, All Types</v>
      </c>
    </row>
    <row r="4019" spans="2:2" x14ac:dyDescent="0.25">
      <c r="B4019" t="str">
        <v>545-11: Compactors, Trash, Industrial, Stationary to Include Sanitary Landfill Type (See 045 and 165 for Other Types)</v>
      </c>
    </row>
    <row r="4020" spans="2:2" x14ac:dyDescent="0.25">
      <c r="B4020" t="str">
        <v>545-12: Compressors, Gas, All Types</v>
      </c>
    </row>
    <row r="4021" spans="2:2" x14ac:dyDescent="0.25">
      <c r="B4021" t="str">
        <v>545-13: Contaminated Air and Vapor Treatment Equipment</v>
      </c>
    </row>
    <row r="4022" spans="2:2" x14ac:dyDescent="0.25">
      <c r="B4022" t="str">
        <v>545-14: Contaminated Soil Treatment Equipment</v>
      </c>
    </row>
    <row r="4023" spans="2:2" x14ac:dyDescent="0.25">
      <c r="B4023" t="str">
        <v>545-15: Drills, Stationary, Air Powered: Arbor, Press, etc.</v>
      </c>
    </row>
    <row r="4024" spans="2:2" x14ac:dyDescent="0.25">
      <c r="B4024" t="str">
        <v>545-16: Drills, Stationary, Electric Powered: Arbor, Press, etc.</v>
      </c>
    </row>
    <row r="4025" spans="2:2" x14ac:dyDescent="0.25">
      <c r="B4025" t="str">
        <v>545-17: Drills, Stationary, Hydraulic Powered: Arbor, Press, etc.</v>
      </c>
    </row>
    <row r="4026" spans="2:2" x14ac:dyDescent="0.25">
      <c r="B4026" t="str">
        <v>545-18: Gin Machinery</v>
      </c>
    </row>
    <row r="4027" spans="2:2" x14ac:dyDescent="0.25">
      <c r="B4027" t="str">
        <v>545-19: Exploration Equipment, (Not Otherwise Classified)</v>
      </c>
    </row>
    <row r="4028" spans="2:2" x14ac:dyDescent="0.25">
      <c r="B4028" t="str">
        <v>545-20: Filtering Equipment and Machinery</v>
      </c>
    </row>
    <row r="4029" spans="2:2" x14ac:dyDescent="0.25">
      <c r="B4029" t="str">
        <v>545-21: Grinders and Buffers: Bench, Portable, and Stand</v>
      </c>
    </row>
    <row r="4030" spans="2:2" x14ac:dyDescent="0.25">
      <c r="B4030" t="str">
        <v>545-22: Heat Treating and Tracing Equipment, Electric, Including Parts and Accessories</v>
      </c>
    </row>
    <row r="4031" spans="2:2" x14ac:dyDescent="0.25">
      <c r="B4031" t="str">
        <v>545-23: Impact Tools, Air Powered, Not Road Building</v>
      </c>
    </row>
    <row r="4032" spans="2:2" x14ac:dyDescent="0.25">
      <c r="B4032" t="str">
        <v>545-24: Impact Tools, Electric Powered, Not Road Building</v>
      </c>
    </row>
    <row r="4033" spans="2:2" x14ac:dyDescent="0.25">
      <c r="B4033" t="str">
        <v>545-25: Impact Tools, Hydraulic Powered, Not Road Building</v>
      </c>
    </row>
    <row r="4034" spans="2:2" x14ac:dyDescent="0.25">
      <c r="B4034" t="str">
        <v>545-26: Industrial Type Steam and High Pressure Water Cleaning Equipment, Including Parts and Accessories</v>
      </c>
    </row>
    <row r="4035" spans="2:2" x14ac:dyDescent="0.25">
      <c r="B4035" t="str">
        <v>545-27: Jacks, Industrial: Hydraulic, Screw, and Track</v>
      </c>
    </row>
    <row r="4036" spans="2:2" x14ac:dyDescent="0.25">
      <c r="B4036" t="str">
        <v>545-28: Industrial Compressors, All Types.(Not Otherwise Classified)</v>
      </c>
    </row>
    <row r="4037" spans="2:2" x14ac:dyDescent="0.25">
      <c r="B4037" t="str">
        <v>545-29: Industrial Commercial and Professional Equipment and Supplies, (Not Otherwise Classified)</v>
      </c>
    </row>
    <row r="4038" spans="2:2" x14ac:dyDescent="0.25">
      <c r="B4038" t="str">
        <v>545-30: Key Duplicating Machines, Including Parts and Accessories</v>
      </c>
    </row>
    <row r="4039" spans="2:2" x14ac:dyDescent="0.25">
      <c r="B4039" t="str">
        <v>545-31: Industrial and Construction Machinery, Equipment, Components and Parts (Not Otherwise Classified)</v>
      </c>
    </row>
    <row r="4040" spans="2:2" x14ac:dyDescent="0.25">
      <c r="B4040" t="str">
        <v>545-32: Drilling and Boring Equipment, Horizontal Directional (HDD and HDB)</v>
      </c>
    </row>
    <row r="4041" spans="2:2" x14ac:dyDescent="0.25">
      <c r="B4041" t="str">
        <v>545-33: Lathe, Metalworking, Accessories and Supplies</v>
      </c>
    </row>
    <row r="4042" spans="2:2" x14ac:dyDescent="0.25">
      <c r="B4042" t="str">
        <v>545-36: Lathe, Woodworking</v>
      </c>
    </row>
    <row r="4043" spans="2:2" x14ac:dyDescent="0.25">
      <c r="B4043" t="str">
        <v>545-38: Lumber Equipment, Including Mills, Processing Machines, etc., (Not Otherwise Classified)</v>
      </c>
    </row>
    <row r="4044" spans="2:2" x14ac:dyDescent="0.25">
      <c r="B4044" t="str">
        <v>545-39: Lifts, Platform: Telescoping and Laterally Powered, Including Capstones</v>
      </c>
    </row>
    <row r="4045" spans="2:2" x14ac:dyDescent="0.25">
      <c r="B4045" t="str">
        <v>545-40: Machines, Roofing: Roof Scratchers, Rotary Spudders, etc.</v>
      </c>
    </row>
    <row r="4046" spans="2:2" x14ac:dyDescent="0.25">
      <c r="B4046" t="str">
        <v>545-41: Machine Work Station Center and Components: Tool Changing, Transfer, and Way-Type Machines</v>
      </c>
    </row>
    <row r="4047" spans="2:2" x14ac:dyDescent="0.25">
      <c r="B4047" t="str">
        <v>545-42: Masonry Saws and Blades (See Class 755 for Road and Highway Concrete Saws)</v>
      </c>
    </row>
    <row r="4048" spans="2:2" x14ac:dyDescent="0.25">
      <c r="B4048" t="str">
        <v>545-43: Metal Electroplating Machine, Including Parts and Accessories</v>
      </c>
    </row>
    <row r="4049" spans="2:2" x14ac:dyDescent="0.25">
      <c r="B4049" t="str">
        <v>545-44: *Manufacturing and Processing Equipment, (Not Otherwise Classified)</v>
      </c>
    </row>
    <row r="4050" spans="2:2" x14ac:dyDescent="0.25">
      <c r="B4050" t="str">
        <v>545-45: Metalworking Machines and Tools: Portable and Stationary, (Not Otherwise Classified)</v>
      </c>
    </row>
    <row r="4051" spans="2:2" x14ac:dyDescent="0.25">
      <c r="B4051" t="str">
        <v>545-46: Mills, Iron and Steel</v>
      </c>
    </row>
    <row r="4052" spans="2:2" x14ac:dyDescent="0.25">
      <c r="B4052" t="str">
        <v>545-47: Mining Machinery and Equipment (See 545-51 for Oil and Gas Equip.)</v>
      </c>
    </row>
    <row r="4053" spans="2:2" x14ac:dyDescent="0.25">
      <c r="B4053" t="str">
        <v>545-48: Milling Machines</v>
      </c>
    </row>
    <row r="4054" spans="2:2" x14ac:dyDescent="0.25">
      <c r="B4054" t="str">
        <v>545-49: Motors and Engines, Industrial, All Types, Not Automotive, Lawn or Marine, Including Parts and Accessories</v>
      </c>
    </row>
    <row r="4055" spans="2:2" x14ac:dyDescent="0.25">
      <c r="B4055" t="str">
        <v>545-50: Pulp and Paper Industries Machinery</v>
      </c>
    </row>
    <row r="4056" spans="2:2" x14ac:dyDescent="0.25">
      <c r="B4056" t="str">
        <v>545-51: Oil and Gas Machinery and Equipment: Drilling Rigs, etc.</v>
      </c>
    </row>
    <row r="4057" spans="2:2" x14ac:dyDescent="0.25">
      <c r="B4057" t="str">
        <v>545-52: Oil Spillage Containment, Purification, and Recovery Equipment</v>
      </c>
    </row>
    <row r="4058" spans="2:2" x14ac:dyDescent="0.25">
      <c r="B4058" t="str">
        <v>545-53: Ovens, Industrial Process and Heat Cleaning</v>
      </c>
    </row>
    <row r="4059" spans="2:2" x14ac:dyDescent="0.25">
      <c r="B4059" t="str">
        <v>545-54: Planers, Electric</v>
      </c>
    </row>
    <row r="4060" spans="2:2" x14ac:dyDescent="0.25">
      <c r="B4060" t="str">
        <v>545-55: Pollution Detection and Control Equipment, Other Than Oil Spill</v>
      </c>
    </row>
    <row r="4061" spans="2:2" x14ac:dyDescent="0.25">
      <c r="B4061" t="str">
        <v>545-56: Post Straighteners and Pullers, Hydraulic</v>
      </c>
    </row>
    <row r="4062" spans="2:2" x14ac:dyDescent="0.25">
      <c r="B4062" t="str">
        <v>545-57: Posthole Diggers and Earth Drills, Powered, Portable</v>
      </c>
    </row>
    <row r="4063" spans="2:2" x14ac:dyDescent="0.25">
      <c r="B4063" t="str">
        <v>545-58: Presses, All Capacities (Not Wastepaper or Other Paper Material)</v>
      </c>
    </row>
    <row r="4064" spans="2:2" x14ac:dyDescent="0.25">
      <c r="B4064" t="str">
        <v>545-59: Production Type Impregnation Equipment, Not for Clothing Impregnation</v>
      </c>
    </row>
    <row r="4065" spans="2:2" x14ac:dyDescent="0.25">
      <c r="B4065" t="str">
        <v>545-60: Presses: Wastepaper or Other Material, Not Automotive or Printing</v>
      </c>
    </row>
    <row r="4066" spans="2:2" x14ac:dyDescent="0.25">
      <c r="B4066" t="str">
        <v>545-61: Refuse and Garbage Burning Equipment</v>
      </c>
    </row>
    <row r="4067" spans="2:2" x14ac:dyDescent="0.25">
      <c r="B4067" t="str">
        <v>545-62: Routers, Air and Pneumatic</v>
      </c>
    </row>
    <row r="4068" spans="2:2" x14ac:dyDescent="0.25">
      <c r="B4068" t="str">
        <v>545-63: Routers, Electric</v>
      </c>
    </row>
    <row r="4069" spans="2:2" x14ac:dyDescent="0.25">
      <c r="B4069" t="str">
        <v>545-64: Rubber Processing and Working Equipment</v>
      </c>
    </row>
    <row r="4070" spans="2:2" x14ac:dyDescent="0.25">
      <c r="B4070" t="str">
        <v>545-65: Salt Brine Production Equipment</v>
      </c>
    </row>
    <row r="4071" spans="2:2" x14ac:dyDescent="0.25">
      <c r="B4071" t="str">
        <v>545-66: Sandblasting Equipment, Including Parts and Accessories</v>
      </c>
    </row>
    <row r="4072" spans="2:2" x14ac:dyDescent="0.25">
      <c r="B4072" t="str">
        <v>545-69: Sanders, Bench or Portable: Belt, Disc, and Finishing</v>
      </c>
    </row>
    <row r="4073" spans="2:2" x14ac:dyDescent="0.25">
      <c r="B4073" t="str">
        <v>545-75: Saws, Stationary, Powered: Band, Bench, Electric, Scroll, Radial Arm, Table, Veneer, etc. (See 755-65 for Concrete Saws)</v>
      </c>
    </row>
    <row r="4074" spans="2:2" x14ac:dyDescent="0.25">
      <c r="B4074" t="str">
        <v>545-76: Soil Measuring Equipment, (Not Otherwise Classified)</v>
      </c>
    </row>
    <row r="4075" spans="2:2" x14ac:dyDescent="0.25">
      <c r="B4075" t="str">
        <v>545-77: Spindle Centering Machine, Single</v>
      </c>
    </row>
    <row r="4076" spans="2:2" x14ac:dyDescent="0.25">
      <c r="B4076" t="str">
        <v>545-78: Shapers, Jointers, and Banders: Wood</v>
      </c>
    </row>
    <row r="4077" spans="2:2" x14ac:dyDescent="0.25">
      <c r="B4077" t="str">
        <v>545-79: Springs: Coil and Leaf. Industrial</v>
      </c>
    </row>
    <row r="4078" spans="2:2" x14ac:dyDescent="0.25">
      <c r="B4078" t="str">
        <v>545-80: Shield, Trench, Worker Protection</v>
      </c>
    </row>
    <row r="4079" spans="2:2" x14ac:dyDescent="0.25">
      <c r="B4079" t="str">
        <v>545-81: Sharpeners: Lawn Mower, Saw, etc.</v>
      </c>
    </row>
    <row r="4080" spans="2:2" x14ac:dyDescent="0.25">
      <c r="B4080" t="str">
        <v>545-82: Shredders: Metal, Wood</v>
      </c>
    </row>
    <row r="4081" spans="2:2" x14ac:dyDescent="0.25">
      <c r="B4081" t="str">
        <v>545-83: Shredders, Aerators, and Composters: Sludge</v>
      </c>
    </row>
    <row r="4082" spans="2:2" x14ac:dyDescent="0.25">
      <c r="B4082" t="str">
        <v>545-84: Shears, Metal</v>
      </c>
    </row>
    <row r="4083" spans="2:2" x14ac:dyDescent="0.25">
      <c r="B4083" t="str">
        <v>545-85: Tire Shredders</v>
      </c>
    </row>
    <row r="4084" spans="2:2" x14ac:dyDescent="0.25">
      <c r="B4084" t="str">
        <v>545-86: Trowlers, Concrete, Engine Driven</v>
      </c>
    </row>
    <row r="4085" spans="2:2" x14ac:dyDescent="0.25">
      <c r="B4085" t="str">
        <v>545-87: Windmills Including Parts and Accessories</v>
      </c>
    </row>
    <row r="4086" spans="2:2" x14ac:dyDescent="0.25">
      <c r="B4086" t="str">
        <v>545-88: Vacuum Cleaners and Dust Collectors for Hazardous Material</v>
      </c>
    </row>
    <row r="4087" spans="2:2" x14ac:dyDescent="0.25">
      <c r="B4087" t="str">
        <v>545-89: Vapor Extraction Equipment, Soil</v>
      </c>
    </row>
    <row r="4088" spans="2:2" x14ac:dyDescent="0.25">
      <c r="B4088" t="str">
        <v>545-90: Woodworking Machines and Tools: Portable and Stationary, (Not Otherwise Classified)</v>
      </c>
    </row>
    <row r="4089" spans="2:2" x14ac:dyDescent="0.25">
      <c r="B4089" t="str">
        <v>545-91: Wash System, Three-Stage, Industrial, Stainless Steel</v>
      </c>
    </row>
    <row r="4090" spans="2:2" x14ac:dyDescent="0.25">
      <c r="B4090" t="str">
        <v>545-92: Water Distillation Equipment: Marine and Industrial</v>
      </c>
    </row>
    <row r="4091" spans="2:2" x14ac:dyDescent="0.25">
      <c r="B4091" t="str">
        <v>545-93: Wire Dispenser Fabrication Equipment, Communication</v>
      </c>
    </row>
    <row r="4092" spans="2:2" x14ac:dyDescent="0.25">
      <c r="B4092" t="str">
        <v>545-94: Tunneling Equipment</v>
      </c>
    </row>
    <row r="4093" spans="2:2" x14ac:dyDescent="0.25">
      <c r="B4093" t="str">
        <v>545-95: Recycled Machinery and Hardware, Industrial</v>
      </c>
    </row>
    <row r="4094" spans="2:2" x14ac:dyDescent="0.25">
      <c r="B4094" t="str">
        <v>545-96: Water Well Drilling Equipment</v>
      </c>
    </row>
    <row r="4095" spans="2:2" x14ac:dyDescent="0.25">
      <c r="B4095" t="str">
        <v>545-97: Water, Potable (See 390-91 for Bottled Water)</v>
      </c>
    </row>
    <row r="4096" spans="2:2" x14ac:dyDescent="0.25">
      <c r="B4096" t="str">
        <v>550-04: Beads, Glass, Sign and Stripe</v>
      </c>
    </row>
    <row r="4097" spans="2:2" x14ac:dyDescent="0.25">
      <c r="B4097" t="str">
        <v>550-05: Beam and Barrier Handling Equipment</v>
      </c>
    </row>
    <row r="4098" spans="2:2" x14ac:dyDescent="0.25">
      <c r="B4098" t="str">
        <v>550-06: Gates, Bridge and Railroad Crossing</v>
      </c>
    </row>
    <row r="4099" spans="2:2" x14ac:dyDescent="0.25">
      <c r="B4099" t="str">
        <v>550-08: Buttons, Delineators, Reflectors, etc., Reflectorized</v>
      </c>
    </row>
    <row r="4100" spans="2:2" x14ac:dyDescent="0.25">
      <c r="B4100" t="str">
        <v>550-09: Cameras, Red Light (See Class 655 for other types)</v>
      </c>
    </row>
    <row r="4101" spans="2:2" x14ac:dyDescent="0.25">
      <c r="B4101" t="str">
        <v>550-10: Cement and Adhesives for Traffic Control Markers</v>
      </c>
    </row>
    <row r="4102" spans="2:2" x14ac:dyDescent="0.25">
      <c r="B4102" t="str">
        <v>550-12: Clamps and Bolts, U-Type, Large, For Highway Signs</v>
      </c>
    </row>
    <row r="4103" spans="2:2" x14ac:dyDescent="0.25">
      <c r="B4103" t="str">
        <v>550-14: Early Warning System, Engine Powered, Trailer Mounted Or for Truck Mounting</v>
      </c>
    </row>
    <row r="4104" spans="2:2" x14ac:dyDescent="0.25">
      <c r="B4104" t="str">
        <v>550-17: Encapsulate, Traffic Loop Detector</v>
      </c>
    </row>
    <row r="4105" spans="2:2" x14ac:dyDescent="0.25">
      <c r="B4105" t="str">
        <v>550-20: Flares and Fuses</v>
      </c>
    </row>
    <row r="4106" spans="2:2" x14ac:dyDescent="0.25">
      <c r="B4106" t="str">
        <v>550-22: Gaskets, Traffic Markers and Dividers</v>
      </c>
    </row>
    <row r="4107" spans="2:2" x14ac:dyDescent="0.25">
      <c r="B4107" t="str">
        <v>550-24: Highway Pass and No-Pass Zone Determination Devices and Equipment</v>
      </c>
    </row>
    <row r="4108" spans="2:2" x14ac:dyDescent="0.25">
      <c r="B4108" t="str">
        <v>550-28: Markers, Plaques, Placards and Tablets: Dedicational, Historical, Informational, etc.</v>
      </c>
    </row>
    <row r="4109" spans="2:2" x14ac:dyDescent="0.25">
      <c r="B4109" t="str">
        <v>550-29: Markers, Survey and Right-Of-Way</v>
      </c>
    </row>
    <row r="4110" spans="2:2" x14ac:dyDescent="0.25">
      <c r="B4110" t="str">
        <v>550-30: Markers, Traffic, Ceramic: Jiggle Bars, etc.</v>
      </c>
    </row>
    <row r="4111" spans="2:2" x14ac:dyDescent="0.25">
      <c r="B4111" t="str">
        <v>550-31: Markers, Traffic, Concrete</v>
      </c>
    </row>
    <row r="4112" spans="2:2" x14ac:dyDescent="0.25">
      <c r="B4112" t="str">
        <v>550-32: Markers, Traffic, Metal</v>
      </c>
    </row>
    <row r="4113" spans="2:2" x14ac:dyDescent="0.25">
      <c r="B4113" t="str">
        <v>550-33: Markers, Traffic, Fiberglass</v>
      </c>
    </row>
    <row r="4114" spans="2:2" x14ac:dyDescent="0.25">
      <c r="B4114" t="str">
        <v>550-34: Markers, Traffic, Plastic and Rubber</v>
      </c>
    </row>
    <row r="4115" spans="2:2" x14ac:dyDescent="0.25">
      <c r="B4115" t="str">
        <v>550-36: Marking Compound, Thermoplastic and Marking Powder</v>
      </c>
    </row>
    <row r="4116" spans="2:2" x14ac:dyDescent="0.25">
      <c r="B4116" t="str">
        <v>550-38: Parking Meters and Area Control Equipment</v>
      </c>
    </row>
    <row r="4117" spans="2:2" x14ac:dyDescent="0.25">
      <c r="B4117" t="str">
        <v>550-41: Posts, Flexible, For Delineator Markers</v>
      </c>
    </row>
    <row r="4118" spans="2:2" x14ac:dyDescent="0.25">
      <c r="B4118" t="str">
        <v>550-42: Safety Barriers, Traffic, Mobile: Energy Absorption Systems, Impact Attenuators, Crash Barriers, etc.</v>
      </c>
    </row>
    <row r="4119" spans="2:2" x14ac:dyDescent="0.25">
      <c r="B4119" t="str">
        <v>550-43: Safety Barriers, Traffic, Stationary: Energy Absorption Systems, Impact Attenuators, Crash Barriers, etc.</v>
      </c>
    </row>
    <row r="4120" spans="2:2" x14ac:dyDescent="0.25">
      <c r="B4120" t="str">
        <v>550-44: Sheeting, Reflectorized, For License Plates</v>
      </c>
    </row>
    <row r="4121" spans="2:2" x14ac:dyDescent="0.25">
      <c r="B4121" t="str">
        <v>550-45: Sheeting, Reflectorized, General, (See 801-49 for Reflective Sign Material)</v>
      </c>
    </row>
    <row r="4122" spans="2:2" x14ac:dyDescent="0.25">
      <c r="B4122" t="str">
        <v>550-58: Signal Torches, Kerosene</v>
      </c>
    </row>
    <row r="4123" spans="2:2" x14ac:dyDescent="0.25">
      <c r="B4123" t="str">
        <v>550-72: Stripes and Legends, Plastic, Prefabricated, Reflective, Including Pavement Marking Tape, (See 832-48 for Marking Tape other than for Pavement)</v>
      </c>
    </row>
    <row r="4124" spans="2:2" x14ac:dyDescent="0.25">
      <c r="B4124" t="str">
        <v>550-78: Traffic Cones, Lane Markers, and Barricades, Portable</v>
      </c>
    </row>
    <row r="4125" spans="2:2" x14ac:dyDescent="0.25">
      <c r="B4125" t="str">
        <v>550-79: Traffic Control Devices, Non-Electric. Including Rumble Strips, etc.</v>
      </c>
    </row>
    <row r="4126" spans="2:2" x14ac:dyDescent="0.25">
      <c r="B4126" t="str">
        <v>550-80: Traffic Controls and Equipment, Electric Systems</v>
      </c>
    </row>
    <row r="4127" spans="2:2" x14ac:dyDescent="0.25">
      <c r="B4127" t="str">
        <v>550-81: Traffic Controls and Equipment, Electric Parts</v>
      </c>
    </row>
    <row r="4128" spans="2:2" x14ac:dyDescent="0.25">
      <c r="B4128" t="str">
        <v>550-82: Traffic Counters, Monitors, and Accessories</v>
      </c>
    </row>
    <row r="4129" spans="2:2" x14ac:dyDescent="0.25">
      <c r="B4129" t="str">
        <v>550-83: Traffic Devices, Markers, Plaques, etc. Recycled</v>
      </c>
    </row>
    <row r="4130" spans="2:2" x14ac:dyDescent="0.25">
      <c r="B4130" t="str">
        <v>550-85: Traffic Signal Poles, Standards, and Brackets</v>
      </c>
    </row>
    <row r="4131" spans="2:2" x14ac:dyDescent="0.25">
      <c r="B4131" t="str">
        <v>550-88: Traffic Signals and Equipment, Electric Systems</v>
      </c>
    </row>
    <row r="4132" spans="2:2" x14ac:dyDescent="0.25">
      <c r="B4132" t="str">
        <v>550-89: Traffic Signals and Equipment, Electric Parts</v>
      </c>
    </row>
    <row r="4133" spans="2:2" x14ac:dyDescent="0.25">
      <c r="B4133" t="str">
        <v>550-90: *Transportation Systems, Intelligent (An automated information system which provides traffic management, communications, and analysis of data as a minimum)</v>
      </c>
    </row>
    <row r="4134" spans="2:2" x14ac:dyDescent="0.25">
      <c r="B4134" t="str">
        <v>550-91: Vehicle Detectors</v>
      </c>
    </row>
    <row r="4135" spans="2:2" x14ac:dyDescent="0.25">
      <c r="B4135" t="str">
        <v>550-92: Vehicle Identification Systems, Automated</v>
      </c>
    </row>
    <row r="4136" spans="2:2" x14ac:dyDescent="0.25">
      <c r="B4136" t="str">
        <v>550-93: Warning Devices, Telescoping or Fold Up Type; and Accessories</v>
      </c>
    </row>
    <row r="4137" spans="2:2" x14ac:dyDescent="0.25">
      <c r="B4137" t="str">
        <v>550-96: Warning Lights, Flashers, and Flashing Arrow Boards (See Class 285-76 for Streetlights and Standards)</v>
      </c>
    </row>
    <row r="4138" spans="2:2" x14ac:dyDescent="0.25">
      <c r="B4138" t="str">
        <v>553-30: Components, Manufacturing, Stamped, Formed, Welded</v>
      </c>
    </row>
    <row r="4139" spans="2:2" x14ac:dyDescent="0.25">
      <c r="B4139" t="str">
        <v>553-40: Extrusions, Cold, Impact, Profile</v>
      </c>
    </row>
    <row r="4140" spans="2:2" x14ac:dyDescent="0.25">
      <c r="B4140" t="str">
        <v>553-43: Forgings, Closed Die, Drop, Impression Die, Open Die, Rolled Ring</v>
      </c>
    </row>
    <row r="4141" spans="2:2" x14ac:dyDescent="0.25">
      <c r="B4141" t="str">
        <v>553-44: Hardware and Components, for Furniture Manufacturing</v>
      </c>
    </row>
    <row r="4142" spans="2:2" x14ac:dyDescent="0.25">
      <c r="B4142" t="str">
        <v>553-45: Hardware, Manufacturing (Not Otherwise Classified)</v>
      </c>
    </row>
    <row r="4143" spans="2:2" x14ac:dyDescent="0.25">
      <c r="B4143" t="str">
        <v>553-51: Machine-made Parts, Metal, Non-Metal, Screw, etc.</v>
      </c>
    </row>
    <row r="4144" spans="2:2" x14ac:dyDescent="0.25">
      <c r="B4144" t="str">
        <v>553-52: Metal Components, Ferrous and Non-Ferrous</v>
      </c>
    </row>
    <row r="4145" spans="2:2" x14ac:dyDescent="0.25">
      <c r="B4145" t="str">
        <v>553-54: Moldings, Blow, Injection, Reaction, Vacuum</v>
      </c>
    </row>
    <row r="4146" spans="2:2" x14ac:dyDescent="0.25">
      <c r="B4146" t="str">
        <v>553-56: Process Heating, Cooling and Drying</v>
      </c>
    </row>
    <row r="4147" spans="2:2" x14ac:dyDescent="0.25">
      <c r="B4147" t="str">
        <v>553-66: Raw Materials</v>
      </c>
    </row>
    <row r="4148" spans="2:2" x14ac:dyDescent="0.25">
      <c r="B4148" t="str">
        <v>553-75: Shells and Casings, Plastic, Metal, Steel</v>
      </c>
    </row>
    <row r="4149" spans="2:2" x14ac:dyDescent="0.25">
      <c r="B4149" t="str">
        <v>553-95: Recycled Manufacturing Components and Supplies</v>
      </c>
    </row>
    <row r="4150" spans="2:2" x14ac:dyDescent="0.25">
      <c r="B4150" t="str">
        <v>553-98: (CTE) Manufacturing Equipment &lt; $750</v>
      </c>
    </row>
    <row r="4151" spans="2:2" x14ac:dyDescent="0.25">
      <c r="B4151" t="str">
        <v>555-10: Stencil Board and Paper, Precut</v>
      </c>
    </row>
    <row r="4152" spans="2:2" x14ac:dyDescent="0.25">
      <c r="B4152" t="str">
        <v>555-20: Stencil Board and Paper, Rolls and Sheets</v>
      </c>
    </row>
    <row r="4153" spans="2:2" x14ac:dyDescent="0.25">
      <c r="B4153" t="str">
        <v>555-30: Stencil Cutting Machine</v>
      </c>
    </row>
    <row r="4154" spans="2:2" x14ac:dyDescent="0.25">
      <c r="B4154" t="str">
        <v>555-40: Stenciling Supplies: Brushes, Inks, etc.</v>
      </c>
    </row>
    <row r="4155" spans="2:2" x14ac:dyDescent="0.25">
      <c r="B4155" t="str">
        <v>555-50: Stenciling Rollers</v>
      </c>
    </row>
    <row r="4156" spans="2:2" x14ac:dyDescent="0.25">
      <c r="B4156" t="str">
        <v>555-70: Stencils, Metal Adjustable, Stock</v>
      </c>
    </row>
    <row r="4157" spans="2:2" x14ac:dyDescent="0.25">
      <c r="B4157" t="str">
        <v>555-80: Stencils, Metal, Not Cut</v>
      </c>
    </row>
    <row r="4158" spans="2:2" x14ac:dyDescent="0.25">
      <c r="B4158" t="str">
        <v>555-90: Stencils, Metal, Precut</v>
      </c>
    </row>
    <row r="4159" spans="2:2" x14ac:dyDescent="0.25">
      <c r="B4159" t="str">
        <v>555-92: Stencils, Plastic</v>
      </c>
    </row>
    <row r="4160" spans="2:2" x14ac:dyDescent="0.25">
      <c r="B4160" t="str">
        <v>555-95: Recycled Stencils and Stenciling Devices</v>
      </c>
    </row>
    <row r="4161" spans="2:2" x14ac:dyDescent="0.25">
      <c r="B4161" t="str">
        <v>556-10: Coach, Transit, Articulated</v>
      </c>
    </row>
    <row r="4162" spans="2:2" x14ac:dyDescent="0.25">
      <c r="B4162" t="str">
        <v>556-15: Coach, Transit, Double Door</v>
      </c>
    </row>
    <row r="4163" spans="2:2" x14ac:dyDescent="0.25">
      <c r="B4163" t="str">
        <v>556-20: Coach, Transit, Electric</v>
      </c>
    </row>
    <row r="4164" spans="2:2" x14ac:dyDescent="0.25">
      <c r="B4164" t="str">
        <v>556-30: Coach, Transit, Mini, Conventional</v>
      </c>
    </row>
    <row r="4165" spans="2:2" x14ac:dyDescent="0.25">
      <c r="B4165" t="str">
        <v>556-40: Coach, Transit, Mini, Handicapped</v>
      </c>
    </row>
    <row r="4166" spans="2:2" x14ac:dyDescent="0.25">
      <c r="B4166" t="str">
        <v>556-50: Coach, Transit, Single Door, under 35 feet</v>
      </c>
    </row>
    <row r="4167" spans="2:2" x14ac:dyDescent="0.25">
      <c r="B4167" t="str">
        <v>556-60: Coach, Transit, Touring, Conventional</v>
      </c>
    </row>
    <row r="4168" spans="2:2" x14ac:dyDescent="0.25">
      <c r="B4168" t="str">
        <v>556-70: Coach, Transit, Touring, Custom</v>
      </c>
    </row>
    <row r="4169" spans="2:2" x14ac:dyDescent="0.25">
      <c r="B4169" t="str">
        <v>556-85: Trolley, Transit, Rubber Tired, Compressed Natural Gas</v>
      </c>
    </row>
    <row r="4170" spans="2:2" x14ac:dyDescent="0.25">
      <c r="B4170" t="str">
        <v>556-86: Trolley, Transit, Rubber Tired, Diesel Powered</v>
      </c>
    </row>
    <row r="4171" spans="2:2" x14ac:dyDescent="0.25">
      <c r="B4171" t="str">
        <v>556-87: Trolley, Transit, Rubber Tired, Electric</v>
      </c>
    </row>
    <row r="4172" spans="2:2" x14ac:dyDescent="0.25">
      <c r="B4172" t="str">
        <v>557-05: Air Conditioning, Heating and Ventilation</v>
      </c>
    </row>
    <row r="4173" spans="2:2" x14ac:dyDescent="0.25">
      <c r="B4173" t="str">
        <v>557-10: Axles, Including Suspension, Springs, Shocks, Struts, etc.</v>
      </c>
    </row>
    <row r="4174" spans="2:2" x14ac:dyDescent="0.25">
      <c r="B4174" t="str">
        <v>557-12: Bicycle Racks for Transit Buses</v>
      </c>
    </row>
    <row r="4175" spans="2:2" x14ac:dyDescent="0.25">
      <c r="B4175" t="str">
        <v>557-15: Body Panels, Frames, Trim, and Parts</v>
      </c>
    </row>
    <row r="4176" spans="2:2" x14ac:dyDescent="0.25">
      <c r="B4176" t="str">
        <v>557-20: Brake Parts/Linings</v>
      </c>
    </row>
    <row r="4177" spans="2:2" x14ac:dyDescent="0.25">
      <c r="B4177" t="str">
        <v>557-22: Communications Equipment and Accessories, Transit Bus</v>
      </c>
    </row>
    <row r="4178" spans="2:2" x14ac:dyDescent="0.25">
      <c r="B4178" t="str">
        <v>557-23: Cooling System Parts and Accessories</v>
      </c>
    </row>
    <row r="4179" spans="2:2" x14ac:dyDescent="0.25">
      <c r="B4179" t="str">
        <v>557-25: Electrical Accessories and Parts, Not Lighting</v>
      </c>
    </row>
    <row r="4180" spans="2:2" x14ac:dyDescent="0.25">
      <c r="B4180" t="str">
        <v>557-30: Engines, Complete</v>
      </c>
    </row>
    <row r="4181" spans="2:2" x14ac:dyDescent="0.25">
      <c r="B4181" t="str">
        <v>557-32: Exhaust System Parts and Accessories</v>
      </c>
    </row>
    <row r="4182" spans="2:2" x14ac:dyDescent="0.25">
      <c r="B4182" t="str">
        <v>557-33: Engine Parts</v>
      </c>
    </row>
    <row r="4183" spans="2:2" x14ac:dyDescent="0.25">
      <c r="B4183" t="str">
        <v>557-34: Filters: Air, Fuel, Oil, etc.</v>
      </c>
    </row>
    <row r="4184" spans="2:2" x14ac:dyDescent="0.25">
      <c r="B4184" t="str">
        <v>557-35: Floors, Matting</v>
      </c>
    </row>
    <row r="4185" spans="2:2" x14ac:dyDescent="0.25">
      <c r="B4185" t="str">
        <v>557-36: Fuel System Parts and Accessories</v>
      </c>
    </row>
    <row r="4186" spans="2:2" x14ac:dyDescent="0.25">
      <c r="B4186" t="str">
        <v>557-37: Gauges and Meters, Including Speedometers</v>
      </c>
    </row>
    <row r="4187" spans="2:2" x14ac:dyDescent="0.25">
      <c r="B4187" t="str">
        <v>557-38: Hubodometers</v>
      </c>
    </row>
    <row r="4188" spans="2:2" x14ac:dyDescent="0.25">
      <c r="B4188" t="str">
        <v>557-40: Glazing and Mirrors: Window, Door and Windshield Glass</v>
      </c>
    </row>
    <row r="4189" spans="2:2" x14ac:dyDescent="0.25">
      <c r="B4189" t="str">
        <v>557-44: Insulation, Transit Bus</v>
      </c>
    </row>
    <row r="4190" spans="2:2" x14ac:dyDescent="0.25">
      <c r="B4190" t="str">
        <v>557-50: Lamps, Lighting, Lens, and Signals, Interior and Exterior</v>
      </c>
    </row>
    <row r="4191" spans="2:2" x14ac:dyDescent="0.25">
      <c r="B4191" t="str">
        <v>557-52: Lubricating Systems and Parts (See 557-34 for Filters)</v>
      </c>
    </row>
    <row r="4192" spans="2:2" x14ac:dyDescent="0.25">
      <c r="B4192" t="str">
        <v>557-53: Power and Drive Train Components and Parts, Transit Bus</v>
      </c>
    </row>
    <row r="4193" spans="2:2" x14ac:dyDescent="0.25">
      <c r="B4193" t="str">
        <v>557-54: Radiators, Heater Cores, etc.</v>
      </c>
    </row>
    <row r="4194" spans="2:2" x14ac:dyDescent="0.25">
      <c r="B4194" t="str">
        <v>557-55: Reflectors</v>
      </c>
    </row>
    <row r="4195" spans="2:2" x14ac:dyDescent="0.25">
      <c r="B4195" t="str">
        <v>557-56: Recycled Transit Bus Parts and Accessories</v>
      </c>
    </row>
    <row r="4196" spans="2:2" x14ac:dyDescent="0.25">
      <c r="B4196" t="str">
        <v>557-60: Seating and Upholstery</v>
      </c>
    </row>
    <row r="4197" spans="2:2" x14ac:dyDescent="0.25">
      <c r="B4197" t="str">
        <v>557-62: Signage, Advertising Type, Interior and Exterior</v>
      </c>
    </row>
    <row r="4198" spans="2:2" x14ac:dyDescent="0.25">
      <c r="B4198" t="str">
        <v>557-63: Signage, Destination and Route</v>
      </c>
    </row>
    <row r="4199" spans="2:2" x14ac:dyDescent="0.25">
      <c r="B4199" t="str">
        <v>557-64: Stanchions and Grab Rails</v>
      </c>
    </row>
    <row r="4200" spans="2:2" x14ac:dyDescent="0.25">
      <c r="B4200" t="str">
        <v>557-65: Steering Components and Parts</v>
      </c>
    </row>
    <row r="4201" spans="2:2" x14ac:dyDescent="0.25">
      <c r="B4201" t="str">
        <v>557-70: Tanks: Air, Fuel, Water</v>
      </c>
    </row>
    <row r="4202" spans="2:2" x14ac:dyDescent="0.25">
      <c r="B4202" t="str">
        <v>557-75: Transmissions, Complete</v>
      </c>
    </row>
    <row r="4203" spans="2:2" x14ac:dyDescent="0.25">
      <c r="B4203" t="str">
        <v>557-78: Transmission Parts</v>
      </c>
    </row>
    <row r="4204" spans="2:2" x14ac:dyDescent="0.25">
      <c r="B4204" t="str">
        <v>557-80: Undercarriage and Frame, Including Alignment Parts</v>
      </c>
    </row>
    <row r="4205" spans="2:2" x14ac:dyDescent="0.25">
      <c r="B4205" t="str">
        <v>557-85: Wheels, Parts, and Accessories</v>
      </c>
    </row>
    <row r="4206" spans="2:2" x14ac:dyDescent="0.25">
      <c r="B4206" t="str">
        <v>557-90: Wheelchair Lifts and Accessories</v>
      </c>
    </row>
    <row r="4207" spans="2:2" x14ac:dyDescent="0.25">
      <c r="B4207" t="str">
        <v>557-92: Windows and Doors Including Parts and Accessories</v>
      </c>
    </row>
    <row r="4208" spans="2:2" x14ac:dyDescent="0.25">
      <c r="B4208" t="str">
        <v>557-93: Windshield Wipers, Washers, Parts and Accessories</v>
      </c>
    </row>
    <row r="4209" spans="2:2" x14ac:dyDescent="0.25">
      <c r="B4209" t="str">
        <v>558-14: Car Dumper System Including Electronics and Controls</v>
      </c>
    </row>
    <row r="4210" spans="2:2" x14ac:dyDescent="0.25">
      <c r="B4210" t="str">
        <v>558-20: Freight Cars</v>
      </c>
    </row>
    <row r="4211" spans="2:2" x14ac:dyDescent="0.25">
      <c r="B4211" t="str">
        <v>558-30: Locomotives, Diesel</v>
      </c>
    </row>
    <row r="4212" spans="2:2" x14ac:dyDescent="0.25">
      <c r="B4212" t="str">
        <v>558-35: Locomotives, Electric</v>
      </c>
    </row>
    <row r="4213" spans="2:2" x14ac:dyDescent="0.25">
      <c r="B4213" t="str">
        <v>558-37: Monorail System, Including Parts and Accessories</v>
      </c>
    </row>
    <row r="4214" spans="2:2" x14ac:dyDescent="0.25">
      <c r="B4214" t="str">
        <v>558-40: Passenger Cars, Light, Self-Propelled</v>
      </c>
    </row>
    <row r="4215" spans="2:2" x14ac:dyDescent="0.25">
      <c r="B4215" t="str">
        <v>558-45: Passenger Cars, Light, Non-Powered</v>
      </c>
    </row>
    <row r="4216" spans="2:2" x14ac:dyDescent="0.25">
      <c r="B4216" t="str">
        <v>558-50: Passenger Cars, Heavy, Self-Propelled</v>
      </c>
    </row>
    <row r="4217" spans="2:2" x14ac:dyDescent="0.25">
      <c r="B4217" t="str">
        <v>558-55: Passenger Cars, Heavy, Non-Powered</v>
      </c>
    </row>
    <row r="4218" spans="2:2" x14ac:dyDescent="0.25">
      <c r="B4218" t="str">
        <v>558-70: Specialized Vehicles, Self-Propelled, Rail Car Movers, etc.</v>
      </c>
    </row>
    <row r="4219" spans="2:2" x14ac:dyDescent="0.25">
      <c r="B4219" t="str">
        <v>558-75: Specialized Vehicles, Non-Powered</v>
      </c>
    </row>
    <row r="4220" spans="2:2" x14ac:dyDescent="0.25">
      <c r="B4220" t="str">
        <v>558-85: Trolleys, Including Parts and Accessories</v>
      </c>
    </row>
    <row r="4221" spans="2:2" x14ac:dyDescent="0.25">
      <c r="B4221" t="str">
        <v>559-05: Air Conditioning, Heating and Ventilation, Including Defrosters and Defoggers</v>
      </c>
    </row>
    <row r="4222" spans="2:2" x14ac:dyDescent="0.25">
      <c r="B4222" t="str">
        <v>559-10: Body Panels, Frames, and Parts</v>
      </c>
    </row>
    <row r="4223" spans="2:2" x14ac:dyDescent="0.25">
      <c r="B4223" t="str">
        <v>559-12: Bogie Assemblies</v>
      </c>
    </row>
    <row r="4224" spans="2:2" x14ac:dyDescent="0.25">
      <c r="B4224" t="str">
        <v>559-15: Brake Systems</v>
      </c>
    </row>
    <row r="4225" spans="2:2" x14ac:dyDescent="0.25">
      <c r="B4225" t="str">
        <v>559-17: Brushes, Carbon</v>
      </c>
    </row>
    <row r="4226" spans="2:2" x14ac:dyDescent="0.25">
      <c r="B4226" t="str">
        <v>559-18: Communications Equipment, Automated People Movers, Including Parts and Accessories</v>
      </c>
    </row>
    <row r="4227" spans="2:2" x14ac:dyDescent="0.25">
      <c r="B4227" t="str">
        <v>559-19: Communications Equipment, Train, Including Parts and Accessories</v>
      </c>
    </row>
    <row r="4228" spans="2:2" x14ac:dyDescent="0.25">
      <c r="B4228" t="str">
        <v>559-20: Couplers, Including Parts and Accessories</v>
      </c>
    </row>
    <row r="4229" spans="2:2" x14ac:dyDescent="0.25">
      <c r="B4229" t="str">
        <v>559-23: Crossing Equipment, Railroad, Including Crossing Signs, Including Parts and Accessories</v>
      </c>
    </row>
    <row r="4230" spans="2:2" x14ac:dyDescent="0.25">
      <c r="B4230" t="str">
        <v>559-25: Current Collecting Systems</v>
      </c>
    </row>
    <row r="4231" spans="2:2" x14ac:dyDescent="0.25">
      <c r="B4231" t="str">
        <v>559-30: Door Operators</v>
      </c>
    </row>
    <row r="4232" spans="2:2" x14ac:dyDescent="0.25">
      <c r="B4232" t="str">
        <v>559-31: Doors and Windows</v>
      </c>
    </row>
    <row r="4233" spans="2:2" x14ac:dyDescent="0.25">
      <c r="B4233" t="str">
        <v>559-35: Drive Motors and Accessories</v>
      </c>
    </row>
    <row r="4234" spans="2:2" x14ac:dyDescent="0.25">
      <c r="B4234" t="str">
        <v>559-40: Electrical Accessories and Parts, Not Lighting</v>
      </c>
    </row>
    <row r="4235" spans="2:2" x14ac:dyDescent="0.25">
      <c r="B4235" t="str">
        <v>559-45: Glazing and Mirrors: Window, Door and Windshield Glass</v>
      </c>
    </row>
    <row r="4236" spans="2:2" x14ac:dyDescent="0.25">
      <c r="B4236" t="str">
        <v>559-46: Governors and Speed Regulators</v>
      </c>
    </row>
    <row r="4237" spans="2:2" x14ac:dyDescent="0.25">
      <c r="B4237" t="str">
        <v>559-47: Heaters, Train Track</v>
      </c>
    </row>
    <row r="4238" spans="2:2" x14ac:dyDescent="0.25">
      <c r="B4238" t="str">
        <v>559-48: Hubodometers, Rail Car</v>
      </c>
    </row>
    <row r="4239" spans="2:2" x14ac:dyDescent="0.25">
      <c r="B4239" t="str">
        <v>559-49: Hydraulic Systems, Rail Car</v>
      </c>
    </row>
    <row r="4240" spans="2:2" x14ac:dyDescent="0.25">
      <c r="B4240" t="str">
        <v>559-51: Insulation, Train</v>
      </c>
    </row>
    <row r="4241" spans="2:2" x14ac:dyDescent="0.25">
      <c r="B4241" t="str">
        <v>559-55: Lamps and Lighting, Interior and Exterior</v>
      </c>
    </row>
    <row r="4242" spans="2:2" x14ac:dyDescent="0.25">
      <c r="B4242" t="str">
        <v>559-57: Lubricators, Train Track</v>
      </c>
    </row>
    <row r="4243" spans="2:2" x14ac:dyDescent="0.25">
      <c r="B4243" t="str">
        <v>559-59: Recycled Rail Vehicle Accessories and Parts</v>
      </c>
    </row>
    <row r="4244" spans="2:2" x14ac:dyDescent="0.25">
      <c r="B4244" t="str">
        <v>559-60: Reflectors</v>
      </c>
    </row>
    <row r="4245" spans="2:2" x14ac:dyDescent="0.25">
      <c r="B4245" t="str">
        <v>559-65: Seating and Upholstery</v>
      </c>
    </row>
    <row r="4246" spans="2:2" x14ac:dyDescent="0.25">
      <c r="B4246" t="str">
        <v>559-67: Shock Absorbers, Rail Vehicles</v>
      </c>
    </row>
    <row r="4247" spans="2:2" x14ac:dyDescent="0.25">
      <c r="B4247" t="str">
        <v>559-70: Signage: Destination, Routing and Advertising</v>
      </c>
    </row>
    <row r="4248" spans="2:2" x14ac:dyDescent="0.25">
      <c r="B4248" t="str">
        <v>559-71: Signals and Accessories, Train</v>
      </c>
    </row>
    <row r="4249" spans="2:2" x14ac:dyDescent="0.25">
      <c r="B4249" t="str">
        <v>559-74: Stanchions and Grab Rails</v>
      </c>
    </row>
    <row r="4250" spans="2:2" x14ac:dyDescent="0.25">
      <c r="B4250" t="str">
        <v>559-75: Special Parts (Not Otherwise Classified)</v>
      </c>
    </row>
    <row r="4251" spans="2:2" x14ac:dyDescent="0.25">
      <c r="B4251" t="str">
        <v>559-76: Switch Stands</v>
      </c>
    </row>
    <row r="4252" spans="2:2" x14ac:dyDescent="0.25">
      <c r="B4252" t="str">
        <v>559-77: Tools, Railroad, Power</v>
      </c>
    </row>
    <row r="4253" spans="2:2" x14ac:dyDescent="0.25">
      <c r="B4253" t="str">
        <v>559-78: Tools, Railroad, Non Powered</v>
      </c>
    </row>
    <row r="4254" spans="2:2" x14ac:dyDescent="0.25">
      <c r="B4254" t="str">
        <v>559-79: Track Hardware: Plates, Joint Bars, Spikes, Clips, Bolts, Nuts, etc., (See Class 570 For Rails)</v>
      </c>
    </row>
    <row r="4255" spans="2:2" x14ac:dyDescent="0.25">
      <c r="B4255" t="str">
        <v>559-80: Traction Power</v>
      </c>
    </row>
    <row r="4256" spans="2:2" x14ac:dyDescent="0.25">
      <c r="B4256" t="str">
        <v>559-90: Wheel and Axle Assemblies</v>
      </c>
    </row>
    <row r="4257" spans="2:2" x14ac:dyDescent="0.25">
      <c r="B4257" t="str">
        <v>559-91: Wheel Truing Equipment, Including Parts and Accessories</v>
      </c>
    </row>
    <row r="4258" spans="2:2" x14ac:dyDescent="0.25">
      <c r="B4258" t="str">
        <v>559-94: Windshield Wipers, Including Parts and Accessories</v>
      </c>
    </row>
    <row r="4259" spans="2:2" x14ac:dyDescent="0.25">
      <c r="B4259" t="str">
        <v>560-01: Cargo Handling Equipment</v>
      </c>
    </row>
    <row r="4260" spans="2:2" x14ac:dyDescent="0.25">
      <c r="B4260" t="str">
        <v>560-02: Carts, Industrial, All Kinds, Except Gas and Hospital</v>
      </c>
    </row>
    <row r="4261" spans="2:2" x14ac:dyDescent="0.25">
      <c r="B4261" t="str">
        <v>560-03: Conveying Systems, Food Processing</v>
      </c>
    </row>
    <row r="4262" spans="2:2" x14ac:dyDescent="0.25">
      <c r="B4262" t="str">
        <v>560-05: Traffic Signals and Equipment, Electric Systems</v>
      </c>
    </row>
    <row r="4263" spans="2:2" x14ac:dyDescent="0.25">
      <c r="B4263" t="str">
        <v>560-06: Conveyor Line Boosters, Powered</v>
      </c>
    </row>
    <row r="4264" spans="2:2" x14ac:dyDescent="0.25">
      <c r="B4264" t="str">
        <v>560-09: Conveyor Systems, Overhead</v>
      </c>
    </row>
    <row r="4265" spans="2:2" x14ac:dyDescent="0.25">
      <c r="B4265" t="str">
        <v>560-12: Conveyors and Hoists, Laundry Handling</v>
      </c>
    </row>
    <row r="4266" spans="2:2" x14ac:dyDescent="0.25">
      <c r="B4266" t="str">
        <v>560-15: Conveyors, Belt Type: Canvas, Metal, and Rubber</v>
      </c>
    </row>
    <row r="4267" spans="2:2" x14ac:dyDescent="0.25">
      <c r="B4267" t="str">
        <v>560-18: Conveyors, Bucket Type, Not Road Building</v>
      </c>
    </row>
    <row r="4268" spans="2:2" x14ac:dyDescent="0.25">
      <c r="B4268" t="str">
        <v>560-21: Conveyors, Gravity, Roller Type, Aluminum and Steel Frames</v>
      </c>
    </row>
    <row r="4269" spans="2:2" x14ac:dyDescent="0.25">
      <c r="B4269" t="str">
        <v>560-24: Conveyors, Gravity, Wheel Type, Aluminum and Steel Frames</v>
      </c>
    </row>
    <row r="4270" spans="2:2" x14ac:dyDescent="0.25">
      <c r="B4270" t="str">
        <v>560-27: Conveyors, Pneumatic</v>
      </c>
    </row>
    <row r="4271" spans="2:2" x14ac:dyDescent="0.25">
      <c r="B4271" t="str">
        <v>560-30: Conveyors, Powered, Roller Type</v>
      </c>
    </row>
    <row r="4272" spans="2:2" x14ac:dyDescent="0.25">
      <c r="B4272" t="str">
        <v>560-33: Conveyors, Screw Type</v>
      </c>
    </row>
    <row r="4273" spans="2:2" x14ac:dyDescent="0.25">
      <c r="B4273" t="str">
        <v>560-36: Conveyors, Vibrating</v>
      </c>
    </row>
    <row r="4274" spans="2:2" x14ac:dyDescent="0.25">
      <c r="B4274" t="str">
        <v>560-37: Conveyor, Vertical Reciprocating</v>
      </c>
    </row>
    <row r="4275" spans="2:2" x14ac:dyDescent="0.25">
      <c r="B4275" t="str">
        <v>560-39: Cranes, All Kinds, Except Automotive and Road and Bridge Building</v>
      </c>
    </row>
    <row r="4276" spans="2:2" x14ac:dyDescent="0.25">
      <c r="B4276" t="str">
        <v>560-45: Dock boards and Ramps, All Types</v>
      </c>
    </row>
    <row r="4277" spans="2:2" x14ac:dyDescent="0.25">
      <c r="B4277" t="str">
        <v>560-46: Drums and Other Container Handling Equipment (Not Otherwise Classified)</v>
      </c>
    </row>
    <row r="4278" spans="2:2" x14ac:dyDescent="0.25">
      <c r="B4278" t="str">
        <v>560-47: Fuel and Fuel Oil Handling Equipment</v>
      </c>
    </row>
    <row r="4279" spans="2:2" x14ac:dyDescent="0.25">
      <c r="B4279" t="str">
        <v>560-48: Lifters and Stackers: Hydraulic and Powered</v>
      </c>
    </row>
    <row r="4280" spans="2:2" x14ac:dyDescent="0.25">
      <c r="B4280" t="str">
        <v>560-49: Lifting and Loading Equipment, Including Parts and Accessories, (Not Otherwise Classified)</v>
      </c>
    </row>
    <row r="4281" spans="2:2" x14ac:dyDescent="0.25">
      <c r="B4281" t="str">
        <v>560-50: Liquid Mixing Equipment</v>
      </c>
    </row>
    <row r="4282" spans="2:2" x14ac:dyDescent="0.25">
      <c r="B4282" t="str">
        <v>560-51: Material Handling Equipment Batteries and Chargers</v>
      </c>
    </row>
    <row r="4283" spans="2:2" x14ac:dyDescent="0.25">
      <c r="B4283" t="str">
        <v>560-53: Pallet Storage Racks</v>
      </c>
    </row>
    <row r="4284" spans="2:2" x14ac:dyDescent="0.25">
      <c r="B4284" t="str">
        <v>560-54: Pallets and Skids: Metal, Plastic, Wood</v>
      </c>
    </row>
    <row r="4285" spans="2:2" x14ac:dyDescent="0.25">
      <c r="B4285" t="str">
        <v>560-55: Tow, Battery Powered</v>
      </c>
    </row>
    <row r="4286" spans="2:2" x14ac:dyDescent="0.25">
      <c r="B4286" t="str">
        <v>560-56: Tie-Downs, Straps, Bungee Cods, Protective Netting, etc.</v>
      </c>
    </row>
    <row r="4287" spans="2:2" x14ac:dyDescent="0.25">
      <c r="B4287" t="str">
        <v>560-57: Tractors, Warehouse</v>
      </c>
    </row>
    <row r="4288" spans="2:2" x14ac:dyDescent="0.25">
      <c r="B4288" t="str">
        <v>560-60: Trucks: Barrel, Cylinder, and Drum</v>
      </c>
    </row>
    <row r="4289" spans="2:2" x14ac:dyDescent="0.25">
      <c r="B4289" t="str">
        <v>560-61: Moving Devices, Equipment</v>
      </c>
    </row>
    <row r="4290" spans="2:2" x14ac:dyDescent="0.25">
      <c r="B4290" t="str">
        <v>560-63: Trucks, Dolly</v>
      </c>
    </row>
    <row r="4291" spans="2:2" x14ac:dyDescent="0.25">
      <c r="B4291" t="str">
        <v>560-66: Trucks, Hand, Shelf</v>
      </c>
    </row>
    <row r="4292" spans="2:2" x14ac:dyDescent="0.25">
      <c r="B4292" t="str">
        <v>560-69: Trucks, Hand, Two-Wheeled</v>
      </c>
    </row>
    <row r="4293" spans="2:2" x14ac:dyDescent="0.25">
      <c r="B4293" t="str">
        <v>560-72: Trucks, Lift, Hand Operated</v>
      </c>
    </row>
    <row r="4294" spans="2:2" x14ac:dyDescent="0.25">
      <c r="B4294" t="str">
        <v>560-75: Trucks, Lift, Powered: Forklifts, etc.</v>
      </c>
    </row>
    <row r="4295" spans="2:2" x14ac:dyDescent="0.25">
      <c r="B4295" t="str">
        <v>560-78: Trucks, Pallet, Hand Operated and Powered</v>
      </c>
    </row>
    <row r="4296" spans="2:2" x14ac:dyDescent="0.25">
      <c r="B4296" t="str">
        <v>560-81: Trucks, Platform</v>
      </c>
    </row>
    <row r="4297" spans="2:2" x14ac:dyDescent="0.25">
      <c r="B4297" t="str">
        <v>560-82: Storage, Shelving, Including Parts and Accessories, (Not Otherwise Classified)</v>
      </c>
    </row>
    <row r="4298" spans="2:2" x14ac:dyDescent="0.25">
      <c r="B4298" t="str">
        <v>560-83: Warehouse Equipment, Including Parts and Accessories, (Not Otherwise Classified)</v>
      </c>
    </row>
    <row r="4299" spans="2:2" x14ac:dyDescent="0.25">
      <c r="B4299" t="str">
        <v>560-84: Wheels, Industrial: Steel, Pneumatic, Rubber Tired Molded-on</v>
      </c>
    </row>
    <row r="4300" spans="2:2" x14ac:dyDescent="0.25">
      <c r="B4300" t="str">
        <v>560-95: Recycled Material Handling and Storage Equipment, Including Parts and Accessories</v>
      </c>
    </row>
    <row r="4301" spans="2:2" x14ac:dyDescent="0.25">
      <c r="B4301" t="str">
        <v>565-05: Border Backing, Cotton</v>
      </c>
    </row>
    <row r="4302" spans="2:2" x14ac:dyDescent="0.25">
      <c r="B4302" t="str">
        <v>565-10: Box Spring Units</v>
      </c>
    </row>
    <row r="4303" spans="2:2" x14ac:dyDescent="0.25">
      <c r="B4303" t="str">
        <v>565-12: Cores, Convoluted Foam, For Pillows</v>
      </c>
    </row>
    <row r="4304" spans="2:2" x14ac:dyDescent="0.25">
      <c r="B4304" t="str">
        <v>565-14: Cores, Neoprene</v>
      </c>
    </row>
    <row r="4305" spans="2:2" x14ac:dyDescent="0.25">
      <c r="B4305" t="str">
        <v>565-15: Cores, Polyurethane Foam</v>
      </c>
    </row>
    <row r="4306" spans="2:2" x14ac:dyDescent="0.25">
      <c r="B4306" t="str">
        <v>565-16: Cores, Polyurethane  and Vonar</v>
      </c>
    </row>
    <row r="4307" spans="2:2" x14ac:dyDescent="0.25">
      <c r="B4307" t="str">
        <v>565-20: Cores, Rubber, Foam</v>
      </c>
    </row>
    <row r="4308" spans="2:2" x14ac:dyDescent="0.25">
      <c r="B4308" t="str">
        <v>565-23: Foam, Shredded, For Pillows</v>
      </c>
    </row>
    <row r="4309" spans="2:2" x14ac:dyDescent="0.25">
      <c r="B4309" t="str">
        <v>565-25: Handles, Cord, Steel-Backed</v>
      </c>
    </row>
    <row r="4310" spans="2:2" x14ac:dyDescent="0.25">
      <c r="B4310" t="str">
        <v>565-30: Hog Rings</v>
      </c>
    </row>
    <row r="4311" spans="2:2" x14ac:dyDescent="0.25">
      <c r="B4311" t="str">
        <v>565-35: Innerspring Units</v>
      </c>
    </row>
    <row r="4312" spans="2:2" x14ac:dyDescent="0.25">
      <c r="B4312" t="str">
        <v>565-40: Mattress Manufacturing Machinery, Including Parts and Accessories</v>
      </c>
    </row>
    <row r="4313" spans="2:2" x14ac:dyDescent="0.25">
      <c r="B4313" t="str">
        <v>565-45: Mattress Manufacturing Tools</v>
      </c>
    </row>
    <row r="4314" spans="2:2" x14ac:dyDescent="0.25">
      <c r="B4314" t="str">
        <v>565-50: Needles, Mattress</v>
      </c>
    </row>
    <row r="4315" spans="2:2" x14ac:dyDescent="0.25">
      <c r="B4315" t="str">
        <v>565-52: Pillow Manufacturing Machinery, Including Parts and Accessories</v>
      </c>
    </row>
    <row r="4316" spans="2:2" x14ac:dyDescent="0.25">
      <c r="B4316" t="str">
        <v>565-54: Recycled Mattress and Pillow Manufacturing Equipment, Including Parts and Accessories</v>
      </c>
    </row>
    <row r="4317" spans="2:2" x14ac:dyDescent="0.25">
      <c r="B4317" t="str">
        <v>565-55: Sisal Padding, Loomed, Latex Coated</v>
      </c>
    </row>
    <row r="4318" spans="2:2" x14ac:dyDescent="0.25">
      <c r="B4318" t="str">
        <v>565-60: Sisal Padding, Loomed, Plain</v>
      </c>
    </row>
    <row r="4319" spans="2:2" x14ac:dyDescent="0.25">
      <c r="B4319" t="str">
        <v>565-65: Spring Covers, Wire and Paper Cord Mat</v>
      </c>
    </row>
    <row r="4320" spans="2:2" x14ac:dyDescent="0.25">
      <c r="B4320" t="str">
        <v>565-70: Tape, Border</v>
      </c>
    </row>
    <row r="4321" spans="2:2" x14ac:dyDescent="0.25">
      <c r="B4321" t="str">
        <v>565-75: Tufts, Button, Mattress</v>
      </c>
    </row>
    <row r="4322" spans="2:2" x14ac:dyDescent="0.25">
      <c r="B4322" t="str">
        <v>565-80: Twine, Mattress</v>
      </c>
    </row>
    <row r="4323" spans="2:2" x14ac:dyDescent="0.25">
      <c r="B4323" t="str">
        <v>565-85: Ventilators, Screened</v>
      </c>
    </row>
    <row r="4324" spans="2:2" x14ac:dyDescent="0.25">
      <c r="B4324" t="str">
        <v>570-02: Alloy Coatings and Sealers for the Repair of Metal Shafts, Journals, Spindles, etc.</v>
      </c>
    </row>
    <row r="4325" spans="2:2" x14ac:dyDescent="0.25">
      <c r="B4325" t="str">
        <v>570-03: Alloy Metal: Angles, Sheets, etc. (Not Otherwise Classified)</v>
      </c>
    </row>
    <row r="4326" spans="2:2" x14ac:dyDescent="0.25">
      <c r="B4326" t="str">
        <v>570-05: Aluminum: Bars, Plates, Posts, Rods, Sheets, Siding, Strips, Structural Shapes, Tubes, etc.</v>
      </c>
    </row>
    <row r="4327" spans="2:2" x14ac:dyDescent="0.25">
      <c r="B4327" t="str">
        <v>570-06: Aluminum, Brass and Bronze Ingots</v>
      </c>
    </row>
    <row r="4328" spans="2:2" x14ac:dyDescent="0.25">
      <c r="B4328" t="str">
        <v>570-07: Bar Stock, All Kinds (Not Otherwise Classified)</v>
      </c>
    </row>
    <row r="4329" spans="2:2" x14ac:dyDescent="0.25">
      <c r="B4329" t="str">
        <v>570-08: Bolt and Stud Stock, Steel</v>
      </c>
    </row>
    <row r="4330" spans="2:2" x14ac:dyDescent="0.25">
      <c r="B4330" t="str">
        <v>570-09: Brass and Bronze: Bars, Plates, Rods, Sheets, Strips, etc.</v>
      </c>
    </row>
    <row r="4331" spans="2:2" x14ac:dyDescent="0.25">
      <c r="B4331" t="str">
        <v>570-11: Brass Ingots  (Inactive, please see commodity code 570-06 effective January 1, 2016)</v>
      </c>
    </row>
    <row r="4332" spans="2:2" x14ac:dyDescent="0.25">
      <c r="B4332" t="str">
        <v>570-12: Bronze Ingots</v>
      </c>
    </row>
    <row r="4333" spans="2:2" x14ac:dyDescent="0.25">
      <c r="B4333" t="str">
        <v>570-13: Bushing Stock, Brass and Bronze</v>
      </c>
    </row>
    <row r="4334" spans="2:2" x14ac:dyDescent="0.25">
      <c r="B4334" t="str">
        <v>570-14: Cast Iron, Primary and Semi-Finished</v>
      </c>
    </row>
    <row r="4335" spans="2:2" x14ac:dyDescent="0.25">
      <c r="B4335" t="str">
        <v>570-16: Crayons, Metal Worker's</v>
      </c>
    </row>
    <row r="4336" spans="2:2" x14ac:dyDescent="0.25">
      <c r="B4336" t="str">
        <v>570-17: Coil Stock</v>
      </c>
    </row>
    <row r="4337" spans="2:2" x14ac:dyDescent="0.25">
      <c r="B4337" t="str">
        <v>570-18: Copper: Bars, Plates, Rods, Sheets, Strips, etc.</v>
      </c>
    </row>
    <row r="4338" spans="2:2" x14ac:dyDescent="0.25">
      <c r="B4338" t="str">
        <v>570-19: Cutting Rod</v>
      </c>
    </row>
    <row r="4339" spans="2:2" x14ac:dyDescent="0.25">
      <c r="B4339" t="str">
        <v>570-21: Decking, Steel</v>
      </c>
    </row>
    <row r="4340" spans="2:2" x14ac:dyDescent="0.25">
      <c r="B4340" t="str">
        <v>570-22: Earth's Metals, (Not Otherwise Classified)</v>
      </c>
    </row>
    <row r="4341" spans="2:2" x14ac:dyDescent="0.25">
      <c r="B4341" t="str">
        <v>570-23: Expanded Metal, Not Stainless</v>
      </c>
    </row>
    <row r="4342" spans="2:2" x14ac:dyDescent="0.25">
      <c r="B4342" t="str">
        <v>570-24: Expanded Metal, Stainless</v>
      </c>
    </row>
    <row r="4343" spans="2:2" x14ac:dyDescent="0.25">
      <c r="B4343" t="str">
        <v>570-25: Forms, Metal: Concrete Curbs, Columns, and Gutters</v>
      </c>
    </row>
    <row r="4344" spans="2:2" x14ac:dyDescent="0.25">
      <c r="B4344" t="str">
        <v>570-26: Foil Stock</v>
      </c>
    </row>
    <row r="4345" spans="2:2" x14ac:dyDescent="0.25">
      <c r="B4345" t="str">
        <v>570-27: Ferrous and Non-Ferrous Metals</v>
      </c>
    </row>
    <row r="4346" spans="2:2" x14ac:dyDescent="0.25">
      <c r="B4346" t="str">
        <v>570-28: Guard Rails and Accessories: Bolts, Posts, Terminal Ends, Washers, etc. (See 540-73 for Wood Posts)</v>
      </c>
    </row>
    <row r="4347" spans="2:2" x14ac:dyDescent="0.25">
      <c r="B4347" t="str">
        <v>570-29: Iron: Angles, Bands, Plate, Sheets, etc.</v>
      </c>
    </row>
    <row r="4348" spans="2:2" x14ac:dyDescent="0.25">
      <c r="B4348" t="str">
        <v>570-30: Ingots, (Not Otherwise Classified)</v>
      </c>
    </row>
    <row r="4349" spans="2:2" x14ac:dyDescent="0.25">
      <c r="B4349" t="str">
        <v>570-31: Lead: Bulk, Granulated, Strips, etc., Not Plumbing or Paint</v>
      </c>
    </row>
    <row r="4350" spans="2:2" x14ac:dyDescent="0.25">
      <c r="B4350" t="str">
        <v>570-32: Key stock, All Sizes</v>
      </c>
    </row>
    <row r="4351" spans="2:2" x14ac:dyDescent="0.25">
      <c r="B4351" t="str">
        <v>570-33: License Plate and Blanks (Inactive, please see commodity code 570-34 effective January 1, 2016)</v>
      </c>
    </row>
    <row r="4352" spans="2:2" x14ac:dyDescent="0.25">
      <c r="B4352" t="str">
        <v>570-34: License Plates Complete, Purchased Through Bid Process</v>
      </c>
    </row>
    <row r="4353" spans="2:2" x14ac:dyDescent="0.25">
      <c r="B4353" t="str">
        <v>570-35: Magnesium Alloy: Bars, Ingots, Plates, Rods, Sheets, Strips, etc.</v>
      </c>
    </row>
    <row r="4354" spans="2:2" x14ac:dyDescent="0.25">
      <c r="B4354" t="str">
        <v>570-36: Metal, Perforated</v>
      </c>
    </row>
    <row r="4355" spans="2:2" x14ac:dyDescent="0.25">
      <c r="B4355" t="str">
        <v>570-37: Magnesium Alloy Ingots (Inactive, please see commodity code 570-11 effective January 1, 2016)</v>
      </c>
    </row>
    <row r="4356" spans="2:2" x14ac:dyDescent="0.25">
      <c r="B4356" t="str">
        <v>570-38: Metals, Alkali (Not Otherwise Classified)</v>
      </c>
    </row>
    <row r="4357" spans="2:2" x14ac:dyDescent="0.25">
      <c r="B4357" t="str">
        <v>570-39: Nickel</v>
      </c>
    </row>
    <row r="4358" spans="2:2" x14ac:dyDescent="0.25">
      <c r="B4358" t="str">
        <v>570-40: Ornamental Ironwork</v>
      </c>
    </row>
    <row r="4359" spans="2:2" x14ac:dyDescent="0.25">
      <c r="B4359" t="str">
        <v>570-42: Pig Iron Ingots</v>
      </c>
    </row>
    <row r="4360" spans="2:2" x14ac:dyDescent="0.25">
      <c r="B4360" t="str">
        <v>570-44: Posts, Steel: Delineator Markers, Mile Markers, etc.</v>
      </c>
    </row>
    <row r="4361" spans="2:2" x14ac:dyDescent="0.25">
      <c r="B4361" t="str">
        <v>570-45: Posts, Metal, Other Than Steel</v>
      </c>
    </row>
    <row r="4362" spans="2:2" x14ac:dyDescent="0.25">
      <c r="B4362" t="str">
        <v>570-46: Post-Tensioned Type Reinforcing System, For Concrete Slabs</v>
      </c>
    </row>
    <row r="4363" spans="2:2" x14ac:dyDescent="0.25">
      <c r="B4363" t="str">
        <v>570-47: Precious Metals: Gold, Silver, etc. (See 175-19 and 260-52 for other uses)</v>
      </c>
    </row>
    <row r="4364" spans="2:2" x14ac:dyDescent="0.25">
      <c r="B4364" t="str">
        <v>570-48: Rails, Railroad, Steel</v>
      </c>
    </row>
    <row r="4365" spans="2:2" x14ac:dyDescent="0.25">
      <c r="B4365" t="str">
        <v>570-50: Scrap Metals, All Kinds</v>
      </c>
    </row>
    <row r="4366" spans="2:2" x14ac:dyDescent="0.25">
      <c r="B4366" t="str">
        <v>570-52: Shafting: Bronze, Monel, Stainless Steel, Steel, etc.</v>
      </c>
    </row>
    <row r="4367" spans="2:2" x14ac:dyDescent="0.25">
      <c r="B4367" t="str">
        <v>570-54: Sheet Metal, Fabricated, Custom-Made Sheet Metal Items</v>
      </c>
    </row>
    <row r="4368" spans="2:2" x14ac:dyDescent="0.25">
      <c r="B4368" t="str">
        <v>570-56: Sheet Piling, Steel</v>
      </c>
    </row>
    <row r="4369" spans="2:2" x14ac:dyDescent="0.25">
      <c r="B4369" t="str">
        <v>570-57: Shim Stock</v>
      </c>
    </row>
    <row r="4370" spans="2:2" x14ac:dyDescent="0.25">
      <c r="B4370" t="str">
        <v>570-62: Spring Steel</v>
      </c>
    </row>
    <row r="4371" spans="2:2" x14ac:dyDescent="0.25">
      <c r="B4371" t="str">
        <v>570-64: Stainless Steel: Bars, Plates, Rods, Sheets, Strips, Tubes, etc.</v>
      </c>
    </row>
    <row r="4372" spans="2:2" x14ac:dyDescent="0.25">
      <c r="B4372" t="str">
        <v>570-65: Steel Bridge Truss, Overhead</v>
      </c>
    </row>
    <row r="4373" spans="2:2" x14ac:dyDescent="0.25">
      <c r="B4373" t="str">
        <v>570-66: Steel, Cold Rolled: Bars, Plates, Rods, Sheets, and Strips</v>
      </c>
    </row>
    <row r="4374" spans="2:2" x14ac:dyDescent="0.25">
      <c r="B4374" t="str">
        <v>570-68: Steel, Fabricated: Beams, Gabions, Gratings, Walkways, Window Bars, and Custom-Made Steel Items</v>
      </c>
    </row>
    <row r="4375" spans="2:2" x14ac:dyDescent="0.25">
      <c r="B4375" t="str">
        <v>570-70: Steel, Galvanized: Bars, Pipes, Not Plumbing, Plates, Rods, Sheets, Strips, etc.</v>
      </c>
    </row>
    <row r="4376" spans="2:2" x14ac:dyDescent="0.25">
      <c r="B4376" t="str">
        <v>570-72: Steel, Mild: Bars, Plates, Rods, Sheets, Strips, Tubes, etc.</v>
      </c>
    </row>
    <row r="4377" spans="2:2" x14ac:dyDescent="0.25">
      <c r="B4377" t="str">
        <v>570-76: Steel, Reinforcing, Bars and Rods</v>
      </c>
    </row>
    <row r="4378" spans="2:2" x14ac:dyDescent="0.25">
      <c r="B4378" t="str">
        <v>570-77: Steel, Reinforcing, Mesh</v>
      </c>
    </row>
    <row r="4379" spans="2:2" x14ac:dyDescent="0.25">
      <c r="B4379" t="str">
        <v>570-78: Steel, Reinforcing, Fabricated</v>
      </c>
    </row>
    <row r="4380" spans="2:2" x14ac:dyDescent="0.25">
      <c r="B4380" t="str">
        <v>570-79: Steel Siding</v>
      </c>
    </row>
    <row r="4381" spans="2:2" x14ac:dyDescent="0.25">
      <c r="B4381" t="str">
        <v>570-80: Steel Sheets, High Carbon, For License Plates, etc.</v>
      </c>
    </row>
    <row r="4382" spans="2:2" x14ac:dyDescent="0.25">
      <c r="B4382" t="str">
        <v>570-81: Steel Studs, Dry Wall</v>
      </c>
    </row>
    <row r="4383" spans="2:2" x14ac:dyDescent="0.25">
      <c r="B4383" t="str">
        <v>570-82: Steel Wire Panels: Partitions, Window Guards, etc.</v>
      </c>
    </row>
    <row r="4384" spans="2:2" x14ac:dyDescent="0.25">
      <c r="B4384" t="str">
        <v>570-83: Structural Shapes, Other Than Steel: Angles, Channels, I-Beams, etc.</v>
      </c>
    </row>
    <row r="4385" spans="2:2" x14ac:dyDescent="0.25">
      <c r="B4385" t="str">
        <v>570-84: Structural Shapes, Steel: Angles, Channels, I-Beams, etc.</v>
      </c>
    </row>
    <row r="4386" spans="2:2" x14ac:dyDescent="0.25">
      <c r="B4386" t="str">
        <v>570-85: Tin</v>
      </c>
    </row>
    <row r="4387" spans="2:2" x14ac:dyDescent="0.25">
      <c r="B4387" t="str">
        <v>570-86: Titanium</v>
      </c>
    </row>
    <row r="4388" spans="2:2" x14ac:dyDescent="0.25">
      <c r="B4388" t="str">
        <v>570-87: Tool Steel: Bars, Drill Rod, Flat Stock, etc.</v>
      </c>
    </row>
    <row r="4389" spans="2:2" x14ac:dyDescent="0.25">
      <c r="B4389" t="str">
        <v>570-88: Tile, Metal (Inactive, please see commodity code 135-81 effective January 1, 2016)</v>
      </c>
    </row>
    <row r="4390" spans="2:2" x14ac:dyDescent="0.25">
      <c r="B4390" t="str">
        <v>570-89: Transition Metals (Not Otherwise Classified)</v>
      </c>
    </row>
    <row r="4391" spans="2:2" x14ac:dyDescent="0.25">
      <c r="B4391" t="str">
        <v>570-90: Tubing, Mechanical, Steel: Rectangular, Round, Square, etc. (See 570-91 for Structural Tubing)</v>
      </c>
    </row>
    <row r="4392" spans="2:2" x14ac:dyDescent="0.25">
      <c r="B4392" t="str">
        <v>570-91: Tubing, Structural Grade</v>
      </c>
    </row>
    <row r="4393" spans="2:2" x14ac:dyDescent="0.25">
      <c r="B4393" t="str">
        <v>570-95: Zinc: Anodes, Sheets, etc.</v>
      </c>
    </row>
    <row r="4394" spans="2:2" x14ac:dyDescent="0.25">
      <c r="B4394" t="str">
        <v>570-96: Recycled Metals and Related Items</v>
      </c>
    </row>
    <row r="4395" spans="2:2" x14ac:dyDescent="0.25">
      <c r="B4395" t="str">
        <v>575-25: *Computer Output Microfilm and Microfiche (COM) Units: COM Recorders, COM Cameras, COM Tape/Recorder, etc.</v>
      </c>
    </row>
    <row r="4396" spans="2:2" x14ac:dyDescent="0.25">
      <c r="B4396" t="str">
        <v>575-29: Jacket Loaders, Microfilm</v>
      </c>
    </row>
    <row r="4397" spans="2:2" x14ac:dyDescent="0.25">
      <c r="B4397" t="str">
        <v>575-30: Microfilm Cameras and Accessories</v>
      </c>
    </row>
    <row r="4398" spans="2:2" x14ac:dyDescent="0.25">
      <c r="B4398" t="str">
        <v>575-31: Cabinets and Filing Boxes, Microfilm</v>
      </c>
    </row>
    <row r="4399" spans="2:2" x14ac:dyDescent="0.25">
      <c r="B4399" t="str">
        <v>575-33: *Microfiche and Microfilm Duplicators</v>
      </c>
    </row>
    <row r="4400" spans="2:2" x14ac:dyDescent="0.25">
      <c r="B4400" t="str">
        <v>575-40: Microfilm Splicer and Supplies</v>
      </c>
    </row>
    <row r="4401" spans="2:2" x14ac:dyDescent="0.25">
      <c r="B4401" t="str">
        <v>575-45: Microfilm Process Chemicals</v>
      </c>
    </row>
    <row r="4402" spans="2:2" x14ac:dyDescent="0.25">
      <c r="B4402" t="str">
        <v>575-47: Microfiche/Microfilm Reader Printer Supplies: Paper, Toner, etc.</v>
      </c>
    </row>
    <row r="4403" spans="2:2" x14ac:dyDescent="0.25">
      <c r="B4403" t="str">
        <v>575-49: Microfiche/Microfilm Supplies (Not Otherwise Classified): Jackets, Leaders, Mailers, Reels, Spools, Trailers, Aperture Cards, etc.</v>
      </c>
    </row>
    <row r="4404" spans="2:2" x14ac:dyDescent="0.25">
      <c r="B4404" t="str">
        <v>575-50: Opaque Viewers, For Microprints and Other Opaque Microforms</v>
      </c>
    </row>
    <row r="4405" spans="2:2" x14ac:dyDescent="0.25">
      <c r="B4405" t="str">
        <v>575-51: *Microfiche and Microfilm Equipment (Not Otherwise Classified)</v>
      </c>
    </row>
    <row r="4406" spans="2:2" x14ac:dyDescent="0.25">
      <c r="B4406" t="str">
        <v>575-55: Processors, Microfilm</v>
      </c>
    </row>
    <row r="4407" spans="2:2" x14ac:dyDescent="0.25">
      <c r="B4407" t="str">
        <v>575-70: Raw Microfilm</v>
      </c>
    </row>
    <row r="4408" spans="2:2" x14ac:dyDescent="0.25">
      <c r="B4408" t="str">
        <v>575-72: *Reader, Microfiche and Microfilm</v>
      </c>
    </row>
    <row r="4409" spans="2:2" x14ac:dyDescent="0.25">
      <c r="B4409" t="str">
        <v>575-76: *Reader and Printer, Microfiche and Microfilm, Including Parts and Accessories)</v>
      </c>
    </row>
    <row r="4410" spans="2:2" x14ac:dyDescent="0.25">
      <c r="B4410" t="str">
        <v>575-80: Recycled Microfiche and Microfilm Equipment, Accessories and Supplies</v>
      </c>
    </row>
    <row r="4411" spans="2:2" x14ac:dyDescent="0.25">
      <c r="B4411" t="str">
        <v>578-05: Assembly Lines, Complete (Inactive, effective January 1, 2016)</v>
      </c>
    </row>
    <row r="4412" spans="2:2" x14ac:dyDescent="0.25">
      <c r="B4412" t="str">
        <v>578-06: Avalanche Devices, Equipment, Accessories and Parts  (Inactive, please see commodity code 220-05 effective January 1, 2016)</v>
      </c>
    </row>
    <row r="4413" spans="2:2" x14ac:dyDescent="0.25">
      <c r="B4413" t="str">
        <v>578-12: *Biometric Card Reader (Inactive, please see commodity code 220-52 effective January 1, 2016)</v>
      </c>
    </row>
    <row r="4414" spans="2:2" x14ac:dyDescent="0.25">
      <c r="B4414" t="str">
        <v>578-14: Boxes, Suggestion Type (Inactive, please see commodity code 615-13 effective January 1, 2016)</v>
      </c>
    </row>
    <row r="4415" spans="2:2" x14ac:dyDescent="0.25">
      <c r="B4415" t="str">
        <v>578-16: *Cards, Biometric Reader (Inactive, please see commodity code 220-52 effective January 1, 2016)</v>
      </c>
    </row>
    <row r="4416" spans="2:2" x14ac:dyDescent="0.25">
      <c r="B4416" t="str">
        <v>578-17: Caskets, Funeral (See Classes 410 and 465 for Mortuary Equipment)  (Inactive, please see commodity code 578-19 effective January 1, 2016)</v>
      </c>
    </row>
    <row r="4417" spans="2:2" x14ac:dyDescent="0.25">
      <c r="B4417" t="str">
        <v>578-18: Caskets, Pet  (Inactive, please see commodity code 578-19 effective January 1, 2016)</v>
      </c>
    </row>
    <row r="4418" spans="2:2" x14ac:dyDescent="0.25">
      <c r="B4418" t="str">
        <v>578-19: Cemetery Equipment and Supplies, Including Lots and Vaults</v>
      </c>
    </row>
    <row r="4419" spans="2:2" x14ac:dyDescent="0.25">
      <c r="B4419" t="str">
        <v>578-20: Counters, Mechanical: Tally, etc. (Inactive, please see commodity code 780-27 effective January 1, 2016)</v>
      </c>
    </row>
    <row r="4420" spans="2:2" x14ac:dyDescent="0.25">
      <c r="B4420" t="str">
        <v>578-22: Counting Machines, Electronic, Not Ticometers, See Class 600: Tally, etc. (Inactive, please see commodity code 780-27 effective January 1, 2016)</v>
      </c>
    </row>
    <row r="4421" spans="2:2" x14ac:dyDescent="0.25">
      <c r="B4421" t="str">
        <v>578-27: Dehydrating Machines and Parts  (Inactive, please see commodity code  effective January 1, 2016)</v>
      </c>
    </row>
    <row r="4422" spans="2:2" x14ac:dyDescent="0.25">
      <c r="B4422" t="str">
        <v>578-28: Deodorants, Industrial (Inactive, please see commodity code 485-33 effective January 1, 2016)</v>
      </c>
    </row>
    <row r="4423" spans="2:2" x14ac:dyDescent="0.25">
      <c r="B4423" t="str">
        <v>578-30: Disaster Survival Equipment, Kits, and Supplies  (Inactive, please see commodity code 257-35 effective January 1, 2016)</v>
      </c>
    </row>
    <row r="4424" spans="2:2" x14ac:dyDescent="0.25">
      <c r="B4424" t="str">
        <v>578-31: Display and Showroom Equipment and Supplies, Including Exhibit Booths, Convention and Trade Shows (Inactive, please see commodity code 578-83 effective January 1, 2016)</v>
      </c>
    </row>
    <row r="4425" spans="2:2" x14ac:dyDescent="0.25">
      <c r="B4425" t="str">
        <v>578-32: Distilling and Processing Machinery and Equipment, Petroleum (Inactive, effective January 1, 2016)</v>
      </c>
    </row>
    <row r="4426" spans="2:2" x14ac:dyDescent="0.25">
      <c r="B4426" t="str">
        <v>578-33: Energy Generating Devices; Modular Fuel Cells w/24, 48 or 125 vdc (Inactive, effective January 1, 2016)</v>
      </c>
    </row>
    <row r="4427" spans="2:2" x14ac:dyDescent="0.25">
      <c r="B4427" t="str">
        <v>578-34: *Election and Voter Equipment and Supplies, Electronic (Inactive, please see commodity code 600-58 effective January 1, 2016)</v>
      </c>
    </row>
    <row r="4428" spans="2:2" x14ac:dyDescent="0.25">
      <c r="B4428" t="str">
        <v>578-35: Election Equipment and Supplies, Non-Electronic (Inactive, please see commodity code 578-34 effective January 1, 2016)</v>
      </c>
    </row>
    <row r="4429" spans="2:2" x14ac:dyDescent="0.25">
      <c r="B4429" t="str">
        <v>578-36: Fireworks and Pyrotechnics (See 680-74 for Police Pyrotechnics)</v>
      </c>
    </row>
    <row r="4430" spans="2:2" x14ac:dyDescent="0.25">
      <c r="B4430" t="str">
        <v>578-37: Flood Control Devices, Equipment, Including Parts and Accessories (Inactive, please see commodity code 220-17 effective January 1, 2016)</v>
      </c>
    </row>
    <row r="4431" spans="2:2" x14ac:dyDescent="0.25">
      <c r="B4431" t="str">
        <v>578-38: Forestry Equipment and Supplies (Inactive, effective January 1, 2016)</v>
      </c>
    </row>
    <row r="4432" spans="2:2" x14ac:dyDescent="0.25">
      <c r="B4432" t="str">
        <v>578-39: Gaming Equipment and Accessories  (Inactive, please see commodity code 578-53 effective January 1, 2016)</v>
      </c>
    </row>
    <row r="4433" spans="2:2" x14ac:dyDescent="0.25">
      <c r="B4433" t="str">
        <v>578-40: Gavels (Inactive, effective January 1, 2016)</v>
      </c>
    </row>
    <row r="4434" spans="2:2" x14ac:dyDescent="0.25">
      <c r="B4434" t="str">
        <v>578-47: Hazardous Control Materials, Hazmat, Green Material, etc., (Not Otherwise Classified) (Inactive, please see commodity code 257-38 effective January 1, 2016)</v>
      </c>
    </row>
    <row r="4435" spans="2:2" x14ac:dyDescent="0.25">
      <c r="B4435" t="str">
        <v>578-48: Holography Apparatus and Accessories, Excluding Laser (Inactive, effective January 1, 2016)</v>
      </c>
    </row>
    <row r="4436" spans="2:2" x14ac:dyDescent="0.25">
      <c r="B4436" t="str">
        <v>578-49: Honeycomb Core Materials, All Kinds: Metal, Foam, Plastic, Wood (Inactive, effective January 1, 2016)</v>
      </c>
    </row>
    <row r="4437" spans="2:2" x14ac:dyDescent="0.25">
      <c r="B4437" t="str">
        <v>578-50: Holders, Metal: Card, Door Name Card, Label, etc. (Inactive, please see commodity code 080-40 effective January 1, 2016)</v>
      </c>
    </row>
    <row r="4438" spans="2:2" x14ac:dyDescent="0.25">
      <c r="B4438" t="str">
        <v>578-51: Ink, License Plate  (Inactive, please see commodity code 570-33 effective January 1, 2016)</v>
      </c>
    </row>
    <row r="4439" spans="2:2" x14ac:dyDescent="0.25">
      <c r="B4439" t="str">
        <v>578-52: Lots and Vaults, Cemetery (Inactive, please see commodity code 570-19  effective January 1, 2016)</v>
      </c>
    </row>
    <row r="4440" spans="2:2" x14ac:dyDescent="0.25">
      <c r="B4440" t="str">
        <v>578-53: Lottery and Gaming Equipment and Supplies</v>
      </c>
    </row>
    <row r="4441" spans="2:2" x14ac:dyDescent="0.25">
      <c r="B4441" t="str">
        <v>578-54: Mannequins, Clothing Display (Inactive, please see commodity code 578-83 effective January 1, 2016)</v>
      </c>
    </row>
    <row r="4442" spans="2:2" x14ac:dyDescent="0.25">
      <c r="B4442" t="str">
        <v>578-55: Mats, All Kinds (Not Otherwise Classified)  (Inactive, please see commodity code 360-27 effective January 1, 2016)</v>
      </c>
    </row>
    <row r="4443" spans="2:2" x14ac:dyDescent="0.25">
      <c r="B4443" t="str">
        <v>578-56: Minerals and Ores</v>
      </c>
    </row>
    <row r="4444" spans="2:2" x14ac:dyDescent="0.25">
      <c r="B4444" t="str">
        <v>578-57: Non-Metallic Structural Shapes (Not Otherwise Classified) (Inactive, effective January 1, 2016)</v>
      </c>
    </row>
    <row r="4445" spans="2:2" x14ac:dyDescent="0.25">
      <c r="B4445" t="str">
        <v>578-58: Numbering Machines and Equipment, Take-A-Number (Inactive, please see commodity code 605-50 effective January 1, 2016)</v>
      </c>
    </row>
    <row r="4446" spans="2:2" x14ac:dyDescent="0.25">
      <c r="B4446" t="str">
        <v>578-59: Pneumatic Tube Equipment, Accessories, and Supplies</v>
      </c>
    </row>
    <row r="4447" spans="2:2" x14ac:dyDescent="0.25">
      <c r="B4447" t="str">
        <v>578-62: Recycled or Refurbished Miscellaneous Products (Inactive, effective January 1, 2016)</v>
      </c>
    </row>
    <row r="4448" spans="2:2" x14ac:dyDescent="0.25">
      <c r="B4448" t="str">
        <v>578-63: Real Estate: Land and Improvements  (Inactive, please see commodity code 971-63 effective January 1, 2016)</v>
      </c>
    </row>
    <row r="4449" spans="2:2" x14ac:dyDescent="0.25">
      <c r="B4449" t="str">
        <v>578-64: Recycling and Refurbishing Equipment, Machines, and Supplies</v>
      </c>
    </row>
    <row r="4450" spans="2:2" x14ac:dyDescent="0.25">
      <c r="B4450" t="str">
        <v>578-65: Religious Goods: Altar Sets, Collection Plates, Ecclesiastical Metal ware, Pulpit Scarves, etc.</v>
      </c>
    </row>
    <row r="4451" spans="2:2" x14ac:dyDescent="0.25">
      <c r="B4451" t="str">
        <v>578-74: *Robots, Manufacturing Applications, etc. (Inactive, please see commodity code 578-76 effective January 1, 2016)</v>
      </c>
    </row>
    <row r="4452" spans="2:2" x14ac:dyDescent="0.25">
      <c r="B4452" t="str">
        <v>578-76: *Robots, Educational, Scientific Applications, Manufacturing Applications, etc.</v>
      </c>
    </row>
    <row r="4453" spans="2:2" x14ac:dyDescent="0.25">
      <c r="B4453" t="str">
        <v>578-81: Scrap and Waste Products, Non-Metallic (See 570-50 for Scrap Metal)</v>
      </c>
    </row>
    <row r="4454" spans="2:2" x14ac:dyDescent="0.25">
      <c r="B4454" t="str">
        <v>578-83: Store Fixtures and Display Hardware, Retail</v>
      </c>
    </row>
    <row r="4455" spans="2:2" x14ac:dyDescent="0.25">
      <c r="B4455" t="str">
        <v>578-84: Table Skirts, Skirting (Inactive, please see commodity code 578-83 effective January 1, 2016)</v>
      </c>
    </row>
    <row r="4456" spans="2:2" x14ac:dyDescent="0.25">
      <c r="B4456" t="str">
        <v>578-85: Tachistoscopic Devices, Used in the Study of Learning, Attention and Perception (Inactive, effective January 1, 2016)</v>
      </c>
    </row>
    <row r="4457" spans="2:2" x14ac:dyDescent="0.25">
      <c r="B4457" t="str">
        <v>578-86: Tags, Key, All Kinds (Inactive, please see commodity code 615-86 effective January 1, 2016)</v>
      </c>
    </row>
    <row r="4458" spans="2:2" x14ac:dyDescent="0.25">
      <c r="B4458" t="str">
        <v>578-90: Taxidermy Equipment and Supplies</v>
      </c>
    </row>
    <row r="4459" spans="2:2" x14ac:dyDescent="0.25">
      <c r="B4459" t="str">
        <v>578-91: *Testing Machines, Driver, Automated (Including Driver Simulating Machine)</v>
      </c>
    </row>
    <row r="4460" spans="2:2" x14ac:dyDescent="0.25">
      <c r="B4460" t="str">
        <v>578-92: Toll Collection Equipment and Supplies</v>
      </c>
    </row>
    <row r="4461" spans="2:2" x14ac:dyDescent="0.25">
      <c r="B4461" t="str">
        <v>578-93: Tools for Scientific Use, Anthropological, etc.) (Inactive, effective January 1, 2016)</v>
      </c>
    </row>
    <row r="4462" spans="2:2" x14ac:dyDescent="0.25">
      <c r="B4462" t="str">
        <v>578-94: Turf, Artificial, Indoor and Outdoor  (Inactive, please see commodity code 360-90 effective January 1, 2016)</v>
      </c>
    </row>
    <row r="4463" spans="2:2" x14ac:dyDescent="0.25">
      <c r="B4463" t="str">
        <v>578-95: Water, Potable and Non-Potable, (See 390-91 for Bottled Water)</v>
      </c>
    </row>
    <row r="4464" spans="2:2" x14ac:dyDescent="0.25">
      <c r="B4464" t="str">
        <v>578-97: Water, Non-Potable  (Inactive, please see commodity code 578-95 effective January 1, 2016)</v>
      </c>
    </row>
    <row r="4465" spans="2:2" x14ac:dyDescent="0.25">
      <c r="B4465" t="str">
        <v>580-02: Accordions and Accessories</v>
      </c>
    </row>
    <row r="4466" spans="2:2" x14ac:dyDescent="0.25">
      <c r="B4466" t="str">
        <v>580-03: Amplified Instruments, Guitars, etc. and Amplifiers</v>
      </c>
    </row>
    <row r="4467" spans="2:2" x14ac:dyDescent="0.25">
      <c r="B4467" t="str">
        <v>580-05: Band and Choral Risers</v>
      </c>
    </row>
    <row r="4468" spans="2:2" x14ac:dyDescent="0.25">
      <c r="B4468" t="str">
        <v>580-10: Band Instruments and Accessories</v>
      </c>
    </row>
    <row r="4469" spans="2:2" x14ac:dyDescent="0.25">
      <c r="B4469" t="str">
        <v>580-15: Band Room Equipment: Music Cabinets, Stands, etc.</v>
      </c>
    </row>
    <row r="4470" spans="2:2" x14ac:dyDescent="0.25">
      <c r="B4470" t="str">
        <v>580-17: Batons, Conductor</v>
      </c>
    </row>
    <row r="4471" spans="2:2" x14ac:dyDescent="0.25">
      <c r="B4471" t="str">
        <v>580-25: Electronic Musical Instruments: Electronic Organs, Synthesizers, Visualizers, etc.</v>
      </c>
    </row>
    <row r="4472" spans="2:2" x14ac:dyDescent="0.25">
      <c r="B4472" t="str">
        <v>580-30: Metronomes and Tuners, Conventional or Electronic</v>
      </c>
    </row>
    <row r="4473" spans="2:2" x14ac:dyDescent="0.25">
      <c r="B4473" t="str">
        <v>580-34: Music Boxes</v>
      </c>
    </row>
    <row r="4474" spans="2:2" x14ac:dyDescent="0.25">
      <c r="B4474" t="str">
        <v>580-35: Music, Sheet and Folio</v>
      </c>
    </row>
    <row r="4475" spans="2:2" x14ac:dyDescent="0.25">
      <c r="B4475" t="str">
        <v>580-40: Musical Instrument Repair Parts and Supplies, Except Organ and Piano)</v>
      </c>
    </row>
    <row r="4476" spans="2:2" x14ac:dyDescent="0.25">
      <c r="B4476" t="str">
        <v>580-45: Musical Supplies: Music Holders, Strings, Reeds, Rhythm Sticks, etc.</v>
      </c>
    </row>
    <row r="4477" spans="2:2" x14ac:dyDescent="0.25">
      <c r="B4477" t="str">
        <v>580-53: Orchestra Instruments and Accessories, (Not Otherwise Classified)</v>
      </c>
    </row>
    <row r="4478" spans="2:2" x14ac:dyDescent="0.25">
      <c r="B4478" t="str">
        <v>580-55: Organs, Conventional, Accessories, Parts and Supplies</v>
      </c>
    </row>
    <row r="4479" spans="2:2" x14ac:dyDescent="0.25">
      <c r="B4479" t="str">
        <v>580-60: Pianos, Accessories, Tuning Instruments, Parts and Supplies</v>
      </c>
    </row>
    <row r="4480" spans="2:2" x14ac:dyDescent="0.25">
      <c r="B4480" t="str">
        <v>580-70: Recycled Musical Instruments, Accessories and Supplies</v>
      </c>
    </row>
    <row r="4481" spans="2:2" x14ac:dyDescent="0.25">
      <c r="B4481" t="str">
        <v>580-80: Stringed Instruments, Conventional and Accessories: Banjos, Guitars, Violins, Violas, etc.</v>
      </c>
    </row>
    <row r="4482" spans="2:2" x14ac:dyDescent="0.25">
      <c r="B4482" t="str">
        <v>580-85: Tower Chimes, Including Parts and Accessories</v>
      </c>
    </row>
    <row r="4483" spans="2:2" x14ac:dyDescent="0.25">
      <c r="B4483" t="str">
        <v>590-02: Bra Backs, Replacement</v>
      </c>
    </row>
    <row r="4484" spans="2:2" x14ac:dyDescent="0.25">
      <c r="B4484" t="str">
        <v>590-04: Buckles, Belt and Clothing</v>
      </c>
    </row>
    <row r="4485" spans="2:2" x14ac:dyDescent="0.25">
      <c r="B4485" t="str">
        <v>590-08: Buttons, All Kinds</v>
      </c>
    </row>
    <row r="4486" spans="2:2" x14ac:dyDescent="0.25">
      <c r="B4486" t="str">
        <v>590-09: Crochet Hooks, Embroidery Hoops, Embroidery Needles, Knitting Needles, etc.</v>
      </c>
    </row>
    <row r="4487" spans="2:2" x14ac:dyDescent="0.25">
      <c r="B4487" t="str">
        <v>590-10: Cutting Boards</v>
      </c>
    </row>
    <row r="4488" spans="2:2" x14ac:dyDescent="0.25">
      <c r="B4488" t="str">
        <v>590-12: Dress Forms</v>
      </c>
    </row>
    <row r="4489" spans="2:2" x14ac:dyDescent="0.25">
      <c r="B4489" t="str">
        <v>590-16: Eyelets and Grommets</v>
      </c>
    </row>
    <row r="4490" spans="2:2" x14ac:dyDescent="0.25">
      <c r="B4490" t="str">
        <v>590-20: Fabrics, Heat Adhesive, For Marking, Patching, etc.</v>
      </c>
    </row>
    <row r="4491" spans="2:2" x14ac:dyDescent="0.25">
      <c r="B4491" t="str">
        <v>590-22: Fasteners, Self-Gripping</v>
      </c>
    </row>
    <row r="4492" spans="2:2" x14ac:dyDescent="0.25">
      <c r="B4492" t="str">
        <v>590-24: Fasteners, Snap</v>
      </c>
    </row>
    <row r="4493" spans="2:2" x14ac:dyDescent="0.25">
      <c r="B4493" t="str">
        <v>590-28: Hangers, Garment, Including Compostable</v>
      </c>
    </row>
    <row r="4494" spans="2:2" x14ac:dyDescent="0.25">
      <c r="B4494" t="str">
        <v>590-32: Hatters' Supplies: Bands, Blocks, Linings, etc.</v>
      </c>
    </row>
    <row r="4495" spans="2:2" x14ac:dyDescent="0.25">
      <c r="B4495" t="str">
        <v>590-36: Hooks and Eyes</v>
      </c>
    </row>
    <row r="4496" spans="2:2" x14ac:dyDescent="0.25">
      <c r="B4496" t="str">
        <v>590-37: Interlining, Fusible</v>
      </c>
    </row>
    <row r="4497" spans="2:2" x14ac:dyDescent="0.25">
      <c r="B4497" t="str">
        <v>590-38: Knitted Cuffs and Collars</v>
      </c>
    </row>
    <row r="4498" spans="2:2" x14ac:dyDescent="0.25">
      <c r="B4498" t="str">
        <v>590-39: Labeling Machines, Fabric</v>
      </c>
    </row>
    <row r="4499" spans="2:2" x14ac:dyDescent="0.25">
      <c r="B4499" t="str">
        <v>590-40: Labels, Fabric, All Kinds</v>
      </c>
    </row>
    <row r="4500" spans="2:2" x14ac:dyDescent="0.25">
      <c r="B4500" t="str">
        <v>590-42: Measuring Devices: Pattern Curves, Sewing Gauges, Tapes, Thread Counters, Yardsticks, etc.</v>
      </c>
    </row>
    <row r="4501" spans="2:2" x14ac:dyDescent="0.25">
      <c r="B4501" t="str">
        <v>590-44: Needles, Pins, Thimbles, etc.</v>
      </c>
    </row>
    <row r="4502" spans="2:2" x14ac:dyDescent="0.25">
      <c r="B4502" t="str">
        <v>590-46: Paper, Tracing</v>
      </c>
    </row>
    <row r="4503" spans="2:2" x14ac:dyDescent="0.25">
      <c r="B4503" t="str">
        <v>590-48: Patterns, Clothing</v>
      </c>
    </row>
    <row r="4504" spans="2:2" x14ac:dyDescent="0.25">
      <c r="B4504" t="str">
        <v>590-50: Pressing Aids: Cloths, Seam Rolls, Tailor's Boards, Tailor's Hams, etc.</v>
      </c>
    </row>
    <row r="4505" spans="2:2" x14ac:dyDescent="0.25">
      <c r="B4505" t="str">
        <v>590-51: Rick Rack, Flat Braid</v>
      </c>
    </row>
    <row r="4506" spans="2:2" x14ac:dyDescent="0.25">
      <c r="B4506" t="str">
        <v>590-52: Scissors: Household, Pinking, Sewing</v>
      </c>
    </row>
    <row r="4507" spans="2:2" x14ac:dyDescent="0.25">
      <c r="B4507" t="str">
        <v>590-56: Sewing Accessories: Bound Buttonhole Makers, Palms, Seam Rippers, Sewing Baskets, etc.</v>
      </c>
    </row>
    <row r="4508" spans="2:2" x14ac:dyDescent="0.25">
      <c r="B4508" t="str">
        <v>590-57: Sewing Kits, All Kinds</v>
      </c>
    </row>
    <row r="4509" spans="2:2" x14ac:dyDescent="0.25">
      <c r="B4509" t="str">
        <v>590-60: Slide Fasteners, Zippers</v>
      </c>
    </row>
    <row r="4510" spans="2:2" x14ac:dyDescent="0.25">
      <c r="B4510" t="str">
        <v>590-62: Stays, All Types</v>
      </c>
    </row>
    <row r="4511" spans="2:2" x14ac:dyDescent="0.25">
      <c r="B4511" t="str">
        <v>590-64: Tape and Webbing, Elastic</v>
      </c>
    </row>
    <row r="4512" spans="2:2" x14ac:dyDescent="0.25">
      <c r="B4512" t="str">
        <v>590-68: Tape, Binding (See 525-30 for Library Binder Tape)</v>
      </c>
    </row>
    <row r="4513" spans="2:2" x14ac:dyDescent="0.25">
      <c r="B4513" t="str">
        <v>590-69: Tape, Velcro Type (See 615-89 for Office Type)</v>
      </c>
    </row>
    <row r="4514" spans="2:2" x14ac:dyDescent="0.25">
      <c r="B4514" t="str">
        <v>590-72: Thread, Embroidery, Crewel</v>
      </c>
    </row>
    <row r="4515" spans="2:2" x14ac:dyDescent="0.25">
      <c r="B4515" t="str">
        <v>590-76: Thread, Sewing, Commercial, Not Shoe Stitching)</v>
      </c>
    </row>
    <row r="4516" spans="2:2" x14ac:dyDescent="0.25">
      <c r="B4516" t="str">
        <v>590-80: Thread, Sewing, Domestic</v>
      </c>
    </row>
    <row r="4517" spans="2:2" x14ac:dyDescent="0.25">
      <c r="B4517" t="str">
        <v>590-84: Webbing, Not Elastic</v>
      </c>
    </row>
    <row r="4518" spans="2:2" x14ac:dyDescent="0.25">
      <c r="B4518" t="str">
        <v>590-88: Yarn, Knitting</v>
      </c>
    </row>
    <row r="4519" spans="2:2" x14ac:dyDescent="0.25">
      <c r="B4519" t="str">
        <v>590-95: Recycled Notions and Related Sewing Accessories and Supplies</v>
      </c>
    </row>
    <row r="4520" spans="2:2" x14ac:dyDescent="0.25">
      <c r="B4520" t="str">
        <v>593-39: Fuel, Fission</v>
      </c>
    </row>
    <row r="4521" spans="2:2" x14ac:dyDescent="0.25">
      <c r="B4521" t="str">
        <v>593-40: Fuel Equipment, Nuclear</v>
      </c>
    </row>
    <row r="4522" spans="2:2" x14ac:dyDescent="0.25">
      <c r="B4522" t="str">
        <v>593-41: Fuel, Reactors: Uranium, Iridium, Plutonium</v>
      </c>
    </row>
    <row r="4523" spans="2:2" x14ac:dyDescent="0.25">
      <c r="B4523" t="str">
        <v>593-47: Industrial Nucleonic Instruments</v>
      </c>
    </row>
    <row r="4524" spans="2:2" x14ac:dyDescent="0.25">
      <c r="B4524" t="str">
        <v>593-48: Irradiation Equipment, Atomic or Nuclear Energy</v>
      </c>
    </row>
    <row r="4525" spans="2:2" x14ac:dyDescent="0.25">
      <c r="B4525" t="str">
        <v>593-50: Nuclear Energy Machinery and Equipment: Subcritical Assy., Dosimetry Equipment, Hot Cell Devices,  etc.</v>
      </c>
    </row>
    <row r="4526" spans="2:2" x14ac:dyDescent="0.25">
      <c r="B4526" t="str">
        <v>593-64: Reactor Equipment, Nuclear</v>
      </c>
    </row>
    <row r="4527" spans="2:2" x14ac:dyDescent="0.25">
      <c r="B4527" t="str">
        <v>593-67: Refurbished  Nuclear Equipment, Components, Accessories, and Supplies</v>
      </c>
    </row>
    <row r="4528" spans="2:2" x14ac:dyDescent="0.25">
      <c r="B4528" t="str">
        <v>593-74: Shielding Equipment, Radiation</v>
      </c>
    </row>
    <row r="4529" spans="2:2" x14ac:dyDescent="0.25">
      <c r="B4529" t="str">
        <v>593-90: Waste Collection Equipment, Radioactive</v>
      </c>
    </row>
    <row r="4530" spans="2:2" x14ac:dyDescent="0.25">
      <c r="B4530" t="str">
        <v>595-06: Bamboo, Cane, Rattan, Reed, etc.</v>
      </c>
    </row>
    <row r="4531" spans="2:2" x14ac:dyDescent="0.25">
      <c r="B4531" t="str">
        <v>595-07: Aquatic Plants</v>
      </c>
    </row>
    <row r="4532" spans="2:2" x14ac:dyDescent="0.25">
      <c r="B4532" t="str">
        <v>595-10: Bedding Plants and Cuttings</v>
      </c>
    </row>
    <row r="4533" spans="2:2" x14ac:dyDescent="0.25">
      <c r="B4533" t="str">
        <v>595-15: Bulbs and Seeds, Including Flower Seeds</v>
      </c>
    </row>
    <row r="4534" spans="2:2" x14ac:dyDescent="0.25">
      <c r="B4534" t="str">
        <v>595-26: Edging, Lawn</v>
      </c>
    </row>
    <row r="4535" spans="2:2" x14ac:dyDescent="0.25">
      <c r="B4535" t="str">
        <v>595-28: Flowers, Fresh</v>
      </c>
    </row>
    <row r="4536" spans="2:2" x14ac:dyDescent="0.25">
      <c r="B4536" t="str">
        <v>595-30: Fountains, Statues and Other Decorative Lawn and Garden Items</v>
      </c>
    </row>
    <row r="4537" spans="2:2" x14ac:dyDescent="0.25">
      <c r="B4537" t="str">
        <v>595-33: Grates, Guards, and Other Protective Devices For Trees and Shrubs</v>
      </c>
    </row>
    <row r="4538" spans="2:2" x14ac:dyDescent="0.25">
      <c r="B4538" t="str">
        <v>595-35: Groundcovers and Vines</v>
      </c>
    </row>
    <row r="4539" spans="2:2" x14ac:dyDescent="0.25">
      <c r="B4539" t="str">
        <v>595-37: Horticultural Specialties, Including Ornamental Floriculture Products</v>
      </c>
    </row>
    <row r="4540" spans="2:2" x14ac:dyDescent="0.25">
      <c r="B4540" t="str">
        <v>595-38: Mulch, Pine Straw</v>
      </c>
    </row>
    <row r="4541" spans="2:2" x14ac:dyDescent="0.25">
      <c r="B4541" t="str">
        <v>595-40: Nursery, Greenhouse and Floral Supplies: Labels, Planters, Pots, Tags, Trellises, etc.</v>
      </c>
    </row>
    <row r="4542" spans="2:2" x14ac:dyDescent="0.25">
      <c r="B4542" t="str">
        <v>595-50: Peat Moss</v>
      </c>
    </row>
    <row r="4543" spans="2:2" x14ac:dyDescent="0.25">
      <c r="B4543" t="str">
        <v>595-52: Perennials</v>
      </c>
    </row>
    <row r="4544" spans="2:2" x14ac:dyDescent="0.25">
      <c r="B4544" t="str">
        <v>595-55: Plant Foods, Not Fertilizer</v>
      </c>
    </row>
    <row r="4545" spans="2:2" x14ac:dyDescent="0.25">
      <c r="B4545" t="str">
        <v>595-57: Plants, Non-Flowering</v>
      </c>
    </row>
    <row r="4546" spans="2:2" x14ac:dyDescent="0.25">
      <c r="B4546" t="str">
        <v>595-58: Plant Shine</v>
      </c>
    </row>
    <row r="4547" spans="2:2" x14ac:dyDescent="0.25">
      <c r="B4547" t="str">
        <v>595-59: Plants, Herb</v>
      </c>
    </row>
    <row r="4548" spans="2:2" x14ac:dyDescent="0.25">
      <c r="B4548" t="str">
        <v>595-60: Plant Sprayers and Respirators, Plant Propagation Mats, etc., Including Parts and Accessories</v>
      </c>
    </row>
    <row r="4549" spans="2:2" x14ac:dyDescent="0.25">
      <c r="B4549" t="str">
        <v>595-61: Plants, Indoor</v>
      </c>
    </row>
    <row r="4550" spans="2:2" x14ac:dyDescent="0.25">
      <c r="B4550" t="str">
        <v>595-62: Recycled Nursery Equipment, Including Parts and Accessories</v>
      </c>
    </row>
    <row r="4551" spans="2:2" x14ac:dyDescent="0.25">
      <c r="B4551" t="str">
        <v>595-63: Rocks, Ornamental and Decorative</v>
      </c>
    </row>
    <row r="4552" spans="2:2" x14ac:dyDescent="0.25">
      <c r="B4552" t="str">
        <v>595-65: Shrubbery, Evergreen</v>
      </c>
    </row>
    <row r="4553" spans="2:2" x14ac:dyDescent="0.25">
      <c r="B4553" t="str">
        <v>595-66: Shrubbery, Flowering</v>
      </c>
    </row>
    <row r="4554" spans="2:2" x14ac:dyDescent="0.25">
      <c r="B4554" t="str">
        <v>595-68: Terrariums</v>
      </c>
    </row>
    <row r="4555" spans="2:2" x14ac:dyDescent="0.25">
      <c r="B4555" t="str">
        <v>595-69: Trays and Pots: Germination and Seeding, Fiber</v>
      </c>
    </row>
    <row r="4556" spans="2:2" x14ac:dyDescent="0.25">
      <c r="B4556" t="str">
        <v>595-70: Trees, Fruit and Nut</v>
      </c>
    </row>
    <row r="4557" spans="2:2" x14ac:dyDescent="0.25">
      <c r="B4557" t="str">
        <v>595-75: Trees, Ornamental and Shade</v>
      </c>
    </row>
    <row r="4558" spans="2:2" x14ac:dyDescent="0.25">
      <c r="B4558" t="str">
        <v>595-77: Tropicals</v>
      </c>
    </row>
    <row r="4559" spans="2:2" x14ac:dyDescent="0.25">
      <c r="B4559" t="str">
        <v>595-80: Turf Blankets, Seeded, Including Recycled</v>
      </c>
    </row>
    <row r="4560" spans="2:2" x14ac:dyDescent="0.25">
      <c r="B4560" t="str">
        <v>595-81: Turf Blankets, Non-Seeded, Including Recycled</v>
      </c>
    </row>
    <row r="4561" spans="2:2" x14ac:dyDescent="0.25">
      <c r="B4561" t="str">
        <v>595-88: Vases, Flower Pots, Pottery, etc.</v>
      </c>
    </row>
    <row r="4562" spans="2:2" x14ac:dyDescent="0.25">
      <c r="B4562" t="str">
        <v>595-90: Vermiculite and Perlite</v>
      </c>
    </row>
    <row r="4563" spans="2:2" x14ac:dyDescent="0.25">
      <c r="B4563" t="str">
        <v>595-95: Wood Chips and Bark: Composted, Shredded, etc.</v>
      </c>
    </row>
    <row r="4564" spans="2:2" x14ac:dyDescent="0.25">
      <c r="B4564" t="str">
        <v>600-02: Accessories, Calculators, Electronic</v>
      </c>
    </row>
    <row r="4565" spans="2:2" x14ac:dyDescent="0.25">
      <c r="B4565" t="str">
        <v>600-03: Accounting and Bookkeeping Machines, Not Data Processing</v>
      </c>
    </row>
    <row r="4566" spans="2:2" x14ac:dyDescent="0.25">
      <c r="B4566" t="str">
        <v>600-05: Adding Machines</v>
      </c>
    </row>
    <row r="4567" spans="2:2" x14ac:dyDescent="0.25">
      <c r="B4567" t="str">
        <v>600-08: Addressing Machines, Computer Driven Only, Direct Print Type Only and Accessories (See Class 015 for Supplies)</v>
      </c>
    </row>
    <row r="4568" spans="2:2" x14ac:dyDescent="0.25">
      <c r="B4568" t="str">
        <v>600-11: Addressing Machines, Embossed Plate Type and Embossing and Imprinting Machines, and Accessories (See Class 015 for Supplies)</v>
      </c>
    </row>
    <row r="4569" spans="2:2" x14ac:dyDescent="0.25">
      <c r="B4569" t="str">
        <v>600-14: *Braille Writers and Printers</v>
      </c>
    </row>
    <row r="4570" spans="2:2" x14ac:dyDescent="0.25">
      <c r="B4570" t="str">
        <v>600-15: *Calculators, Electronic, Display and Printing Type, Programmable (See 305-06 for Surveying Type)</v>
      </c>
    </row>
    <row r="4571" spans="2:2" x14ac:dyDescent="0.25">
      <c r="B4571" t="str">
        <v>600-16: *Calculators, Electronic, Display and Printing Type, Non-Programmable</v>
      </c>
    </row>
    <row r="4572" spans="2:2" x14ac:dyDescent="0.25">
      <c r="B4572" t="str">
        <v>600-17: Calculators, Electronic, Display Type, Non-Programmable</v>
      </c>
    </row>
    <row r="4573" spans="2:2" x14ac:dyDescent="0.25">
      <c r="B4573" t="str">
        <v>600-19: Calculators, Electronic, Display Type, Programmable</v>
      </c>
    </row>
    <row r="4574" spans="2:2" x14ac:dyDescent="0.25">
      <c r="B4574" t="str">
        <v>600-21: Calculators, Electronic, Printing Type, Non-Programmable</v>
      </c>
    </row>
    <row r="4575" spans="2:2" x14ac:dyDescent="0.25">
      <c r="B4575" t="str">
        <v>600-22: Calculators, Electronic, Printing Type, Programmable</v>
      </c>
    </row>
    <row r="4576" spans="2:2" x14ac:dyDescent="0.25">
      <c r="B4576" t="str">
        <v>600-25: Calculators, Mechanical</v>
      </c>
    </row>
    <row r="4577" spans="2:2" x14ac:dyDescent="0.25">
      <c r="B4577" t="str">
        <v>600-27: Cases, Typewriter</v>
      </c>
    </row>
    <row r="4578" spans="2:2" x14ac:dyDescent="0.25">
      <c r="B4578" t="str">
        <v>600-30: *Cash Registers and Cash Drawers</v>
      </c>
    </row>
    <row r="4579" spans="2:2" x14ac:dyDescent="0.25">
      <c r="B4579" t="str">
        <v>600-33: Change Makers, Coin and Bill Counters, Money Handling Machines, etc.</v>
      </c>
    </row>
    <row r="4580" spans="2:2" x14ac:dyDescent="0.25">
      <c r="B4580" t="str">
        <v>600-35: Check Writing Guide for the Writing Disabled, Including Writing, Endorsing, and Depositing plus Traveler Check Capabilities</v>
      </c>
    </row>
    <row r="4581" spans="2:2" x14ac:dyDescent="0.25">
      <c r="B4581" t="str">
        <v>600-36: Check Machines: Protection, Signing, Writing, etc.</v>
      </c>
    </row>
    <row r="4582" spans="2:2" x14ac:dyDescent="0.25">
      <c r="B4582" t="str">
        <v>600-37: Copy boards, Electronic</v>
      </c>
    </row>
    <row r="4583" spans="2:2" x14ac:dyDescent="0.25">
      <c r="B4583" t="str">
        <v>600-38: Copy Machines, Bond, Plain Paper Type Including Parts and Accessories</v>
      </c>
    </row>
    <row r="4584" spans="2:2" x14ac:dyDescent="0.25">
      <c r="B4584" t="str">
        <v>600-39: Copy Machines, Analog</v>
      </c>
    </row>
    <row r="4585" spans="2:2" x14ac:dyDescent="0.25">
      <c r="B4585" t="str">
        <v>600-40: Copy Machines, Coated or Treated Paper Type, Including Parts and Accessories</v>
      </c>
    </row>
    <row r="4586" spans="2:2" x14ac:dyDescent="0.25">
      <c r="B4586" t="str">
        <v>600-41: *Copy Machines, Engineering, for Reproduction and Design Production</v>
      </c>
    </row>
    <row r="4587" spans="2:2" x14ac:dyDescent="0.25">
      <c r="B4587" t="str">
        <v>600-42: Copy Machines, Including Parts and Accessories</v>
      </c>
    </row>
    <row r="4588" spans="2:2" x14ac:dyDescent="0.25">
      <c r="B4588" t="str">
        <v>600-43: *Copy Machines, Digital-Networked</v>
      </c>
    </row>
    <row r="4589" spans="2:2" x14ac:dyDescent="0.25">
      <c r="B4589" t="str">
        <v>600-44: Copier Vending Machines, Accessories and Supplies</v>
      </c>
    </row>
    <row r="4590" spans="2:2" x14ac:dyDescent="0.25">
      <c r="B4590" t="str">
        <v>600-45: Copy Machines, Thermal Type, Including Parts and Accessories</v>
      </c>
    </row>
    <row r="4591" spans="2:2" x14ac:dyDescent="0.25">
      <c r="B4591" t="str">
        <v>600-46: *Copy Machines, Digital</v>
      </c>
    </row>
    <row r="4592" spans="2:2" x14ac:dyDescent="0.25">
      <c r="B4592" t="str">
        <v>600-47: *Copy Machine Add-On Accessories</v>
      </c>
    </row>
    <row r="4593" spans="2:2" x14ac:dyDescent="0.25">
      <c r="B4593" t="str">
        <v>600-48: Counterfeit Scanning Devices (Including Detector Pens)</v>
      </c>
    </row>
    <row r="4594" spans="2:2" x14ac:dyDescent="0.25">
      <c r="B4594" t="str">
        <v>600-49: Court Reporter Equipment, Accessories and Supplies</v>
      </c>
    </row>
    <row r="4595" spans="2:2" x14ac:dyDescent="0.25">
      <c r="B4595" t="str">
        <v>600-50: Counting Devices: Ticometers, etc., Paper, Tickets, etc. (See 600-33 For Coins)</v>
      </c>
    </row>
    <row r="4596" spans="2:2" x14ac:dyDescent="0.25">
      <c r="B4596" t="str">
        <v>600-51: Detacher, Forms</v>
      </c>
    </row>
    <row r="4597" spans="2:2" x14ac:dyDescent="0.25">
      <c r="B4597" t="str">
        <v>600-52: Dictating Machines; Transcription Machines</v>
      </c>
    </row>
    <row r="4598" spans="2:2" x14ac:dyDescent="0.25">
      <c r="B4598" t="str">
        <v>600-54: Dictating Machine Accessories and Supplies</v>
      </c>
    </row>
    <row r="4599" spans="2:2" x14ac:dyDescent="0.25">
      <c r="B4599" t="str">
        <v>600-56: *Duplicators, Digital</v>
      </c>
    </row>
    <row r="4600" spans="2:2" x14ac:dyDescent="0.25">
      <c r="B4600" t="str">
        <v>600-57: Duplicating Machines and Accessories, Mimeograph Type</v>
      </c>
    </row>
    <row r="4601" spans="2:2" x14ac:dyDescent="0.25">
      <c r="B4601" t="str">
        <v>600-58: *Election and Voter Equipment and Supplies, Electronic and Non-Electronic</v>
      </c>
    </row>
    <row r="4602" spans="2:2" x14ac:dyDescent="0.25">
      <c r="B4602" t="str">
        <v>600-59: Duplicating Machines and Accessories, Spirit Type</v>
      </c>
    </row>
    <row r="4603" spans="2:2" x14ac:dyDescent="0.25">
      <c r="B4603" t="str">
        <v>600-60: Electronic Reference Equipment, Organizers, etc.</v>
      </c>
    </row>
    <row r="4604" spans="2:2" x14ac:dyDescent="0.25">
      <c r="B4604" t="str">
        <v>600-61: *Fax Machines, Parts and Supplies (See Class 726 for Industrial Type and Class 645 for Paper)</v>
      </c>
    </row>
    <row r="4605" spans="2:2" x14ac:dyDescent="0.25">
      <c r="B4605" t="str">
        <v>600-62: Folding Machines</v>
      </c>
    </row>
    <row r="4606" spans="2:2" x14ac:dyDescent="0.25">
      <c r="B4606" t="str">
        <v>600-63: Folding/Inserting/Sealing Machines</v>
      </c>
    </row>
    <row r="4607" spans="2:2" x14ac:dyDescent="0.25">
      <c r="B4607" t="str">
        <v>600-64: Ink Rollers, Office Machines</v>
      </c>
    </row>
    <row r="4608" spans="2:2" x14ac:dyDescent="0.25">
      <c r="B4608" t="str">
        <v>600-65: Inserting Machines</v>
      </c>
    </row>
    <row r="4609" spans="2:2" x14ac:dyDescent="0.25">
      <c r="B4609" t="str">
        <v>600-66: Label Dispensing Machines and Accessories, For Continuous Form Labels</v>
      </c>
    </row>
    <row r="4610" spans="2:2" x14ac:dyDescent="0.25">
      <c r="B4610" t="str">
        <v>600-67: Letter Extraction and Insertion Machines, Mailroom</v>
      </c>
    </row>
    <row r="4611" spans="2:2" x14ac:dyDescent="0.25">
      <c r="B4611" t="str">
        <v>600-68: Letter Openers, Electric</v>
      </c>
    </row>
    <row r="4612" spans="2:2" x14ac:dyDescent="0.25">
      <c r="B4612" t="str">
        <v>600-69: *Micrographics Equipment and Supplies</v>
      </c>
    </row>
    <row r="4613" spans="2:2" x14ac:dyDescent="0.25">
      <c r="B4613" t="str">
        <v>600-70: Machine Repair Tools, Office</v>
      </c>
    </row>
    <row r="4614" spans="2:2" x14ac:dyDescent="0.25">
      <c r="B4614" t="str">
        <v>600-71: Mailing, Packaging, and Shipping Machines, Including Packaging Material Dispensing Machines</v>
      </c>
    </row>
    <row r="4615" spans="2:2" x14ac:dyDescent="0.25">
      <c r="B4615" t="str">
        <v>600-72: *Multi-Function Office Machines, Combination of Fax-Copier-Scanner-Printer, etc.</v>
      </c>
    </row>
    <row r="4616" spans="2:2" x14ac:dyDescent="0.25">
      <c r="B4616" t="str">
        <v>600-73: Office Machines, Equipment, Accessories, and Supplies, Recycled</v>
      </c>
    </row>
    <row r="4617" spans="2:2" x14ac:dyDescent="0.25">
      <c r="B4617" t="str">
        <v>600-74: Perforating Machines</v>
      </c>
    </row>
    <row r="4618" spans="2:2" x14ac:dyDescent="0.25">
      <c r="B4618" t="str">
        <v>600-77: Postage Meters</v>
      </c>
    </row>
    <row r="4619" spans="2:2" x14ac:dyDescent="0.25">
      <c r="B4619" t="str">
        <v>600-79: Poster Making Machines and Equipment</v>
      </c>
    </row>
    <row r="4620" spans="2:2" x14ac:dyDescent="0.25">
      <c r="B4620" t="str">
        <v>600-80: Postage Meter Supplies</v>
      </c>
    </row>
    <row r="4621" spans="2:2" x14ac:dyDescent="0.25">
      <c r="B4621" t="str">
        <v>600-81: Postage Stamp Vending Machines, Accessories, and Supplies</v>
      </c>
    </row>
    <row r="4622" spans="2:2" x14ac:dyDescent="0.25">
      <c r="B4622" t="str">
        <v>600-82: Shredders, Paper and Media</v>
      </c>
    </row>
    <row r="4623" spans="2:2" x14ac:dyDescent="0.25">
      <c r="B4623" t="str">
        <v>600-83: Stenographic and Stenotype Machines, Accessories, and Supplies</v>
      </c>
    </row>
    <row r="4624" spans="2:2" x14ac:dyDescent="0.25">
      <c r="B4624" t="str">
        <v>600-84: Teletype Machines and Parts</v>
      </c>
    </row>
    <row r="4625" spans="2:2" x14ac:dyDescent="0.25">
      <c r="B4625" t="str">
        <v>600-85: Telegraph Equipment, Parts and Supplies</v>
      </c>
    </row>
    <row r="4626" spans="2:2" x14ac:dyDescent="0.25">
      <c r="B4626" t="str">
        <v>600-86: Typewriters, Including Parts and Accessories</v>
      </c>
    </row>
    <row r="4627" spans="2:2" x14ac:dyDescent="0.25">
      <c r="B4627" t="str">
        <v>600-87: Typewriters, Electronic, Accessories and Parts</v>
      </c>
    </row>
    <row r="4628" spans="2:2" x14ac:dyDescent="0.25">
      <c r="B4628" t="str">
        <v>600-88: Typewriters, Manual, Accessories and Parts</v>
      </c>
    </row>
    <row r="4629" spans="2:2" x14ac:dyDescent="0.25">
      <c r="B4629" t="str">
        <v>600-89: Typewriters, Memory: Typewriters with Memory for Data Storage and Retrieval, Not Microcomputer System Style</v>
      </c>
    </row>
    <row r="4630" spans="2:2" x14ac:dyDescent="0.25">
      <c r="B4630" t="str">
        <v>600-90: Typewriters, Portable, Accessories and Parts</v>
      </c>
    </row>
    <row r="4631" spans="2:2" x14ac:dyDescent="0.25">
      <c r="B4631" t="str">
        <v>600-92: Typewriters, Specialized: One-Handed, Large Type, Accessories and Parts, etc.</v>
      </c>
    </row>
    <row r="4632" spans="2:2" x14ac:dyDescent="0.25">
      <c r="B4632" t="str">
        <v>600-95: Validating Machines</v>
      </c>
    </row>
    <row r="4633" spans="2:2" x14ac:dyDescent="0.25">
      <c r="B4633" t="str">
        <v>600-97: Vacuum Machines (Specifically Designed for Office Equipment)</v>
      </c>
    </row>
    <row r="4634" spans="2:2" x14ac:dyDescent="0.25">
      <c r="B4634" t="str">
        <v>605-03: Bells, Call</v>
      </c>
    </row>
    <row r="4635" spans="2:2" x14ac:dyDescent="0.25">
      <c r="B4635" t="str">
        <v>605-05: Collators, Mechanical, Table Top Type; and Accessories</v>
      </c>
    </row>
    <row r="4636" spans="2:2" x14ac:dyDescent="0.25">
      <c r="B4636" t="str">
        <v>605-10: Copyholders, Mechanical, Adjustable</v>
      </c>
    </row>
    <row r="4637" spans="2:2" x14ac:dyDescent="0.25">
      <c r="B4637" t="str">
        <v>605-14: Copyholders, Nonmechanical, Non-Adjustable</v>
      </c>
    </row>
    <row r="4638" spans="2:2" x14ac:dyDescent="0.25">
      <c r="B4638" t="str">
        <v>605-18: Cutter, Wrapping Paper</v>
      </c>
    </row>
    <row r="4639" spans="2:2" x14ac:dyDescent="0.25">
      <c r="B4639" t="str">
        <v>605-24: Date and Time Machines and Parts</v>
      </c>
    </row>
    <row r="4640" spans="2:2" x14ac:dyDescent="0.25">
      <c r="B4640" t="str">
        <v>605-30: Embossing Machines and Labeling Machines and Tapes, Including Credit Card Embossers</v>
      </c>
    </row>
    <row r="4641" spans="2:2" x14ac:dyDescent="0.25">
      <c r="B4641" t="str">
        <v>605-34: Eyelet Machines and Eyelets</v>
      </c>
    </row>
    <row r="4642" spans="2:2" x14ac:dyDescent="0.25">
      <c r="B4642" t="str">
        <v>605-36: Footrests</v>
      </c>
    </row>
    <row r="4643" spans="2:2" x14ac:dyDescent="0.25">
      <c r="B4643" t="str">
        <v>605-41: Magnets</v>
      </c>
    </row>
    <row r="4644" spans="2:2" x14ac:dyDescent="0.25">
      <c r="B4644" t="str">
        <v>605-42: Magnifying Glasses and Magnifiers</v>
      </c>
    </row>
    <row r="4645" spans="2:2" x14ac:dyDescent="0.25">
      <c r="B4645" t="str">
        <v>605-46: Moisteners, Sanitary; and Rubber Finger Tips, Including Sheet Lifters</v>
      </c>
    </row>
    <row r="4646" spans="2:2" x14ac:dyDescent="0.25">
      <c r="B4646" t="str">
        <v>605-50: Numbering Machines and Supplies: Ink, Pads, etc.</v>
      </c>
    </row>
    <row r="4647" spans="2:2" x14ac:dyDescent="0.25">
      <c r="B4647" t="str">
        <v>605-55: Paper Trimmers, Hand, Blade Type</v>
      </c>
    </row>
    <row r="4648" spans="2:2" x14ac:dyDescent="0.25">
      <c r="B4648" t="str">
        <v>605-57: Paper Trimmers, Hand, Rotary Type</v>
      </c>
    </row>
    <row r="4649" spans="2:2" x14ac:dyDescent="0.25">
      <c r="B4649" t="str">
        <v>605-60: Pencil Sharpeners, Electric and Battery Operated</v>
      </c>
    </row>
    <row r="4650" spans="2:2" x14ac:dyDescent="0.25">
      <c r="B4650" t="str">
        <v>605-63: Pencil Sharpeners, Manual; and Parts</v>
      </c>
    </row>
    <row r="4651" spans="2:2" x14ac:dyDescent="0.25">
      <c r="B4651" t="str">
        <v>605-65: Punches, Paper</v>
      </c>
    </row>
    <row r="4652" spans="2:2" x14ac:dyDescent="0.25">
      <c r="B4652" t="str">
        <v>605-67: Punches, Paper, Manual</v>
      </c>
    </row>
    <row r="4653" spans="2:2" x14ac:dyDescent="0.25">
      <c r="B4653" t="str">
        <v>605-68: Recycled Office Mechanical Aids, Small Machines and Apparatuses</v>
      </c>
    </row>
    <row r="4654" spans="2:2" x14ac:dyDescent="0.25">
      <c r="B4654" t="str">
        <v>605-69: Scissors and Shears, Office</v>
      </c>
    </row>
    <row r="4655" spans="2:2" x14ac:dyDescent="0.25">
      <c r="B4655" t="str">
        <v>605-75: Sealing and Tape Machines, Mail Room</v>
      </c>
    </row>
    <row r="4656" spans="2:2" x14ac:dyDescent="0.25">
      <c r="B4656" t="str">
        <v>605-78: Seal, Notary and Departmental</v>
      </c>
    </row>
    <row r="4657" spans="2:2" x14ac:dyDescent="0.25">
      <c r="B4657" t="str">
        <v>605-82: Staple Removers</v>
      </c>
    </row>
    <row r="4658" spans="2:2" x14ac:dyDescent="0.25">
      <c r="B4658" t="str">
        <v>605-85: Stapling Machines, Including Parts and Accessories</v>
      </c>
    </row>
    <row r="4659" spans="2:2" x14ac:dyDescent="0.25">
      <c r="B4659" t="str">
        <v>605-88: Stapling Machines and Parts, Manual</v>
      </c>
    </row>
    <row r="4660" spans="2:2" x14ac:dyDescent="0.25">
      <c r="B4660" t="str">
        <v>610-07: Carbon Paper, One-Time</v>
      </c>
    </row>
    <row r="4661" spans="2:2" x14ac:dyDescent="0.25">
      <c r="B4661" t="str">
        <v>610-14: Carbon Paper, Pencil</v>
      </c>
    </row>
    <row r="4662" spans="2:2" x14ac:dyDescent="0.25">
      <c r="B4662" t="str">
        <v>610-16: Carbon Paper, Register Machines</v>
      </c>
    </row>
    <row r="4663" spans="2:2" x14ac:dyDescent="0.25">
      <c r="B4663" t="str">
        <v>610-21: Carbon Paper, Typewriter</v>
      </c>
    </row>
    <row r="4664" spans="2:2" x14ac:dyDescent="0.25">
      <c r="B4664" t="str">
        <v>610-28: Carbon Paper, Solvent Carbon Type</v>
      </c>
    </row>
    <row r="4665" spans="2:2" x14ac:dyDescent="0.25">
      <c r="B4665" t="str">
        <v>610-33: Recycled Carbon Paper</v>
      </c>
    </row>
    <row r="4666" spans="2:2" x14ac:dyDescent="0.25">
      <c r="B4666" t="str">
        <v>610-34: Recycled Ribbons</v>
      </c>
    </row>
    <row r="4667" spans="2:2" x14ac:dyDescent="0.25">
      <c r="B4667" t="str">
        <v>610-35: Ribbons, Adding Machine and Calculator, All Types</v>
      </c>
    </row>
    <row r="4668" spans="2:2" x14ac:dyDescent="0.25">
      <c r="B4668" t="str">
        <v>610-42: Ribbons, Addressing Machine, All Types</v>
      </c>
    </row>
    <row r="4669" spans="2:2" x14ac:dyDescent="0.25">
      <c r="B4669" t="str">
        <v>610-49: Ribbons, Bookkeeping and Posting Machine, All Types</v>
      </c>
    </row>
    <row r="4670" spans="2:2" x14ac:dyDescent="0.25">
      <c r="B4670" t="str">
        <v>610-52: Ribbons, Cash Register</v>
      </c>
    </row>
    <row r="4671" spans="2:2" x14ac:dyDescent="0.25">
      <c r="B4671" t="str">
        <v>610-56: *Ribbons, Computer and Data Processing, All Types (See 610-73 For Tab)</v>
      </c>
    </row>
    <row r="4672" spans="2:2" x14ac:dyDescent="0.25">
      <c r="B4672" t="str">
        <v>610-63: *Ribbons, Teleprinter and Teletype, All Types</v>
      </c>
    </row>
    <row r="4673" spans="2:2" x14ac:dyDescent="0.25">
      <c r="B4673" t="str">
        <v>610-70: Ribbons: Check Machine, Time Clock, Time Machine, and Recorder</v>
      </c>
    </row>
    <row r="4674" spans="2:2" x14ac:dyDescent="0.25">
      <c r="B4674" t="str">
        <v>610-73: Ribbons, Tab</v>
      </c>
    </row>
    <row r="4675" spans="2:2" x14ac:dyDescent="0.25">
      <c r="B4675" t="str">
        <v>610-77: Ribbons, Typewriter and Word Processing, Fabric</v>
      </c>
    </row>
    <row r="4676" spans="2:2" x14ac:dyDescent="0.25">
      <c r="B4676" t="str">
        <v>610-84: Ribbons, Typewriter and Word Processing, Film</v>
      </c>
    </row>
    <row r="4677" spans="2:2" x14ac:dyDescent="0.25">
      <c r="B4677" t="str">
        <v>610-91: Ribbons, Typesetting, All Types</v>
      </c>
    </row>
    <row r="4678" spans="2:2" x14ac:dyDescent="0.25">
      <c r="B4678" t="str">
        <v>610-96: Tape, Correcting, For Use with Correctable Typewriters)</v>
      </c>
    </row>
    <row r="4679" spans="2:2" x14ac:dyDescent="0.25">
      <c r="B4679" t="str">
        <v>615-03: Adding Machine and Calculator Paper, Rolls</v>
      </c>
    </row>
    <row r="4680" spans="2:2" x14ac:dyDescent="0.25">
      <c r="B4680" t="str">
        <v>615-04: Adding Machine and Calculator Paper, Rolls, Thermal Type Treated Paper and Carbonless Type</v>
      </c>
    </row>
    <row r="4681" spans="2:2" x14ac:dyDescent="0.25">
      <c r="B4681" t="str">
        <v>615-05: Adhesives and Applicators: Glue, Mucilage, Paste, etc.</v>
      </c>
    </row>
    <row r="4682" spans="2:2" x14ac:dyDescent="0.25">
      <c r="B4682" t="str">
        <v>615-07: Ashtrays, Desk Type</v>
      </c>
    </row>
    <row r="4683" spans="2:2" x14ac:dyDescent="0.25">
      <c r="B4683" t="str">
        <v>615-09: Binders: Chain, Post, Prong, Ring, etc.</v>
      </c>
    </row>
    <row r="4684" spans="2:2" x14ac:dyDescent="0.25">
      <c r="B4684" t="str">
        <v>615-11: Binder Sheets: Accounting, Columnar, Index, Journal, Ledger, etc.</v>
      </c>
    </row>
    <row r="4685" spans="2:2" x14ac:dyDescent="0.25">
      <c r="B4685" t="str">
        <v>615-13: Blotters and Pads, Suggestion Boxes, Desk</v>
      </c>
    </row>
    <row r="4686" spans="2:2" x14ac:dyDescent="0.25">
      <c r="B4686" t="str">
        <v>615-14: Boards: Calendar, Schedule, Dispatch, Manning, etc.</v>
      </c>
    </row>
    <row r="4687" spans="2:2" x14ac:dyDescent="0.25">
      <c r="B4687" t="str">
        <v>615-15: Books, Office: Accounting, Address, Columnar, Composition, Memo, Minute, Receipt, Steno, Time, etc.</v>
      </c>
    </row>
    <row r="4688" spans="2:2" x14ac:dyDescent="0.25">
      <c r="B4688" t="str">
        <v>615-17: Box Files</v>
      </c>
    </row>
    <row r="4689" spans="2:2" x14ac:dyDescent="0.25">
      <c r="B4689" t="str">
        <v>615-18: Braille Labeling Material: Plastic Sheets, etc.</v>
      </c>
    </row>
    <row r="4690" spans="2:2" x14ac:dyDescent="0.25">
      <c r="B4690" t="str">
        <v>615-19: Calendars, Calendar Pads and Stands</v>
      </c>
    </row>
    <row r="4691" spans="2:2" x14ac:dyDescent="0.25">
      <c r="B4691" t="str">
        <v>615-20: Cash Register Paper</v>
      </c>
    </row>
    <row r="4692" spans="2:2" x14ac:dyDescent="0.25">
      <c r="B4692" t="str">
        <v>615-21: Chair Cushions, All Types</v>
      </c>
    </row>
    <row r="4693" spans="2:2" x14ac:dyDescent="0.25">
      <c r="B4693" t="str">
        <v>615-23: Chair Mats, Carpet Protectors, All Types</v>
      </c>
    </row>
    <row r="4694" spans="2:2" x14ac:dyDescent="0.25">
      <c r="B4694" t="str">
        <v>615-24: Cleaners, Hand, Pre-moistened Towelettes, etc.</v>
      </c>
    </row>
    <row r="4695" spans="2:2" x14ac:dyDescent="0.25">
      <c r="B4695" t="str">
        <v>615-25: Clipboards, Arch Boards, etc.</v>
      </c>
    </row>
    <row r="4696" spans="2:2" x14ac:dyDescent="0.25">
      <c r="B4696" t="str">
        <v>615-27: Coin Wrappers, Bill Straps, Bank Deposit Bags, etc.</v>
      </c>
    </row>
    <row r="4697" spans="2:2" x14ac:dyDescent="0.25">
      <c r="B4697" t="str">
        <v>615-29: Correction Fluid, Sheets and Tape, Including Thinners (See 610-96 For Typewriter Correction Tape)</v>
      </c>
    </row>
    <row r="4698" spans="2:2" x14ac:dyDescent="0.25">
      <c r="B4698" t="str">
        <v>615-31: Covers: Brief, Manuscript, Pressboard, Report, etc.</v>
      </c>
    </row>
    <row r="4699" spans="2:2" x14ac:dyDescent="0.25">
      <c r="B4699" t="str">
        <v>615-32: Covers, Sleeve, Cuffettes</v>
      </c>
    </row>
    <row r="4700" spans="2:2" x14ac:dyDescent="0.25">
      <c r="B4700" t="str">
        <v>615-33: Desk Accessories: Alphabetizers, Cash Boxes, Desk Files, File Card Cabinets, Letter Sorters, Message Racks, etc. (See 620-10 for Desk Sets)</v>
      </c>
    </row>
    <row r="4701" spans="2:2" x14ac:dyDescent="0.25">
      <c r="B4701" t="str">
        <v>615-35: File Cards, Blank and Ruled</v>
      </c>
    </row>
    <row r="4702" spans="2:2" x14ac:dyDescent="0.25">
      <c r="B4702" t="str">
        <v>615-37: File Cases: Jackets, Binder, Storage, Transfer, etc.</v>
      </c>
    </row>
    <row r="4703" spans="2:2" x14ac:dyDescent="0.25">
      <c r="B4703" t="str">
        <v>615-39: File Dividers: Labels, Tabs, etc.</v>
      </c>
    </row>
    <row r="4704" spans="2:2" x14ac:dyDescent="0.25">
      <c r="B4704" t="str">
        <v>615-41: File Folders: Expanding Envelopes, Wallets, etc.</v>
      </c>
    </row>
    <row r="4705" spans="2:2" x14ac:dyDescent="0.25">
      <c r="B4705" t="str">
        <v>615-43: File Folders, Hanging Type; and Accessories</v>
      </c>
    </row>
    <row r="4706" spans="2:2" x14ac:dyDescent="0.25">
      <c r="B4706" t="str">
        <v>615-45: File Folders, Regular, Legal and Letter Sizes</v>
      </c>
    </row>
    <row r="4707" spans="2:2" x14ac:dyDescent="0.25">
      <c r="B4707" t="str">
        <v>615-47: File Guides</v>
      </c>
    </row>
    <row r="4708" spans="2:2" x14ac:dyDescent="0.25">
      <c r="B4708" t="str">
        <v>615-48: Holders, Form and Memo, Including Spindles</v>
      </c>
    </row>
    <row r="4709" spans="2:2" x14ac:dyDescent="0.25">
      <c r="B4709" t="str">
        <v>615-49: Index Tabs: Celluloid, Cloth, etc.</v>
      </c>
    </row>
    <row r="4710" spans="2:2" x14ac:dyDescent="0.25">
      <c r="B4710" t="str">
        <v>615-50: Key Rings, All Types</v>
      </c>
    </row>
    <row r="4711" spans="2:2" x14ac:dyDescent="0.25">
      <c r="B4711" t="str">
        <v>615-51: Labels, Reinforcements, Seals, etc., Not Printed); and Sealing Wax</v>
      </c>
    </row>
    <row r="4712" spans="2:2" x14ac:dyDescent="0.25">
      <c r="B4712" t="str">
        <v>615-52: Label Remover Equipment</v>
      </c>
    </row>
    <row r="4713" spans="2:2" x14ac:dyDescent="0.25">
      <c r="B4713" t="str">
        <v>615-53: Letter Folders and Openers</v>
      </c>
    </row>
    <row r="4714" spans="2:2" x14ac:dyDescent="0.25">
      <c r="B4714" t="str">
        <v>615-55: Letter and Card Trays, All Types</v>
      </c>
    </row>
    <row r="4715" spans="2:2" x14ac:dyDescent="0.25">
      <c r="B4715" t="str">
        <v>615-57: List Finders, Rolodex, Telephone Strips, and Accessories</v>
      </c>
    </row>
    <row r="4716" spans="2:2" x14ac:dyDescent="0.25">
      <c r="B4716" t="str">
        <v>615-60: Office Supplies, General (Not Otherwise Classified)</v>
      </c>
    </row>
    <row r="4717" spans="2:2" x14ac:dyDescent="0.25">
      <c r="B4717" t="str">
        <v>615-62: Pads and Tablets: Analysis, Columnar, Figure, Memo, Note, Ruled, Post-It Notes, Telephone Message, etc.</v>
      </c>
    </row>
    <row r="4718" spans="2:2" x14ac:dyDescent="0.25">
      <c r="B4718" t="str">
        <v>615-65: Pads and Covers, Office Machine, All Types</v>
      </c>
    </row>
    <row r="4719" spans="2:2" x14ac:dyDescent="0.25">
      <c r="B4719" t="str">
        <v>615-67: Paper Clips, Ball Bearing</v>
      </c>
    </row>
    <row r="4720" spans="2:2" x14ac:dyDescent="0.25">
      <c r="B4720" t="str">
        <v>615-69: Paper Clips, Clamps, Fasteners, Round and Flat Head, Dispensers, etc.</v>
      </c>
    </row>
    <row r="4721" spans="2:2" x14ac:dyDescent="0.25">
      <c r="B4721" t="str">
        <v>615-71: Paper Fasteners, Prong Type</v>
      </c>
    </row>
    <row r="4722" spans="2:2" x14ac:dyDescent="0.25">
      <c r="B4722" t="str">
        <v>615-72: Planners, Organizers</v>
      </c>
    </row>
    <row r="4723" spans="2:2" x14ac:dyDescent="0.25">
      <c r="B4723" t="str">
        <v>615-73: Recycled Office Supplies</v>
      </c>
    </row>
    <row r="4724" spans="2:2" x14ac:dyDescent="0.25">
      <c r="B4724" t="str">
        <v>615-75: Rubber Bands, All Sizes</v>
      </c>
    </row>
    <row r="4725" spans="2:2" x14ac:dyDescent="0.25">
      <c r="B4725" t="str">
        <v>615-77: Rubber Stamps, Stamp Pads, Stamp Pad Ink and Stamp Racks</v>
      </c>
    </row>
    <row r="4726" spans="2:2" x14ac:dyDescent="0.25">
      <c r="B4726" t="str">
        <v>615-79: Rulers, All Types (See 305-35 For Drafting)</v>
      </c>
    </row>
    <row r="4727" spans="2:2" x14ac:dyDescent="0.25">
      <c r="B4727" t="str">
        <v>615-80: Sheet Protectors, All Types</v>
      </c>
    </row>
    <row r="4728" spans="2:2" x14ac:dyDescent="0.25">
      <c r="B4728" t="str">
        <v>615-81: Staples</v>
      </c>
    </row>
    <row r="4729" spans="2:2" x14ac:dyDescent="0.25">
      <c r="B4729" t="str">
        <v>615-82: Stock Forms and Labels: Copy Sets, Receiving Forms, Speed Letters, etc.</v>
      </c>
    </row>
    <row r="4730" spans="2:2" x14ac:dyDescent="0.25">
      <c r="B4730" t="str">
        <v>615-84: Tacks (Office Use): Map, Thumb, etc., Including Push and T Pins</v>
      </c>
    </row>
    <row r="4731" spans="2:2" x14ac:dyDescent="0.25">
      <c r="B4731" t="str">
        <v>615-86: Tags, Key, Marking and Shipping, Stock</v>
      </c>
    </row>
    <row r="4732" spans="2:2" x14ac:dyDescent="0.25">
      <c r="B4732" t="str">
        <v>615-88: Tape and Dispensers, Office Type</v>
      </c>
    </row>
    <row r="4733" spans="2:2" x14ac:dyDescent="0.25">
      <c r="B4733" t="str">
        <v>615-89: Tape, Velcro Type (See 590-69 for Clothing Type)</v>
      </c>
    </row>
    <row r="4734" spans="2:2" x14ac:dyDescent="0.25">
      <c r="B4734" t="str">
        <v>615-90: Typewriter Cleaners and Oils</v>
      </c>
    </row>
    <row r="4735" spans="2:2" x14ac:dyDescent="0.25">
      <c r="B4735" t="str">
        <v>615-93: Visible Record Supplies: Cards, Flags, Folders, Hinges, Signal, Strips, Tabs, etc.</v>
      </c>
    </row>
    <row r="4736" spans="2:2" x14ac:dyDescent="0.25">
      <c r="B4736" t="str">
        <v>615-95: Wastebaskets, Office, All Types</v>
      </c>
    </row>
    <row r="4737" spans="2:2" x14ac:dyDescent="0.25">
      <c r="B4737" t="str">
        <v>616-03: Adding Machine and Calculator Paper, Rolls, Environmentally Certified Products</v>
      </c>
    </row>
    <row r="4738" spans="2:2" x14ac:dyDescent="0.25">
      <c r="B4738" t="str">
        <v>616-04: Adding Machine and Calculator Paper, Rolls, Thermal Type, Treated Paper and Carbonless Type, Environmentally Certified Products</v>
      </c>
    </row>
    <row r="4739" spans="2:2" x14ac:dyDescent="0.25">
      <c r="B4739" t="str">
        <v>616-05: Adhesives and Applicators: Glue, Mucilage, Paste, etc., Environmentally Certified Products</v>
      </c>
    </row>
    <row r="4740" spans="2:2" x14ac:dyDescent="0.25">
      <c r="B4740" t="str">
        <v>616-07: Ashtrays, Desk Type, Environmentally Certified Products</v>
      </c>
    </row>
    <row r="4741" spans="2:2" x14ac:dyDescent="0.25">
      <c r="B4741" t="str">
        <v>616-09: Binders: Chain, Post, Prong, Ring, etc., Environmentally Certified Products</v>
      </c>
    </row>
    <row r="4742" spans="2:2" x14ac:dyDescent="0.25">
      <c r="B4742" t="str">
        <v>616-11: Binder Sheets: Accounting, Columnar, Index, Journal, Ledger, etc., Environmentally Certified Products</v>
      </c>
    </row>
    <row r="4743" spans="2:2" x14ac:dyDescent="0.25">
      <c r="B4743" t="str">
        <v>616-13: Blotters and Pads, Desk, Environmentally Certified Products</v>
      </c>
    </row>
    <row r="4744" spans="2:2" x14ac:dyDescent="0.25">
      <c r="B4744" t="str">
        <v>616-14: Boards: Calendar, Schedule, Dispatch, Manning, etc., Environmentally Certified Products</v>
      </c>
    </row>
    <row r="4745" spans="2:2" x14ac:dyDescent="0.25">
      <c r="B4745" t="str">
        <v>616-15: Books, Office: Accounting, Address, Columnar, Composition, Memo, Minute, Receipt, Steno, Time, etc., Environmentally Certified Products</v>
      </c>
    </row>
    <row r="4746" spans="2:2" x14ac:dyDescent="0.25">
      <c r="B4746" t="str">
        <v>616-17: Box Files, Environmentally Certified Products</v>
      </c>
    </row>
    <row r="4747" spans="2:2" x14ac:dyDescent="0.25">
      <c r="B4747" t="str">
        <v>616-18: Braille Labeling Material: Plastic Sheets, etc., Environmentally Certified Products</v>
      </c>
    </row>
    <row r="4748" spans="2:2" x14ac:dyDescent="0.25">
      <c r="B4748" t="str">
        <v>616-19: Calendars, Calendar Pads and Stands, Environmentally Certified Products</v>
      </c>
    </row>
    <row r="4749" spans="2:2" x14ac:dyDescent="0.25">
      <c r="B4749" t="str">
        <v>616-20: Cash Register Paper, Environmentally Certified Products</v>
      </c>
    </row>
    <row r="4750" spans="2:2" x14ac:dyDescent="0.25">
      <c r="B4750" t="str">
        <v>616-21: Chair Cushions, All Types, Environmentally Certified Products</v>
      </c>
    </row>
    <row r="4751" spans="2:2" x14ac:dyDescent="0.25">
      <c r="B4751" t="str">
        <v>616-23: Chair Mats, Carpet Protectors, All Types, Environmentally Certified Products</v>
      </c>
    </row>
    <row r="4752" spans="2:2" x14ac:dyDescent="0.25">
      <c r="B4752" t="str">
        <v>616-24: Cleaners, Hand, Pre-moistened Towelettes, etc., Environmentally Certified Products</v>
      </c>
    </row>
    <row r="4753" spans="2:2" x14ac:dyDescent="0.25">
      <c r="B4753" t="str">
        <v>616-25: Clipboards, Arch Boards, etc., Environmentally Certified Products</v>
      </c>
    </row>
    <row r="4754" spans="2:2" x14ac:dyDescent="0.25">
      <c r="B4754" t="str">
        <v>616-27: Coin Wrappers, Bill Straps, Bank Deposit Bags, etc., Environmentally Certified Products</v>
      </c>
    </row>
    <row r="4755" spans="2:2" x14ac:dyDescent="0.25">
      <c r="B4755" t="str">
        <v>616-29: Correction Fluid, Sheets and Tape, Including Thinners (See 610-96 For Typewriter Correction Tape), Environmentally Certified Products</v>
      </c>
    </row>
    <row r="4756" spans="2:2" x14ac:dyDescent="0.25">
      <c r="B4756" t="str">
        <v>616-31: Covers: Brief, Manuscript, Pressboard, Report, etc., Environmentally Certified Products</v>
      </c>
    </row>
    <row r="4757" spans="2:2" x14ac:dyDescent="0.25">
      <c r="B4757" t="str">
        <v>616-32: Covers, Sleeve, Cuffettes, Environmentally Certified Products</v>
      </c>
    </row>
    <row r="4758" spans="2:2" x14ac:dyDescent="0.25">
      <c r="B4758" t="str">
        <v>616-33: Desk Accessories: Alphabetizers, Cash Boxes, Desk Files, File Card Cabinets, Letter Sorters, Message Racks, etc. (See 620-10 for Desk Sets), Environmentally Certified Products</v>
      </c>
    </row>
    <row r="4759" spans="2:2" x14ac:dyDescent="0.25">
      <c r="B4759" t="str">
        <v>616-35: File Cards, Blank and Ruled, Environmentally Certified Products</v>
      </c>
    </row>
    <row r="4760" spans="2:2" x14ac:dyDescent="0.25">
      <c r="B4760" t="str">
        <v>616-37: File Cases: Jackets, Binder, Storage, Transfer, etc., Environmentally Certified Products</v>
      </c>
    </row>
    <row r="4761" spans="2:2" x14ac:dyDescent="0.25">
      <c r="B4761" t="str">
        <v>616-39: File Dividers, Labels, Tabs, etc., Environmentally Certified Products</v>
      </c>
    </row>
    <row r="4762" spans="2:2" x14ac:dyDescent="0.25">
      <c r="B4762" t="str">
        <v>616-41: File Folders: Expanding Envelopes, Wallets, etc., Environmentally Certified Products</v>
      </c>
    </row>
    <row r="4763" spans="2:2" x14ac:dyDescent="0.25">
      <c r="B4763" t="str">
        <v>616-43: File Folders, Hanging Type; and Accessories, Environmentally Certified Products</v>
      </c>
    </row>
    <row r="4764" spans="2:2" x14ac:dyDescent="0.25">
      <c r="B4764" t="str">
        <v>616-45: File Folders, Regular, Legal and Letter Sizes, Environmentally Certified Products</v>
      </c>
    </row>
    <row r="4765" spans="2:2" x14ac:dyDescent="0.25">
      <c r="B4765" t="str">
        <v>616-47: File Guides, Environmentally Certified Products</v>
      </c>
    </row>
    <row r="4766" spans="2:2" x14ac:dyDescent="0.25">
      <c r="B4766" t="str">
        <v>616-48: Holders, Form and Memo, Including Spindles, Environmentally Certified Products</v>
      </c>
    </row>
    <row r="4767" spans="2:2" x14ac:dyDescent="0.25">
      <c r="B4767" t="str">
        <v>616-49: Index Tabs: Celluloid, Cloth, etc., Environmentally Certified Products</v>
      </c>
    </row>
    <row r="4768" spans="2:2" x14ac:dyDescent="0.25">
      <c r="B4768" t="str">
        <v>616-50: Key Rings, All Types, Environmentally Certified Products</v>
      </c>
    </row>
    <row r="4769" spans="2:2" x14ac:dyDescent="0.25">
      <c r="B4769" t="str">
        <v>616-51: Labels, Reinforcements, Seals, etc., Not Printed and Sealing Wax, Environmentally Certified Products</v>
      </c>
    </row>
    <row r="4770" spans="2:2" x14ac:dyDescent="0.25">
      <c r="B4770" t="str">
        <v>616-52: Label Remover Equipment, Environmentally Certified Products</v>
      </c>
    </row>
    <row r="4771" spans="2:2" x14ac:dyDescent="0.25">
      <c r="B4771" t="str">
        <v>616-53: Letter Folders and Openers, Environmentally Certified Products</v>
      </c>
    </row>
    <row r="4772" spans="2:2" x14ac:dyDescent="0.25">
      <c r="B4772" t="str">
        <v>616-55: Letter and Card Trays, All Types, Environmentally Certified Products</v>
      </c>
    </row>
    <row r="4773" spans="2:2" x14ac:dyDescent="0.25">
      <c r="B4773" t="str">
        <v>616-57: List Finders, Rolodex, Telephone Strips, and Accessories, Environmentally Certified Products</v>
      </c>
    </row>
    <row r="4774" spans="2:2" x14ac:dyDescent="0.25">
      <c r="B4774" t="str">
        <v>616-60: Office Supplies, General (Not Otherwise Classified), Environmentally Certified Products</v>
      </c>
    </row>
    <row r="4775" spans="2:2" x14ac:dyDescent="0.25">
      <c r="B4775" t="str">
        <v>616-62: Pads and Tablets: Analysis, Columnar, Figure, Memo, Note, Ruled, Post-It Notes, Telephone Message, etc., Environmentally Certified Products</v>
      </c>
    </row>
    <row r="4776" spans="2:2" x14ac:dyDescent="0.25">
      <c r="B4776" t="str">
        <v>616-65: Pads and Covers, Office Machine, All Types, Environmentally Certified Products</v>
      </c>
    </row>
    <row r="4777" spans="2:2" x14ac:dyDescent="0.25">
      <c r="B4777" t="str">
        <v>616-67: Paper Clips, Ball Bearing, Environmentally Certified Products</v>
      </c>
    </row>
    <row r="4778" spans="2:2" x14ac:dyDescent="0.25">
      <c r="B4778" t="str">
        <v>616-69: Paper Clips, Clamps, Fasteners, Round and Flat Head, Dispensers, etc., Environmentally Certified Products</v>
      </c>
    </row>
    <row r="4779" spans="2:2" x14ac:dyDescent="0.25">
      <c r="B4779" t="str">
        <v>616-71: Paper Fasteners, Prong Type, Environmentally Certified Products</v>
      </c>
    </row>
    <row r="4780" spans="2:2" x14ac:dyDescent="0.25">
      <c r="B4780" t="str">
        <v>616-72: Planners, Organizers, Environmentally Certified Products</v>
      </c>
    </row>
    <row r="4781" spans="2:2" x14ac:dyDescent="0.25">
      <c r="B4781" t="str">
        <v>616-73: Recycled Office Supplies, Environmentally Certified Products</v>
      </c>
    </row>
    <row r="4782" spans="2:2" x14ac:dyDescent="0.25">
      <c r="B4782" t="str">
        <v>616-75: Rubber Bands, All Sizes, Environmentally Certified Products</v>
      </c>
    </row>
    <row r="4783" spans="2:2" x14ac:dyDescent="0.25">
      <c r="B4783" t="str">
        <v>616-77: Rubber Stamps, Stamp Pads, Stamp Pad Ink and Stamp Racks, Environmentally Certified Products</v>
      </c>
    </row>
    <row r="4784" spans="2:2" x14ac:dyDescent="0.25">
      <c r="B4784" t="str">
        <v>616-79: Rulers, All Types (See 305-35 For Drafting), Environmentally Certified Products</v>
      </c>
    </row>
    <row r="4785" spans="2:2" x14ac:dyDescent="0.25">
      <c r="B4785" t="str">
        <v>616-80: Sheet Protectors, All Types, Environmentally Certified Products</v>
      </c>
    </row>
    <row r="4786" spans="2:2" x14ac:dyDescent="0.25">
      <c r="B4786" t="str">
        <v>616-81: Staples, Environmentally Certified Products</v>
      </c>
    </row>
    <row r="4787" spans="2:2" x14ac:dyDescent="0.25">
      <c r="B4787" t="str">
        <v>616-82: Stock Forms and Labels: Copy Sets, Receiving Forms, Speed Letters, etc., Environmentally Certified Products</v>
      </c>
    </row>
    <row r="4788" spans="2:2" x14ac:dyDescent="0.25">
      <c r="B4788" t="str">
        <v>616-84: Tacks, Office Use: Map, Thumb, etc., Including Push and T Pins, Environmentally Certified Products</v>
      </c>
    </row>
    <row r="4789" spans="2:2" x14ac:dyDescent="0.25">
      <c r="B4789" t="str">
        <v>616-86: Tags, Marking and Shipping, Stock, Environmentally Certified Products</v>
      </c>
    </row>
    <row r="4790" spans="2:2" x14ac:dyDescent="0.25">
      <c r="B4790" t="str">
        <v>616-88: Tape and Dispensers, Office Type, Environmentally Certified Products</v>
      </c>
    </row>
    <row r="4791" spans="2:2" x14ac:dyDescent="0.25">
      <c r="B4791" t="str">
        <v>616-89: Tape, Velcro Type (See 590-69 for Clothing Type), Environmentally Certified Products</v>
      </c>
    </row>
    <row r="4792" spans="2:2" x14ac:dyDescent="0.25">
      <c r="B4792" t="str">
        <v>616-90: Typewriter Cleaners and Oils, Environmentally Certified Products</v>
      </c>
    </row>
    <row r="4793" spans="2:2" x14ac:dyDescent="0.25">
      <c r="B4793" t="str">
        <v>616-93: Visible Record Supplies: Cards, Flags, Folders, Hinges, Signal, Strips, Tabs, etc., Environmentally Certified Products</v>
      </c>
    </row>
    <row r="4794" spans="2:2" x14ac:dyDescent="0.25">
      <c r="B4794" t="str">
        <v>616-95: Wastebaskets, Office, All Types, Environmentally Certified Products</v>
      </c>
    </row>
    <row r="4795" spans="2:2" x14ac:dyDescent="0.25">
      <c r="B4795" t="str">
        <v>620-10: Desk Sets, Inkstands, Penholders, Pen Points, etc. (See 615-33 for Desk Accessories)</v>
      </c>
    </row>
    <row r="4796" spans="2:2" x14ac:dyDescent="0.25">
      <c r="B4796" t="str">
        <v>620-20: Erasers: Pencil Types, etc., (See 785-57 for Blackboard and Dry Erase Types)</v>
      </c>
    </row>
    <row r="4797" spans="2:2" x14ac:dyDescent="0.25">
      <c r="B4797" t="str">
        <v>620-30: Ink: Drawing, Marking, and Writing</v>
      </c>
    </row>
    <row r="4798" spans="2:2" x14ac:dyDescent="0.25">
      <c r="B4798" t="str">
        <v>620-40: Ink Eradicators</v>
      </c>
    </row>
    <row r="4799" spans="2:2" x14ac:dyDescent="0.25">
      <c r="B4799" t="str">
        <v>620-50: Ink Refills, Not Ballpoint, Drawing and Writing</v>
      </c>
    </row>
    <row r="4800" spans="2:2" x14ac:dyDescent="0.25">
      <c r="B4800" t="str">
        <v>620-55: Lumber Marking Crayons</v>
      </c>
    </row>
    <row r="4801" spans="2:2" x14ac:dyDescent="0.25">
      <c r="B4801" t="str">
        <v>620-60: Pencils, Lead; Including Pencil Leads and Pencil Lengtheners</v>
      </c>
    </row>
    <row r="4802" spans="2:2" x14ac:dyDescent="0.25">
      <c r="B4802" t="str">
        <v>620-70: Pencils, Marking, Including Mechanical Types and Refills: Grease or China Types, etc.</v>
      </c>
    </row>
    <row r="4803" spans="2:2" x14ac:dyDescent="0.25">
      <c r="B4803" t="str">
        <v>620-71: Pencils, Marking, Not Grease or China Types</v>
      </c>
    </row>
    <row r="4804" spans="2:2" x14ac:dyDescent="0.25">
      <c r="B4804" t="str">
        <v>620-79: Pens, Fountain</v>
      </c>
    </row>
    <row r="4805" spans="2:2" x14ac:dyDescent="0.25">
      <c r="B4805" t="str">
        <v>620-80: Pens, General Writing Types: Ball Point, Nylon Tip, Plastic Tip, Roller Ball, etc.</v>
      </c>
    </row>
    <row r="4806" spans="2:2" x14ac:dyDescent="0.25">
      <c r="B4806" t="str">
        <v>620-81: Pen Refills, General Writing Types: Ball Point, Nylon Tip, Plastic Tip, Roller Ball, etc.</v>
      </c>
    </row>
    <row r="4807" spans="2:2" x14ac:dyDescent="0.25">
      <c r="B4807" t="str">
        <v>620-85: Pen and Pencil Sets, Including Combo Type</v>
      </c>
    </row>
    <row r="4808" spans="2:2" x14ac:dyDescent="0.25">
      <c r="B4808" t="str">
        <v>620-86: Pens Erasable Markers</v>
      </c>
    </row>
    <row r="4809" spans="2:2" x14ac:dyDescent="0.25">
      <c r="B4809" t="str">
        <v>620-90: Pens, Marker Types, Including Highlighter Types</v>
      </c>
    </row>
    <row r="4810" spans="2:2" x14ac:dyDescent="0.25">
      <c r="B4810" t="str">
        <v>620-94: Recycled Pens and Pencils</v>
      </c>
    </row>
    <row r="4811" spans="2:2" x14ac:dyDescent="0.25">
      <c r="B4811" t="str">
        <v>625-13: Binoculars</v>
      </c>
    </row>
    <row r="4812" spans="2:2" x14ac:dyDescent="0.25">
      <c r="B4812" t="str">
        <v>625-15: Calibration Equipment, Optical</v>
      </c>
    </row>
    <row r="4813" spans="2:2" x14ac:dyDescent="0.25">
      <c r="B4813" t="str">
        <v>625-17: Cleaners and Wipes, Eye Glass</v>
      </c>
    </row>
    <row r="4814" spans="2:2" x14ac:dyDescent="0.25">
      <c r="B4814" t="str">
        <v>625-20: Contact Lenses and Supplies</v>
      </c>
    </row>
    <row r="4815" spans="2:2" x14ac:dyDescent="0.25">
      <c r="B4815" t="str">
        <v>625-26: Eye Glasses Including Sunglasses, Including Frames, Cases, Parts, etc.</v>
      </c>
    </row>
    <row r="4816" spans="2:2" x14ac:dyDescent="0.25">
      <c r="B4816" t="str">
        <v>625-39: Eye Testing Equipment, For Intraocular Pressure, Refraction, etc., (See item 97 for Vision Testers)</v>
      </c>
    </row>
    <row r="4817" spans="2:2" x14ac:dyDescent="0.25">
      <c r="B4817" t="str">
        <v>625-40: Eyesight Testing Charts</v>
      </c>
    </row>
    <row r="4818" spans="2:2" x14ac:dyDescent="0.25">
      <c r="B4818" t="str">
        <v>625-42: Laser Safety Goggles</v>
      </c>
    </row>
    <row r="4819" spans="2:2" x14ac:dyDescent="0.25">
      <c r="B4819" t="str">
        <v>625-43: Laser Systems Instruments and Equipment, Including Lens and Laser Windows</v>
      </c>
    </row>
    <row r="4820" spans="2:2" x14ac:dyDescent="0.25">
      <c r="B4820" t="str">
        <v>625-44: Lens Cutting and Grinding Machines, Ophthalmic</v>
      </c>
    </row>
    <row r="4821" spans="2:2" x14ac:dyDescent="0.25">
      <c r="B4821" t="str">
        <v>625-45: Lens Measuring and Polishing Equipment, Ophthalmic</v>
      </c>
    </row>
    <row r="4822" spans="2:2" x14ac:dyDescent="0.25">
      <c r="B4822" t="str">
        <v>625-46: Optical Components: Blanks, Domes,, Filters, Lenses, Mirrors, Prisms, etc. (See Class 490 for Microscopes</v>
      </c>
    </row>
    <row r="4823" spans="2:2" x14ac:dyDescent="0.25">
      <c r="B4823" t="str">
        <v>625-52: Opticians' Furniture: Cabinets, Chairs, etc.</v>
      </c>
    </row>
    <row r="4824" spans="2:2" x14ac:dyDescent="0.25">
      <c r="B4824" t="str">
        <v>625-65: Opticians' Tools and Supplies</v>
      </c>
    </row>
    <row r="4825" spans="2:2" x14ac:dyDescent="0.25">
      <c r="B4825" t="str">
        <v>625-78: Magnifiers (See Class 605 For Office Use)</v>
      </c>
    </row>
    <row r="4826" spans="2:2" x14ac:dyDescent="0.25">
      <c r="B4826" t="str">
        <v>625-80: *Night Vision Devices</v>
      </c>
    </row>
    <row r="4827" spans="2:2" x14ac:dyDescent="0.25">
      <c r="B4827" t="str">
        <v>625-82: Telescope Accessories, Stands, etc.</v>
      </c>
    </row>
    <row r="4828" spans="2:2" x14ac:dyDescent="0.25">
      <c r="B4828" t="str">
        <v>625-83: Telescopes, Astronomical, Amateur Sizes</v>
      </c>
    </row>
    <row r="4829" spans="2:2" x14ac:dyDescent="0.25">
      <c r="B4829" t="str">
        <v>625-84: Telescopes, Astronomical, Observatory Sizes, and Guide Telescopes, Schmidt Cameras, etc.</v>
      </c>
    </row>
    <row r="4830" spans="2:2" x14ac:dyDescent="0.25">
      <c r="B4830" t="str">
        <v>625-88: Telescopes, Surgical</v>
      </c>
    </row>
    <row r="4831" spans="2:2" x14ac:dyDescent="0.25">
      <c r="B4831" t="str">
        <v>625-91: Telescopes, Terrestrial: Alignment, Spotting, etc. (See Class 680 For Rifle and Range)</v>
      </c>
    </row>
    <row r="4832" spans="2:2" x14ac:dyDescent="0.25">
      <c r="B4832" t="str">
        <v>625-95: Testing and Measuring Equipment, For Optical Components: Spherometers, etc.</v>
      </c>
    </row>
    <row r="4833" spans="2:2" x14ac:dyDescent="0.25">
      <c r="B4833" t="str">
        <v>625-96: Recycled Optical Equipment and Telescopes, Including Parts and Accessories</v>
      </c>
    </row>
    <row r="4834" spans="2:2" x14ac:dyDescent="0.25">
      <c r="B4834" t="str">
        <v>625-97: Vision Testers (See 625-39 For Ophthalmology)</v>
      </c>
    </row>
    <row r="4835" spans="2:2" x14ac:dyDescent="0.25">
      <c r="B4835" t="str">
        <v>630-03: Additives and Miscellaneous Paint Ingredients: Driers, Fungicides, Latexes, Pigments, Surfactants, etc.</v>
      </c>
    </row>
    <row r="4836" spans="2:2" x14ac:dyDescent="0.25">
      <c r="B4836" t="str">
        <v>630-05: Bleach, Wood</v>
      </c>
    </row>
    <row r="4837" spans="2:2" x14ac:dyDescent="0.25">
      <c r="B4837" t="str">
        <v>630-06: Caulking Compounds, Bulk or Cartridge Type</v>
      </c>
    </row>
    <row r="4838" spans="2:2" x14ac:dyDescent="0.25">
      <c r="B4838" t="str">
        <v>630-09: Coatings, Masonry: Brick, Cinder Block, Concrete, Silicate Protective Coatings and Products</v>
      </c>
    </row>
    <row r="4839" spans="2:2" x14ac:dyDescent="0.25">
      <c r="B4839" t="str">
        <v>630-10: Coatings, Protective, Polyurethane, etc.</v>
      </c>
    </row>
    <row r="4840" spans="2:2" x14ac:dyDescent="0.25">
      <c r="B4840" t="str">
        <v>630-11: Coatings, Protective, High Performance, Polyureas and Polyaspartics</v>
      </c>
    </row>
    <row r="4841" spans="2:2" x14ac:dyDescent="0.25">
      <c r="B4841" t="str">
        <v>630-12: Coatings, Protective, Asphalt Based (Also See Class 770-26)</v>
      </c>
    </row>
    <row r="4842" spans="2:2" x14ac:dyDescent="0.25">
      <c r="B4842" t="str">
        <v>630-19: Coatings, Protective, Zinc-Rich, Cold Galvanizing Compound</v>
      </c>
    </row>
    <row r="4843" spans="2:2" x14ac:dyDescent="0.25">
      <c r="B4843" t="str">
        <v>630-21: Colors, Tinting: Oil, Mineral Silicate, or Universal Type and Lettering</v>
      </c>
    </row>
    <row r="4844" spans="2:2" x14ac:dyDescent="0.25">
      <c r="B4844" t="str">
        <v>630-22: Fillers and Sealers, Masonry: Block Fillers, Water Repellent Solutions, etc.</v>
      </c>
    </row>
    <row r="4845" spans="2:2" x14ac:dyDescent="0.25">
      <c r="B4845" t="str">
        <v>630-23: Fillers and Sealers, Wallboard</v>
      </c>
    </row>
    <row r="4846" spans="2:2" x14ac:dyDescent="0.25">
      <c r="B4846" t="str">
        <v>630-25: Fillers and Sealers, Metal</v>
      </c>
    </row>
    <row r="4847" spans="2:2" x14ac:dyDescent="0.25">
      <c r="B4847" t="str">
        <v>630-26: Fillers and Sealers, Wood: Paste, Plastic Wood, Sanding Sealers, etc.</v>
      </c>
    </row>
    <row r="4848" spans="2:2" x14ac:dyDescent="0.25">
      <c r="B4848" t="str">
        <v>630-27: Fillers and Sealers, Fiberglass</v>
      </c>
    </row>
    <row r="4849" spans="2:2" x14ac:dyDescent="0.25">
      <c r="B4849" t="str">
        <v>630-28: Fire-Retardant and Heat-Resistant Coatings, Not Aluminum Paint</v>
      </c>
    </row>
    <row r="4850" spans="2:2" x14ac:dyDescent="0.25">
      <c r="B4850" t="str">
        <v>630-33: Lacquer and Shellac, Clear and Colored</v>
      </c>
    </row>
    <row r="4851" spans="2:2" x14ac:dyDescent="0.25">
      <c r="B4851" t="str">
        <v>630-42: Linseed Oil  (Inactive, please see commodity code 630-97 effective January 1, 2016)</v>
      </c>
    </row>
    <row r="4852" spans="2:2" x14ac:dyDescent="0.25">
      <c r="B4852" t="str">
        <v>630-44: Mix, Paint Water</v>
      </c>
    </row>
    <row r="4853" spans="2:2" x14ac:dyDescent="0.25">
      <c r="B4853" t="str">
        <v>630-45: Paint and Varnish Removers, Including Painted Graffiti Remover, (See 485-16 for Other Types of Graffiti Removers)</v>
      </c>
    </row>
    <row r="4854" spans="2:2" x14ac:dyDescent="0.25">
      <c r="B4854" t="str">
        <v>630-47: Paint, Aluminum, Not Roof Coating</v>
      </c>
    </row>
    <row r="4855" spans="2:2" x14ac:dyDescent="0.25">
      <c r="B4855" t="str">
        <v>630-49: Paint, Automotive and Machinery</v>
      </c>
    </row>
    <row r="4856" spans="2:2" x14ac:dyDescent="0.25">
      <c r="B4856" t="str">
        <v>630-50: Paint, Deck and Floor</v>
      </c>
    </row>
    <row r="4857" spans="2:2" x14ac:dyDescent="0.25">
      <c r="B4857" t="str">
        <v>630-55: Paint, Freezer and Wet Surface</v>
      </c>
    </row>
    <row r="4858" spans="2:2" x14ac:dyDescent="0.25">
      <c r="B4858" t="str">
        <v>630-56: Paint, House and Trim</v>
      </c>
    </row>
    <row r="4859" spans="2:2" x14ac:dyDescent="0.25">
      <c r="B4859" t="str">
        <v>630-57: Paint, Miscellaneous: Blockout, Bronzing Liquid, Environmentally Safe, Epoxy, Fluorescent, License Plate, Oil Paste, Reflective, Tint Base, Tree Pruning, USDA Approved, etc.</v>
      </c>
    </row>
    <row r="4860" spans="2:2" x14ac:dyDescent="0.25">
      <c r="B4860" t="str">
        <v>630-59: Paint, Marine</v>
      </c>
    </row>
    <row r="4861" spans="2:2" x14ac:dyDescent="0.25">
      <c r="B4861" t="str">
        <v>630-61: Paint, Masonry, Including Silicate Paints</v>
      </c>
    </row>
    <row r="4862" spans="2:2" x14ac:dyDescent="0.25">
      <c r="B4862" t="str">
        <v>630-62: Paint, Rust Preventative</v>
      </c>
    </row>
    <row r="4863" spans="2:2" x14ac:dyDescent="0.25">
      <c r="B4863" t="str">
        <v>630-63: Paint, Sports Court Outdoor</v>
      </c>
    </row>
    <row r="4864" spans="2:2" x14ac:dyDescent="0.25">
      <c r="B4864" t="str">
        <v>630-64: Paint, Spray, Aerosol</v>
      </c>
    </row>
    <row r="4865" spans="2:2" x14ac:dyDescent="0.25">
      <c r="B4865" t="str">
        <v>630-65: Paint, Swimming Pool</v>
      </c>
    </row>
    <row r="4866" spans="2:2" x14ac:dyDescent="0.25">
      <c r="B4866" t="str">
        <v>630-66: Paints, Traffic</v>
      </c>
    </row>
    <row r="4867" spans="2:2" x14ac:dyDescent="0.25">
      <c r="B4867" t="str">
        <v>630-67: Paint Sticks, Annealing</v>
      </c>
    </row>
    <row r="4868" spans="2:2" x14ac:dyDescent="0.25">
      <c r="B4868" t="str">
        <v>630-72: Primers, Rust Inhibiting: Red Oxide, Zinc Chromate, etc.</v>
      </c>
    </row>
    <row r="4869" spans="2:2" x14ac:dyDescent="0.25">
      <c r="B4869" t="str">
        <v>630-75: Putty, Glazing, Metal and Wood Sash</v>
      </c>
    </row>
    <row r="4870" spans="2:2" x14ac:dyDescent="0.25">
      <c r="B4870" t="str">
        <v>630-76: Putty: Lacquer, Plumbers, Tape</v>
      </c>
    </row>
    <row r="4871" spans="2:2" x14ac:dyDescent="0.25">
      <c r="B4871" t="str">
        <v>630-79: Recycled Paints; Lacquers, Shellacs, Varnish, Primers, Coatings, Sealers</v>
      </c>
    </row>
    <row r="4872" spans="2:2" x14ac:dyDescent="0.25">
      <c r="B4872" t="str">
        <v>630-81: Samples, Paint Colors, Fan Decks and Liquid</v>
      </c>
    </row>
    <row r="4873" spans="2:2" x14ac:dyDescent="0.25">
      <c r="B4873" t="str">
        <v>630-82: Sealers and Primers, Paint</v>
      </c>
    </row>
    <row r="4874" spans="2:2" x14ac:dyDescent="0.25">
      <c r="B4874" t="str">
        <v>630-84: Stains and Varnishes</v>
      </c>
    </row>
    <row r="4875" spans="2:2" x14ac:dyDescent="0.25">
      <c r="B4875" t="str">
        <v>630-88: Textured Coatings, All Kinds</v>
      </c>
    </row>
    <row r="4876" spans="2:2" x14ac:dyDescent="0.25">
      <c r="B4876" t="str">
        <v>630-90: Thinners, Reducers: Alcohols, Aromatic Solvents, Esters, Ketones, Mineral Spirits, Turpentine, V M and P Naphtha, etc.</v>
      </c>
    </row>
    <row r="4877" spans="2:2" x14ac:dyDescent="0.25">
      <c r="B4877" t="str">
        <v>630-93: Wall Coverings, Fabric and Plastic; and Accessories, Including Recycled Types</v>
      </c>
    </row>
    <row r="4878" spans="2:2" x14ac:dyDescent="0.25">
      <c r="B4878" t="str">
        <v>630-95: Wallpaper, Paste, and Canvas, Including Paper Hanger Tools and Recycled Types</v>
      </c>
    </row>
    <row r="4879" spans="2:2" x14ac:dyDescent="0.25">
      <c r="B4879" t="str">
        <v>630-97: Wood Preservative and/or Water-Repellent Finishes</v>
      </c>
    </row>
    <row r="4880" spans="2:2" x14ac:dyDescent="0.25">
      <c r="B4880" t="str">
        <v>631-03: Additives and Miscellaneous Paint Ingredients: Driers, Fungicides, Latexes, Pigments, Surfactants, etc., Environmentally Certified Products</v>
      </c>
    </row>
    <row r="4881" spans="2:2" x14ac:dyDescent="0.25">
      <c r="B4881" t="str">
        <v>631-05: Bleach, Wood, Environmentally Certified Products</v>
      </c>
    </row>
    <row r="4882" spans="2:2" x14ac:dyDescent="0.25">
      <c r="B4882" t="str">
        <v>631-06: Caulking Compounds, Bulk or Cartridge Type, Environmentally Certified Products</v>
      </c>
    </row>
    <row r="4883" spans="2:2" x14ac:dyDescent="0.25">
      <c r="B4883" t="str">
        <v>631-09: Coatings, Masonry, Brick, Cinder Block, Concrete, etc., Including Silicate Protective Coatings and Products, Environmentally Certified Products</v>
      </c>
    </row>
    <row r="4884" spans="2:2" x14ac:dyDescent="0.25">
      <c r="B4884" t="str">
        <v>631-10: Coatings, Protective, Polyurethane, etc., Environmentally Certified Products</v>
      </c>
    </row>
    <row r="4885" spans="2:2" x14ac:dyDescent="0.25">
      <c r="B4885" t="str">
        <v>631-12: Coatings, Protective, Asphalt Based (Also See Class 770-26), Environmentally Certified Products</v>
      </c>
    </row>
    <row r="4886" spans="2:2" x14ac:dyDescent="0.25">
      <c r="B4886" t="str">
        <v>631-19: Coatings, Protective, Zinc-Rich, Cold Galvanizing Compound, Environmentally Certified Products</v>
      </c>
    </row>
    <row r="4887" spans="2:2" x14ac:dyDescent="0.25">
      <c r="B4887" t="str">
        <v>631-21: Colors, Tinting (Oil, Mineral Silicate, or Universal Type) and Lettering, Environmentally Certified Products</v>
      </c>
    </row>
    <row r="4888" spans="2:2" x14ac:dyDescent="0.25">
      <c r="B4888" t="str">
        <v>631-22: Fillers and Sealers, Masonry: Block Fillers, Water Repellent Solutions, etc., Environmentally Certified Products</v>
      </c>
    </row>
    <row r="4889" spans="2:2" x14ac:dyDescent="0.25">
      <c r="B4889" t="str">
        <v>631-23: Fillers and Sealers, Wallboard, Environmentally Certified Products</v>
      </c>
    </row>
    <row r="4890" spans="2:2" x14ac:dyDescent="0.25">
      <c r="B4890" t="str">
        <v>631-25: Fillers and Sealers, Metal, Environmentally Certified Products</v>
      </c>
    </row>
    <row r="4891" spans="2:2" x14ac:dyDescent="0.25">
      <c r="B4891" t="str">
        <v>631-26: Fillers and Sealers, Wood: Paste, Plastic Wood, Sanding Sealers, etc., Environmentally Certified Products</v>
      </c>
    </row>
    <row r="4892" spans="2:2" x14ac:dyDescent="0.25">
      <c r="B4892" t="str">
        <v>631-27: Fillers and Sealers, Fiberglass, Environmentally Certified Products</v>
      </c>
    </row>
    <row r="4893" spans="2:2" x14ac:dyDescent="0.25">
      <c r="B4893" t="str">
        <v>631-28: Fire-Retardant and Heat-Resistant Coatings, Not Aluminum Paint, Environmentally Certified Products</v>
      </c>
    </row>
    <row r="4894" spans="2:2" x14ac:dyDescent="0.25">
      <c r="B4894" t="str">
        <v>631-33: Lacquer and Shellac, Clear and Colored, Environmentally Certified Products</v>
      </c>
    </row>
    <row r="4895" spans="2:2" x14ac:dyDescent="0.25">
      <c r="B4895" t="str">
        <v>631-42: Linseed Oil, Environmentally Certified Products</v>
      </c>
    </row>
    <row r="4896" spans="2:2" x14ac:dyDescent="0.25">
      <c r="B4896" t="str">
        <v>631-44: Mix, Paint Water, Environmentally Certified Products</v>
      </c>
    </row>
    <row r="4897" spans="2:2" x14ac:dyDescent="0.25">
      <c r="B4897" t="str">
        <v>631-45: Paint and Varnish Removers (Includes Painted Graffiti Removers) (See 485-16 for Other Types of Graffiti Removers), Environmentally Certified Products</v>
      </c>
    </row>
    <row r="4898" spans="2:2" x14ac:dyDescent="0.25">
      <c r="B4898" t="str">
        <v>631-47: Paint, Aluminum, Not Roof Coating, Environmentally Certified Products</v>
      </c>
    </row>
    <row r="4899" spans="2:2" x14ac:dyDescent="0.25">
      <c r="B4899" t="str">
        <v>631-49: Paint, Automotive and Machinery, Environmentally Certified Products</v>
      </c>
    </row>
    <row r="4900" spans="2:2" x14ac:dyDescent="0.25">
      <c r="B4900" t="str">
        <v>631-50: Paint, Deck and Floor, Environmentally Certified Products</v>
      </c>
    </row>
    <row r="4901" spans="2:2" x14ac:dyDescent="0.25">
      <c r="B4901" t="str">
        <v>631-55: Paint, Freezer and Wet Surface, Environmentally Certified Products</v>
      </c>
    </row>
    <row r="4902" spans="2:2" x14ac:dyDescent="0.25">
      <c r="B4902" t="str">
        <v>631-56: Paint, House and Trim, Environmentally Certified Products</v>
      </c>
    </row>
    <row r="4903" spans="2:2" x14ac:dyDescent="0.25">
      <c r="B4903" t="str">
        <v>631-57: Paint, Miscellaneous: Blockout, Bronzing Liquid, Environmentally Safe, Epoxy, Fluorescent, License Plate, Oil Paste, Reflective, Tint Base, Tree Pruning, USDA Approved, etc., Environmentally Certified Products</v>
      </c>
    </row>
    <row r="4904" spans="2:2" x14ac:dyDescent="0.25">
      <c r="B4904" t="str">
        <v>631-59: Paint, Marine, Environmentally Certified Products</v>
      </c>
    </row>
    <row r="4905" spans="2:2" x14ac:dyDescent="0.25">
      <c r="B4905" t="str">
        <v>631-61: Paint, Masonry, Including Silicate Paints, Environmentally Certified Products</v>
      </c>
    </row>
    <row r="4906" spans="2:2" x14ac:dyDescent="0.25">
      <c r="B4906" t="str">
        <v>631-62: Paint, Rust Preventative, Environmentally Certified Products</v>
      </c>
    </row>
    <row r="4907" spans="2:2" x14ac:dyDescent="0.25">
      <c r="B4907" t="str">
        <v>631-63: Paint, Sports Court, Outdoor, Environmentally Certified Products</v>
      </c>
    </row>
    <row r="4908" spans="2:2" x14ac:dyDescent="0.25">
      <c r="B4908" t="str">
        <v>631-64: Paint, Spray, Aerosol, Environmentally Certified Products</v>
      </c>
    </row>
    <row r="4909" spans="2:2" x14ac:dyDescent="0.25">
      <c r="B4909" t="str">
        <v>631-65: Paint, Swimming Pool, Environmentally Certified Products</v>
      </c>
    </row>
    <row r="4910" spans="2:2" x14ac:dyDescent="0.25">
      <c r="B4910" t="str">
        <v>631-66: Paints, Traffic, Environmentally Certified Products</v>
      </c>
    </row>
    <row r="4911" spans="2:2" x14ac:dyDescent="0.25">
      <c r="B4911" t="str">
        <v>631-67: Paint Sticks, Annealing, Environmentally Certified Products</v>
      </c>
    </row>
    <row r="4912" spans="2:2" x14ac:dyDescent="0.25">
      <c r="B4912" t="str">
        <v>631-72: Primers, Rust Inhibiting: Red Oxide, Zinc Chromate, etc., Environmentally Certified Products</v>
      </c>
    </row>
    <row r="4913" spans="2:2" x14ac:dyDescent="0.25">
      <c r="B4913" t="str">
        <v>631-75: Putty, Glazing, Metal and Wood Sash, Environmentally Certified Products</v>
      </c>
    </row>
    <row r="4914" spans="2:2" x14ac:dyDescent="0.25">
      <c r="B4914" t="str">
        <v>631-76: Putty: Lacquer, Plumbers, Tape, Environmentally Certified Products</v>
      </c>
    </row>
    <row r="4915" spans="2:2" x14ac:dyDescent="0.25">
      <c r="B4915" t="str">
        <v>631-79: Recycled Paints, Lacquers, Shellacs, Varnish, Primers, Coatings, Sealers, Environmentally Certified Products</v>
      </c>
    </row>
    <row r="4916" spans="2:2" x14ac:dyDescent="0.25">
      <c r="B4916" t="str">
        <v>631-82: Sealers and Primers, Paint, Environmentally Certified Products</v>
      </c>
    </row>
    <row r="4917" spans="2:2" x14ac:dyDescent="0.25">
      <c r="B4917" t="str">
        <v>631-84: Stains and Varnishes, Environmentally Certified Products</v>
      </c>
    </row>
    <row r="4918" spans="2:2" x14ac:dyDescent="0.25">
      <c r="B4918" t="str">
        <v>631-88: Textured Coatings, All Kinds, Environmentally Certified Products</v>
      </c>
    </row>
    <row r="4919" spans="2:2" x14ac:dyDescent="0.25">
      <c r="B4919" t="str">
        <v>631-90: Thinners (Reducers): Alcohols, Aromatic Solvents, Esters, Ketones, Mineral Spirits, Turpentine, V M and P Naphtha, etc., Environmentally Certified Products</v>
      </c>
    </row>
    <row r="4920" spans="2:2" x14ac:dyDescent="0.25">
      <c r="B4920" t="str">
        <v>631-93: Wall Coverings, Fabric and Plastic; and Accessories, Including Recycled Types, Environmentally Certified Products</v>
      </c>
    </row>
    <row r="4921" spans="2:2" x14ac:dyDescent="0.25">
      <c r="B4921" t="str">
        <v>631-95: Wallpaper, Paste, and Canvas, Including Paper Hanger Tools and Recycled Types, Environmentally Certified Products</v>
      </c>
    </row>
    <row r="4922" spans="2:2" x14ac:dyDescent="0.25">
      <c r="B4922" t="str">
        <v>631-97: Wood Preservative and/or Water-Repellent Finishes, Environmentally Certified Products</v>
      </c>
    </row>
    <row r="4923" spans="2:2" x14ac:dyDescent="0.25">
      <c r="B4923" t="str">
        <v>635-06: Can Opener, Paint, Pneumatic</v>
      </c>
    </row>
    <row r="4924" spans="2:2" x14ac:dyDescent="0.25">
      <c r="B4924" t="str">
        <v>635-07: Cleaner and Conditioner, Paint Brush</v>
      </c>
    </row>
    <row r="4925" spans="2:2" x14ac:dyDescent="0.25">
      <c r="B4925" t="str">
        <v>635-08: Compressors, Portable Paint Sprayer, Electric Motor or Engine Driven (Up to 25 CFM @ 100 PSI)</v>
      </c>
    </row>
    <row r="4926" spans="2:2" x14ac:dyDescent="0.25">
      <c r="B4926" t="str">
        <v>635-14: Drop Cloths, Hoods and Mitts, Painter's</v>
      </c>
    </row>
    <row r="4927" spans="2:2" x14ac:dyDescent="0.25">
      <c r="B4927" t="str">
        <v>635-20: Filter Pads, Paint Arrester</v>
      </c>
    </row>
    <row r="4928" spans="2:2" x14ac:dyDescent="0.25">
      <c r="B4928" t="str">
        <v>635-38: Masking Film, Spray Booth Lining, Masking Paper, etc.</v>
      </c>
    </row>
    <row r="4929" spans="2:2" x14ac:dyDescent="0.25">
      <c r="B4929" t="str">
        <v>635-40: Paint Conditioners, Mixers, Shakers, and Tinting Machines</v>
      </c>
    </row>
    <row r="4930" spans="2:2" x14ac:dyDescent="0.25">
      <c r="B4930" t="str">
        <v>635-43: Paint Equipment, Accessories and Supplies (Not Otherwise Classified)</v>
      </c>
    </row>
    <row r="4931" spans="2:2" x14ac:dyDescent="0.25">
      <c r="B4931" t="str">
        <v>635-45: Paint and Varnish Removing Equipment</v>
      </c>
    </row>
    <row r="4932" spans="2:2" x14ac:dyDescent="0.25">
      <c r="B4932" t="str">
        <v>635-47: Rollers, Paint Can Holders, Trays and Accessories</v>
      </c>
    </row>
    <row r="4933" spans="2:2" x14ac:dyDescent="0.25">
      <c r="B4933" t="str">
        <v>635-50: Screens and Strainers</v>
      </c>
    </row>
    <row r="4934" spans="2:2" x14ac:dyDescent="0.25">
      <c r="B4934" t="str">
        <v>635-65: Spray Booths and Accessories, Paint</v>
      </c>
    </row>
    <row r="4935" spans="2:2" x14ac:dyDescent="0.25">
      <c r="B4935" t="str">
        <v>635-70: Spray Booths and Accessories, Water Wash</v>
      </c>
    </row>
    <row r="4936" spans="2:2" x14ac:dyDescent="0.25">
      <c r="B4936" t="str">
        <v>635-75: Sprayer Components and Accessories: Guns, Hoses, Pots, Regulators, Tanks, etc.</v>
      </c>
    </row>
    <row r="4937" spans="2:2" x14ac:dyDescent="0.25">
      <c r="B4937" t="str">
        <v>635-80: Sprayers and Spray Systems, Industrial, Heavy Duty</v>
      </c>
    </row>
    <row r="4938" spans="2:2" x14ac:dyDescent="0.25">
      <c r="B4938" t="str">
        <v>635-85: Spraying Outfits, Portable, Light Duty</v>
      </c>
    </row>
    <row r="4939" spans="2:2" x14ac:dyDescent="0.25">
      <c r="B4939" t="str">
        <v>635-95: Recycled Painting Equipment and Accessories</v>
      </c>
    </row>
    <row r="4940" spans="2:2" x14ac:dyDescent="0.25">
      <c r="B4940" t="str">
        <v>640-05: Bags and Boxes: Pollinating, Seed, and Soil Sampling; and Seed Germination Paper</v>
      </c>
    </row>
    <row r="4941" spans="2:2" x14ac:dyDescent="0.25">
      <c r="B4941" t="str">
        <v>640-08: Bags, Food Storage, Including Freezer Type</v>
      </c>
    </row>
    <row r="4942" spans="2:2" x14ac:dyDescent="0.25">
      <c r="B4942" t="str">
        <v>640-09: Bags, Glassine</v>
      </c>
    </row>
    <row r="4943" spans="2:2" x14ac:dyDescent="0.25">
      <c r="B4943" t="str">
        <v>640-10: Bags, Padded: Book Mailing, Shipping, etc., Including Biodegradable</v>
      </c>
    </row>
    <row r="4944" spans="2:2" x14ac:dyDescent="0.25">
      <c r="B4944" t="str">
        <v>640-15: Bags, Paper: Regular Weight, Heavy Weight, Nail, etc.</v>
      </c>
    </row>
    <row r="4945" spans="2:2" x14ac:dyDescent="0.25">
      <c r="B4945" t="str">
        <v>640-18: Boxes and Retention Packaging (Not Otherwise Classified)</v>
      </c>
    </row>
    <row r="4946" spans="2:2" x14ac:dyDescent="0.25">
      <c r="B4946" t="str">
        <v>640-20: Chipboard, Pasteboard, and Telescoping Boxes</v>
      </c>
    </row>
    <row r="4947" spans="2:2" x14ac:dyDescent="0.25">
      <c r="B4947" t="str">
        <v>640-21: Compostable Food Service Products, Including Biodegradable: Bowls, Covers, Hot/Cold Cups, Cutlery, Dinnerware, Servers, Trays, Napkins and Straws</v>
      </c>
    </row>
    <row r="4948" spans="2:2" x14ac:dyDescent="0.25">
      <c r="B4948" t="str">
        <v>640-22: Containers, Paper and Plastic</v>
      </c>
    </row>
    <row r="4949" spans="2:2" x14ac:dyDescent="0.25">
      <c r="B4949" t="str">
        <v>640-23: Containers, Cylindrical, Cardboard, Not Mailing Type)</v>
      </c>
    </row>
    <row r="4950" spans="2:2" x14ac:dyDescent="0.25">
      <c r="B4950" t="str">
        <v>640-25: Corrugated Boxes and Sheets, Including Fillers</v>
      </c>
    </row>
    <row r="4951" spans="2:2" x14ac:dyDescent="0.25">
      <c r="B4951" t="str">
        <v>640-26: Fiber Type Dishes, Trays, Oil Pans, Parts Trays, etc., Disposable</v>
      </c>
    </row>
    <row r="4952" spans="2:2" x14ac:dyDescent="0.25">
      <c r="B4952" t="str">
        <v>640-27: Foil Containers and Bags</v>
      </c>
    </row>
    <row r="4953" spans="2:2" x14ac:dyDescent="0.25">
      <c r="B4953" t="str">
        <v>640-28: Gift Wrap Paper Including Tissue Paper and Ribbons</v>
      </c>
    </row>
    <row r="4954" spans="2:2" x14ac:dyDescent="0.25">
      <c r="B4954" t="str">
        <v>640-30: Mailing Tubes and Storage Tubes</v>
      </c>
    </row>
    <row r="4955" spans="2:2" x14ac:dyDescent="0.25">
      <c r="B4955" t="str">
        <v>640-40: Multiwall Paper Bags</v>
      </c>
    </row>
    <row r="4956" spans="2:2" x14ac:dyDescent="0.25">
      <c r="B4956" t="str">
        <v>640-42: Multiwall Wrapping Paper, Rolls or Sheets</v>
      </c>
    </row>
    <row r="4957" spans="2:2" x14ac:dyDescent="0.25">
      <c r="B4957" t="str">
        <v>640-43: Packing Materials for Mailing and Shipping, Not Containers</v>
      </c>
    </row>
    <row r="4958" spans="2:2" x14ac:dyDescent="0.25">
      <c r="B4958" t="str">
        <v>640-44: Packing List Envelopes, Plastic and Paper, Self Adhesive</v>
      </c>
    </row>
    <row r="4959" spans="2:2" x14ac:dyDescent="0.25">
      <c r="B4959" t="str">
        <v>640-45: Paper, Food Processing, Fresh and Frozen: Butcher Paper, Butter Paper, Freezer Paper, Vegetable Paper, etc.</v>
      </c>
    </row>
    <row r="4960" spans="2:2" x14ac:dyDescent="0.25">
      <c r="B4960" t="str">
        <v>640-50: Paper Products: Cups, Doilies, Napkins, Plates, Straws, Facial Tissues, Other Than Hospital</v>
      </c>
    </row>
    <row r="4961" spans="2:2" x14ac:dyDescent="0.25">
      <c r="B4961" t="str">
        <v>640-60: Plastic and Styrofoam Products: Cups, Forks, Plastic Coated Dishes, Plastic Food Wrap, Cooking Bags, Sandwich Bags, Spoons, Straws, Doilies, etc.</v>
      </c>
    </row>
    <row r="4962" spans="2:2" x14ac:dyDescent="0.25">
      <c r="B4962" t="str">
        <v>640-66: Recycled Paper, Plastic, and Styrofoam Products, Disposable Type ,Including Wax Paper, Aluminum Foil and Cellophane</v>
      </c>
    </row>
    <row r="4963" spans="2:2" x14ac:dyDescent="0.25">
      <c r="B4963" t="str">
        <v>640-69: Sheeting, Slip, Paper</v>
      </c>
    </row>
    <row r="4964" spans="2:2" x14ac:dyDescent="0.25">
      <c r="B4964" t="str">
        <v>640-70: Shelf Paper</v>
      </c>
    </row>
    <row r="4965" spans="2:2" x14ac:dyDescent="0.25">
      <c r="B4965" t="str">
        <v>640-75: Toilet Tissues, Paper Towels, and Toilet Seat Covers</v>
      </c>
    </row>
    <row r="4966" spans="2:2" x14ac:dyDescent="0.25">
      <c r="B4966" t="str">
        <v>640-80: Waxed Paper, Aluminum Foil and Cellophane</v>
      </c>
    </row>
    <row r="4967" spans="2:2" x14ac:dyDescent="0.25">
      <c r="B4967" t="str">
        <v>640-85: Wipers, Shop and Food Service Use</v>
      </c>
    </row>
    <row r="4968" spans="2:2" x14ac:dyDescent="0.25">
      <c r="B4968" t="str">
        <v>640-87: Wrapping Paper, Brown Kraft Paper, etc.</v>
      </c>
    </row>
    <row r="4969" spans="2:2" x14ac:dyDescent="0.25">
      <c r="B4969" t="str">
        <v>641-05: Bags and Boxes: Pollinating, Seed, and Soil Sampling; and Seed Germination Paper, Environmentally Certified Products</v>
      </c>
    </row>
    <row r="4970" spans="2:2" x14ac:dyDescent="0.25">
      <c r="B4970" t="str">
        <v>641-08: Bags, Food Storage, Including Freezer Type, Environmentally Certified Products</v>
      </c>
    </row>
    <row r="4971" spans="2:2" x14ac:dyDescent="0.25">
      <c r="B4971" t="str">
        <v>641-09: Bags, Glassine, Environmentally Certified Products</v>
      </c>
    </row>
    <row r="4972" spans="2:2" x14ac:dyDescent="0.25">
      <c r="B4972" t="str">
        <v>641-10: Bags, Padded: Book Mailing, Shipping, etc., Including Biodegradable, Environmentally Certified Products</v>
      </c>
    </row>
    <row r="4973" spans="2:2" x14ac:dyDescent="0.25">
      <c r="B4973" t="str">
        <v>641-15: Bags, Paper: Regular Weight, Heavy Weight, Nail, etc., Environmentally Certified Products</v>
      </c>
    </row>
    <row r="4974" spans="2:2" x14ac:dyDescent="0.25">
      <c r="B4974" t="str">
        <v>641-18: Boxes and Retention Packaging (Not Otherwise Classified), Environmentally Certified Products</v>
      </c>
    </row>
    <row r="4975" spans="2:2" x14ac:dyDescent="0.25">
      <c r="B4975" t="str">
        <v>641-20: Chipboard, Pasteboard, and Telescoping Boxes, Environmentally Certified Products</v>
      </c>
    </row>
    <row r="4976" spans="2:2" x14ac:dyDescent="0.25">
      <c r="B4976" t="str">
        <v>641-22: Containers, Paper and Plastic, Environmentally Certified Products</v>
      </c>
    </row>
    <row r="4977" spans="2:2" x14ac:dyDescent="0.25">
      <c r="B4977" t="str">
        <v>641-23: Containers, Cylindrical, Cardboard, Not Mailing Type, Environmentally Certified Products</v>
      </c>
    </row>
    <row r="4978" spans="2:2" x14ac:dyDescent="0.25">
      <c r="B4978" t="str">
        <v>641-25: Corrugated Boxes and Sheets, Including Fillers, Environmentally Certified Products</v>
      </c>
    </row>
    <row r="4979" spans="2:2" x14ac:dyDescent="0.25">
      <c r="B4979" t="str">
        <v>641-26: Fiber Type Dishes, Trays, etc., Disposable, Environmentally Certified Products</v>
      </c>
    </row>
    <row r="4980" spans="2:2" x14ac:dyDescent="0.25">
      <c r="B4980" t="str">
        <v>641-27: Foil Containers and Bags, Environmentally Certified Products</v>
      </c>
    </row>
    <row r="4981" spans="2:2" x14ac:dyDescent="0.25">
      <c r="B4981" t="str">
        <v>641-28: Gift Wrap Paper Including Tissue Paper and Ribbons, Environmentally Certified Products</v>
      </c>
    </row>
    <row r="4982" spans="2:2" x14ac:dyDescent="0.25">
      <c r="B4982" t="str">
        <v>641-30: Mailing Tubes and Storage Tubes, Environmentally Certified Products</v>
      </c>
    </row>
    <row r="4983" spans="2:2" x14ac:dyDescent="0.25">
      <c r="B4983" t="str">
        <v>641-40: Multiwall Paper Bags, Environmentally Certified Products</v>
      </c>
    </row>
    <row r="4984" spans="2:2" x14ac:dyDescent="0.25">
      <c r="B4984" t="str">
        <v>641-42: Multiwall Wrapping Paper, Rolls or Sheets, Environmentally Certified Products</v>
      </c>
    </row>
    <row r="4985" spans="2:2" x14ac:dyDescent="0.25">
      <c r="B4985" t="str">
        <v>641-43: Packing Materials for Mailing and Shipping, Not Containers, Environmentally Certified Products</v>
      </c>
    </row>
    <row r="4986" spans="2:2" x14ac:dyDescent="0.25">
      <c r="B4986" t="str">
        <v>641-44: Packing List Envelopes, Plastic and Paper, Self Adhesive, Environmentally Certified Products</v>
      </c>
    </row>
    <row r="4987" spans="2:2" x14ac:dyDescent="0.25">
      <c r="B4987" t="str">
        <v>641-45: Paper, Food Processing, Fresh and Frozen: Butcher Paper, Butter Paper, Freezer Paper, Vegetable Paper, etc., Environmentally Certified Products</v>
      </c>
    </row>
    <row r="4988" spans="2:2" x14ac:dyDescent="0.25">
      <c r="B4988" t="str">
        <v>641-50: Paper Products: Cups, Doilies, Napkins, Plates, Straws, Facial Tissues, Other Than Hospital, Environmentally Certified Products</v>
      </c>
    </row>
    <row r="4989" spans="2:2" x14ac:dyDescent="0.25">
      <c r="B4989" t="str">
        <v>641-60: Plastic and Styrofoam Products: Cups, Forks, Plastic Coated Dishes, Plastic Food Wrap, Cooking Bags, Sandwich Bags, Spoons, Straws, Doilies, etc., Environmentally Certified Products</v>
      </c>
    </row>
    <row r="4990" spans="2:2" x14ac:dyDescent="0.25">
      <c r="B4990" t="str">
        <v>641-66: Recycled Paper, Plastic, and Styrofoam Products, Disposable Type, Including Wax Paper, Aluminum Foil and Cellophane, Environmentally Certified Products</v>
      </c>
    </row>
    <row r="4991" spans="2:2" x14ac:dyDescent="0.25">
      <c r="B4991" t="str">
        <v>641-69: Sheeting, Slip, Paper, Environmentally Certified Products</v>
      </c>
    </row>
    <row r="4992" spans="2:2" x14ac:dyDescent="0.25">
      <c r="B4992" t="str">
        <v>641-70: Shelf Paper, Environmentally Certified Products</v>
      </c>
    </row>
    <row r="4993" spans="2:2" x14ac:dyDescent="0.25">
      <c r="B4993" t="str">
        <v>641-75: Toilet Tissues, Paper Towels, and Toilet Seat Covers, Environmentally Certified Products</v>
      </c>
    </row>
    <row r="4994" spans="2:2" x14ac:dyDescent="0.25">
      <c r="B4994" t="str">
        <v>641-80: Waxed Paper, Aluminum Foil and Cellophane, Environmentally Certified Products</v>
      </c>
    </row>
    <row r="4995" spans="2:2" x14ac:dyDescent="0.25">
      <c r="B4995" t="str">
        <v>641-85: Wipers, Shop and Food Service Use, Environmentally Certified Products</v>
      </c>
    </row>
    <row r="4996" spans="2:2" x14ac:dyDescent="0.25">
      <c r="B4996" t="str">
        <v>641-87: Wrapping Paper, Brown Kraft Paper, etc., Environmentally Certified Products</v>
      </c>
    </row>
    <row r="4997" spans="2:2" x14ac:dyDescent="0.25">
      <c r="B4997" t="str">
        <v>645-10: Announcement Stock, Including Recycled</v>
      </c>
    </row>
    <row r="4998" spans="2:2" x14ac:dyDescent="0.25">
      <c r="B4998" t="str">
        <v>645-15: Backing Sheets and Liners for Decals, Bumper Stickers, etc., Crack and Peel)</v>
      </c>
    </row>
    <row r="4999" spans="2:2" x14ac:dyDescent="0.25">
      <c r="B4999" t="str">
        <v>645-18: Boards: Poster, Pressboard, Railroad, etc., Including Recycled</v>
      </c>
    </row>
    <row r="5000" spans="2:2" x14ac:dyDescent="0.25">
      <c r="B5000" t="str">
        <v>645-21: Bond Paper, Including Recycled</v>
      </c>
    </row>
    <row r="5001" spans="2:2" x14ac:dyDescent="0.25">
      <c r="B5001" t="str">
        <v>645-25: Book Paper, Including Recycled</v>
      </c>
    </row>
    <row r="5002" spans="2:2" x14ac:dyDescent="0.25">
      <c r="B5002" t="str">
        <v>645-28: Bristol, Including Recycled</v>
      </c>
    </row>
    <row r="5003" spans="2:2" x14ac:dyDescent="0.25">
      <c r="B5003" t="str">
        <v>645-30: Carbonless Paper, Chemical Transfer, Including Recycled</v>
      </c>
    </row>
    <row r="5004" spans="2:2" x14ac:dyDescent="0.25">
      <c r="B5004" t="str">
        <v>645-31: Card Stock, Including Recycled</v>
      </c>
    </row>
    <row r="5005" spans="2:2" x14ac:dyDescent="0.25">
      <c r="B5005" t="str">
        <v>645-32: Coated Paper, Not Otherwise Classified, Including Recycled</v>
      </c>
    </row>
    <row r="5006" spans="2:2" x14ac:dyDescent="0.25">
      <c r="B5006" t="str">
        <v>645-33: Copy Paper, Specialized High Speed, Including Recycled</v>
      </c>
    </row>
    <row r="5007" spans="2:2" x14ac:dyDescent="0.25">
      <c r="B5007" t="str">
        <v>645-35: Cover Stock, Including Recycled</v>
      </c>
    </row>
    <row r="5008" spans="2:2" x14ac:dyDescent="0.25">
      <c r="B5008" t="str">
        <v>645-39: Duplicator and Mimeograph Paper, Including Recycled</v>
      </c>
    </row>
    <row r="5009" spans="2:2" x14ac:dyDescent="0.25">
      <c r="B5009" t="str">
        <v>645-44: Facsimile (Fax) Paper, Including Recycled</v>
      </c>
    </row>
    <row r="5010" spans="2:2" x14ac:dyDescent="0.25">
      <c r="B5010" t="str">
        <v>645-47: Gummed Paper, Including Recycled</v>
      </c>
    </row>
    <row r="5011" spans="2:2" x14ac:dyDescent="0.25">
      <c r="B5011" t="str">
        <v>645-51: Index Paper, Including Recycled</v>
      </c>
    </row>
    <row r="5012" spans="2:2" x14ac:dyDescent="0.25">
      <c r="B5012" t="str">
        <v>645-54: Kenaf Tree Free Paper, Including Recycled</v>
      </c>
    </row>
    <row r="5013" spans="2:2" x14ac:dyDescent="0.25">
      <c r="B5013" t="str">
        <v>645-55: Ledger Pape, (Including Recycled</v>
      </c>
    </row>
    <row r="5014" spans="2:2" x14ac:dyDescent="0.25">
      <c r="B5014" t="str">
        <v>645-58: Manifold Paper, Including Recycled</v>
      </c>
    </row>
    <row r="5015" spans="2:2" x14ac:dyDescent="0.25">
      <c r="B5015" t="str">
        <v>645-59: Map Pape, Including Recycled</v>
      </c>
    </row>
    <row r="5016" spans="2:2" x14ac:dyDescent="0.25">
      <c r="B5016" t="str">
        <v>645-61: Newsprint, Including Recycled</v>
      </c>
    </row>
    <row r="5017" spans="2:2" x14ac:dyDescent="0.25">
      <c r="B5017" t="str">
        <v>645-64: Offset Paper, Including Recycled</v>
      </c>
    </row>
    <row r="5018" spans="2:2" x14ac:dyDescent="0.25">
      <c r="B5018" t="str">
        <v>645-66: Onionskin (Including Recycled)</v>
      </c>
    </row>
    <row r="5019" spans="2:2" x14ac:dyDescent="0.25">
      <c r="B5019" t="str">
        <v>645-68: Parchment Paper, Including Recycled</v>
      </c>
    </row>
    <row r="5020" spans="2:2" x14ac:dyDescent="0.25">
      <c r="B5020" t="str">
        <v>645-69: Paper and Paper Products, Scrap or Waste, Including Recycled</v>
      </c>
    </row>
    <row r="5021" spans="2:2" x14ac:dyDescent="0.25">
      <c r="B5021" t="str">
        <v>645-71: Poster Paper, Including Recycled</v>
      </c>
    </row>
    <row r="5022" spans="2:2" x14ac:dyDescent="0.25">
      <c r="B5022" t="str">
        <v>645-74: Pressure Sensitive Paper, Including Recycled</v>
      </c>
    </row>
    <row r="5023" spans="2:2" x14ac:dyDescent="0.25">
      <c r="B5023" t="str">
        <v>645-80: Stationery With Envelopes, Including Recycled</v>
      </c>
    </row>
    <row r="5024" spans="2:2" x14ac:dyDescent="0.25">
      <c r="B5024" t="str">
        <v>645-83: Tag Stock, Including Recycled</v>
      </c>
    </row>
    <row r="5025" spans="2:2" x14ac:dyDescent="0.25">
      <c r="B5025" t="str">
        <v>645-88: Teletype and Telex Paper, Including Recycled</v>
      </c>
    </row>
    <row r="5026" spans="2:2" x14ac:dyDescent="0.25">
      <c r="B5026" t="str">
        <v>645-90: Text Paper, Including Recycled</v>
      </c>
    </row>
    <row r="5027" spans="2:2" x14ac:dyDescent="0.25">
      <c r="B5027" t="str">
        <v>645-94: Uncoated Paper (Not Otherwise Classified)</v>
      </c>
    </row>
    <row r="5028" spans="2:2" x14ac:dyDescent="0.25">
      <c r="B5028" t="str">
        <v>646-10: Announcement Stock, Including Recycled, Environmentally Certified Products</v>
      </c>
    </row>
    <row r="5029" spans="2:2" x14ac:dyDescent="0.25">
      <c r="B5029" t="str">
        <v>646-15: Backing Sheets and Liners for Decals, Bumper Stickers, etc., Crack and Peel, Environmentally Certified Products</v>
      </c>
    </row>
    <row r="5030" spans="2:2" x14ac:dyDescent="0.25">
      <c r="B5030" t="str">
        <v>646-18: Boards: Poster, Pressboard, Railroad, etc., Including Recycled, Environmentally Certified Products</v>
      </c>
    </row>
    <row r="5031" spans="2:2" x14ac:dyDescent="0.25">
      <c r="B5031" t="str">
        <v>646-21: Bond Paper, Including Recycled, Environmentally Certified Products</v>
      </c>
    </row>
    <row r="5032" spans="2:2" x14ac:dyDescent="0.25">
      <c r="B5032" t="str">
        <v>646-25: Book Paper, Including Recycled, Environmentally Certified Products</v>
      </c>
    </row>
    <row r="5033" spans="2:2" x14ac:dyDescent="0.25">
      <c r="B5033" t="str">
        <v>646-28: Bristol, Including Recycled, Environmentally Certified Products</v>
      </c>
    </row>
    <row r="5034" spans="2:2" x14ac:dyDescent="0.25">
      <c r="B5034" t="str">
        <v>646-30: Carbonless Paper, Chemical Transfer, Including Recycled, Environmentally Certified Products</v>
      </c>
    </row>
    <row r="5035" spans="2:2" x14ac:dyDescent="0.25">
      <c r="B5035" t="str">
        <v>646-31: Card Stock, Including Recycled, Environmentally Certified Products</v>
      </c>
    </row>
    <row r="5036" spans="2:2" x14ac:dyDescent="0.25">
      <c r="B5036" t="str">
        <v>646-32: Coated Paper (Not Otherwise Classified), Including Recycled, Environmentally Certified Products</v>
      </c>
    </row>
    <row r="5037" spans="2:2" x14ac:dyDescent="0.25">
      <c r="B5037" t="str">
        <v>646-33: Copy Paper, Specialized High Speed, Including Recycled,, Environmentally Certified Products</v>
      </c>
    </row>
    <row r="5038" spans="2:2" x14ac:dyDescent="0.25">
      <c r="B5038" t="str">
        <v>646-35: Cover Stock, Including Recycled, Environmentally Certified Products</v>
      </c>
    </row>
    <row r="5039" spans="2:2" x14ac:dyDescent="0.25">
      <c r="B5039" t="str">
        <v>646-39: Duplicator and Mimeograph Paper, Including Recycled, Environmentally Certified Products</v>
      </c>
    </row>
    <row r="5040" spans="2:2" x14ac:dyDescent="0.25">
      <c r="B5040" t="str">
        <v>646-44: Facsimile (Fax) Paper, Including Recycled, Environmentally Certified Products</v>
      </c>
    </row>
    <row r="5041" spans="2:2" x14ac:dyDescent="0.25">
      <c r="B5041" t="str">
        <v>646-47: Gummed Paper, Including Recycled, Environmentally Certified Products</v>
      </c>
    </row>
    <row r="5042" spans="2:2" x14ac:dyDescent="0.25">
      <c r="B5042" t="str">
        <v>646-51: Index Paper, Including Recycled, Environmentally Certified Products</v>
      </c>
    </row>
    <row r="5043" spans="2:2" x14ac:dyDescent="0.25">
      <c r="B5043" t="str">
        <v>646-54: Kenaf Tree Free Paper, Including Recycled, Environmentally Certified Products</v>
      </c>
    </row>
    <row r="5044" spans="2:2" x14ac:dyDescent="0.25">
      <c r="B5044" t="str">
        <v>646-55: Ledger Paper, Including Recycled, Environmentally Certified Products</v>
      </c>
    </row>
    <row r="5045" spans="2:2" x14ac:dyDescent="0.25">
      <c r="B5045" t="str">
        <v>646-58: Manifold Paper, Including Recycled, Environmentally Certified Products</v>
      </c>
    </row>
    <row r="5046" spans="2:2" x14ac:dyDescent="0.25">
      <c r="B5046" t="str">
        <v>646-59: Map Paper, Including Recycled, Environmentally Certified Products</v>
      </c>
    </row>
    <row r="5047" spans="2:2" x14ac:dyDescent="0.25">
      <c r="B5047" t="str">
        <v>646-61: Newsprint, Including Recycled, Environmentally Certified Products</v>
      </c>
    </row>
    <row r="5048" spans="2:2" x14ac:dyDescent="0.25">
      <c r="B5048" t="str">
        <v>646-64: Offset Paper, Including Recycled, Environmentally Certified Products</v>
      </c>
    </row>
    <row r="5049" spans="2:2" x14ac:dyDescent="0.25">
      <c r="B5049" t="str">
        <v>646-66: Onionskin, Including Recycled, Environmentally Certified Products</v>
      </c>
    </row>
    <row r="5050" spans="2:2" x14ac:dyDescent="0.25">
      <c r="B5050" t="str">
        <v>646-68: Parchment Paper, Including Recycled, Environmentally Certified Products</v>
      </c>
    </row>
    <row r="5051" spans="2:2" x14ac:dyDescent="0.25">
      <c r="B5051" t="str">
        <v>646-69: Paper and Paper Products, Scrap or Waste, Including Recycled, Environmentally Certified Products</v>
      </c>
    </row>
    <row r="5052" spans="2:2" x14ac:dyDescent="0.25">
      <c r="B5052" t="str">
        <v>646-71: Poster Paper, Including Recycled, Environmentally Certified Products</v>
      </c>
    </row>
    <row r="5053" spans="2:2" x14ac:dyDescent="0.25">
      <c r="B5053" t="str">
        <v>646-74: Pressure Sensitive Paper, Including Recycled, Environmentally Certified Products</v>
      </c>
    </row>
    <row r="5054" spans="2:2" x14ac:dyDescent="0.25">
      <c r="B5054" t="str">
        <v>646-80: Stationery w/Envelopes, Including Recycled, Environmentally Certified Products</v>
      </c>
    </row>
    <row r="5055" spans="2:2" x14ac:dyDescent="0.25">
      <c r="B5055" t="str">
        <v>646-83: Tag Stock, Including Recycled, Environmentally Certified Products</v>
      </c>
    </row>
    <row r="5056" spans="2:2" x14ac:dyDescent="0.25">
      <c r="B5056" t="str">
        <v>646-88: Teletype and Telex Paper, Including Recycled, Environmentally Certified Products</v>
      </c>
    </row>
    <row r="5057" spans="2:2" x14ac:dyDescent="0.25">
      <c r="B5057" t="str">
        <v>646-90: Text Paper, Including Recycled, Environmentally Certified Products</v>
      </c>
    </row>
    <row r="5058" spans="2:2" x14ac:dyDescent="0.25">
      <c r="B5058" t="str">
        <v>646-94: Uncoated Paper (Not Otherwise Classified), Environmentally Certified Products</v>
      </c>
    </row>
    <row r="5059" spans="2:2" x14ac:dyDescent="0.25">
      <c r="B5059" t="str">
        <v>650-04: Amusement Park Ride Equipment, Including Parts and Accessories</v>
      </c>
    </row>
    <row r="5060" spans="2:2" x14ac:dyDescent="0.25">
      <c r="B5060" t="str">
        <v>650-06: Benches, Park, Including Bus Stop Benches</v>
      </c>
    </row>
    <row r="5061" spans="2:2" x14ac:dyDescent="0.25">
      <c r="B5061" t="str">
        <v>650-10: Bicycle Racks</v>
      </c>
    </row>
    <row r="5062" spans="2:2" x14ac:dyDescent="0.25">
      <c r="B5062" t="str">
        <v>650-12: Climbers, Playground</v>
      </c>
    </row>
    <row r="5063" spans="2:2" x14ac:dyDescent="0.25">
      <c r="B5063" t="str">
        <v>650-18: Combination Sets, Playground</v>
      </c>
    </row>
    <row r="5064" spans="2:2" x14ac:dyDescent="0.25">
      <c r="B5064" t="str">
        <v>650-19: Fish Cleaning Stations</v>
      </c>
    </row>
    <row r="5065" spans="2:2" x14ac:dyDescent="0.25">
      <c r="B5065" t="str">
        <v>650-20: Fountains, Decorative</v>
      </c>
    </row>
    <row r="5066" spans="2:2" x14ac:dyDescent="0.25">
      <c r="B5066" t="str">
        <v>650-21: Fountains, Pet Drinking</v>
      </c>
    </row>
    <row r="5067" spans="2:2" x14ac:dyDescent="0.25">
      <c r="B5067" t="str">
        <v>650-23: Golf Course Maintenance Tools and Equipment (See Class 515 For Lawn Mowers)</v>
      </c>
    </row>
    <row r="5068" spans="2:2" x14ac:dyDescent="0.25">
      <c r="B5068" t="str">
        <v>650-24: Grill and Park Stoves, Outdoor</v>
      </c>
    </row>
    <row r="5069" spans="2:2" x14ac:dyDescent="0.25">
      <c r="B5069" t="str">
        <v>650-25: Groomers, Snow, Self-Propelled or Towed Behind</v>
      </c>
    </row>
    <row r="5070" spans="2:2" x14ac:dyDescent="0.25">
      <c r="B5070" t="str">
        <v>650-30: Ice Rink Resurfacer</v>
      </c>
    </row>
    <row r="5071" spans="2:2" x14ac:dyDescent="0.25">
      <c r="B5071" t="str">
        <v>650-36: Picnic Tables</v>
      </c>
    </row>
    <row r="5072" spans="2:2" x14ac:dyDescent="0.25">
      <c r="B5072" t="str">
        <v>650-38: Playground Equipment, (Not Otherwise Classified), (See 420-04 for Bleachers)</v>
      </c>
    </row>
    <row r="5073" spans="2:2" x14ac:dyDescent="0.25">
      <c r="B5073" t="str">
        <v>650-40: Pond Maintenance Equipment</v>
      </c>
    </row>
    <row r="5074" spans="2:2" x14ac:dyDescent="0.25">
      <c r="B5074" t="str">
        <v>650-46: Rakes/Screeners, Beach, Tractor Towed</v>
      </c>
    </row>
    <row r="5075" spans="2:2" x14ac:dyDescent="0.25">
      <c r="B5075" t="str">
        <v>650-48: Recycled Recreational and Park Equipment</v>
      </c>
    </row>
    <row r="5076" spans="2:2" x14ac:dyDescent="0.25">
      <c r="B5076" t="str">
        <v>650-50: Safety Surfaces, Playground</v>
      </c>
    </row>
    <row r="5077" spans="2:2" x14ac:dyDescent="0.25">
      <c r="B5077" t="str">
        <v>650-54: Seesaws, Playground</v>
      </c>
    </row>
    <row r="5078" spans="2:2" x14ac:dyDescent="0.25">
      <c r="B5078" t="str">
        <v>650-60: Slides, Playground</v>
      </c>
    </row>
    <row r="5079" spans="2:2" x14ac:dyDescent="0.25">
      <c r="B5079" t="str">
        <v>650-62: Sports Field Maintenance Equipment</v>
      </c>
    </row>
    <row r="5080" spans="2:2" x14ac:dyDescent="0.25">
      <c r="B5080" t="str">
        <v>650-66: Swimming Pools, Equipment, and Supplies: Heaters, Lights, and Vacuum Machines; for Chemicals See Class 885</v>
      </c>
    </row>
    <row r="5081" spans="2:2" x14ac:dyDescent="0.25">
      <c r="B5081" t="str">
        <v>650-72: Swings, Playground</v>
      </c>
    </row>
    <row r="5082" spans="2:2" x14ac:dyDescent="0.25">
      <c r="B5082" t="str">
        <v>650-75: Water Park Equipment: Slides, Splash Pads, Aqua Climb</v>
      </c>
    </row>
    <row r="5083" spans="2:2" x14ac:dyDescent="0.25">
      <c r="B5083" t="str">
        <v>650-78: Umbrellas, Lawn and Picnic Type</v>
      </c>
    </row>
    <row r="5084" spans="2:2" x14ac:dyDescent="0.25">
      <c r="B5084" t="str">
        <v>650-80: Whirls</v>
      </c>
    </row>
    <row r="5085" spans="2:2" x14ac:dyDescent="0.25">
      <c r="B5085" t="str">
        <v>652-12: Baby Powder, Lotions, Oils and Creams</v>
      </c>
    </row>
    <row r="5086" spans="2:2" x14ac:dyDescent="0.25">
      <c r="B5086" t="str">
        <v>652-15: Bath Accessories (Not Otherwise Classified)</v>
      </c>
    </row>
    <row r="5087" spans="2:2" x14ac:dyDescent="0.25">
      <c r="B5087" t="str">
        <v>652-16: Bath Powder, Shower Gel and Soaps, Including Talc</v>
      </c>
    </row>
    <row r="5088" spans="2:2" x14ac:dyDescent="0.25">
      <c r="B5088" t="str">
        <v>652-27: Combs and Brushes, Hair</v>
      </c>
    </row>
    <row r="5089" spans="2:2" x14ac:dyDescent="0.25">
      <c r="B5089" t="str">
        <v>652-29: Cosmetics and Skin Care: Colognes, Creams, Lipsticks, Lotions, Perfumes, Powders, Soaps w/Lotion, Sunscreen,  etc.</v>
      </c>
    </row>
    <row r="5090" spans="2:2" x14ac:dyDescent="0.25">
      <c r="B5090" t="str">
        <v>652-32: Dispensers for Personal Hygiene, Skin Care, and Grooming Equipment and Supplies</v>
      </c>
    </row>
    <row r="5091" spans="2:2" x14ac:dyDescent="0.25">
      <c r="B5091" t="str">
        <v>652-35: Electrolysis Equipment, Hair Removal</v>
      </c>
    </row>
    <row r="5092" spans="2:2" x14ac:dyDescent="0.25">
      <c r="B5092" t="str">
        <v>652-37: Deodorants, Body</v>
      </c>
    </row>
    <row r="5093" spans="2:2" x14ac:dyDescent="0.25">
      <c r="B5093" t="str">
        <v>652-39: Feminine Personal Hygiene Items: Sanitary Napkins, Pads and Belts, Tampons, etc.</v>
      </c>
    </row>
    <row r="5094" spans="2:2" x14ac:dyDescent="0.25">
      <c r="B5094" t="str">
        <v>652-42: Hair Cleaning and Conditioning Supplies: Colors, Creams, Dressings, Oils, Rinses, Shampoos, Sprays, Tonics, Waving Solutions, etc.</v>
      </c>
    </row>
    <row r="5095" spans="2:2" x14ac:dyDescent="0.25">
      <c r="B5095" t="str">
        <v>652-43: Hair Care Accessories: Bands, Curlers, Nets, Pins, Rollers, etc.</v>
      </c>
    </row>
    <row r="5096" spans="2:2" x14ac:dyDescent="0.25">
      <c r="B5096" t="str">
        <v>652-50: Manicuring Equipment and Supplies: Nail Files, Nail Clippers, Nail Polish, Polish Remover, etc.</v>
      </c>
    </row>
    <row r="5097" spans="2:2" x14ac:dyDescent="0.25">
      <c r="B5097" t="str">
        <v>652-54: Mouthwash</v>
      </c>
    </row>
    <row r="5098" spans="2:2" x14ac:dyDescent="0.25">
      <c r="B5098" t="str">
        <v>652-57: Personal Hygiene Kits for Men and Women, Including Toothpaste, Shampoo, Deodorant, etc.</v>
      </c>
    </row>
    <row r="5099" spans="2:2" x14ac:dyDescent="0.25">
      <c r="B5099" t="str">
        <v>652-64: Razors and Blades, Electric</v>
      </c>
    </row>
    <row r="5100" spans="2:2" x14ac:dyDescent="0.25">
      <c r="B5100" t="str">
        <v>652-65: Razors and Blades, Safety</v>
      </c>
    </row>
    <row r="5101" spans="2:2" x14ac:dyDescent="0.25">
      <c r="B5101" t="str">
        <v>652-66: Razors and Keys, Security</v>
      </c>
    </row>
    <row r="5102" spans="2:2" x14ac:dyDescent="0.25">
      <c r="B5102" t="str">
        <v>652-67: Razors, Shaper and Straight</v>
      </c>
    </row>
    <row r="5103" spans="2:2" x14ac:dyDescent="0.25">
      <c r="B5103" t="str">
        <v>652-70: Recycled Personal Hygiene and Grooming Equipment and Supplies</v>
      </c>
    </row>
    <row r="5104" spans="2:2" x14ac:dyDescent="0.25">
      <c r="B5104" t="str">
        <v>652-75: Shaving Supplies: Soaps, Brushes, Creams, Lathers, Lotions, etc.</v>
      </c>
    </row>
    <row r="5105" spans="2:2" x14ac:dyDescent="0.25">
      <c r="B5105" t="str">
        <v>652-84: Toothbrushes and Holders</v>
      </c>
    </row>
    <row r="5106" spans="2:2" x14ac:dyDescent="0.25">
      <c r="B5106" t="str">
        <v>652-85: Tooth Paste, Polish, and Powders</v>
      </c>
    </row>
    <row r="5107" spans="2:2" x14ac:dyDescent="0.25">
      <c r="B5107" t="str">
        <v>652-89: Valets and Vanity Kits</v>
      </c>
    </row>
    <row r="5108" spans="2:2" x14ac:dyDescent="0.25">
      <c r="B5108" t="str">
        <v>652-91: Wigs, Wiglets, Holders, and Manikins</v>
      </c>
    </row>
    <row r="5109" spans="2:2" x14ac:dyDescent="0.25">
      <c r="B5109" t="str">
        <v>655-04: Albums and Organizers, Picture</v>
      </c>
    </row>
    <row r="5110" spans="2:2" x14ac:dyDescent="0.25">
      <c r="B5110" t="str">
        <v>655-05: Animation Equipment and Supplies</v>
      </c>
    </row>
    <row r="5111" spans="2:2" x14ac:dyDescent="0.25">
      <c r="B5111" t="str">
        <v>655-15: Camera Accessories: Batteries, Exposure Meters, Light Meters, Flash Equipment and Bar Lights (See Class 285 for Lamps), Power Packs and Chargers, Tripods, etc.</v>
      </c>
    </row>
    <row r="5112" spans="2:2" x14ac:dyDescent="0.25">
      <c r="B5112" t="str">
        <v>655-20: Camera Attachments: Adapter Rings, Collimators, Filters, Lenses, etc.</v>
      </c>
    </row>
    <row r="5113" spans="2:2" x14ac:dyDescent="0.25">
      <c r="B5113" t="str">
        <v>655-25: Camera Carrying Cases, Gadget Bags, etc.</v>
      </c>
    </row>
    <row r="5114" spans="2:2" x14ac:dyDescent="0.25">
      <c r="B5114" t="str">
        <v>655-27: Camera Tools, Books, Instruction Manuals, etc.</v>
      </c>
    </row>
    <row r="5115" spans="2:2" x14ac:dyDescent="0.25">
      <c r="B5115" t="str">
        <v>655-29: *Cameras, Digital Type, Including Digital Network Cameras</v>
      </c>
    </row>
    <row r="5116" spans="2:2" x14ac:dyDescent="0.25">
      <c r="B5116" t="str">
        <v>655-30: Cameras, Movie, Including Parts and Accessories</v>
      </c>
    </row>
    <row r="5117" spans="2:2" x14ac:dyDescent="0.25">
      <c r="B5117" t="str">
        <v>655-35: Cameras, Still, Non-specialized, Including  Infrared Types, Self-Developing Types, etc.</v>
      </c>
    </row>
    <row r="5118" spans="2:2" x14ac:dyDescent="0.25">
      <c r="B5118" t="str">
        <v>655-39: Cameras, Still, Specialized, Including Complete Systems for Medical and Dental Photography, Photomicrography, etc.</v>
      </c>
    </row>
    <row r="5119" spans="2:2" x14ac:dyDescent="0.25">
      <c r="B5119" t="str">
        <v>655-40: *Cameras, Video, Portable, Body and Dash Cams</v>
      </c>
    </row>
    <row r="5120" spans="2:2" x14ac:dyDescent="0.25">
      <c r="B5120" t="str">
        <v>655-41: Chemicals, Photographic</v>
      </c>
    </row>
    <row r="5121" spans="2:2" x14ac:dyDescent="0.25">
      <c r="B5121" t="str">
        <v>655-43: Color Film Adhesive, For Adding Color to Visuals</v>
      </c>
    </row>
    <row r="5122" spans="2:2" x14ac:dyDescent="0.25">
      <c r="B5122" t="str">
        <v>655-50: Copying Equipment, Including Slide Duplicators</v>
      </c>
    </row>
    <row r="5123" spans="2:2" x14ac:dyDescent="0.25">
      <c r="B5123" t="str">
        <v>655-55: Darkroom Equipment, Not Graphic Arts Type: Cabinets, Color Analyzers, Counters, Densitometers, Developing Tanks, Enlargers, etc.</v>
      </c>
    </row>
    <row r="5124" spans="2:2" x14ac:dyDescent="0.25">
      <c r="B5124" t="str">
        <v>655-60: Darkroom Supplies: Enlarger Easels, Film Holders, Film Loaders, Lens Cleaner, Safelights and Filters, Thermometers, Timers, Trays, Water Filtering Elements, etc.</v>
      </c>
    </row>
    <row r="5125" spans="2:2" x14ac:dyDescent="0.25">
      <c r="B5125" t="str">
        <v>655-66: Film Developing and Processing Equipment, (Not Otherwise Classified)</v>
      </c>
    </row>
    <row r="5126" spans="2:2" x14ac:dyDescent="0.25">
      <c r="B5126" t="str">
        <v>655-67: Film, Photographic, Including Movie Films and Polaroid Type</v>
      </c>
    </row>
    <row r="5127" spans="2:2" x14ac:dyDescent="0.25">
      <c r="B5127" t="str">
        <v>655-71: Paper and Plates, Photographic</v>
      </c>
    </row>
    <row r="5128" spans="2:2" x14ac:dyDescent="0.25">
      <c r="B5128" t="str">
        <v>655-78: *Photo Identification Systems, Complete</v>
      </c>
    </row>
    <row r="5129" spans="2:2" x14ac:dyDescent="0.25">
      <c r="B5129" t="str">
        <v>655-79: Recycled Photographic Equipment and Supplies</v>
      </c>
    </row>
    <row r="5130" spans="2:2" x14ac:dyDescent="0.25">
      <c r="B5130" t="str">
        <v>655-80: Silver Recovery Devices</v>
      </c>
    </row>
    <row r="5131" spans="2:2" x14ac:dyDescent="0.25">
      <c r="B5131" t="str">
        <v>655-84: Slide Maker, Computerized</v>
      </c>
    </row>
    <row r="5132" spans="2:2" x14ac:dyDescent="0.25">
      <c r="B5132" t="str">
        <v>655-85: Slide Preparation Supplies: Mounting Presses, Mounts, etc.</v>
      </c>
    </row>
    <row r="5133" spans="2:2" x14ac:dyDescent="0.25">
      <c r="B5133" t="str">
        <v>655-88: Storage and Mailing Materials, For Negatives, Prints, or Slides: Envelopes, Files, Sleeves, etc.</v>
      </c>
    </row>
    <row r="5134" spans="2:2" x14ac:dyDescent="0.25">
      <c r="B5134" t="str">
        <v>655-90: Studio Production Equipment: Backdrop Mechanisms, Floods, Posing Stools, Reflectors, Spots, Stands, Strobe Systems, etc. (See Class 285 for Lamps)</v>
      </c>
    </row>
    <row r="5135" spans="2:2" x14ac:dyDescent="0.25">
      <c r="B5135" t="str">
        <v>655-92: Transparency Film</v>
      </c>
    </row>
    <row r="5136" spans="2:2" x14ac:dyDescent="0.25">
      <c r="B5136" t="str">
        <v>655-95: Video Equipment and Accessories</v>
      </c>
    </row>
    <row r="5137" spans="2:2" x14ac:dyDescent="0.25">
      <c r="B5137" t="str">
        <v>655-96: *Video Capturing Devices Connected to Computers or Computer Networks, Web Cameras</v>
      </c>
    </row>
    <row r="5138" spans="2:2" x14ac:dyDescent="0.25">
      <c r="B5138" t="str">
        <v>658-02: Brass, Plumbing Tubular Goods</v>
      </c>
    </row>
    <row r="5139" spans="2:2" x14ac:dyDescent="0.25">
      <c r="B5139" t="str">
        <v>658-04: Pipe, Alloy Steel, Chrome, Chrome-Moly, Ferrous and Non Ferrous Alloy, Stainless</v>
      </c>
    </row>
    <row r="5140" spans="2:2" x14ac:dyDescent="0.25">
      <c r="B5140" t="str">
        <v>658-05: Pipe, Aluminum  (Inactive, please see commodity code 658-09 effective January 1, 2016)</v>
      </c>
    </row>
    <row r="5141" spans="2:2" x14ac:dyDescent="0.25">
      <c r="B5141" t="str">
        <v>658-09: Pipe, Aluminum, Lead, Magnesium. Metal. Tin. Titanium, Zinc</v>
      </c>
    </row>
    <row r="5142" spans="2:2" x14ac:dyDescent="0.25">
      <c r="B5142" t="str">
        <v>658-18: Pipe, Bituminized Fiber, Concrete, Clay, Fiberglass, Rubber, Terra Cotta</v>
      </c>
    </row>
    <row r="5143" spans="2:2" x14ac:dyDescent="0.25">
      <c r="B5143" t="str">
        <v>658-19: Pipe, Bonded, All Types  (Inactive, please see commodity code 658-18 effective January 1, 2016)</v>
      </c>
    </row>
    <row r="5144" spans="2:2" x14ac:dyDescent="0.25">
      <c r="B5144" t="str">
        <v>658-22: Pipe, Brass, Bronze, Copper</v>
      </c>
    </row>
    <row r="5145" spans="2:2" x14ac:dyDescent="0.25">
      <c r="B5145" t="str">
        <v>658-24: Pipe, Bronze (Inactive, please see commodity code 658-22 effective January 1, 2016)</v>
      </c>
    </row>
    <row r="5146" spans="2:2" x14ac:dyDescent="0.25">
      <c r="B5146" t="str">
        <v>658-28: Pipe, Cast Iron  (Inactive, please see commodity code 658-46 effective January 1, 2016)</v>
      </c>
    </row>
    <row r="5147" spans="2:2" x14ac:dyDescent="0.25">
      <c r="B5147" t="str">
        <v>658-30: Pipe, Chrome  (Inactive, please see commodity code 658-04 effective January 1, 2016)</v>
      </c>
    </row>
    <row r="5148" spans="2:2" x14ac:dyDescent="0.25">
      <c r="B5148" t="str">
        <v>658-31: Pipe, Clay, Terra Cotta (Inactive, please see commodity code 658-18 effective January 1, 2016)</v>
      </c>
    </row>
    <row r="5149" spans="2:2" x14ac:dyDescent="0.25">
      <c r="B5149" t="str">
        <v>658-34: Pipe, Concrete  (Inactive, please see commodity code 658-18 effective January 1, 2016)</v>
      </c>
    </row>
    <row r="5150" spans="2:2" x14ac:dyDescent="0.25">
      <c r="B5150" t="str">
        <v>658-35: Pipe, Copper  (Inactive, please see commodity code 658-22 effective January 1, 2016)</v>
      </c>
    </row>
    <row r="5151" spans="2:2" x14ac:dyDescent="0.25">
      <c r="B5151" t="str">
        <v>658-40: Pipe, Ferrous Alloy  (Inactive, please see commodity code 658-04 effective January 1, 2016)</v>
      </c>
    </row>
    <row r="5152" spans="2:2" x14ac:dyDescent="0.25">
      <c r="B5152" t="str">
        <v>658-41: Pipe, Fiberglass  (Inactive, please see commodity code 658-18 effective January 1, 2016)</v>
      </c>
    </row>
    <row r="5153" spans="2:2" x14ac:dyDescent="0.25">
      <c r="B5153" t="str">
        <v>658-46: Pipe, Iron, Including Ductile Iron Pipe and Cast Iron Pipe</v>
      </c>
    </row>
    <row r="5154" spans="2:2" x14ac:dyDescent="0.25">
      <c r="B5154" t="str">
        <v>658-50: Pipe, Lead  (Inactive, please see commodity code 658-09 effective January 1, 2016)</v>
      </c>
    </row>
    <row r="5155" spans="2:2" x14ac:dyDescent="0.25">
      <c r="B5155" t="str">
        <v>658-52: Pipe, Magnesium (Inactive, please see commodity code 658-09 effective January 1, 2016)</v>
      </c>
    </row>
    <row r="5156" spans="2:2" x14ac:dyDescent="0.25">
      <c r="B5156" t="str">
        <v>658-54: Pipe, Non-Ferrous Alloy (Inactive, please see commodity code 658-04 effective January 1, 2016)</v>
      </c>
    </row>
    <row r="5157" spans="2:2" x14ac:dyDescent="0.25">
      <c r="B5157" t="str">
        <v>658-56: Pipe, Plastic, Including Fiber Reinforced Plastic Pipe, Polybutylene Pipe, PVC</v>
      </c>
    </row>
    <row r="5158" spans="2:2" x14ac:dyDescent="0.25">
      <c r="B5158" t="str">
        <v>658-58: Pipe, Polyethylene  (Inactive, please see commodity code 658-56 effective January 1, 2016) (Inactive, please see commodity code 658-60 effective January 1, 2016)</v>
      </c>
    </row>
    <row r="5159" spans="2:2" x14ac:dyDescent="0.25">
      <c r="B5159" t="str">
        <v>658-60: Pipe, PVC (Polyvinyl Chloride) (Inactive, please see commodity code 658-56 effective January 1, 2016)</v>
      </c>
    </row>
    <row r="5160" spans="2:2" x14ac:dyDescent="0.25">
      <c r="B5160" t="str">
        <v>658-68: Pipe, Rubber (Inactive, please see commodity code 658-18 effective January 1, 2016)</v>
      </c>
    </row>
    <row r="5161" spans="2:2" x14ac:dyDescent="0.25">
      <c r="B5161" t="str">
        <v>658-74: Pipe, Soil  (Inactive, please see commodity code 658-28 effective January 1, 2016)</v>
      </c>
    </row>
    <row r="5162" spans="2:2" x14ac:dyDescent="0.25">
      <c r="B5162" t="str">
        <v>658-77: Pipe, Stainless Steel  (Inactive, please see commodity code 658-80 effective January 1, 2016)</v>
      </c>
    </row>
    <row r="5163" spans="2:2" x14ac:dyDescent="0.25">
      <c r="B5163" t="str">
        <v>658-80: Pipe, Steel, Stainless Steel and Wrought Steel</v>
      </c>
    </row>
    <row r="5164" spans="2:2" x14ac:dyDescent="0.25">
      <c r="B5164" t="str">
        <v>658-81: Pipe, Threaded</v>
      </c>
    </row>
    <row r="5165" spans="2:2" x14ac:dyDescent="0.25">
      <c r="B5165" t="str">
        <v>658-82: Pipe, Steel, Wrought  (Inactive, please see commodity code 658-80 effective January 1, 2016)</v>
      </c>
    </row>
    <row r="5166" spans="2:2" x14ac:dyDescent="0.25">
      <c r="B5166" t="str">
        <v>658-83: Pipe, Tin  (Inactive, please see commodity code 658-09 effective January 1, 2016)</v>
      </c>
    </row>
    <row r="5167" spans="2:2" x14ac:dyDescent="0.25">
      <c r="B5167" t="str">
        <v>658-84: Pipe, Titanium  (Inactive, please see commodity code 658-09 effective January 1, 2016)</v>
      </c>
    </row>
    <row r="5168" spans="2:2" x14ac:dyDescent="0.25">
      <c r="B5168" t="str">
        <v>658-86: Pipe, Unthreaded (Inactive, please see commodity code 658-81 effective January 1, 2016)</v>
      </c>
    </row>
    <row r="5169" spans="2:2" x14ac:dyDescent="0.25">
      <c r="B5169" t="str">
        <v>658-87: Pipe, Zinc (Inactive, please see commodity code 658-09 effective January 1, 2016)</v>
      </c>
    </row>
    <row r="5170" spans="2:2" x14ac:dyDescent="0.25">
      <c r="B5170" t="str">
        <v>658-88: Tubing: Brass, Bronze, and Copper (See 570-91 for Structural Tubing)</v>
      </c>
    </row>
    <row r="5171" spans="2:2" x14ac:dyDescent="0.25">
      <c r="B5171" t="str">
        <v>658-89: Tubing, Ferrous and Non-Ferrous Alloy</v>
      </c>
    </row>
    <row r="5172" spans="2:2" x14ac:dyDescent="0.25">
      <c r="B5172" t="str">
        <v>658-90: Tubing: Iron, Lead, Magnesium</v>
      </c>
    </row>
    <row r="5173" spans="2:2" x14ac:dyDescent="0.25">
      <c r="B5173" t="str">
        <v>658-91: Tubing, Plastic and PVC</v>
      </c>
    </row>
    <row r="5174" spans="2:2" x14ac:dyDescent="0.25">
      <c r="B5174" t="str">
        <v>658-93: Tubing: Tin, Titanium, Zinc  (Inactive, please see commodity code 658-97 effective January 1, 2016)</v>
      </c>
    </row>
    <row r="5175" spans="2:2" x14ac:dyDescent="0.25">
      <c r="B5175" t="str">
        <v>658-94: Tubing, Stainless Steel (See 570-91 for Structural Tubing)</v>
      </c>
    </row>
    <row r="5176" spans="2:2" x14ac:dyDescent="0.25">
      <c r="B5176" t="str">
        <v>658-95: Tubing, Steel (Inactive, please see commodity code 658-94 effective January 1, 2016)</v>
      </c>
    </row>
    <row r="5177" spans="2:2" x14ac:dyDescent="0.25">
      <c r="B5177" t="str">
        <v>658-96: Recycled Pipe and Tubing</v>
      </c>
    </row>
    <row r="5178" spans="2:2" x14ac:dyDescent="0.25">
      <c r="B5178" t="str">
        <v>658-97: Tubing (Not Otherwise Classified)</v>
      </c>
    </row>
    <row r="5179" spans="2:2" x14ac:dyDescent="0.25">
      <c r="B5179" t="str">
        <v>659-06: Adapters</v>
      </c>
    </row>
    <row r="5180" spans="2:2" x14ac:dyDescent="0.25">
      <c r="B5180" t="str">
        <v>659-16: Bands</v>
      </c>
    </row>
    <row r="5181" spans="2:2" x14ac:dyDescent="0.25">
      <c r="B5181" t="str">
        <v>659-17: Bends</v>
      </c>
    </row>
    <row r="5182" spans="2:2" x14ac:dyDescent="0.25">
      <c r="B5182" t="str">
        <v>659-24: Bushings</v>
      </c>
    </row>
    <row r="5183" spans="2:2" x14ac:dyDescent="0.25">
      <c r="B5183" t="str">
        <v>659-27: Caps</v>
      </c>
    </row>
    <row r="5184" spans="2:2" x14ac:dyDescent="0.25">
      <c r="B5184" t="str">
        <v>659-30: Connectors</v>
      </c>
    </row>
    <row r="5185" spans="2:2" x14ac:dyDescent="0.25">
      <c r="B5185" t="str">
        <v>659-33: Couplings</v>
      </c>
    </row>
    <row r="5186" spans="2:2" x14ac:dyDescent="0.25">
      <c r="B5186" t="str">
        <v>659-36: Crosses, Crossovers, Curves</v>
      </c>
    </row>
    <row r="5187" spans="2:2" x14ac:dyDescent="0.25">
      <c r="B5187" t="str">
        <v>659-39: Elbows, Miscellaneous</v>
      </c>
    </row>
    <row r="5188" spans="2:2" x14ac:dyDescent="0.25">
      <c r="B5188" t="str">
        <v>659-40: Elbows, Steel</v>
      </c>
    </row>
    <row r="5189" spans="2:2" x14ac:dyDescent="0.25">
      <c r="B5189" t="str">
        <v>659-41: Elbows, Other than Steel</v>
      </c>
    </row>
    <row r="5190" spans="2:2" x14ac:dyDescent="0.25">
      <c r="B5190" t="str">
        <v>659-42: Ells</v>
      </c>
    </row>
    <row r="5191" spans="2:2" x14ac:dyDescent="0.25">
      <c r="B5191" t="str">
        <v>659-43: Extensions, Pipe</v>
      </c>
    </row>
    <row r="5192" spans="2:2" x14ac:dyDescent="0.25">
      <c r="B5192" t="str">
        <v>659-44: Ferrules, Flanges, Glands</v>
      </c>
    </row>
    <row r="5193" spans="2:2" x14ac:dyDescent="0.25">
      <c r="B5193" t="str">
        <v>659-47: Hubs, Increasers, Inserts, Joints</v>
      </c>
    </row>
    <row r="5194" spans="2:2" x14ac:dyDescent="0.25">
      <c r="B5194" t="str">
        <v>659-50: Laterals, Nipples</v>
      </c>
    </row>
    <row r="5195" spans="2:2" x14ac:dyDescent="0.25">
      <c r="B5195" t="str">
        <v>659-51: Lining, Pipe, Cement, Cure-in-place, Epoxy, Trenchless, etc.</v>
      </c>
    </row>
    <row r="5196" spans="2:2" x14ac:dyDescent="0.25">
      <c r="B5196" t="str">
        <v>659-54: Offsets, Plugs, Pipe Rests</v>
      </c>
    </row>
    <row r="5197" spans="2:2" x14ac:dyDescent="0.25">
      <c r="B5197" t="str">
        <v>659-55: Pipe Repair Clamps, Couplings, Leak Kits, etc.</v>
      </c>
    </row>
    <row r="5198" spans="2:2" x14ac:dyDescent="0.25">
      <c r="B5198" t="str">
        <v>659-65: Reducers</v>
      </c>
    </row>
    <row r="5199" spans="2:2" x14ac:dyDescent="0.25">
      <c r="B5199" t="str">
        <v>659-73: Saddles, Sleeves, Straps</v>
      </c>
    </row>
    <row r="5200" spans="2:2" x14ac:dyDescent="0.25">
      <c r="B5200" t="str">
        <v>659-78: Tubing Fittings: Brass, Bronze, and Copper</v>
      </c>
    </row>
    <row r="5201" spans="2:2" x14ac:dyDescent="0.25">
      <c r="B5201" t="str">
        <v>659-79: Tubing Fittings, Plastic, PVC</v>
      </c>
    </row>
    <row r="5202" spans="2:2" x14ac:dyDescent="0.25">
      <c r="B5202" t="str">
        <v>659-80: Tubing Fittings, Stainless Steel</v>
      </c>
    </row>
    <row r="5203" spans="2:2" x14ac:dyDescent="0.25">
      <c r="B5203" t="str">
        <v>659-81: Tubing Fittings, Steel</v>
      </c>
    </row>
    <row r="5204" spans="2:2" x14ac:dyDescent="0.25">
      <c r="B5204" t="str">
        <v>659-83: Tees, Compression, Miscellaneous</v>
      </c>
    </row>
    <row r="5205" spans="2:2" x14ac:dyDescent="0.25">
      <c r="B5205" t="str">
        <v>659-84: Tees, Steel</v>
      </c>
    </row>
    <row r="5206" spans="2:2" x14ac:dyDescent="0.25">
      <c r="B5206" t="str">
        <v>659-85: Tees, Other Than Steel</v>
      </c>
    </row>
    <row r="5207" spans="2:2" x14ac:dyDescent="0.25">
      <c r="B5207" t="str">
        <v>659-87: Unions</v>
      </c>
    </row>
    <row r="5208" spans="2:2" x14ac:dyDescent="0.25">
      <c r="B5208" t="str">
        <v>659-90: Vees (V)</v>
      </c>
    </row>
    <row r="5209" spans="2:2" x14ac:dyDescent="0.25">
      <c r="B5209" t="str">
        <v>659-94: Wyes (Y)</v>
      </c>
    </row>
    <row r="5210" spans="2:2" x14ac:dyDescent="0.25">
      <c r="B5210" t="str">
        <v>659-96: Recycled Pipe and Tubing Fittings</v>
      </c>
    </row>
    <row r="5211" spans="2:2" x14ac:dyDescent="0.25">
      <c r="B5211" t="str">
        <v>659-97: Pipe Fittings, Misc. (Not Otherwise Classified)</v>
      </c>
    </row>
    <row r="5212" spans="2:2" x14ac:dyDescent="0.25">
      <c r="B5212" t="str">
        <v>660-05: Alcoholic Beverages, All Types</v>
      </c>
    </row>
    <row r="5213" spans="2:2" x14ac:dyDescent="0.25">
      <c r="B5213" t="str">
        <v>660-10: Cigarettes and Electronic Cigarettes</v>
      </c>
    </row>
    <row r="5214" spans="2:2" x14ac:dyDescent="0.25">
      <c r="B5214" t="str">
        <v>660-15: Cigars</v>
      </c>
    </row>
    <row r="5215" spans="2:2" x14ac:dyDescent="0.25">
      <c r="B5215" t="str">
        <v>660-23: Lighters, Cigarette</v>
      </c>
    </row>
    <row r="5216" spans="2:2" x14ac:dyDescent="0.25">
      <c r="B5216" t="str">
        <v>660-29: Papers and Storage Bags, Tobacco</v>
      </c>
    </row>
    <row r="5217" spans="2:2" x14ac:dyDescent="0.25">
      <c r="B5217" t="str">
        <v>660-30: Pipes, Smoking, All Types; and Pipe Cleaners, Filters, etc.</v>
      </c>
    </row>
    <row r="5218" spans="2:2" x14ac:dyDescent="0.25">
      <c r="B5218" t="str">
        <v>660-40: Snuff</v>
      </c>
    </row>
    <row r="5219" spans="2:2" x14ac:dyDescent="0.25">
      <c r="B5219" t="str">
        <v>660-42: Holders, Cigarette and Cigar</v>
      </c>
    </row>
    <row r="5220" spans="2:2" x14ac:dyDescent="0.25">
      <c r="B5220" t="str">
        <v>660-50: Tobacco, Chewing</v>
      </c>
    </row>
    <row r="5221" spans="2:2" x14ac:dyDescent="0.25">
      <c r="B5221" t="str">
        <v>660-60: Tobacco, Smoking</v>
      </c>
    </row>
    <row r="5222" spans="2:2" x14ac:dyDescent="0.25">
      <c r="B5222" t="str">
        <v>660-63: Tobacco and Smoking Accessories, Scrap or Waste</v>
      </c>
    </row>
    <row r="5223" spans="2:2" x14ac:dyDescent="0.25">
      <c r="B5223" t="str">
        <v>660-95: Recycled Tobacco and Alcoholic Beverages Accessories and Supplies</v>
      </c>
    </row>
    <row r="5224" spans="2:2" x14ac:dyDescent="0.25">
      <c r="B5224" t="str">
        <v>665-06: Acetate Film and Sheets</v>
      </c>
    </row>
    <row r="5225" spans="2:2" x14ac:dyDescent="0.25">
      <c r="B5225" t="str">
        <v>665-10: Acrylic, Liquid</v>
      </c>
    </row>
    <row r="5226" spans="2:2" x14ac:dyDescent="0.25">
      <c r="B5226" t="str">
        <v>665-12: Acrylic Rods and Tubes, Methyl Methacrylate</v>
      </c>
    </row>
    <row r="5227" spans="2:2" x14ac:dyDescent="0.25">
      <c r="B5227" t="str">
        <v>665-16: Acrylic Mirrors</v>
      </c>
    </row>
    <row r="5228" spans="2:2" x14ac:dyDescent="0.25">
      <c r="B5228" t="str">
        <v>665-17: Acrylic Polymer and Natural Material Blends, Corian</v>
      </c>
    </row>
    <row r="5229" spans="2:2" x14ac:dyDescent="0.25">
      <c r="B5229" t="str">
        <v>665-18: Acrylic Sheets, Methyl Methacrylate, Plexiglass</v>
      </c>
    </row>
    <row r="5230" spans="2:2" x14ac:dyDescent="0.25">
      <c r="B5230" t="str">
        <v>665-21: Bag Sealing Equipment, Including Tape and Accessories</v>
      </c>
    </row>
    <row r="5231" spans="2:2" x14ac:dyDescent="0.25">
      <c r="B5231" t="str">
        <v>665-23: Bumper and Guard Rails, Poly. (See Class 570 for Metal Type)</v>
      </c>
    </row>
    <row r="5232" spans="2:2" x14ac:dyDescent="0.25">
      <c r="B5232" t="str">
        <v>665-24: Bags and Liners, Plastic: Garbage Can Liners, Janitor Cart Liners, Linen Hamper Liners, Litter Bags, Polyethylene Bags, etc., Including Biodegradable (Inactive, please see commodity code 485-05 effective January 1, 2016)</v>
      </c>
    </row>
    <row r="5233" spans="2:2" x14ac:dyDescent="0.25">
      <c r="B5233" t="str">
        <v>665-25: Burnishers for Plastic</v>
      </c>
    </row>
    <row r="5234" spans="2:2" x14ac:dyDescent="0.25">
      <c r="B5234" t="str">
        <v>665-26: Contact Cement, For Plastic Laminates</v>
      </c>
    </row>
    <row r="5235" spans="2:2" x14ac:dyDescent="0.25">
      <c r="B5235" t="str">
        <v>665-27: Coatings, Protective for Plastics, etc.</v>
      </c>
    </row>
    <row r="5236" spans="2:2" x14ac:dyDescent="0.25">
      <c r="B5236" t="str">
        <v>665-28: Edging Tape, Polypropylene, For Mesh Screening</v>
      </c>
    </row>
    <row r="5237" spans="2:2" x14ac:dyDescent="0.25">
      <c r="B5237" t="str">
        <v>665-30: Engraving Machines, For Nameplates, Accessories, and Stock, Laminated</v>
      </c>
    </row>
    <row r="5238" spans="2:2" x14ac:dyDescent="0.25">
      <c r="B5238" t="str">
        <v>665-32: Envelopes, Plastic and Poly.  (Inactive, please see commodity code 310-31 effective January 1, 2016)</v>
      </c>
    </row>
    <row r="5239" spans="2:2" x14ac:dyDescent="0.25">
      <c r="B5239" t="str">
        <v>665-33: Fiberglass Structural Shapes: Angles, Channels, I-Beams, etc.</v>
      </c>
    </row>
    <row r="5240" spans="2:2" x14ac:dyDescent="0.25">
      <c r="B5240" t="str">
        <v>665-34: Fiberglass, Plastic and Poly. Castings</v>
      </c>
    </row>
    <row r="5241" spans="2:2" x14ac:dyDescent="0.25">
      <c r="B5241" t="str">
        <v>665-35: Fiberglass Sheets, Panels, etc., Including Reinforced Types</v>
      </c>
    </row>
    <row r="5242" spans="2:2" x14ac:dyDescent="0.25">
      <c r="B5242" t="str">
        <v>665-36: Fiberglass Supplies: Catalysts, Cloth, Resins, etc.</v>
      </c>
    </row>
    <row r="5243" spans="2:2" x14ac:dyDescent="0.25">
      <c r="B5243" t="str">
        <v>665-37: Gratings: Fiberglass, Plastic, Poly., etc.</v>
      </c>
    </row>
    <row r="5244" spans="2:2" x14ac:dyDescent="0.25">
      <c r="B5244" t="str">
        <v>665-38: Heat Sealing Equipment, Film, and Supplies</v>
      </c>
    </row>
    <row r="5245" spans="2:2" x14ac:dyDescent="0.25">
      <c r="B5245" t="str">
        <v>665-41: Laminates, Polycarbonate: Ballistic, Break-Resistant and Forced Entry Types</v>
      </c>
    </row>
    <row r="5246" spans="2:2" x14ac:dyDescent="0.25">
      <c r="B5246" t="str">
        <v>665-42: Laminating Presses, Film, ID Pouches, and Supplies</v>
      </c>
    </row>
    <row r="5247" spans="2:2" x14ac:dyDescent="0.25">
      <c r="B5247" t="str">
        <v>665-44: Landfill Liners and Covers</v>
      </c>
    </row>
    <row r="5248" spans="2:2" x14ac:dyDescent="0.25">
      <c r="B5248" t="str">
        <v>665-48: Mesh Screening, Fiberglass and Plastic</v>
      </c>
    </row>
    <row r="5249" spans="2:2" x14ac:dyDescent="0.25">
      <c r="B5249" t="str">
        <v>665-54: Nameplates, Engraved and Easels (Inactive, please see commodity code 080-30 effective January 1, 2016)</v>
      </c>
    </row>
    <row r="5250" spans="2:2" x14ac:dyDescent="0.25">
      <c r="B5250" t="str">
        <v>665-59: Pilings, Plastic</v>
      </c>
    </row>
    <row r="5251" spans="2:2" x14ac:dyDescent="0.25">
      <c r="B5251" t="str">
        <v>665-60: Plastic Rods and Tubes, Except Acrylic</v>
      </c>
    </row>
    <row r="5252" spans="2:2" x14ac:dyDescent="0.25">
      <c r="B5252" t="str">
        <v>665-66: Plastic Forming and Molding Equipment: Blow Molding, Extrusion Equipment, Injection Molding, Vacuum Forming, etc.</v>
      </c>
    </row>
    <row r="5253" spans="2:2" x14ac:dyDescent="0.25">
      <c r="B5253" t="str">
        <v>665-67: Plastic Forming and Molding Supplies: Catalysts, Colorants, Mold Release Compounds, Resins, etc.</v>
      </c>
    </row>
    <row r="5254" spans="2:2" x14ac:dyDescent="0.25">
      <c r="B5254" t="str">
        <v>665-68: Plastics Processing Equipment and Supplies (Not Otherwise Classified)</v>
      </c>
    </row>
    <row r="5255" spans="2:2" x14ac:dyDescent="0.25">
      <c r="B5255" t="str">
        <v>665-69: Polypropylene Film, Rods, Tubes, etc.</v>
      </c>
    </row>
    <row r="5256" spans="2:2" x14ac:dyDescent="0.25">
      <c r="B5256" t="str">
        <v>665-70: Plastics and Related Products, Scrap or Waste</v>
      </c>
    </row>
    <row r="5257" spans="2:2" x14ac:dyDescent="0.25">
      <c r="B5257" t="str">
        <v>665-71: Plastic Laminates: Decorative, High and Low Pressure Type Veneers, Used for Desk Tops, Cabinetry, etc.</v>
      </c>
    </row>
    <row r="5258" spans="2:2" x14ac:dyDescent="0.25">
      <c r="B5258" t="str">
        <v>665-72: Plastic, Polyethylene and Fiberglass Products and Supplies, Recycled</v>
      </c>
    </row>
    <row r="5259" spans="2:2" x14ac:dyDescent="0.25">
      <c r="B5259" t="str">
        <v>665-73: Plastic Sheets and Strips, Except Acetate, Acrylic, and Polycarbonate</v>
      </c>
    </row>
    <row r="5260" spans="2:2" x14ac:dyDescent="0.25">
      <c r="B5260" t="str">
        <v>665-74: Plastic Edge Molding, For Desks, Counter Tops, and Tables</v>
      </c>
    </row>
    <row r="5261" spans="2:2" x14ac:dyDescent="0.25">
      <c r="B5261" t="str">
        <v>665-75: Polyimide Film</v>
      </c>
    </row>
    <row r="5262" spans="2:2" x14ac:dyDescent="0.25">
      <c r="B5262" t="str">
        <v>665-76: Polycarbonate Sheets</v>
      </c>
    </row>
    <row r="5263" spans="2:2" x14ac:dyDescent="0.25">
      <c r="B5263" t="str">
        <v>665-77: Polyethylene Bags, Self-Sealing, Reclosable</v>
      </c>
    </row>
    <row r="5264" spans="2:2" x14ac:dyDescent="0.25">
      <c r="B5264" t="str">
        <v>665-78: Polyethylene Film, Rods, Tubes, etc.</v>
      </c>
    </row>
    <row r="5265" spans="2:2" x14ac:dyDescent="0.25">
      <c r="B5265" t="str">
        <v>665-79: Polyvinyl Chloride Rods and Sheets</v>
      </c>
    </row>
    <row r="5266" spans="2:2" x14ac:dyDescent="0.25">
      <c r="B5266" t="str">
        <v>665-80: Polyethylene Film, Reinforced</v>
      </c>
    </row>
    <row r="5267" spans="2:2" x14ac:dyDescent="0.25">
      <c r="B5267" t="str">
        <v>665-81: Polyurethane</v>
      </c>
    </row>
    <row r="5268" spans="2:2" x14ac:dyDescent="0.25">
      <c r="B5268" t="str">
        <v>665-82: Shrink Film Packaging Equipment and Supplies</v>
      </c>
    </row>
    <row r="5269" spans="2:2" x14ac:dyDescent="0.25">
      <c r="B5269" t="str">
        <v>665-83: Stretch Film and Wrapping Equipment</v>
      </c>
    </row>
    <row r="5270" spans="2:2" x14ac:dyDescent="0.25">
      <c r="B5270" t="str">
        <v>665-84: Sheeting, Plastic, Reinforced, Not Polyethylene</v>
      </c>
    </row>
    <row r="5271" spans="2:2" x14ac:dyDescent="0.25">
      <c r="B5271" t="str">
        <v>665-86: Structural Plastic Shapes: Angles, Bars, etc.</v>
      </c>
    </row>
    <row r="5272" spans="2:2" x14ac:dyDescent="0.25">
      <c r="B5272" t="str">
        <v>665-87: Teflon Sheets and Rods</v>
      </c>
    </row>
    <row r="5273" spans="2:2" x14ac:dyDescent="0.25">
      <c r="B5273" t="str">
        <v>665-89: Thermoplastic Plastics</v>
      </c>
    </row>
    <row r="5274" spans="2:2" x14ac:dyDescent="0.25">
      <c r="B5274" t="str">
        <v>665-90: Thermoset Plastics</v>
      </c>
    </row>
    <row r="5275" spans="2:2" x14ac:dyDescent="0.25">
      <c r="B5275" t="str">
        <v>670-02: Bathroom Accessories: Fans, Mirrors, Medicine Cabinets, Soap Dishes, Towel Bars and Rings, etc.</v>
      </c>
    </row>
    <row r="5276" spans="2:2" x14ac:dyDescent="0.25">
      <c r="B5276" t="str">
        <v>670-03: Bathtub and Shower Cleaners (Inactive, please see commodity code 485-16 effective January 1, 2016)</v>
      </c>
    </row>
    <row r="5277" spans="2:2" x14ac:dyDescent="0.25">
      <c r="B5277" t="str">
        <v>670-04: Cathodic Protection Equipment</v>
      </c>
    </row>
    <row r="5278" spans="2:2" x14ac:dyDescent="0.25">
      <c r="B5278" t="str">
        <v>670-05: Cement and Cleaners, For Plastic Conduit, Fittings, and Pipe</v>
      </c>
    </row>
    <row r="5279" spans="2:2" x14ac:dyDescent="0.25">
      <c r="B5279" t="str">
        <v>670-06: Compound, Pipe Joint and Tape</v>
      </c>
    </row>
    <row r="5280" spans="2:2" x14ac:dyDescent="0.25">
      <c r="B5280" t="str">
        <v>670-09: Drains, Grease Traps, etc.</v>
      </c>
    </row>
    <row r="5281" spans="2:2" x14ac:dyDescent="0.25">
      <c r="B5281" t="str">
        <v>670-10: Dryers, Hand, Electric</v>
      </c>
    </row>
    <row r="5282" spans="2:2" x14ac:dyDescent="0.25">
      <c r="B5282" t="str">
        <v>670-12: Grout, Pipe and Sewer</v>
      </c>
    </row>
    <row r="5283" spans="2:2" x14ac:dyDescent="0.25">
      <c r="B5283" t="str">
        <v>670-13: Grab Bars  (Inactive, please see commodity code 670-02 effective January 1, 2016)</v>
      </c>
    </row>
    <row r="5284" spans="2:2" x14ac:dyDescent="0.25">
      <c r="B5284" t="str">
        <v>670-14: Gas Meters, Indicating and Recording</v>
      </c>
    </row>
    <row r="5285" spans="2:2" x14ac:dyDescent="0.25">
      <c r="B5285" t="str">
        <v>670-15: Hand Tools (Not Otherwise Classified)</v>
      </c>
    </row>
    <row r="5286" spans="2:2" x14ac:dyDescent="0.25">
      <c r="B5286" t="str">
        <v>670-16: Hydraulic Fusion Machine for Pipe</v>
      </c>
    </row>
    <row r="5287" spans="2:2" x14ac:dyDescent="0.25">
      <c r="B5287" t="str">
        <v>670-17: Irrigation Systems, Supplies, Parts, and Accessories  (Inactive, please see commodity code 515-25 effective January 1, 2016)</v>
      </c>
    </row>
    <row r="5288" spans="2:2" x14ac:dyDescent="0.25">
      <c r="B5288" t="str">
        <v>670-20: Lead: Flashings, Ingots, Sheets, etc.</v>
      </c>
    </row>
    <row r="5289" spans="2:2" x14ac:dyDescent="0.25">
      <c r="B5289" t="str">
        <v>670-24: Liquid Heaters, Immersion Type</v>
      </c>
    </row>
    <row r="5290" spans="2:2" x14ac:dyDescent="0.25">
      <c r="B5290" t="str">
        <v>670-43: Oakum</v>
      </c>
    </row>
    <row r="5291" spans="2:2" x14ac:dyDescent="0.25">
      <c r="B5291" t="str">
        <v>670-49: Pipe Hangers, Constant Support Type, for Power Plant Operations</v>
      </c>
    </row>
    <row r="5292" spans="2:2" x14ac:dyDescent="0.25">
      <c r="B5292" t="str">
        <v>670-50: Pipe Hangers, Concrete Inserts, Joint Restraints, etc.</v>
      </c>
    </row>
    <row r="5293" spans="2:2" x14ac:dyDescent="0.25">
      <c r="B5293" t="str">
        <v>670-51: Pipe and Utility Markers</v>
      </c>
    </row>
    <row r="5294" spans="2:2" x14ac:dyDescent="0.25">
      <c r="B5294" t="str">
        <v>670-52: Pipe Repair Clamps, Couplings, Leak Kits, etc. (Inactive, please see commodity code 659-55 effective January 1, 2016)</v>
      </c>
    </row>
    <row r="5295" spans="2:2" x14ac:dyDescent="0.25">
      <c r="B5295" t="str">
        <v>670-53: Pipeline Equipment and Tools, Construction and Laying of the Pipeline</v>
      </c>
    </row>
    <row r="5296" spans="2:2" x14ac:dyDescent="0.25">
      <c r="B5296" t="str">
        <v>670-54: Brass, Plumbing Tubular Goods (Inactive, please see commodity code 658-02 effective January 1, 2016)</v>
      </c>
    </row>
    <row r="5297" spans="2:2" x14ac:dyDescent="0.25">
      <c r="B5297" t="str">
        <v>670-55: Plumbing Fixtures and Parts</v>
      </c>
    </row>
    <row r="5298" spans="2:2" x14ac:dyDescent="0.25">
      <c r="B5298" t="str">
        <v>670-56: Plumbing Trim: Faucets, Fittings, etc.</v>
      </c>
    </row>
    <row r="5299" spans="2:2" x14ac:dyDescent="0.25">
      <c r="B5299" t="str">
        <v>670-57: Plumbing Equipment, Accessories and Supplies (Not Otherwise Classified)</v>
      </c>
    </row>
    <row r="5300" spans="2:2" x14ac:dyDescent="0.25">
      <c r="B5300" t="str">
        <v>670-58: Rubber Goods and Plumbing Specialties: Gaskets, Leathers, Seats, Washers, etc.</v>
      </c>
    </row>
    <row r="5301" spans="2:2" x14ac:dyDescent="0.25">
      <c r="B5301" t="str">
        <v>670-59: Sealants, Water plug</v>
      </c>
    </row>
    <row r="5302" spans="2:2" x14ac:dyDescent="0.25">
      <c r="B5302" t="str">
        <v>670-60: Septic Tanks and Cesspools, Other than Concrete</v>
      </c>
    </row>
    <row r="5303" spans="2:2" x14ac:dyDescent="0.25">
      <c r="B5303" t="str">
        <v>670-61: Sewer Pipe Cleaning Machines, Power Driven; and Parts</v>
      </c>
    </row>
    <row r="5304" spans="2:2" x14ac:dyDescent="0.25">
      <c r="B5304" t="str">
        <v>670-62: Shower Stalls, Doors, and Tub Enclosures  (Inactive, please see commodity code 670-55 effective January 1, 2016)</v>
      </c>
    </row>
    <row r="5305" spans="2:2" x14ac:dyDescent="0.25">
      <c r="B5305" t="str">
        <v>670-63: Service Boxes and Parts</v>
      </c>
    </row>
    <row r="5306" spans="2:2" x14ac:dyDescent="0.25">
      <c r="B5306" t="str">
        <v>670-64: Supplies and Stops</v>
      </c>
    </row>
    <row r="5307" spans="2:2" x14ac:dyDescent="0.25">
      <c r="B5307" t="str">
        <v>670-65: Sinks, Portable, Self-Contained</v>
      </c>
    </row>
    <row r="5308" spans="2:2" x14ac:dyDescent="0.25">
      <c r="B5308" t="str">
        <v>670-66: Toilet Partitions and Doors  (Inactive, please see commodity code 670-55 effective January 1, 2016)</v>
      </c>
    </row>
    <row r="5309" spans="2:2" x14ac:dyDescent="0.25">
      <c r="B5309" t="str">
        <v>670-67: Vacuum Breakers</v>
      </c>
    </row>
    <row r="5310" spans="2:2" x14ac:dyDescent="0.25">
      <c r="B5310" t="str">
        <v>670-68: Valves, Aluminum</v>
      </c>
    </row>
    <row r="5311" spans="2:2" x14ac:dyDescent="0.25">
      <c r="B5311" t="str">
        <v>670-69: Valves, Brass, Chrome, Copper</v>
      </c>
    </row>
    <row r="5312" spans="2:2" x14ac:dyDescent="0.25">
      <c r="B5312" t="str">
        <v>670-70: Valves, Bronze: Angle, Ball, Check, Gate, Globe, etc.</v>
      </c>
    </row>
    <row r="5313" spans="2:2" x14ac:dyDescent="0.25">
      <c r="B5313" t="str">
        <v>670-71: Valves, Butterfly, All Kinds</v>
      </c>
    </row>
    <row r="5314" spans="2:2" x14ac:dyDescent="0.25">
      <c r="B5314" t="str">
        <v>670-72: Valves, Chrome  (Inactive, please see commodity code 670-69 effective January 1, 2016)</v>
      </c>
    </row>
    <row r="5315" spans="2:2" x14ac:dyDescent="0.25">
      <c r="B5315" t="str">
        <v>670-73: Valves, Flush, All Types; and Parts</v>
      </c>
    </row>
    <row r="5316" spans="2:2" x14ac:dyDescent="0.25">
      <c r="B5316" t="str">
        <v>670-74: Valves, Drop-Out</v>
      </c>
    </row>
    <row r="5317" spans="2:2" x14ac:dyDescent="0.25">
      <c r="B5317" t="str">
        <v>670-75: Valves, Iron Body: Angle, Check, Gate, Globe, etc.</v>
      </c>
    </row>
    <row r="5318" spans="2:2" x14ac:dyDescent="0.25">
      <c r="B5318" t="str">
        <v>670-76: Valves and Valve Parts, Miscellaneous</v>
      </c>
    </row>
    <row r="5319" spans="2:2" x14ac:dyDescent="0.25">
      <c r="B5319" t="str">
        <v>670-77: Valves, Plastic: Ball, Check, Diaphragm, Globe, etc.</v>
      </c>
    </row>
    <row r="5320" spans="2:2" x14ac:dyDescent="0.25">
      <c r="B5320" t="str">
        <v>670-79: Valves, Semi-Steel  (Inactive, please see commodity code 670-82 effective January 1, 2016)</v>
      </c>
    </row>
    <row r="5321" spans="2:2" x14ac:dyDescent="0.25">
      <c r="B5321" t="str">
        <v>670-80: Valves, Solenoid Control</v>
      </c>
    </row>
    <row r="5322" spans="2:2" x14ac:dyDescent="0.25">
      <c r="B5322" t="str">
        <v>670-81: Valves, Stainless Steel: Angle, Ball, Check, Gate, Globe, etc.</v>
      </c>
    </row>
    <row r="5323" spans="2:2" x14ac:dyDescent="0.25">
      <c r="B5323" t="str">
        <v>670-82: Valves, Steel: Angle, Check, Gate, Globe, etc.</v>
      </c>
    </row>
    <row r="5324" spans="2:2" x14ac:dyDescent="0.25">
      <c r="B5324" t="str">
        <v>670-84: Venturi Tubes, Air and Vacuum</v>
      </c>
    </row>
    <row r="5325" spans="2:2" x14ac:dyDescent="0.25">
      <c r="B5325" t="str">
        <v>670-86: Water Filtration, Conditioning, and Purification Equipment for the Office and Home</v>
      </c>
    </row>
    <row r="5326" spans="2:2" x14ac:dyDescent="0.25">
      <c r="B5326" t="str">
        <v>670-87: Water Conservation Kits</v>
      </c>
    </row>
    <row r="5327" spans="2:2" x14ac:dyDescent="0.25">
      <c r="B5327" t="str">
        <v>670-88: Water Hammer Arrester</v>
      </c>
    </row>
    <row r="5328" spans="2:2" x14ac:dyDescent="0.25">
      <c r="B5328" t="str">
        <v>670-89: Water Heaters, Residential</v>
      </c>
    </row>
    <row r="5329" spans="2:2" x14ac:dyDescent="0.25">
      <c r="B5329" t="str">
        <v>670-91: Water Heaters, Commercial</v>
      </c>
    </row>
    <row r="5330" spans="2:2" x14ac:dyDescent="0.25">
      <c r="B5330" t="str">
        <v>670-92: Water Softening Equipment, Residential</v>
      </c>
    </row>
    <row r="5331" spans="2:2" x14ac:dyDescent="0.25">
      <c r="B5331" t="str">
        <v>670-93: Water Softening Equipment, Commercial (Also see 890-85)</v>
      </c>
    </row>
    <row r="5332" spans="2:2" x14ac:dyDescent="0.25">
      <c r="B5332" t="str">
        <v>670-95: Refurbished Plumbing Equipment, Accessories and Supplies</v>
      </c>
    </row>
    <row r="5333" spans="2:2" x14ac:dyDescent="0.25">
      <c r="B5333" t="str">
        <v>675-25: Defoliants, Cotton</v>
      </c>
    </row>
    <row r="5334" spans="2:2" x14ac:dyDescent="0.25">
      <c r="B5334" t="str">
        <v>675-30: Fumigating Gases, Other Than Soil</v>
      </c>
    </row>
    <row r="5335" spans="2:2" x14ac:dyDescent="0.25">
      <c r="B5335" t="str">
        <v>675-35: Grains and Baits, Poisoned</v>
      </c>
    </row>
    <row r="5336" spans="2:2" x14ac:dyDescent="0.25">
      <c r="B5336" t="str">
        <v>675-40: Insecticides and Fungicides, Dry</v>
      </c>
    </row>
    <row r="5337" spans="2:2" x14ac:dyDescent="0.25">
      <c r="B5337" t="str">
        <v>675-45: Insecticides and Fungicides, Liquid</v>
      </c>
    </row>
    <row r="5338" spans="2:2" x14ac:dyDescent="0.25">
      <c r="B5338" t="str">
        <v>675-54: Pesticides</v>
      </c>
    </row>
    <row r="5339" spans="2:2" x14ac:dyDescent="0.25">
      <c r="B5339" t="str">
        <v>675-55: Adjuvants: Emulsifiers, Spreader and Stickers, Wetting Agents, etc.</v>
      </c>
    </row>
    <row r="5340" spans="2:2" x14ac:dyDescent="0.25">
      <c r="B5340" t="str">
        <v>675-58: Recycled Pesticides and Chemicals for Agriculture and Industrial Use</v>
      </c>
    </row>
    <row r="5341" spans="2:2" x14ac:dyDescent="0.25">
      <c r="B5341" t="str">
        <v>675-60: Rotenone (Fish Toxicant)</v>
      </c>
    </row>
    <row r="5342" spans="2:2" x14ac:dyDescent="0.25">
      <c r="B5342" t="str">
        <v>675-65: Seed and Soil Fumigants and Sterilants</v>
      </c>
    </row>
    <row r="5343" spans="2:2" x14ac:dyDescent="0.25">
      <c r="B5343" t="str">
        <v>675-80: TCA (Trichloroacetic Acid, Sodium Salt)</v>
      </c>
    </row>
    <row r="5344" spans="2:2" x14ac:dyDescent="0.25">
      <c r="B5344" t="str">
        <v>675-84: Weed Control Blankets, Including Recycled Types</v>
      </c>
    </row>
    <row r="5345" spans="2:2" x14ac:dyDescent="0.25">
      <c r="B5345" t="str">
        <v>675-85: Dry Formulation Herbicides</v>
      </c>
    </row>
    <row r="5346" spans="2:2" x14ac:dyDescent="0.25">
      <c r="B5346" t="str">
        <v>675-90: Liquid Formulation Herbicides</v>
      </c>
    </row>
    <row r="5347" spans="2:2" x14ac:dyDescent="0.25">
      <c r="B5347" t="str">
        <v>680-02: *Access Control Systems and Security Systems</v>
      </c>
    </row>
    <row r="5348" spans="2:2" x14ac:dyDescent="0.25">
      <c r="B5348" t="str">
        <v>680-04: Ammunition</v>
      </c>
    </row>
    <row r="5349" spans="2:2" x14ac:dyDescent="0.25">
      <c r="B5349" t="str">
        <v>680-05: Ammunition, Reloaded</v>
      </c>
    </row>
    <row r="5350" spans="2:2" x14ac:dyDescent="0.25">
      <c r="B5350" t="str">
        <v>680-06: Ammunition Handling Systems, Aircraft, Tanks, etc.</v>
      </c>
    </row>
    <row r="5351" spans="2:2" x14ac:dyDescent="0.25">
      <c r="B5351" t="str">
        <v>680-08: Police Protection Equipment, Body Armor and Riot Shields and Supplies</v>
      </c>
    </row>
    <row r="5352" spans="2:2" x14ac:dyDescent="0.25">
      <c r="B5352" t="str">
        <v>680-10: Badge Cases, Police, All Types</v>
      </c>
    </row>
    <row r="5353" spans="2:2" x14ac:dyDescent="0.25">
      <c r="B5353" t="str">
        <v>680-12: Belts, Cases, Holsters, Scabbards, etc.</v>
      </c>
    </row>
    <row r="5354" spans="2:2" x14ac:dyDescent="0.25">
      <c r="B5354" t="str">
        <v>680-20: Billies, Night Sticks and Traffic Batons</v>
      </c>
    </row>
    <row r="5355" spans="2:2" x14ac:dyDescent="0.25">
      <c r="B5355" t="str">
        <v>680-24: Breath Alcohol Testing Instruments and Supplies</v>
      </c>
    </row>
    <row r="5356" spans="2:2" x14ac:dyDescent="0.25">
      <c r="B5356" t="str">
        <v>680-28: Bullet Traps</v>
      </c>
    </row>
    <row r="5357" spans="2:2" x14ac:dyDescent="0.25">
      <c r="B5357" t="str">
        <v>680-32: *Burglar Alarms</v>
      </c>
    </row>
    <row r="5358" spans="2:2" x14ac:dyDescent="0.25">
      <c r="B5358" t="str">
        <v>680-33: Canine (K-9) Police Dogs and Training Equipment</v>
      </c>
    </row>
    <row r="5359" spans="2:2" x14ac:dyDescent="0.25">
      <c r="B5359" t="str">
        <v>680-34: *Citation Issuance Devices and Supplies</v>
      </c>
    </row>
    <row r="5360" spans="2:2" x14ac:dyDescent="0.25">
      <c r="B5360" t="str">
        <v>680-35: Chemicals for Personal Defense, Mace, etc.</v>
      </c>
    </row>
    <row r="5361" spans="2:2" x14ac:dyDescent="0.25">
      <c r="B5361" t="str">
        <v>680-36: Clay Targets and Skeet Range Equipment</v>
      </c>
    </row>
    <row r="5362" spans="2:2" x14ac:dyDescent="0.25">
      <c r="B5362" t="str">
        <v>680-40: *Composite Identification Kits and Systems</v>
      </c>
    </row>
    <row r="5363" spans="2:2" x14ac:dyDescent="0.25">
      <c r="B5363" t="str">
        <v>680-41: *Crime Detection Equipment and Supplies</v>
      </c>
    </row>
    <row r="5364" spans="2:2" x14ac:dyDescent="0.25">
      <c r="B5364" t="str">
        <v>680-42: Curtains, Security; Vehicle Security Partitions</v>
      </c>
    </row>
    <row r="5365" spans="2:2" x14ac:dyDescent="0.25">
      <c r="B5365" t="str">
        <v>680-44: Detectors, Gun and Metal</v>
      </c>
    </row>
    <row r="5366" spans="2:2" x14ac:dyDescent="0.25">
      <c r="B5366" t="str">
        <v>680-45: Explosives Storage Boxes, Bunkers, etc.</v>
      </c>
    </row>
    <row r="5367" spans="2:2" x14ac:dyDescent="0.25">
      <c r="B5367" t="str">
        <v>680-46: Explosives, Grenades, Accessories and Supplies</v>
      </c>
    </row>
    <row r="5368" spans="2:2" x14ac:dyDescent="0.25">
      <c r="B5368" t="str">
        <v>680-47: Evidence Bags, Containers and Supplies, Including Drug Disposal Equipment</v>
      </c>
    </row>
    <row r="5369" spans="2:2" x14ac:dyDescent="0.25">
      <c r="B5369" t="str">
        <v>680-48: Finger and Foot Printing Equipment, Accessories, and Supplies, Including Laser and Cyanoacrylate Fuming Chambers</v>
      </c>
    </row>
    <row r="5370" spans="2:2" x14ac:dyDescent="0.25">
      <c r="B5370" t="str">
        <v>680-49: *Firearms Training Simulators</v>
      </c>
    </row>
    <row r="5371" spans="2:2" x14ac:dyDescent="0.25">
      <c r="B5371" t="str">
        <v>680-50: Guns, Nonlethal, Including Stun, Taser Weapons, (See 680-54 for EMD Weapons)</v>
      </c>
    </row>
    <row r="5372" spans="2:2" x14ac:dyDescent="0.25">
      <c r="B5372" t="str">
        <v>680-51: Forced Entry Equipment and Supplies, Battering Rams, etc.)</v>
      </c>
    </row>
    <row r="5373" spans="2:2" x14ac:dyDescent="0.25">
      <c r="B5373" t="str">
        <v>680-52: Guns, Pistols, Rifles, and Shotguns, Including Parts and Accessories, (See 680-86 for Scopes)</v>
      </c>
    </row>
    <row r="5374" spans="2:2" x14ac:dyDescent="0.25">
      <c r="B5374" t="str">
        <v>680-53: Guns, Machine, Including Other Military Style Weapons</v>
      </c>
    </row>
    <row r="5375" spans="2:2" x14ac:dyDescent="0.25">
      <c r="B5375" t="str">
        <v>680-54: Guns, Electro-Muscular Disruption (EMD) (See 680-50 for Stun Guns)</v>
      </c>
    </row>
    <row r="5376" spans="2:2" x14ac:dyDescent="0.25">
      <c r="B5376" t="str">
        <v>680-56: Gun Cleaning Supplies: Patches, Rods, Silicone Cloths, Solvents and Brushes, etc.</v>
      </c>
    </row>
    <row r="5377" spans="2:2" x14ac:dyDescent="0.25">
      <c r="B5377" t="str">
        <v>680-57: Gun Rifling Machines</v>
      </c>
    </row>
    <row r="5378" spans="2:2" x14ac:dyDescent="0.25">
      <c r="B5378" t="str">
        <v>680-58: Gun Locks and Safes for Guns and Ammunition, All Types</v>
      </c>
    </row>
    <row r="5379" spans="2:2" x14ac:dyDescent="0.25">
      <c r="B5379" t="str">
        <v>680-59: *Identity Tracking Devices</v>
      </c>
    </row>
    <row r="5380" spans="2:2" x14ac:dyDescent="0.25">
      <c r="B5380" t="str">
        <v>680-60: Handcuffs, Leg Irons, Strap and Loop Style</v>
      </c>
    </row>
    <row r="5381" spans="2:2" x14ac:dyDescent="0.25">
      <c r="B5381" t="str">
        <v>680-61: Lockers, Security and Evidence</v>
      </c>
    </row>
    <row r="5382" spans="2:2" x14ac:dyDescent="0.25">
      <c r="B5382" t="str">
        <v>680-62: Megaphones, Whistles, etc.</v>
      </c>
    </row>
    <row r="5383" spans="2:2" x14ac:dyDescent="0.25">
      <c r="B5383" t="str">
        <v>680-63: Maintenance Stands, Fixtures, and Jigs for Weapons</v>
      </c>
    </row>
    <row r="5384" spans="2:2" x14ac:dyDescent="0.25">
      <c r="B5384" t="str">
        <v>680-65: *Night Vision Systems</v>
      </c>
    </row>
    <row r="5385" spans="2:2" x14ac:dyDescent="0.25">
      <c r="B5385" t="str">
        <v>680-66: *Police Investigation Robots</v>
      </c>
    </row>
    <row r="5386" spans="2:2" x14ac:dyDescent="0.25">
      <c r="B5386" t="str">
        <v>680-67: Police Training and Instructional Aids: Wall Charts, etc.</v>
      </c>
    </row>
    <row r="5387" spans="2:2" x14ac:dyDescent="0.25">
      <c r="B5387" t="str">
        <v>680-68: Polygraph Equipment and Supplies</v>
      </c>
    </row>
    <row r="5388" spans="2:2" x14ac:dyDescent="0.25">
      <c r="B5388" t="str">
        <v>680-70: Correctional Facility Commissary Store Equipment and Accessories</v>
      </c>
    </row>
    <row r="5389" spans="2:2" x14ac:dyDescent="0.25">
      <c r="B5389" t="str">
        <v>680-71: *Inmate Tracking Devices, Electronic, Wrist and Leg Bands, etc.</v>
      </c>
    </row>
    <row r="5390" spans="2:2" x14ac:dyDescent="0.25">
      <c r="B5390" t="str">
        <v>680-72: *Correctional Facility Equipment, Cell Blocks, and Accessories, Including Control Panels, Door Control Relays, Furniture, etc.</v>
      </c>
    </row>
    <row r="5391" spans="2:2" x14ac:dyDescent="0.25">
      <c r="B5391" t="str">
        <v>680-73: *Inmate Identification Equipment and Supplies</v>
      </c>
    </row>
    <row r="5392" spans="2:2" x14ac:dyDescent="0.25">
      <c r="B5392" t="str">
        <v>680-74: Pyrotechnics for Law Enforcement (see 578-36 for Fireworks)</v>
      </c>
    </row>
    <row r="5393" spans="2:2" x14ac:dyDescent="0.25">
      <c r="B5393" t="str">
        <v>680-76: Racks, Gun (See 055-74 for Vehicle Racks)</v>
      </c>
    </row>
    <row r="5394" spans="2:2" x14ac:dyDescent="0.25">
      <c r="B5394" t="str">
        <v>680-77: *Radar Instruments, Traffic Enforcement Type (Including Laser Speed Measuring, Ranging Devices, Radar Instruments Equipped w/Cameras and Lidar Equipment (Laser)</v>
      </c>
    </row>
    <row r="5395" spans="2:2" x14ac:dyDescent="0.25">
      <c r="B5395" t="str">
        <v>680-78: Recoil Pads</v>
      </c>
    </row>
    <row r="5396" spans="2:2" x14ac:dyDescent="0.25">
      <c r="B5396" t="str">
        <v>680-79: Refurbished Police Equipment, Accessories and Supplies</v>
      </c>
    </row>
    <row r="5397" spans="2:2" x14ac:dyDescent="0.25">
      <c r="B5397" t="str">
        <v>680-80: Reloading Equipment and Supplies</v>
      </c>
    </row>
    <row r="5398" spans="2:2" x14ac:dyDescent="0.25">
      <c r="B5398" t="str">
        <v>680-82: *Remote Operations Equipment</v>
      </c>
    </row>
    <row r="5399" spans="2:2" x14ac:dyDescent="0.25">
      <c r="B5399" t="str">
        <v>680-84: Riot and Crowd Control Equipment (Not Otherwise Classified)</v>
      </c>
    </row>
    <row r="5400" spans="2:2" x14ac:dyDescent="0.25">
      <c r="B5400" t="str">
        <v>680-85: Road Spikes (For Use by Police to Stop Vehicles on the Road)</v>
      </c>
    </row>
    <row r="5401" spans="2:2" x14ac:dyDescent="0.25">
      <c r="B5401" t="str">
        <v>680-86: Scopes, Rifle and Range</v>
      </c>
    </row>
    <row r="5402" spans="2:2" x14ac:dyDescent="0.25">
      <c r="B5402" t="str">
        <v>680-87: *Surveillance Cameras and Counter-Surveillance Equipment and Supplies</v>
      </c>
    </row>
    <row r="5403" spans="2:2" x14ac:dyDescent="0.25">
      <c r="B5403" t="str">
        <v>680-88: Targets, Target Pasters, and Rifle Range Equipment, Including Portable Shooting Ranges and Range Finders</v>
      </c>
    </row>
    <row r="5404" spans="2:2" x14ac:dyDescent="0.25">
      <c r="B5404" t="str">
        <v>680-89: Shooting Ranges, Portable</v>
      </c>
    </row>
    <row r="5405" spans="2:2" x14ac:dyDescent="0.25">
      <c r="B5405" t="str">
        <v>680-92: Tear Gas, Tear Gas Guns, and Ammunition</v>
      </c>
    </row>
    <row r="5406" spans="2:2" x14ac:dyDescent="0.25">
      <c r="B5406" t="str">
        <v>680-93: Test Equipment and Supplies: Criminology Kits, Metal Reagents, Paraffin, Sexual Assault Exam Kits, etc. (Including Technical Equipment and Supplies Used in Police Laboratories)</v>
      </c>
    </row>
    <row r="5407" spans="2:2" x14ac:dyDescent="0.25">
      <c r="B5407" t="str">
        <v>680-94: Tire Markers and Supplies</v>
      </c>
    </row>
    <row r="5408" spans="2:2" x14ac:dyDescent="0.25">
      <c r="B5408" t="str">
        <v>680-95: Tools, Gunsmith's: Borescopes, etc.</v>
      </c>
    </row>
    <row r="5409" spans="2:2" x14ac:dyDescent="0.25">
      <c r="B5409" t="str">
        <v>680-96: Traffic Batons</v>
      </c>
    </row>
    <row r="5410" spans="2:2" x14ac:dyDescent="0.25">
      <c r="B5410" t="str">
        <v>680-97: *Warning Systems, Perimeter Anti-Intrusion, Electronic, Including Civil Defense and Natural Disaster Types</v>
      </c>
    </row>
    <row r="5411" spans="2:2" x14ac:dyDescent="0.25">
      <c r="B5411" t="str">
        <v>685-05: Bands and Tags</v>
      </c>
    </row>
    <row r="5412" spans="2:2" x14ac:dyDescent="0.25">
      <c r="B5412" t="str">
        <v>685-10: Brooders and Incubators</v>
      </c>
    </row>
    <row r="5413" spans="2:2" x14ac:dyDescent="0.25">
      <c r="B5413" t="str">
        <v>685-15: Debeakers</v>
      </c>
    </row>
    <row r="5414" spans="2:2" x14ac:dyDescent="0.25">
      <c r="B5414" t="str">
        <v>685-20: Egg Baskets</v>
      </c>
    </row>
    <row r="5415" spans="2:2" x14ac:dyDescent="0.25">
      <c r="B5415" t="str">
        <v>685-25: Egg Candlers</v>
      </c>
    </row>
    <row r="5416" spans="2:2" x14ac:dyDescent="0.25">
      <c r="B5416" t="str">
        <v>685-30: Egg Cartons</v>
      </c>
    </row>
    <row r="5417" spans="2:2" x14ac:dyDescent="0.25">
      <c r="B5417" t="str">
        <v>685-35: Egg Cases, Fillers, Flats, etc.</v>
      </c>
    </row>
    <row r="5418" spans="2:2" x14ac:dyDescent="0.25">
      <c r="B5418" t="str">
        <v>685-38: Egg Cleaning Chemicals</v>
      </c>
    </row>
    <row r="5419" spans="2:2" x14ac:dyDescent="0.25">
      <c r="B5419" t="str">
        <v>685-40: Egg Crating Machines</v>
      </c>
    </row>
    <row r="5420" spans="2:2" x14ac:dyDescent="0.25">
      <c r="B5420" t="str">
        <v>685-45: Egg Graders</v>
      </c>
    </row>
    <row r="5421" spans="2:2" x14ac:dyDescent="0.25">
      <c r="B5421" t="str">
        <v>685-50: Egg Washers</v>
      </c>
    </row>
    <row r="5422" spans="2:2" x14ac:dyDescent="0.25">
      <c r="B5422" t="str">
        <v>685-55: Feeders and Waterers</v>
      </c>
    </row>
    <row r="5423" spans="2:2" x14ac:dyDescent="0.25">
      <c r="B5423" t="str">
        <v>685-60: Growing Batteries</v>
      </c>
    </row>
    <row r="5424" spans="2:2" x14ac:dyDescent="0.25">
      <c r="B5424" t="str">
        <v>685-65: Laying Cages</v>
      </c>
    </row>
    <row r="5425" spans="2:2" x14ac:dyDescent="0.25">
      <c r="B5425" t="str">
        <v>685-70: Nest Pads</v>
      </c>
    </row>
    <row r="5426" spans="2:2" x14ac:dyDescent="0.25">
      <c r="B5426" t="str">
        <v>685-75: Poultry Processing Machines and Accessories</v>
      </c>
    </row>
    <row r="5427" spans="2:2" x14ac:dyDescent="0.25">
      <c r="B5427" t="str">
        <v>685-78: Recycled Poultry Equipment, Accessories and Supplies</v>
      </c>
    </row>
    <row r="5428" spans="2:2" x14ac:dyDescent="0.25">
      <c r="B5428" t="str">
        <v>685-80: Shipping Boxes, Chick</v>
      </c>
    </row>
    <row r="5429" spans="2:2" x14ac:dyDescent="0.25">
      <c r="B5429" t="str">
        <v>685-85: Shipping Crates, Poultry</v>
      </c>
    </row>
    <row r="5430" spans="2:2" x14ac:dyDescent="0.25">
      <c r="B5430" t="str">
        <v>685-90: Turkey Saddles</v>
      </c>
    </row>
    <row r="5431" spans="2:2" x14ac:dyDescent="0.25">
      <c r="B5431" t="str">
        <v>690-14: Analyzers, Power Generation, Including Part and Accessories</v>
      </c>
    </row>
    <row r="5432" spans="2:2" x14ac:dyDescent="0.25">
      <c r="B5432" t="str">
        <v>690-27: Ash Handling Removal Systems</v>
      </c>
    </row>
    <row r="5433" spans="2:2" x14ac:dyDescent="0.25">
      <c r="B5433" t="str">
        <v>690-28: Coal Handling Systems</v>
      </c>
    </row>
    <row r="5434" spans="2:2" x14ac:dyDescent="0.25">
      <c r="B5434" t="str">
        <v>690-29: Controls, Electro Hydraulic (EHC)</v>
      </c>
    </row>
    <row r="5435" spans="2:2" x14ac:dyDescent="0.25">
      <c r="B5435" t="str">
        <v>690-30: Controls, Fuel Safety Flame Sensing</v>
      </c>
    </row>
    <row r="5436" spans="2:2" x14ac:dyDescent="0.25">
      <c r="B5436" t="str">
        <v>690-31: Controls, Integrated System</v>
      </c>
    </row>
    <row r="5437" spans="2:2" x14ac:dyDescent="0.25">
      <c r="B5437" t="str">
        <v>690-32: Controls, Programmable</v>
      </c>
    </row>
    <row r="5438" spans="2:2" x14ac:dyDescent="0.25">
      <c r="B5438" t="str">
        <v>690-33: Controls, Single Loop</v>
      </c>
    </row>
    <row r="5439" spans="2:2" x14ac:dyDescent="0.25">
      <c r="B5439" t="str">
        <v>690-34: Converters and Inverters, Power</v>
      </c>
    </row>
    <row r="5440" spans="2:2" x14ac:dyDescent="0.25">
      <c r="B5440" t="str">
        <v>690-37: *Data Acquisition Systems</v>
      </c>
    </row>
    <row r="5441" spans="2:2" x14ac:dyDescent="0.25">
      <c r="B5441" t="str">
        <v>690-39: Diodes, Coils, and Other Circuit Components</v>
      </c>
    </row>
    <row r="5442" spans="2:2" x14ac:dyDescent="0.25">
      <c r="B5442" t="str">
        <v>690-40: Engines, Motors and Parts, Power Generation</v>
      </c>
    </row>
    <row r="5443" spans="2:2" x14ac:dyDescent="0.25">
      <c r="B5443" t="str">
        <v>690-41: Excitation System, Generator</v>
      </c>
    </row>
    <row r="5444" spans="2:2" x14ac:dyDescent="0.25">
      <c r="B5444" t="str">
        <v>690-43: Generators, Over 25 MW, Power Plant, Including Parts and Accessories (Also see 285-37,39)</v>
      </c>
    </row>
    <row r="5445" spans="2:2" x14ac:dyDescent="0.25">
      <c r="B5445" t="str">
        <v>690-45: Generators, Wind</v>
      </c>
    </row>
    <row r="5446" spans="2:2" x14ac:dyDescent="0.25">
      <c r="B5446" t="str">
        <v>690-46: Indicators, Power Generating Equipment</v>
      </c>
    </row>
    <row r="5447" spans="2:2" x14ac:dyDescent="0.25">
      <c r="B5447" t="str">
        <v>690-49: Lamps and Lights, Indicating</v>
      </c>
    </row>
    <row r="5448" spans="2:2" x14ac:dyDescent="0.25">
      <c r="B5448" t="str">
        <v>690-53: Meters, Indicating Panel</v>
      </c>
    </row>
    <row r="5449" spans="2:2" x14ac:dyDescent="0.25">
      <c r="B5449" t="str">
        <v>690-54: Monitors and Alarms, Power Generator</v>
      </c>
    </row>
    <row r="5450" spans="2:2" x14ac:dyDescent="0.25">
      <c r="B5450" t="str">
        <v>690-56: Photo-Voltaic Generating Systems</v>
      </c>
    </row>
    <row r="5451" spans="2:2" x14ac:dyDescent="0.25">
      <c r="B5451" t="str">
        <v>690-57: Power Supplies, Generating</v>
      </c>
    </row>
    <row r="5452" spans="2:2" x14ac:dyDescent="0.25">
      <c r="B5452" t="str">
        <v>690-58: Power Transmission, Kinetic</v>
      </c>
    </row>
    <row r="5453" spans="2:2" x14ac:dyDescent="0.25">
      <c r="B5453" t="str">
        <v>690-59: Power Plants: Hydro, Marine, Petrol, Solar, Steam, Wind, Thermal</v>
      </c>
    </row>
    <row r="5454" spans="2:2" x14ac:dyDescent="0.25">
      <c r="B5454" t="str">
        <v>690-62: Recorders, Circular and Strip, and Accessories, Including Chart Paper, Pens, (See 220-54 for General Laboratory Type)</v>
      </c>
    </row>
    <row r="5455" spans="2:2" x14ac:dyDescent="0.25">
      <c r="B5455" t="str">
        <v>690-63: Recycled Power Generation Equipment, Including Parts and Accessories</v>
      </c>
    </row>
    <row r="5456" spans="2:2" x14ac:dyDescent="0.25">
      <c r="B5456" t="str">
        <v>690-64: Regulators, Flow, Pressure</v>
      </c>
    </row>
    <row r="5457" spans="2:2" x14ac:dyDescent="0.25">
      <c r="B5457" t="str">
        <v>690-65: Regulators, Voltage Current</v>
      </c>
    </row>
    <row r="5458" spans="2:2" x14ac:dyDescent="0.25">
      <c r="B5458" t="str">
        <v>690-68: Relays, etc.</v>
      </c>
    </row>
    <row r="5459" spans="2:2" x14ac:dyDescent="0.25">
      <c r="B5459" t="str">
        <v>690-79: Switches, Temperature Pressure</v>
      </c>
    </row>
    <row r="5460" spans="2:2" x14ac:dyDescent="0.25">
      <c r="B5460" t="str">
        <v>690-84: Test Equipment, Analog and Digital</v>
      </c>
    </row>
    <row r="5461" spans="2:2" x14ac:dyDescent="0.25">
      <c r="B5461" t="str">
        <v>690-87: Transducers, Signal Converter</v>
      </c>
    </row>
    <row r="5462" spans="2:2" x14ac:dyDescent="0.25">
      <c r="B5462" t="str">
        <v>690-88: Transmitters, Pressure</v>
      </c>
    </row>
    <row r="5463" spans="2:2" x14ac:dyDescent="0.25">
      <c r="B5463" t="str">
        <v>690-89: Tubing and Fittings, Power Plant</v>
      </c>
    </row>
    <row r="5464" spans="2:2" x14ac:dyDescent="0.25">
      <c r="B5464" t="str">
        <v>691-28: Chains Roller, Table Top, Engineering, Silent</v>
      </c>
    </row>
    <row r="5465" spans="2:2" x14ac:dyDescent="0.25">
      <c r="B5465" t="str">
        <v>691-31: Clutches and Brakes: Pneumatic, Electric, Torque Limiting, Tension Control</v>
      </c>
    </row>
    <row r="5466" spans="2:2" x14ac:dyDescent="0.25">
      <c r="B5466" t="str">
        <v>691-34: Couplings: Jaw, Steel Flex, Gear, Fluid, Chain, Disc Brake</v>
      </c>
    </row>
    <row r="5467" spans="2:2" x14ac:dyDescent="0.25">
      <c r="B5467" t="str">
        <v>691-39: Drives, Variable Speed: AC, AC Flux Vector, DC, Eddy Current, Mechanical, Variable Speed Pulleys, Hydrostatic Speed Variation</v>
      </c>
    </row>
    <row r="5468" spans="2:2" x14ac:dyDescent="0.25">
      <c r="B5468" t="str">
        <v>691-51: Motion Components, Linear: Shafts, Bearings, Support Blocks, Slides, Ball Screw</v>
      </c>
    </row>
    <row r="5469" spans="2:2" x14ac:dyDescent="0.25">
      <c r="B5469" t="str">
        <v>691-52: Motors: AC, DC, Vector Duty, Washdown, Brake, Stainless (Also See Class 285)</v>
      </c>
    </row>
    <row r="5470" spans="2:2" x14ac:dyDescent="0.25">
      <c r="B5470" t="str">
        <v>691-57: Pneumatics: Valves, Cylinders, Filters, Regulators, Lubricators, Including Parts and Accessories</v>
      </c>
    </row>
    <row r="5471" spans="2:2" x14ac:dyDescent="0.25">
      <c r="B5471" t="str">
        <v>691-62: Recycled Power Transmission Equipment, Including Parts and Accessories</v>
      </c>
    </row>
    <row r="5472" spans="2:2" x14ac:dyDescent="0.25">
      <c r="B5472" t="str">
        <v>691-63: Reducers: In-Line, Worm Gear, Right Angle, Parallel, Bevel, Mixer, Shaft Mount, Screw Conveyor</v>
      </c>
    </row>
    <row r="5473" spans="2:2" x14ac:dyDescent="0.25">
      <c r="B5473" t="str">
        <v>691-73: Sheaves and Belt Sprockets: V-Belt, Poly Chain, HTD, Timing Sprockets</v>
      </c>
    </row>
    <row r="5474" spans="2:2" x14ac:dyDescent="0.25">
      <c r="B5474" t="str">
        <v>691-75: Sprockets and Gears: Roller Chain, Engineering, Split, Table Top, Plastic, Spur, Bevel, Helical, Rack and Pinion Gearing</v>
      </c>
    </row>
    <row r="5475" spans="2:2" x14ac:dyDescent="0.25">
      <c r="B5475" t="str">
        <v>700-07: Bar Code Printing and Sorting Systems</v>
      </c>
    </row>
    <row r="5476" spans="2:2" x14ac:dyDescent="0.25">
      <c r="B5476" t="str">
        <v>700-08: Bindery Equipment and Machinery (For Comb Type See 700-74 and 75)</v>
      </c>
    </row>
    <row r="5477" spans="2:2" x14ac:dyDescent="0.25">
      <c r="B5477" t="str">
        <v>700-09: Binding Equipment and Supplies, Perfect</v>
      </c>
    </row>
    <row r="5478" spans="2:2" x14ac:dyDescent="0.25">
      <c r="B5478" t="str">
        <v>700-10: Binding Equipment and Supplies, Book (Not Otherwise Classified)</v>
      </c>
    </row>
    <row r="5479" spans="2:2" x14ac:dyDescent="0.25">
      <c r="B5479" t="str">
        <v>700-12: Casting Machines, Strip</v>
      </c>
    </row>
    <row r="5480" spans="2:2" x14ac:dyDescent="0.25">
      <c r="B5480" t="str">
        <v>700-16: Casting Metals: Linotype, Intertype, and Strip</v>
      </c>
    </row>
    <row r="5481" spans="2:2" x14ac:dyDescent="0.25">
      <c r="B5481" t="str">
        <v>700-20: Cleaning Solvents for Press Rollers, etc. Anhydrous Ammonia, etc.</v>
      </c>
    </row>
    <row r="5482" spans="2:2" x14ac:dyDescent="0.25">
      <c r="B5482" t="str">
        <v>700-24: Collators and Sorters</v>
      </c>
    </row>
    <row r="5483" spans="2:2" x14ac:dyDescent="0.25">
      <c r="B5483" t="str">
        <v>700-25: Direct Impression Typesetting Machines and Supplies</v>
      </c>
    </row>
    <row r="5484" spans="2:2" x14ac:dyDescent="0.25">
      <c r="B5484" t="str">
        <v>700-26: Form Rollers</v>
      </c>
    </row>
    <row r="5485" spans="2:2" x14ac:dyDescent="0.25">
      <c r="B5485" t="str">
        <v>700-27: Folding, Scoring, and Perforating Equipment</v>
      </c>
    </row>
    <row r="5486" spans="2:2" x14ac:dyDescent="0.25">
      <c r="B5486" t="str">
        <v>700-28: Graphic Art Equipment: Cameras, Darkroom Sinks, Engraving Machines, Heliographic Equipment, Light Tables, Photoengravers, Processors, Waxers, etc.</v>
      </c>
    </row>
    <row r="5487" spans="2:2" x14ac:dyDescent="0.25">
      <c r="B5487" t="str">
        <v>700-29: Film and Rapid Access Film, Reprographic</v>
      </c>
    </row>
    <row r="5488" spans="2:2" x14ac:dyDescent="0.25">
      <c r="B5488" t="str">
        <v>700-30: Graphic Art Supplies: Films and Chemistry, Opaguing Supplies, Proofing Papers, Stripping Base, etc.</v>
      </c>
    </row>
    <row r="5489" spans="2:2" x14ac:dyDescent="0.25">
      <c r="B5489" t="str">
        <v>700-32: Imprinting Machine Systems Including Accessories and Supplies, Silk Screen</v>
      </c>
    </row>
    <row r="5490" spans="2:2" x14ac:dyDescent="0.25">
      <c r="B5490" t="str">
        <v>700-36: Letterpress Equipment</v>
      </c>
    </row>
    <row r="5491" spans="2:2" x14ac:dyDescent="0.25">
      <c r="B5491" t="str">
        <v>700-38: Letterpress Inks, Supplies, and Accessories</v>
      </c>
    </row>
    <row r="5492" spans="2:2" x14ac:dyDescent="0.25">
      <c r="B5492" t="str">
        <v>700-40: License Plate Printing Equipment, Digital, Including Accessories and Supplies</v>
      </c>
    </row>
    <row r="5493" spans="2:2" x14ac:dyDescent="0.25">
      <c r="B5493" t="str">
        <v>700-42: Linotype and Intertype Machines, Including Composing Machines</v>
      </c>
    </row>
    <row r="5494" spans="2:2" x14ac:dyDescent="0.25">
      <c r="B5494" t="str">
        <v>700-45: Linotype and Intertype Supplies</v>
      </c>
    </row>
    <row r="5495" spans="2:2" x14ac:dyDescent="0.25">
      <c r="B5495" t="str">
        <v>700-50: Metal Pig Feeders and Molds</v>
      </c>
    </row>
    <row r="5496" spans="2:2" x14ac:dyDescent="0.25">
      <c r="B5496" t="str">
        <v>700-51: *Misc. Printing Equipment and Accessories (Not Otherwise Classified)</v>
      </c>
    </row>
    <row r="5497" spans="2:2" x14ac:dyDescent="0.25">
      <c r="B5497" t="str">
        <v>700-52: Numbering Machines and Devices (For Print Shops and Presses; See 605-50 for Office Type)</v>
      </c>
    </row>
    <row r="5498" spans="2:2" x14ac:dyDescent="0.25">
      <c r="B5498" t="str">
        <v>700-53: Offset Plate Makers and Processors</v>
      </c>
    </row>
    <row r="5499" spans="2:2" x14ac:dyDescent="0.25">
      <c r="B5499" t="str">
        <v>700-55: Offset Printing, Duplicating and Lithographing Machines and Equipment , Smaller than 17 In. by 22 In.</v>
      </c>
    </row>
    <row r="5500" spans="2:2" x14ac:dyDescent="0.25">
      <c r="B5500" t="str">
        <v>700-56: Offset Printing, Duplicating and Lithographing Machines and Equipment, For 17 in. x 22 in. and Larger</v>
      </c>
    </row>
    <row r="5501" spans="2:2" x14ac:dyDescent="0.25">
      <c r="B5501" t="str">
        <v>700-57: Printing Accessories and Supplies, Including Electrostatic Types: Blankets, Chemicals, Gum, Inks, Mats, Negatives, Plates, Roller Covers, Rubber Rejuvenators, Sleeves, etc. (See  700-30 for Graphic Art Supplies)</v>
      </c>
    </row>
    <row r="5502" spans="2:2" x14ac:dyDescent="0.25">
      <c r="B5502" t="str">
        <v>700-58: *Proofing Systems</v>
      </c>
    </row>
    <row r="5503" spans="2:2" x14ac:dyDescent="0.25">
      <c r="B5503" t="str">
        <v>700-62: Paper Cutters and Trimmers</v>
      </c>
    </row>
    <row r="5504" spans="2:2" x14ac:dyDescent="0.25">
      <c r="B5504" t="str">
        <v>700-63: Paper and Chemistry for Diffusion Transfer, Photographic, Graphic Arts</v>
      </c>
    </row>
    <row r="5505" spans="2:2" x14ac:dyDescent="0.25">
      <c r="B5505" t="str">
        <v>700-65: Paper Drilling Machines</v>
      </c>
    </row>
    <row r="5506" spans="2:2" x14ac:dyDescent="0.25">
      <c r="B5506" t="str">
        <v>700-67: Paper Pile Turner</v>
      </c>
    </row>
    <row r="5507" spans="2:2" x14ac:dyDescent="0.25">
      <c r="B5507" t="str">
        <v>700-68: Paper Joggers</v>
      </c>
    </row>
    <row r="5508" spans="2:2" x14ac:dyDescent="0.25">
      <c r="B5508" t="str">
        <v>700-69: Paper Production and Processing Equipment and Supplies (Not Otherwise Classified)</v>
      </c>
    </row>
    <row r="5509" spans="2:2" x14ac:dyDescent="0.25">
      <c r="B5509" t="str">
        <v>700-70: Printing Presses (Not Otherwise Classified)</v>
      </c>
    </row>
    <row r="5510" spans="2:2" x14ac:dyDescent="0.25">
      <c r="B5510" t="str">
        <v>700-71: Paper and Film Shredders</v>
      </c>
    </row>
    <row r="5511" spans="2:2" x14ac:dyDescent="0.25">
      <c r="B5511" t="str">
        <v>700-72: Photocompositors (Photo Typesetting Machines) and Supplies (See 700-28 for Processors)</v>
      </c>
    </row>
    <row r="5512" spans="2:2" x14ac:dyDescent="0.25">
      <c r="B5512" t="str">
        <v>700-73: *Printing Presses, Offset; and Accessories</v>
      </c>
    </row>
    <row r="5513" spans="2:2" x14ac:dyDescent="0.25">
      <c r="B5513" t="str">
        <v>700-74: Punching and Binding Machines, Electric, Including Comb and Coil Type</v>
      </c>
    </row>
    <row r="5514" spans="2:2" x14ac:dyDescent="0.25">
      <c r="B5514" t="str">
        <v>700-75: Punching and Binding Machines, Manual, Including Comb and Coil Type</v>
      </c>
    </row>
    <row r="5515" spans="2:2" x14ac:dyDescent="0.25">
      <c r="B5515" t="str">
        <v>700-76: Rollers for Offset Presses</v>
      </c>
    </row>
    <row r="5516" spans="2:2" x14ac:dyDescent="0.25">
      <c r="B5516" t="str">
        <v>700-77: Sign Engraving Equipment</v>
      </c>
    </row>
    <row r="5517" spans="2:2" x14ac:dyDescent="0.25">
      <c r="B5517" t="str">
        <v>700-78: Sign Die Cutting Machines</v>
      </c>
    </row>
    <row r="5518" spans="2:2" x14ac:dyDescent="0.25">
      <c r="B5518" t="str">
        <v>700-79: Sign Presses, Rollers, Supplies, etc.</v>
      </c>
    </row>
    <row r="5519" spans="2:2" x14ac:dyDescent="0.25">
      <c r="B5519" t="str">
        <v>700-80: Stereotype Metal</v>
      </c>
    </row>
    <row r="5520" spans="2:2" x14ac:dyDescent="0.25">
      <c r="B5520" t="str">
        <v>700-82: Signature Reproduction Machines, Pen and Ink Type</v>
      </c>
    </row>
    <row r="5521" spans="2:2" x14ac:dyDescent="0.25">
      <c r="B5521" t="str">
        <v>700-85: Typesetting Machines and Supplies, Ludlow</v>
      </c>
    </row>
    <row r="5522" spans="2:2" x14ac:dyDescent="0.25">
      <c r="B5522" t="str">
        <v>700-88: Typesetting Machines and Supplies, Monotype</v>
      </c>
    </row>
    <row r="5523" spans="2:2" x14ac:dyDescent="0.25">
      <c r="B5523" t="str">
        <v>700-90: Web Handling and Control Equipment and Supplies, Corona and Flame Treaters, etc.</v>
      </c>
    </row>
    <row r="5524" spans="2:2" x14ac:dyDescent="0.25">
      <c r="B5524" t="str">
        <v>700-91: Web Type Printing Presses</v>
      </c>
    </row>
    <row r="5525" spans="2:2" x14ac:dyDescent="0.25">
      <c r="B5525" t="str">
        <v>700-95: Recycled Printing Plant Equipment, Accessories and Supplies</v>
      </c>
    </row>
    <row r="5526" spans="2:2" x14ac:dyDescent="0.25">
      <c r="B5526" t="str">
        <v>710-09: *Alarm Systems, For the Hearing Impaired</v>
      </c>
    </row>
    <row r="5527" spans="2:2" x14ac:dyDescent="0.25">
      <c r="B5527" t="str">
        <v>710-18: Artificial Eyes</v>
      </c>
    </row>
    <row r="5528" spans="2:2" x14ac:dyDescent="0.25">
      <c r="B5528" t="str">
        <v>710-36: Artificial Limbs, Hooks and Accessories</v>
      </c>
    </row>
    <row r="5529" spans="2:2" x14ac:dyDescent="0.25">
      <c r="B5529" t="str">
        <v>710-52: *Audio Equipment for the Visual and Hearing Impaired (Not Otherwise Classified)</v>
      </c>
    </row>
    <row r="5530" spans="2:2" x14ac:dyDescent="0.25">
      <c r="B5530" t="str">
        <v>710-54: Audiometers, Calibrators, and Accessories, Including Audiometric Examining Rooms</v>
      </c>
    </row>
    <row r="5531" spans="2:2" x14ac:dyDescent="0.25">
      <c r="B5531" t="str">
        <v>710-60: Batteries, Hearing Aid</v>
      </c>
    </row>
    <row r="5532" spans="2:2" x14ac:dyDescent="0.25">
      <c r="B5532" t="str">
        <v>710-72: Hearing Aids</v>
      </c>
    </row>
    <row r="5533" spans="2:2" x14ac:dyDescent="0.25">
      <c r="B5533" t="str">
        <v>710-73: *Hearing Devices (See 710-72 for Hearing Aids)</v>
      </c>
    </row>
    <row r="5534" spans="2:2" x14ac:dyDescent="0.25">
      <c r="B5534" t="str">
        <v>710-75: Hearing Protectors and Parts</v>
      </c>
    </row>
    <row r="5535" spans="2:2" x14ac:dyDescent="0.25">
      <c r="B5535" t="str">
        <v>710-90: Plastic Items, Not Internal: Ears, Nose Tips, etc.</v>
      </c>
    </row>
    <row r="5536" spans="2:2" x14ac:dyDescent="0.25">
      <c r="B5536" t="str">
        <v>710-92: *Reading Devices, For the Vision Impaired</v>
      </c>
    </row>
    <row r="5537" spans="2:2" x14ac:dyDescent="0.25">
      <c r="B5537" t="str">
        <v>710-94: Recycled Prosthetic Devices, Hearing Aids, Auditory Test Equipment, Electronic Reading Devices</v>
      </c>
    </row>
    <row r="5538" spans="2:2" x14ac:dyDescent="0.25">
      <c r="B5538" t="str">
        <v>710-95: Speech Training Equipment, For the Hearing Impaired</v>
      </c>
    </row>
    <row r="5539" spans="2:2" x14ac:dyDescent="0.25">
      <c r="B5539" t="str">
        <v>715-04: Audio and Video Books, Digital</v>
      </c>
    </row>
    <row r="5540" spans="2:2" x14ac:dyDescent="0.25">
      <c r="B5540" t="str">
        <v>715-05: Audio Cassettes, Tapes and Compact Disks, Prerecorded</v>
      </c>
    </row>
    <row r="5541" spans="2:2" x14ac:dyDescent="0.25">
      <c r="B5541" t="str">
        <v>715-09: Cook and Recipe Books</v>
      </c>
    </row>
    <row r="5542" spans="2:2" x14ac:dyDescent="0.25">
      <c r="B5542" t="str">
        <v>715-10: Books, Curriculum Guides, Directories, Magazines, Pamphlets, Periodicals, Publications, Reprints, etc.</v>
      </c>
    </row>
    <row r="5543" spans="2:2" x14ac:dyDescent="0.25">
      <c r="B5543" t="str">
        <v>715-12: Books, Reference, Including CD Versions: Dictionaries, Encyclopedias, etc.</v>
      </c>
    </row>
    <row r="5544" spans="2:2" x14ac:dyDescent="0.25">
      <c r="B5544" t="str">
        <v>715-19: Career Technology Education, Hospitality &amp; Tourism Instructional Supplies/Materials</v>
      </c>
    </row>
    <row r="5545" spans="2:2" x14ac:dyDescent="0.25">
      <c r="B5545" t="str">
        <v>715-20: Catalog Cards, Library of Congress Type and other Types</v>
      </c>
    </row>
    <row r="5546" spans="2:2" x14ac:dyDescent="0.25">
      <c r="B5546" t="str">
        <v>715-30: Display, Exhibit, and Promotional Materials</v>
      </c>
    </row>
    <row r="5547" spans="2:2" x14ac:dyDescent="0.25">
      <c r="B5547" t="str">
        <v>715-33: Drawings and Diagrams: Dimensional, Technical, etc.</v>
      </c>
    </row>
    <row r="5548" spans="2:2" x14ac:dyDescent="0.25">
      <c r="B5548" t="str">
        <v>715-35: *Electronic Publications: Directories, Dictionaries, Encyclopedias, etc.</v>
      </c>
    </row>
    <row r="5549" spans="2:2" x14ac:dyDescent="0.25">
      <c r="B5549" t="str">
        <v>715-40: Filmstrips, Slides, Transparencies, etc., Prepared</v>
      </c>
    </row>
    <row r="5550" spans="2:2" x14ac:dyDescent="0.25">
      <c r="B5550" t="str">
        <v>715-45: Laboratory Books, Research and Related Materials, DNA, Genomic, etc.</v>
      </c>
    </row>
    <row r="5551" spans="2:2" x14ac:dyDescent="0.25">
      <c r="B5551" t="str">
        <v>715-46: Legal Books and Publications</v>
      </c>
    </row>
    <row r="5552" spans="2:2" x14ac:dyDescent="0.25">
      <c r="B5552" t="str">
        <v>715-47: Manuals: Parts, Personnel, Policy, Purchasing, Training, etc., (Not Otherwise Classified)</v>
      </c>
    </row>
    <row r="5553" spans="2:2" x14ac:dyDescent="0.25">
      <c r="B5553" t="str">
        <v>715-48: Medical Books and Publications</v>
      </c>
    </row>
    <row r="5554" spans="2:2" x14ac:dyDescent="0.25">
      <c r="B5554" t="str">
        <v>715-50: Microfilm, Microfiche, etc., Prepared</v>
      </c>
    </row>
    <row r="5555" spans="2:2" x14ac:dyDescent="0.25">
      <c r="B5555" t="str">
        <v>715-52: Journalistic Services, Includes Page Charges for Publications</v>
      </c>
    </row>
    <row r="5556" spans="2:2" x14ac:dyDescent="0.25">
      <c r="B5556" t="str">
        <v>715-55: Motion Pictures (See Class 475 for Medical Training Films)</v>
      </c>
    </row>
    <row r="5557" spans="2:2" x14ac:dyDescent="0.25">
      <c r="B5557" t="str">
        <v>715-60: Multimedia Sets, Prepared</v>
      </c>
    </row>
    <row r="5558" spans="2:2" x14ac:dyDescent="0.25">
      <c r="B5558" t="str">
        <v>715-80: Phonograph Records, Sound Tapes, etc., Prepared</v>
      </c>
    </row>
    <row r="5559" spans="2:2" x14ac:dyDescent="0.25">
      <c r="B5559" t="str">
        <v>715-82: Religious Publications and Books</v>
      </c>
    </row>
    <row r="5560" spans="2:2" x14ac:dyDescent="0.25">
      <c r="B5560" t="str">
        <v>715-83: Textbooks, Adult Education</v>
      </c>
    </row>
    <row r="5561" spans="2:2" x14ac:dyDescent="0.25">
      <c r="B5561" t="str">
        <v>715-84: Textbooks, Special Education</v>
      </c>
    </row>
    <row r="5562" spans="2:2" x14ac:dyDescent="0.25">
      <c r="B5562" t="str">
        <v>715-85: Textbooks, Pre-Kindergarten thru 5th Grade, Including Student and Teacher Editions</v>
      </c>
    </row>
    <row r="5563" spans="2:2" x14ac:dyDescent="0.25">
      <c r="B5563" t="str">
        <v>715-86: Textbooks, 6th thru 8th Grade, Including Student and Teacher Editions</v>
      </c>
    </row>
    <row r="5564" spans="2:2" x14ac:dyDescent="0.25">
      <c r="B5564" t="str">
        <v>715-87: Textbooks, 9th thru 12th Grade, Including Student and Teacher Editions</v>
      </c>
    </row>
    <row r="5565" spans="2:2" x14ac:dyDescent="0.25">
      <c r="B5565" t="str">
        <v>715-88: Textbooks, College Level, Including Student and Teacher Editions</v>
      </c>
    </row>
    <row r="5566" spans="2:2" x14ac:dyDescent="0.25">
      <c r="B5566" t="str">
        <v>715-89: Textbooks, Early Childhood</v>
      </c>
    </row>
    <row r="5567" spans="2:2" x14ac:dyDescent="0.25">
      <c r="B5567" t="str">
        <v>715-90: Video Cassettes, Disks, Tapes, etc., For Computer and TV, Prerecorded</v>
      </c>
    </row>
    <row r="5568" spans="2:2" x14ac:dyDescent="0.25">
      <c r="B5568" t="str">
        <v>715-95: Recycled Publications and Audio-Visual Materials</v>
      </c>
    </row>
    <row r="5569" spans="2:2" x14ac:dyDescent="0.25">
      <c r="B5569" t="str">
        <v>720-03: Asphalt Pumps</v>
      </c>
    </row>
    <row r="5570" spans="2:2" x14ac:dyDescent="0.25">
      <c r="B5570" t="str">
        <v>720-04: Automatic Fueling Systems, Including Parts and Accessories</v>
      </c>
    </row>
    <row r="5571" spans="2:2" x14ac:dyDescent="0.25">
      <c r="B5571" t="str">
        <v>720-06: Barrel Pumps, Drum Pumps: Rotary and Plunger Types, Hand Operated</v>
      </c>
    </row>
    <row r="5572" spans="2:2" x14ac:dyDescent="0.25">
      <c r="B5572" t="str">
        <v>720-10: Boom Pumps, Concrete, Including Parts and Accessories</v>
      </c>
    </row>
    <row r="5573" spans="2:2" x14ac:dyDescent="0.25">
      <c r="B5573" t="str">
        <v>720-12: Booster or Circulating Pumps, In-Line</v>
      </c>
    </row>
    <row r="5574" spans="2:2" x14ac:dyDescent="0.25">
      <c r="B5574" t="str">
        <v>720-13: Cavity Pumps, Progressive</v>
      </c>
    </row>
    <row r="5575" spans="2:2" x14ac:dyDescent="0.25">
      <c r="B5575" t="str">
        <v>720-15: Centrifugal Pumps, Portable</v>
      </c>
    </row>
    <row r="5576" spans="2:2" x14ac:dyDescent="0.25">
      <c r="B5576" t="str">
        <v>720-17: Centrifugal Pumps, Compact, Submersible</v>
      </c>
    </row>
    <row r="5577" spans="2:2" x14ac:dyDescent="0.25">
      <c r="B5577" t="str">
        <v>720-18: Centrifugal Pumps, Stationary</v>
      </c>
    </row>
    <row r="5578" spans="2:2" x14ac:dyDescent="0.25">
      <c r="B5578" t="str">
        <v>720-19: Compressors, Compressed Natural Gas (CNG)</v>
      </c>
    </row>
    <row r="5579" spans="2:2" x14ac:dyDescent="0.25">
      <c r="B5579" t="str">
        <v>720-20: *Control Devices: Motor Fuel Dispensing, Security, Management</v>
      </c>
    </row>
    <row r="5580" spans="2:2" x14ac:dyDescent="0.25">
      <c r="B5580" t="str">
        <v>720-24: Diaphragm Pumps</v>
      </c>
    </row>
    <row r="5581" spans="2:2" x14ac:dyDescent="0.25">
      <c r="B5581" t="str">
        <v>720-25: Dry Pit Sludge Pumps</v>
      </c>
    </row>
    <row r="5582" spans="2:2" x14ac:dyDescent="0.25">
      <c r="B5582" t="str">
        <v>720-27: Fire Equipment Pumps, Including Parts and Accessories</v>
      </c>
    </row>
    <row r="5583" spans="2:2" x14ac:dyDescent="0.25">
      <c r="B5583" t="str">
        <v>720-33: Gasoline, Compressed Natural Gas (CNG), Liquefied Petroleum Gas (LPG), and Diesel Fuel Pumps, Service Station Type</v>
      </c>
    </row>
    <row r="5584" spans="2:2" x14ac:dyDescent="0.25">
      <c r="B5584" t="str">
        <v>720-36: Hydraulic Pumps, Hand and Motor Driven</v>
      </c>
    </row>
    <row r="5585" spans="2:2" x14ac:dyDescent="0.25">
      <c r="B5585" t="str">
        <v>720-40: Mechanical Pumps, Including Parts and Accessories</v>
      </c>
    </row>
    <row r="5586" spans="2:2" x14ac:dyDescent="0.25">
      <c r="B5586" t="str">
        <v>720-41: Meters and Dispensers: Fuel, Oil, and Lubricants</v>
      </c>
    </row>
    <row r="5587" spans="2:2" x14ac:dyDescent="0.25">
      <c r="B5587" t="str">
        <v>720-42: Packing, Pump</v>
      </c>
    </row>
    <row r="5588" spans="2:2" x14ac:dyDescent="0.25">
      <c r="B5588" t="str">
        <v>720-43: Oil Pumps, Including Parts and Accessories (See 060-64 for Automotive Type)</v>
      </c>
    </row>
    <row r="5589" spans="2:2" x14ac:dyDescent="0.25">
      <c r="B5589" t="str">
        <v>720-45: Piston Pumps, Including Parts and Accessories</v>
      </c>
    </row>
    <row r="5590" spans="2:2" x14ac:dyDescent="0.25">
      <c r="B5590" t="str">
        <v>720-52: Propeller Pumps, Vertical</v>
      </c>
    </row>
    <row r="5591" spans="2:2" x14ac:dyDescent="0.25">
      <c r="B5591" t="str">
        <v>720-55: Proportioning Pumps: Chemical Feed, Metering, Positive Displacement, and Injector Pumps (See Also Class 820)</v>
      </c>
    </row>
    <row r="5592" spans="2:2" x14ac:dyDescent="0.25">
      <c r="B5592" t="str">
        <v>720-56: Pumps, Miscellaneous, (Not Otherwise Classified)</v>
      </c>
    </row>
    <row r="5593" spans="2:2" x14ac:dyDescent="0.25">
      <c r="B5593" t="str">
        <v>720-58: Recovery Pumps and Piping: Free Product, Groundwater, etc.</v>
      </c>
    </row>
    <row r="5594" spans="2:2" x14ac:dyDescent="0.25">
      <c r="B5594" t="str">
        <v>720-59: Recycled Pumping Equipment, Including Parts and Accessories</v>
      </c>
    </row>
    <row r="5595" spans="2:2" x14ac:dyDescent="0.25">
      <c r="B5595" t="str">
        <v>720-61: Rotary Pumps: Gear or Roller Type, Power Driven</v>
      </c>
    </row>
    <row r="5596" spans="2:2" x14ac:dyDescent="0.25">
      <c r="B5596" t="str">
        <v>720-63: Sampling Pump Systems, Including Parts and Accessories</v>
      </c>
    </row>
    <row r="5597" spans="2:2" x14ac:dyDescent="0.25">
      <c r="B5597" t="str">
        <v>720-64: Sewage and Sludge Pumps, Submersible</v>
      </c>
    </row>
    <row r="5598" spans="2:2" x14ac:dyDescent="0.25">
      <c r="B5598" t="str">
        <v>720-67: Sewage and Sludge Pumps, Surface Mounted</v>
      </c>
    </row>
    <row r="5599" spans="2:2" x14ac:dyDescent="0.25">
      <c r="B5599" t="str">
        <v>720-73: Sump Pumps: Submersible and Non-Submersible</v>
      </c>
    </row>
    <row r="5600" spans="2:2" x14ac:dyDescent="0.25">
      <c r="B5600" t="str">
        <v>720-79: Trash Pumps, Portable, Engine-Driven</v>
      </c>
    </row>
    <row r="5601" spans="2:2" x14ac:dyDescent="0.25">
      <c r="B5601" t="str">
        <v>720-82: Water Pumps, Including Parts and Accessories (See 060-35 for Automotive Type)</v>
      </c>
    </row>
    <row r="5602" spans="2:2" x14ac:dyDescent="0.25">
      <c r="B5602" t="str">
        <v>720-84: Water Well Accessories: Drive Points, Foot Valves and Strainers, Leather Cups, Sucker Rods, Well Cylinders, etc.</v>
      </c>
    </row>
    <row r="5603" spans="2:2" x14ac:dyDescent="0.25">
      <c r="B5603" t="str">
        <v>720-90: Well Pumps, All Kinds</v>
      </c>
    </row>
    <row r="5604" spans="2:2" x14ac:dyDescent="0.25">
      <c r="B5604" t="str">
        <v>726-06: *Adhesive/Cement, Radio</v>
      </c>
    </row>
    <row r="5605" spans="2:2" x14ac:dyDescent="0.25">
      <c r="B5605" t="str">
        <v>726-11: *AM/FM Transmitters, Broadcast</v>
      </c>
    </row>
    <row r="5606" spans="2:2" x14ac:dyDescent="0.25">
      <c r="B5606" t="str">
        <v>726-13: *Amplifiers, Not TV Antenna: Differential, Directional, Linear, Pulse, Video Processing, etc., Including Preamplifiers</v>
      </c>
    </row>
    <row r="5607" spans="2:2" x14ac:dyDescent="0.25">
      <c r="B5607" t="str">
        <v>726-16: *Antennas and Accessories, Radio Only: Brackets, Masts, Mount, Rotators, Standoffs, etc., Including Aircraft, Vehicle and Marine Types</v>
      </c>
    </row>
    <row r="5608" spans="2:2" x14ac:dyDescent="0.25">
      <c r="B5608" t="str">
        <v>726-21: *Battery Chargers and Testers (See Class 075 for Automotive)</v>
      </c>
    </row>
    <row r="5609" spans="2:2" x14ac:dyDescent="0.25">
      <c r="B5609" t="str">
        <v>726-24: *Beacon Receivers, Radio</v>
      </c>
    </row>
    <row r="5610" spans="2:2" x14ac:dyDescent="0.25">
      <c r="B5610" t="str">
        <v>726-37: *Direction Finder Equipment, Radio</v>
      </c>
    </row>
    <row r="5611" spans="2:2" x14ac:dyDescent="0.25">
      <c r="B5611" t="str">
        <v>726-40: *Encoder/Decoder with Printer, Vehicle</v>
      </c>
    </row>
    <row r="5612" spans="2:2" x14ac:dyDescent="0.25">
      <c r="B5612" t="str">
        <v>726-41: *Encoder/Decoder, Scramblers, etc., Voice</v>
      </c>
    </row>
    <row r="5613" spans="2:2" x14ac:dyDescent="0.25">
      <c r="B5613" t="str">
        <v>726-44: *Facsimile Transceiver, Not Office Type</v>
      </c>
    </row>
    <row r="5614" spans="2:2" x14ac:dyDescent="0.25">
      <c r="B5614" t="str">
        <v>726-47: *Frequency Data Communication Equipment, Radio (Including Identification Equipment)</v>
      </c>
    </row>
    <row r="5615" spans="2:2" x14ac:dyDescent="0.25">
      <c r="B5615" t="str">
        <v>726-51: *Global Positioning Systems, Satellite, Global Information Systems, Including GPS Receivers and Transmitters</v>
      </c>
    </row>
    <row r="5616" spans="2:2" x14ac:dyDescent="0.25">
      <c r="B5616" t="str">
        <v>726-54: *Ground Stations, Satellite: Transmit/Receive and Receive Only, Including Antennas</v>
      </c>
    </row>
    <row r="5617" spans="2:2" x14ac:dyDescent="0.25">
      <c r="B5617" t="str">
        <v>726-56: *Ham Band Transmitters and Receivers</v>
      </c>
    </row>
    <row r="5618" spans="2:2" x14ac:dyDescent="0.25">
      <c r="B5618" t="str">
        <v>726-57: *High Frequency Radio, (SSB), Mobile. Base and Handheld</v>
      </c>
    </row>
    <row r="5619" spans="2:2" x14ac:dyDescent="0.25">
      <c r="B5619" t="str">
        <v>726-59: *Highway Advisory Radio Systems (HAR)</v>
      </c>
    </row>
    <row r="5620" spans="2:2" x14ac:dyDescent="0.25">
      <c r="B5620" t="str">
        <v>726-63: *Intercom Systems, Household or Office</v>
      </c>
    </row>
    <row r="5621" spans="2:2" x14ac:dyDescent="0.25">
      <c r="B5621" t="str">
        <v>726-64: *Intercom Systems, Correctional Facilities</v>
      </c>
    </row>
    <row r="5622" spans="2:2" x14ac:dyDescent="0.25">
      <c r="B5622" t="str">
        <v>726-70: *Pagers, Radio, Including Parts and Accessories</v>
      </c>
    </row>
    <row r="5623" spans="2:2" x14ac:dyDescent="0.25">
      <c r="B5623" t="str">
        <v>726-77: *Radio Frequency Scanner Receivers and Amplifiers, Including RF Connectors, Analyzers, Counters, Meters, Switches</v>
      </c>
    </row>
    <row r="5624" spans="2:2" x14ac:dyDescent="0.25">
      <c r="B5624" t="str">
        <v>726-78: *Radios, Home and Auto, including Short-Wave and Weather Type</v>
      </c>
    </row>
    <row r="5625" spans="2:2" x14ac:dyDescent="0.25">
      <c r="B5625" t="str">
        <v>726-80: *Recycled Radio Communication Equipment</v>
      </c>
    </row>
    <row r="5626" spans="2:2" x14ac:dyDescent="0.25">
      <c r="B5626" t="str">
        <v>726-84: *Towers: Broadcasting, Cellular, Microwave, Transmitting, etc.</v>
      </c>
    </row>
    <row r="5627" spans="2:2" x14ac:dyDescent="0.25">
      <c r="B5627" t="str">
        <v>726-86: *Tracking Equipment, Wildlife (See Class 120-37 for Fish Locators)</v>
      </c>
    </row>
    <row r="5628" spans="2:2" x14ac:dyDescent="0.25">
      <c r="B5628" t="str">
        <v>726-88: *Two-Way Radio, Portable, Including Vehicle Radio Relay Systems</v>
      </c>
    </row>
    <row r="5629" spans="2:2" x14ac:dyDescent="0.25">
      <c r="B5629" t="str">
        <v>726-89: *Two-Way Radio Receivers, Transmitters, Transceivers: Mobile and Base Station, Audio Transfer</v>
      </c>
    </row>
    <row r="5630" spans="2:2" x14ac:dyDescent="0.25">
      <c r="B5630" t="str">
        <v>726-90: *Two-Way Radio Supplies, Parts, and Accessories</v>
      </c>
    </row>
    <row r="5631" spans="2:2" x14ac:dyDescent="0.25">
      <c r="B5631" t="str">
        <v>730-06: Calibrators: Resistance, Power, Voltage, Time, etc.</v>
      </c>
    </row>
    <row r="5632" spans="2:2" x14ac:dyDescent="0.25">
      <c r="B5632" t="str">
        <v>730-12: *Computer-Automated Measurement and Control (CAMAC) Systems and Devices, All Kinds</v>
      </c>
    </row>
    <row r="5633" spans="2:2" x14ac:dyDescent="0.25">
      <c r="B5633" t="str">
        <v>730-18: Converters: Analog-to-Digital, Digital-to-Analog, Time-to-Amplitude, etc.</v>
      </c>
    </row>
    <row r="5634" spans="2:2" x14ac:dyDescent="0.25">
      <c r="B5634" t="str">
        <v>730-24: Counters, Ratemeters, Scalers, Timers, etc. (For Electronic Pulses)</v>
      </c>
    </row>
    <row r="5635" spans="2:2" x14ac:dyDescent="0.25">
      <c r="B5635" t="str">
        <v>730-30: Discriminators and Burst Protectors</v>
      </c>
    </row>
    <row r="5636" spans="2:2" x14ac:dyDescent="0.25">
      <c r="B5636" t="str">
        <v>730-32: Distortion Measurement Equipment, Audiofrequency, Radiofrequency, etc.)</v>
      </c>
    </row>
    <row r="5637" spans="2:2" x14ac:dyDescent="0.25">
      <c r="B5637" t="str">
        <v>730-36: Field Strength Meters, Microwave Power, etc. and Monitoring Systems</v>
      </c>
    </row>
    <row r="5638" spans="2:2" x14ac:dyDescent="0.25">
      <c r="B5638" t="str">
        <v>730-37: Forensic Extraction Devices for Cellular Phones, Smartphones and PDAs</v>
      </c>
    </row>
    <row r="5639" spans="2:2" x14ac:dyDescent="0.25">
      <c r="B5639" t="str">
        <v>730-42: Function Generators, Pulse, Ramp, Sweep, etc. and Oscillators</v>
      </c>
    </row>
    <row r="5640" spans="2:2" x14ac:dyDescent="0.25">
      <c r="B5640" t="str">
        <v>730-49: *Logic Analyzers, Microprocessor Analyzers, and Accessories: Delay and Gate Generators, Personality Modules, Word Recognizers, etc.</v>
      </c>
    </row>
    <row r="5641" spans="2:2" x14ac:dyDescent="0.25">
      <c r="B5641" t="str">
        <v>730-54: Measuring Instruments, Analog and Digital, For Capacitance, Current, Frequency, Impedance, Power, Resistance, Sound Level, Voltage, etc.</v>
      </c>
    </row>
    <row r="5642" spans="2:2" x14ac:dyDescent="0.25">
      <c r="B5642" t="str">
        <v>730-60: Oscilloscopes, Waveform Analyzers, and Accessories</v>
      </c>
    </row>
    <row r="5643" spans="2:2" x14ac:dyDescent="0.25">
      <c r="B5643" t="str">
        <v>730-66: Pulse Height Analyzers, Single Channel and Multichannel</v>
      </c>
    </row>
    <row r="5644" spans="2:2" x14ac:dyDescent="0.25">
      <c r="B5644" t="str">
        <v>730-72: *Radio, Sound, and Telecommunications Testing Equipment: AF Generators, Deviation Meters, Meter Panels, Test Fixtures and Jigs, etc.</v>
      </c>
    </row>
    <row r="5645" spans="2:2" x14ac:dyDescent="0.25">
      <c r="B5645" t="str">
        <v>730-74: Recycled Radio and Telecommunication Testing, Measuring and Analyzing Equipment and Supplies</v>
      </c>
    </row>
    <row r="5646" spans="2:2" x14ac:dyDescent="0.25">
      <c r="B5646" t="str">
        <v>730-78: *Signal Averagers, Integrators, etc.</v>
      </c>
    </row>
    <row r="5647" spans="2:2" x14ac:dyDescent="0.25">
      <c r="B5647" t="str">
        <v>730-84: *Spectrum Analyzers: Radio Frequencies, Sound, etc.</v>
      </c>
    </row>
    <row r="5648" spans="2:2" x14ac:dyDescent="0.25">
      <c r="B5648" t="str">
        <v>730-86: *Telephone Line Monitoring Systems</v>
      </c>
    </row>
    <row r="5649" spans="2:2" x14ac:dyDescent="0.25">
      <c r="B5649" t="str">
        <v>730-90: Video Testing Equipment: Color Bar Generators, Degaussing Coils, Waveform Monitors, etc.</v>
      </c>
    </row>
    <row r="5650" spans="2:2" x14ac:dyDescent="0.25">
      <c r="B5650" t="str">
        <v>730-96: Tube Testers: Radio, TV, etc.</v>
      </c>
    </row>
    <row r="5651" spans="2:2" x14ac:dyDescent="0.25">
      <c r="B5651" t="str">
        <v>735-05: Dispenser for Wipes</v>
      </c>
    </row>
    <row r="5652" spans="2:2" x14ac:dyDescent="0.25">
      <c r="B5652" t="str">
        <v>735-10: Towels, Shop Type, New</v>
      </c>
    </row>
    <row r="5653" spans="2:2" x14ac:dyDescent="0.25">
      <c r="B5653" t="str">
        <v>735-20: Wipes, Fabric, Non-Woven</v>
      </c>
    </row>
    <row r="5654" spans="2:2" x14ac:dyDescent="0.25">
      <c r="B5654" t="str">
        <v>735-60: Wiping Rags, All Types: Cotton Towels, Lightweight Blankets, Muslins, Synthetics, etc.</v>
      </c>
    </row>
    <row r="5655" spans="2:2" x14ac:dyDescent="0.25">
      <c r="B5655" t="str">
        <v>735-75: Recycled Rags, Shop Towels and Wiping Cloths</v>
      </c>
    </row>
    <row r="5656" spans="2:2" x14ac:dyDescent="0.25">
      <c r="B5656" t="str">
        <v>740-05: Ammonia</v>
      </c>
    </row>
    <row r="5657" spans="2:2" x14ac:dyDescent="0.25">
      <c r="B5657" t="str">
        <v>740-09: Bacterial and Odor Control Equipment</v>
      </c>
    </row>
    <row r="5658" spans="2:2" x14ac:dyDescent="0.25">
      <c r="B5658" t="str">
        <v>740-12: Cold Storage Doors</v>
      </c>
    </row>
    <row r="5659" spans="2:2" x14ac:dyDescent="0.25">
      <c r="B5659" t="str">
        <v>740-13: Cold Storage Vaults, Walk-In Coolers, and Shelving</v>
      </c>
    </row>
    <row r="5660" spans="2:2" x14ac:dyDescent="0.25">
      <c r="B5660" t="str">
        <v>740-17: Compressors, Including Parts and Accessories</v>
      </c>
    </row>
    <row r="5661" spans="2:2" x14ac:dyDescent="0.25">
      <c r="B5661" t="str">
        <v>740-24: Condensing Units</v>
      </c>
    </row>
    <row r="5662" spans="2:2" x14ac:dyDescent="0.25">
      <c r="B5662" t="str">
        <v>740-28: Cylinders, Empty, For Refrigerant Gases</v>
      </c>
    </row>
    <row r="5663" spans="2:2" x14ac:dyDescent="0.25">
      <c r="B5663" t="str">
        <v>740-30: Display Cases, Refrigerated</v>
      </c>
    </row>
    <row r="5664" spans="2:2" x14ac:dyDescent="0.25">
      <c r="B5664" t="str">
        <v>740-32: Dry Ice Making Machines</v>
      </c>
    </row>
    <row r="5665" spans="2:2" x14ac:dyDescent="0.25">
      <c r="B5665" t="str">
        <v>740-36: Gaskets and Felts, Refrigeration Equipment</v>
      </c>
    </row>
    <row r="5666" spans="2:2" x14ac:dyDescent="0.25">
      <c r="B5666" t="str">
        <v>740-40: Hand Tools, Refrigeration</v>
      </c>
    </row>
    <row r="5667" spans="2:2" x14ac:dyDescent="0.25">
      <c r="B5667" t="str">
        <v>740-45: Ice Making and Dispensing Machines (Not Dry Ice)</v>
      </c>
    </row>
    <row r="5668" spans="2:2" x14ac:dyDescent="0.25">
      <c r="B5668" t="str">
        <v>740-55: Refrigerant Gases, Except Ammonia</v>
      </c>
    </row>
    <row r="5669" spans="2:2" x14ac:dyDescent="0.25">
      <c r="B5669" t="str">
        <v>740-59: Refrigeration Accessories and Supplies: Capillaries, Controls, Dryers, Expansion Valves, Refrigerant Oil, Sealants, Sight Glasses, Thermometers, Vibration Eliminators, etc.</v>
      </c>
    </row>
    <row r="5670" spans="2:2" x14ac:dyDescent="0.25">
      <c r="B5670" t="str">
        <v>740-60: Refrigerant Recovery Systems, Including Parts and Accessories</v>
      </c>
    </row>
    <row r="5671" spans="2:2" x14ac:dyDescent="0.25">
      <c r="B5671" t="str">
        <v>740-63: Refrigeration Tubing and Fittings</v>
      </c>
    </row>
    <row r="5672" spans="2:2" x14ac:dyDescent="0.25">
      <c r="B5672" t="str">
        <v>740-66: Refrigeration Units, For Vaults and Walk-In Coolers: Complete and Self-Contained</v>
      </c>
    </row>
    <row r="5673" spans="2:2" x14ac:dyDescent="0.25">
      <c r="B5673" t="str">
        <v>740-70: Refrigerators and Freezers, Commercial</v>
      </c>
    </row>
    <row r="5674" spans="2:2" x14ac:dyDescent="0.25">
      <c r="B5674" t="str">
        <v>740-74: Scale Eliminator Devices, Ice Machine</v>
      </c>
    </row>
    <row r="5675" spans="2:2" x14ac:dyDescent="0.25">
      <c r="B5675" t="str">
        <v>740-85: Vending Machines, Refrigerated: Food, Beverages, Sundries, etc.</v>
      </c>
    </row>
    <row r="5676" spans="2:2" x14ac:dyDescent="0.25">
      <c r="B5676" t="str">
        <v>740-88: Water Filters, Ice Machine</v>
      </c>
    </row>
    <row r="5677" spans="2:2" x14ac:dyDescent="0.25">
      <c r="B5677" t="str">
        <v>740-95: Recycled Refrigeration Equipment, Including Parts and Accessories</v>
      </c>
    </row>
    <row r="5678" spans="2:2" x14ac:dyDescent="0.25">
      <c r="B5678" t="str">
        <v>745-01: Aggregate, Precoated</v>
      </c>
    </row>
    <row r="5679" spans="2:2" x14ac:dyDescent="0.25">
      <c r="B5679" t="str">
        <v>745-02: Asphalt, AC (Asphalt Cement)</v>
      </c>
    </row>
    <row r="5680" spans="2:2" x14ac:dyDescent="0.25">
      <c r="B5680" t="str">
        <v>745-04: Asphalt, AC (With Latex Polymer)</v>
      </c>
    </row>
    <row r="5681" spans="2:2" x14ac:dyDescent="0.25">
      <c r="B5681" t="str">
        <v>745-05: Asphalt, Aggregates</v>
      </c>
    </row>
    <row r="5682" spans="2:2" x14ac:dyDescent="0.25">
      <c r="B5682" t="str">
        <v>745-06: Asphalt, Cutback</v>
      </c>
    </row>
    <row r="5683" spans="2:2" x14ac:dyDescent="0.25">
      <c r="B5683" t="str">
        <v>745-07: Asphalt, Cutback (With Latex Polymer)</v>
      </c>
    </row>
    <row r="5684" spans="2:2" x14ac:dyDescent="0.25">
      <c r="B5684" t="str">
        <v>745-08: Asphalt, Emulsified</v>
      </c>
    </row>
    <row r="5685" spans="2:2" x14ac:dyDescent="0.25">
      <c r="B5685" t="str">
        <v>745-10: Asphalt, Emulsified (With Latex Polymer)</v>
      </c>
    </row>
    <row r="5686" spans="2:2" x14ac:dyDescent="0.25">
      <c r="B5686" t="str">
        <v>745-11: Asphalt, Pervious Hot Mix</v>
      </c>
    </row>
    <row r="5687" spans="2:2" x14ac:dyDescent="0.25">
      <c r="B5687" t="str">
        <v>745-12: Asphalt, Oil</v>
      </c>
    </row>
    <row r="5688" spans="2:2" x14ac:dyDescent="0.25">
      <c r="B5688" t="str">
        <v>745-13: Asphalt, Uintaite</v>
      </c>
    </row>
    <row r="5689" spans="2:2" x14ac:dyDescent="0.25">
      <c r="B5689" t="str">
        <v>745-14: Asphaltic Concrete, Cold Laid, Rock Asphalt</v>
      </c>
    </row>
    <row r="5690" spans="2:2" x14ac:dyDescent="0.25">
      <c r="B5690" t="str">
        <v>745-21: Asphaltic Concrete, Hot Laid Including Bituminous Materials</v>
      </c>
    </row>
    <row r="5691" spans="2:2" x14ac:dyDescent="0.25">
      <c r="B5691" t="str">
        <v>745-28: Asphaltic Shell</v>
      </c>
    </row>
    <row r="5692" spans="2:2" x14ac:dyDescent="0.25">
      <c r="B5692" t="str">
        <v>745-31: Bitumens, Bulk, Oil and Tar</v>
      </c>
    </row>
    <row r="5693" spans="2:2" x14ac:dyDescent="0.25">
      <c r="B5693" t="str">
        <v>745-35: Catalytically Blown Asphalt</v>
      </c>
    </row>
    <row r="5694" spans="2:2" x14ac:dyDescent="0.25">
      <c r="B5694" t="str">
        <v>745-42: Coal Tar Pitch, Emulsions, and Anti-Stripping Additives</v>
      </c>
    </row>
    <row r="5695" spans="2:2" x14ac:dyDescent="0.25">
      <c r="B5695" t="str">
        <v>745-45: Cracked Fuel Oil</v>
      </c>
    </row>
    <row r="5696" spans="2:2" x14ac:dyDescent="0.25">
      <c r="B5696" t="str">
        <v>745-49: Expansion Joint Material: Asphalt, Rubber, etc.</v>
      </c>
    </row>
    <row r="5697" spans="2:2" x14ac:dyDescent="0.25">
      <c r="B5697" t="str">
        <v>745-50: Fiber Reinforced Surface Treatment</v>
      </c>
    </row>
    <row r="5698" spans="2:2" x14ac:dyDescent="0.25">
      <c r="B5698" t="str">
        <v>745-56: Joint Sealants: Asphalt, Elastomeric Materials, Glass Filament, Impervious Membranes, Plastic, Rubber, Silicones, Water Stops, etc.</v>
      </c>
    </row>
    <row r="5699" spans="2:2" x14ac:dyDescent="0.25">
      <c r="B5699" t="str">
        <v>745-63: Latex Rubber Additive Compound, For Asphalt</v>
      </c>
    </row>
    <row r="5700" spans="2:2" x14ac:dyDescent="0.25">
      <c r="B5700" t="str">
        <v>745-65: Patching Mix, Asphalt Concrete</v>
      </c>
    </row>
    <row r="5701" spans="2:2" x14ac:dyDescent="0.25">
      <c r="B5701" t="str">
        <v>745-67: Patching Mix, Cutback Asphalt</v>
      </c>
    </row>
    <row r="5702" spans="2:2" x14ac:dyDescent="0.25">
      <c r="B5702" t="str">
        <v>745-68: Recycled Asphalt and Asphalt Products</v>
      </c>
    </row>
    <row r="5703" spans="2:2" x14ac:dyDescent="0.25">
      <c r="B5703" t="str">
        <v>745-70: Road Oil</v>
      </c>
    </row>
    <row r="5704" spans="2:2" x14ac:dyDescent="0.25">
      <c r="B5704" t="str">
        <v>745-77: Rock Asphalt  (Inactive, please see commodity code 745-14 effective January 1, 2016)</v>
      </c>
    </row>
    <row r="5705" spans="2:2" x14ac:dyDescent="0.25">
      <c r="B5705" t="str">
        <v>745-80: Rubber Asphalt Crack Sealing Compound</v>
      </c>
    </row>
    <row r="5706" spans="2:2" x14ac:dyDescent="0.25">
      <c r="B5706" t="str">
        <v>745-84: Slurry Seal</v>
      </c>
    </row>
    <row r="5707" spans="2:2" x14ac:dyDescent="0.25">
      <c r="B5707" t="str">
        <v>745-86: SEAL COATING</v>
      </c>
    </row>
    <row r="5708" spans="2:2" x14ac:dyDescent="0.25">
      <c r="B5708" t="str">
        <v>745-87: Stabilized Base, Asphaltic</v>
      </c>
    </row>
    <row r="5709" spans="2:2" x14ac:dyDescent="0.25">
      <c r="B5709" t="str">
        <v>750-04: Ash, Fly and Bottom</v>
      </c>
    </row>
    <row r="5710" spans="2:2" x14ac:dyDescent="0.25">
      <c r="B5710" t="str">
        <v>750-07: Borrow and Soil (See Class 790 for Top Soil)</v>
      </c>
    </row>
    <row r="5711" spans="2:2" x14ac:dyDescent="0.25">
      <c r="B5711" t="str">
        <v>750-14: Caliche</v>
      </c>
    </row>
    <row r="5712" spans="2:2" x14ac:dyDescent="0.25">
      <c r="B5712" t="str">
        <v>750-21: Cement, Truckload Lots and Larger (See 150-12 for Bagged Cement)</v>
      </c>
    </row>
    <row r="5713" spans="2:2" x14ac:dyDescent="0.25">
      <c r="B5713" t="str">
        <v>750-28: Concrete Curing Blankets and Paper</v>
      </c>
    </row>
    <row r="5714" spans="2:2" x14ac:dyDescent="0.25">
      <c r="B5714" t="str">
        <v>750-30: Concrete, Precast</v>
      </c>
    </row>
    <row r="5715" spans="2:2" x14ac:dyDescent="0.25">
      <c r="B5715" t="str">
        <v>750-32: Concrete Crack Repair Adhesive, Structural Urethane</v>
      </c>
    </row>
    <row r="5716" spans="2:2" x14ac:dyDescent="0.25">
      <c r="B5716" t="str">
        <v>750-33: Concrete, Repair, Rapid Setting</v>
      </c>
    </row>
    <row r="5717" spans="2:2" x14ac:dyDescent="0.25">
      <c r="B5717" t="str">
        <v>750-35: Crushed Stone, (Includes Riprap)</v>
      </c>
    </row>
    <row r="5718" spans="2:2" x14ac:dyDescent="0.25">
      <c r="B5718" t="str">
        <v>750-42: Drilling Mud</v>
      </c>
    </row>
    <row r="5719" spans="2:2" x14ac:dyDescent="0.25">
      <c r="B5719" t="str">
        <v>750-45: Dust Control Agents</v>
      </c>
    </row>
    <row r="5720" spans="2:2" x14ac:dyDescent="0.25">
      <c r="B5720" t="str">
        <v>750-49: Dynamite and Supplies: Caps, Fuses, Powder, Stick, and Wire</v>
      </c>
    </row>
    <row r="5721" spans="2:2" x14ac:dyDescent="0.25">
      <c r="B5721" t="str">
        <v>750-50: Expansion Joint Repair Adhesive, Structural Urethane</v>
      </c>
    </row>
    <row r="5722" spans="2:2" x14ac:dyDescent="0.25">
      <c r="B5722" t="str">
        <v>750-51: Fabric, Pavement</v>
      </c>
    </row>
    <row r="5723" spans="2:2" x14ac:dyDescent="0.25">
      <c r="B5723" t="str">
        <v>750-52: Flexible Base</v>
      </c>
    </row>
    <row r="5724" spans="2:2" x14ac:dyDescent="0.25">
      <c r="B5724" t="str">
        <v>750-54: Ice Control Aggregate (See Class 775 for Salt)</v>
      </c>
    </row>
    <row r="5725" spans="2:2" x14ac:dyDescent="0.25">
      <c r="B5725" t="str">
        <v>750-56: Lightweight Aggregate, All Types</v>
      </c>
    </row>
    <row r="5726" spans="2:2" x14ac:dyDescent="0.25">
      <c r="B5726" t="str">
        <v>750-59: Mixers, Mobile, Concrete</v>
      </c>
    </row>
    <row r="5727" spans="2:2" x14ac:dyDescent="0.25">
      <c r="B5727" t="str">
        <v>750-60: Patching Materials (Not Asphaltic)</v>
      </c>
    </row>
    <row r="5728" spans="2:2" x14ac:dyDescent="0.25">
      <c r="B5728" t="str">
        <v>750-62: Permanent Metal Deck Forms (PMDF) for Bridge Deck</v>
      </c>
    </row>
    <row r="5729" spans="2:2" x14ac:dyDescent="0.25">
      <c r="B5729" t="str">
        <v>750-70: Ready-Mix Concrete (See 150-12 for Bagged Concrete)</v>
      </c>
    </row>
    <row r="5730" spans="2:2" x14ac:dyDescent="0.25">
      <c r="B5730" t="str">
        <v>750-72: Recycled Bulk Concrete and Other Road Materials (See 745-68 for Recycled Asphalt)</v>
      </c>
    </row>
    <row r="5731" spans="2:2" x14ac:dyDescent="0.25">
      <c r="B5731" t="str">
        <v>750-77: Sand and Gravel</v>
      </c>
    </row>
    <row r="5732" spans="2:2" x14ac:dyDescent="0.25">
      <c r="B5732" t="str">
        <v>750-84: Shell</v>
      </c>
    </row>
    <row r="5733" spans="2:2" x14ac:dyDescent="0.25">
      <c r="B5733" t="str">
        <v>750-89: Slag</v>
      </c>
    </row>
    <row r="5734" spans="2:2" x14ac:dyDescent="0.25">
      <c r="B5734" t="str">
        <v>750-91: Stabilized Base</v>
      </c>
    </row>
    <row r="5735" spans="2:2" x14ac:dyDescent="0.25">
      <c r="B5735" t="str">
        <v>750-93: Storage Bins, Aggregate</v>
      </c>
    </row>
    <row r="5736" spans="2:2" x14ac:dyDescent="0.25">
      <c r="B5736" t="str">
        <v>750-95: White (Hydrated) Lime (See 150-12 for Bagged Lime)</v>
      </c>
    </row>
    <row r="5737" spans="2:2" x14ac:dyDescent="0.25">
      <c r="B5737" t="str">
        <v>750-96: Water for Road and Highway Use</v>
      </c>
    </row>
    <row r="5738" spans="2:2" x14ac:dyDescent="0.25">
      <c r="B5738" t="str">
        <v>755-06: Adhesive Applicator, Gas Fired Marker</v>
      </c>
    </row>
    <row r="5739" spans="2:2" x14ac:dyDescent="0.25">
      <c r="B5739" t="str">
        <v>755-08: Ash System Equipment, Fly and Bottom</v>
      </c>
    </row>
    <row r="5740" spans="2:2" x14ac:dyDescent="0.25">
      <c r="B5740" t="str">
        <v>755-10: Asphalt Distributors, Levelers, Mixers, Crack Sealing Equipment, etc. (See 755-40 for Tools)</v>
      </c>
    </row>
    <row r="5741" spans="2:2" x14ac:dyDescent="0.25">
      <c r="B5741" t="str">
        <v>755-15: Asphalt Heaters, Electric</v>
      </c>
    </row>
    <row r="5742" spans="2:2" x14ac:dyDescent="0.25">
      <c r="B5742" t="str">
        <v>755-20: Asphalt Heaters, Gas Fired</v>
      </c>
    </row>
    <row r="5743" spans="2:2" x14ac:dyDescent="0.25">
      <c r="B5743" t="str">
        <v>755-25: Asphalt Heaters, Oil Fired</v>
      </c>
    </row>
    <row r="5744" spans="2:2" x14ac:dyDescent="0.25">
      <c r="B5744" t="str">
        <v>755-30: Asphalt Pavers, Self-Propelled Type</v>
      </c>
    </row>
    <row r="5745" spans="2:2" x14ac:dyDescent="0.25">
      <c r="B5745" t="str">
        <v>755-35: Asphalt Pavers, Towed Type</v>
      </c>
    </row>
    <row r="5746" spans="2:2" x14ac:dyDescent="0.25">
      <c r="B5746" t="str">
        <v>755-37: Asphalt and Concrete Recycling Equipment</v>
      </c>
    </row>
    <row r="5747" spans="2:2" x14ac:dyDescent="0.25">
      <c r="B5747" t="str">
        <v>755-40: Asphalt Tools: Buckets, Cutters, Lutes, Pouring Pots, Rakes, etc.</v>
      </c>
    </row>
    <row r="5748" spans="2:2" x14ac:dyDescent="0.25">
      <c r="B5748" t="str">
        <v>755-43: Asphalt and Concrete Scrapers, Profilers, and Milling Machines, Powered, Complete</v>
      </c>
    </row>
    <row r="5749" spans="2:2" x14ac:dyDescent="0.25">
      <c r="B5749" t="str">
        <v>755-45: Batchers and Dryers</v>
      </c>
    </row>
    <row r="5750" spans="2:2" x14ac:dyDescent="0.25">
      <c r="B5750" t="str">
        <v>755-47: Concrete and Asphalt Power Gun Sprayers</v>
      </c>
    </row>
    <row r="5751" spans="2:2" x14ac:dyDescent="0.25">
      <c r="B5751" t="str">
        <v>755-50: Concrete Buckets</v>
      </c>
    </row>
    <row r="5752" spans="2:2" x14ac:dyDescent="0.25">
      <c r="B5752" t="str">
        <v>755-55: Concrete Buggies, Carts, Screeding Machines, Screens, etc.</v>
      </c>
    </row>
    <row r="5753" spans="2:2" x14ac:dyDescent="0.25">
      <c r="B5753" t="str">
        <v>755-60: Concrete Curbers, Gutter Machines and Accessories</v>
      </c>
    </row>
    <row r="5754" spans="2:2" x14ac:dyDescent="0.25">
      <c r="B5754" t="str">
        <v>755-65: Concrete Cutters, Saws, Multipurpose Saws, and Accessories</v>
      </c>
    </row>
    <row r="5755" spans="2:2" x14ac:dyDescent="0.25">
      <c r="B5755" t="str">
        <v>755-70: Concrete Finishers, Power Driven</v>
      </c>
    </row>
    <row r="5756" spans="2:2" x14ac:dyDescent="0.25">
      <c r="B5756" t="str">
        <v>755-73: Concrete Form Tubes and Boxes, For Forming Concrete Columns, etc., All Kinds</v>
      </c>
    </row>
    <row r="5757" spans="2:2" x14ac:dyDescent="0.25">
      <c r="B5757" t="str">
        <v>755-74: Concrete Heaters and Accessories</v>
      </c>
    </row>
    <row r="5758" spans="2:2" x14ac:dyDescent="0.25">
      <c r="B5758" t="str">
        <v>755-75: Concrete Joint Cleaning and Routing Machines</v>
      </c>
    </row>
    <row r="5759" spans="2:2" x14ac:dyDescent="0.25">
      <c r="B5759" t="str">
        <v>755-80: Concrete and Mortar Mixers</v>
      </c>
    </row>
    <row r="5760" spans="2:2" x14ac:dyDescent="0.25">
      <c r="B5760" t="str">
        <v>755-85: Concrete Vibrators</v>
      </c>
    </row>
    <row r="5761" spans="2:2" x14ac:dyDescent="0.25">
      <c r="B5761" t="str">
        <v>755-90: Sensors, Road, To detect Ice/Snow on Bridges, etc.</v>
      </c>
    </row>
    <row r="5762" spans="2:2" x14ac:dyDescent="0.25">
      <c r="B5762" t="str">
        <v>755-92: Thermometers: Pavement and Thermoplastic</v>
      </c>
    </row>
    <row r="5763" spans="2:2" x14ac:dyDescent="0.25">
      <c r="B5763" t="str">
        <v>755-95: Recycled Asphalt and Concrete Handling Equipment, Accessories and Supplies</v>
      </c>
    </row>
    <row r="5764" spans="2:2" x14ac:dyDescent="0.25">
      <c r="B5764" t="str">
        <v>760-03: Backhoes</v>
      </c>
    </row>
    <row r="5765" spans="2:2" x14ac:dyDescent="0.25">
      <c r="B5765" t="str">
        <v>760-04: Backhoe Loader Combination</v>
      </c>
    </row>
    <row r="5766" spans="2:2" x14ac:dyDescent="0.25">
      <c r="B5766" t="str">
        <v>760-05: Beach Cleaners</v>
      </c>
    </row>
    <row r="5767" spans="2:2" x14ac:dyDescent="0.25">
      <c r="B5767" t="str">
        <v>760-06: Blades and Edges: Dozer, Grader, Scraper, Snow Plow, etc.</v>
      </c>
    </row>
    <row r="5768" spans="2:2" x14ac:dyDescent="0.25">
      <c r="B5768" t="str">
        <v>760-10: Buckets: Ditchers, Draglines, Loaders, etc.</v>
      </c>
    </row>
    <row r="5769" spans="2:2" x14ac:dyDescent="0.25">
      <c r="B5769" t="str">
        <v>760-11: Caps, Equipment: Dust and Rain</v>
      </c>
    </row>
    <row r="5770" spans="2:2" x14ac:dyDescent="0.25">
      <c r="B5770" t="str">
        <v>760-12: Cruise Control Units, Low Speed, For Road Equipment</v>
      </c>
    </row>
    <row r="5771" spans="2:2" x14ac:dyDescent="0.25">
      <c r="B5771" t="str">
        <v>760-13: Cylinders, Hydraulic</v>
      </c>
    </row>
    <row r="5772" spans="2:2" x14ac:dyDescent="0.25">
      <c r="B5772" t="str">
        <v>760-15: Ditch and Trenching Machines</v>
      </c>
    </row>
    <row r="5773" spans="2:2" x14ac:dyDescent="0.25">
      <c r="B5773" t="str">
        <v>760-16: Dredging Machines and Equipment</v>
      </c>
    </row>
    <row r="5774" spans="2:2" x14ac:dyDescent="0.25">
      <c r="B5774" t="str">
        <v>760-20: Earth Boring Machines</v>
      </c>
    </row>
    <row r="5775" spans="2:2" x14ac:dyDescent="0.25">
      <c r="B5775" t="str">
        <v>760-23: Earth Movers, Motorized</v>
      </c>
    </row>
    <row r="5776" spans="2:2" x14ac:dyDescent="0.25">
      <c r="B5776" t="str">
        <v>760-26: Earth Pulverizers and Grinders</v>
      </c>
    </row>
    <row r="5777" spans="2:2" x14ac:dyDescent="0.25">
      <c r="B5777" t="str">
        <v>760-27: Electrical Accessories, Heavy Equipment: Alternators, Ammeters, Coils, Distributors Generators, Ignition, Regulators, Starters, etc.</v>
      </c>
    </row>
    <row r="5778" spans="2:2" x14ac:dyDescent="0.25">
      <c r="B5778" t="str">
        <v>760-28: Engines: Diesel and Gasoline, Heavy Equipment</v>
      </c>
    </row>
    <row r="5779" spans="2:2" x14ac:dyDescent="0.25">
      <c r="B5779" t="str">
        <v>760-30: Graders, Elevating Type</v>
      </c>
    </row>
    <row r="5780" spans="2:2" x14ac:dyDescent="0.25">
      <c r="B5780" t="str">
        <v>760-33: Graders, Motorized</v>
      </c>
    </row>
    <row r="5781" spans="2:2" x14ac:dyDescent="0.25">
      <c r="B5781" t="str">
        <v>760-36: Graders, Towed Types</v>
      </c>
    </row>
    <row r="5782" spans="2:2" x14ac:dyDescent="0.25">
      <c r="B5782" t="str">
        <v>760-44: Loaders, Front End, Crawler Tractors</v>
      </c>
    </row>
    <row r="5783" spans="2:2" x14ac:dyDescent="0.25">
      <c r="B5783" t="str">
        <v>760-47: Loaders, Front End, Trucks</v>
      </c>
    </row>
    <row r="5784" spans="2:2" x14ac:dyDescent="0.25">
      <c r="B5784" t="str">
        <v>760-50: Loaders, Front End, Wheel Type Tractors</v>
      </c>
    </row>
    <row r="5785" spans="2:2" x14ac:dyDescent="0.25">
      <c r="B5785" t="str">
        <v>760-51: Loaders, Pneumatic Tired</v>
      </c>
    </row>
    <row r="5786" spans="2:2" x14ac:dyDescent="0.25">
      <c r="B5786" t="str">
        <v>760-53: Loaders, Windrow Type</v>
      </c>
    </row>
    <row r="5787" spans="2:2" x14ac:dyDescent="0.25">
      <c r="B5787" t="str">
        <v>760-55: Mats, Erosion Control Blankets, Rolled</v>
      </c>
    </row>
    <row r="5788" spans="2:2" x14ac:dyDescent="0.25">
      <c r="B5788" t="str">
        <v>760-56: Mats, Floor, for Heavy Equipment (See 055-61 for Automotive Type)</v>
      </c>
    </row>
    <row r="5789" spans="2:2" x14ac:dyDescent="0.25">
      <c r="B5789" t="str">
        <v>760-59: AUTOMATIC ENGINE SHUT DOWN</v>
      </c>
    </row>
    <row r="5790" spans="2:2" x14ac:dyDescent="0.25">
      <c r="B5790" t="str">
        <v>760-60: Rippers and Scarifiers</v>
      </c>
    </row>
    <row r="5791" spans="2:2" x14ac:dyDescent="0.25">
      <c r="B5791" t="str">
        <v>760-63: Rollers, Flat Wheel Type, Static</v>
      </c>
    </row>
    <row r="5792" spans="2:2" x14ac:dyDescent="0.25">
      <c r="B5792" t="str">
        <v>760-66: Rollers, Flat Wheel Type, Vibrating</v>
      </c>
    </row>
    <row r="5793" spans="2:2" x14ac:dyDescent="0.25">
      <c r="B5793" t="str">
        <v>760-69: Rollers, Grid Type</v>
      </c>
    </row>
    <row r="5794" spans="2:2" x14ac:dyDescent="0.25">
      <c r="B5794" t="str">
        <v>760-72: Rollers, Portable Type</v>
      </c>
    </row>
    <row r="5795" spans="2:2" x14ac:dyDescent="0.25">
      <c r="B5795" t="str">
        <v>760-75: Rollers, Rubber Tired</v>
      </c>
    </row>
    <row r="5796" spans="2:2" x14ac:dyDescent="0.25">
      <c r="B5796" t="str">
        <v>760-78: Rollers, Sheep foot Type</v>
      </c>
    </row>
    <row r="5797" spans="2:2" x14ac:dyDescent="0.25">
      <c r="B5797" t="str">
        <v>760-79: Rolling Straight Edges, Towed</v>
      </c>
    </row>
    <row r="5798" spans="2:2" x14ac:dyDescent="0.25">
      <c r="B5798" t="str">
        <v>760-84: Scrapers</v>
      </c>
    </row>
    <row r="5799" spans="2:2" x14ac:dyDescent="0.25">
      <c r="B5799" t="str">
        <v>760-90: Shovels, Power; and Excavating Machines: Telescoping and Hinged Boom Type, Crawler or Tractor Mounted</v>
      </c>
    </row>
    <row r="5800" spans="2:2" x14ac:dyDescent="0.25">
      <c r="B5800" t="str">
        <v>765-02: Air Conditioners, Heaters and Ventilators, Heavy Equipment</v>
      </c>
    </row>
    <row r="5801" spans="2:2" x14ac:dyDescent="0.25">
      <c r="B5801" t="str">
        <v>765-03: Booms: Crane, Tractor, etc.</v>
      </c>
    </row>
    <row r="5802" spans="2:2" x14ac:dyDescent="0.25">
      <c r="B5802" t="str">
        <v>765-05: Brake and Clutch Parts and Accessories For Heavy Duty Equipment, Not Automotive)</v>
      </c>
    </row>
    <row r="5803" spans="2:2" x14ac:dyDescent="0.25">
      <c r="B5803" t="str">
        <v>765-06: Breaker Drill, Gasoline Powered</v>
      </c>
    </row>
    <row r="5804" spans="2:2" x14ac:dyDescent="0.25">
      <c r="B5804" t="str">
        <v>765-07: Cab, Body and Frame Parts, Heavy Equipment</v>
      </c>
    </row>
    <row r="5805" spans="2:2" x14ac:dyDescent="0.25">
      <c r="B5805" t="str">
        <v>765-08: Core Drilling Rigs, Including Parts and Accessories</v>
      </c>
    </row>
    <row r="5806" spans="2:2" x14ac:dyDescent="0.25">
      <c r="B5806" t="str">
        <v>765-09: Cranes, Backhoe and Dragline</v>
      </c>
    </row>
    <row r="5807" spans="2:2" x14ac:dyDescent="0.25">
      <c r="B5807" t="str">
        <v>765-11: Cranes, Clamshell</v>
      </c>
    </row>
    <row r="5808" spans="2:2" x14ac:dyDescent="0.25">
      <c r="B5808" t="str">
        <v>765-13: Cranes, Truck Mounted Type, Heavy Duty</v>
      </c>
    </row>
    <row r="5809" spans="2:2" x14ac:dyDescent="0.25">
      <c r="B5809" t="str">
        <v>765-14: Crane Indicators</v>
      </c>
    </row>
    <row r="5810" spans="2:2" x14ac:dyDescent="0.25">
      <c r="B5810" t="str">
        <v>765-16: Crushing Machines</v>
      </c>
    </row>
    <row r="5811" spans="2:2" x14ac:dyDescent="0.25">
      <c r="B5811" t="str">
        <v>765-18: Crushing Plants, Elevators, Furnaces, Kilns, Pugmills, and Stabilizing Material Plants</v>
      </c>
    </row>
    <row r="5812" spans="2:2" x14ac:dyDescent="0.25">
      <c r="B5812" t="str">
        <v>765-21: Culvert Cleaning Equipment</v>
      </c>
    </row>
    <row r="5813" spans="2:2" x14ac:dyDescent="0.25">
      <c r="B5813" t="str">
        <v>765-24: Diamond Core Drills</v>
      </c>
    </row>
    <row r="5814" spans="2:2" x14ac:dyDescent="0.25">
      <c r="B5814" t="str">
        <v>765-27: Drill Steel and Rock Bits</v>
      </c>
    </row>
    <row r="5815" spans="2:2" x14ac:dyDescent="0.25">
      <c r="B5815" t="str">
        <v>765-30: Epoxy Dispensing Machine, For Placing Buttons and Markers</v>
      </c>
    </row>
    <row r="5816" spans="2:2" x14ac:dyDescent="0.25">
      <c r="B5816" t="str">
        <v>765-31: Fabric Lay-Down Machines, etc.</v>
      </c>
    </row>
    <row r="5817" spans="2:2" x14ac:dyDescent="0.25">
      <c r="B5817" t="str">
        <v>765-33: Filters: Air, Fuel, Hydraulic, Oil, etc., Heavy Duty Equipment</v>
      </c>
    </row>
    <row r="5818" spans="2:2" x14ac:dyDescent="0.25">
      <c r="B5818" t="str">
        <v>765-34: Hour Meters, Heavy Equipment</v>
      </c>
    </row>
    <row r="5819" spans="2:2" x14ac:dyDescent="0.25">
      <c r="B5819" t="str">
        <v>765-35: Hydraulic Attachments and Accessories, Hammers, Rams, etc.</v>
      </c>
    </row>
    <row r="5820" spans="2:2" x14ac:dyDescent="0.25">
      <c r="B5820" t="str">
        <v>765-36: Gunite Machines</v>
      </c>
    </row>
    <row r="5821" spans="2:2" x14ac:dyDescent="0.25">
      <c r="B5821" t="str">
        <v>765-37: Mixers, Lime Slurry</v>
      </c>
    </row>
    <row r="5822" spans="2:2" x14ac:dyDescent="0.25">
      <c r="B5822" t="str">
        <v>765-38: Leaf Loaders, Heavy Duty, Truck or Trailer Mounted (See 445-43 for Hand Operated Type)</v>
      </c>
    </row>
    <row r="5823" spans="2:2" x14ac:dyDescent="0.25">
      <c r="B5823" t="str">
        <v>765-39: Lubrication System Accessory, Automatic</v>
      </c>
    </row>
    <row r="5824" spans="2:2" x14ac:dyDescent="0.25">
      <c r="B5824" t="str">
        <v>765-41: Mud Jacks and Accessories, Except Hose</v>
      </c>
    </row>
    <row r="5825" spans="2:2" x14ac:dyDescent="0.25">
      <c r="B5825" t="str">
        <v>765-43: Pavement Marking Removal Equipment and Accessories</v>
      </c>
    </row>
    <row r="5826" spans="2:2" x14ac:dyDescent="0.25">
      <c r="B5826" t="str">
        <v>765-46: Pile Drivers and Accessories</v>
      </c>
    </row>
    <row r="5827" spans="2:2" x14ac:dyDescent="0.25">
      <c r="B5827" t="str">
        <v>765-49: Pneumatic Machines: Demolition Tools, Paving Breakers, Rock Cutters, Tampers, etc. (See 765-80 for Non-Pneumatic Tampers)</v>
      </c>
    </row>
    <row r="5828" spans="2:2" x14ac:dyDescent="0.25">
      <c r="B5828" t="str">
        <v>765-51: Pneumatic Tool Accessories: Bits, Chisels, Points, Spades, Tampers, etc.</v>
      </c>
    </row>
    <row r="5829" spans="2:2" x14ac:dyDescent="0.25">
      <c r="B5829" t="str">
        <v>765-54: Power Transmission Units: Chains, Gear Reducers, Sprockets, etc.</v>
      </c>
    </row>
    <row r="5830" spans="2:2" x14ac:dyDescent="0.25">
      <c r="B5830" t="str">
        <v>765-56: Rollover Protections Structures (ROPS)</v>
      </c>
    </row>
    <row r="5831" spans="2:2" x14ac:dyDescent="0.25">
      <c r="B5831" t="str">
        <v>765-57: Snow Blowers, Self-Propelled</v>
      </c>
    </row>
    <row r="5832" spans="2:2" x14ac:dyDescent="0.25">
      <c r="B5832" t="str">
        <v>765-58: Snow Blowers, Vehicle or Equipment Mounted</v>
      </c>
    </row>
    <row r="5833" spans="2:2" x14ac:dyDescent="0.25">
      <c r="B5833" t="str">
        <v>765-59: Snow Blowers, Walk-Behind</v>
      </c>
    </row>
    <row r="5834" spans="2:2" x14ac:dyDescent="0.25">
      <c r="B5834" t="str">
        <v>765-60: Snow Plows, Motorized</v>
      </c>
    </row>
    <row r="5835" spans="2:2" x14ac:dyDescent="0.25">
      <c r="B5835" t="str">
        <v>765-61: Snow Plows and/or Snow Wings, Vehicle Mounted</v>
      </c>
    </row>
    <row r="5836" spans="2:2" x14ac:dyDescent="0.25">
      <c r="B5836" t="str">
        <v>765-64: Spreaders, Self-Propelled, For Aggregates, Sand, etc.</v>
      </c>
    </row>
    <row r="5837" spans="2:2" x14ac:dyDescent="0.25">
      <c r="B5837" t="str">
        <v>765-66: Spreaders, Truck Mounted, For Aggregates, Ice Control Materials, Seal Coatings, etc.</v>
      </c>
    </row>
    <row r="5838" spans="2:2" x14ac:dyDescent="0.25">
      <c r="B5838" t="str">
        <v>765-69: Sprinkler Equipment, Roads and Streets</v>
      </c>
    </row>
    <row r="5839" spans="2:2" x14ac:dyDescent="0.25">
      <c r="B5839" t="str">
        <v>765-72: Striping Machines and Accessories</v>
      </c>
    </row>
    <row r="5840" spans="2:2" x14ac:dyDescent="0.25">
      <c r="B5840" t="str">
        <v>765-75: Sweeper Accessories: Broom Fibers, Extension Brooms, Strips, Wire, Road Magnets, etc.</v>
      </c>
    </row>
    <row r="5841" spans="2:2" x14ac:dyDescent="0.25">
      <c r="B5841" t="str">
        <v>765-77: Sweepers, Drag Brooms, etc. Including Parts and Accessories  (See Class 365 for Warehouse Power Brooms and 035-81 for Runway Sweepers)</v>
      </c>
    </row>
    <row r="5842" spans="2:2" x14ac:dyDescent="0.25">
      <c r="B5842" t="str">
        <v>765-80: Tampers, Except Pneumatic and Vibrating Flat Plate Compactors (See 765-49 for Pneumatic Tampers)</v>
      </c>
    </row>
    <row r="5843" spans="2:2" x14ac:dyDescent="0.25">
      <c r="B5843" t="str">
        <v>765-83: Tractor Bulldozers, Crawler and Wheel Type</v>
      </c>
    </row>
    <row r="5844" spans="2:2" x14ac:dyDescent="0.25">
      <c r="B5844" t="str">
        <v>765-85: Tractors, Crawler Type</v>
      </c>
    </row>
    <row r="5845" spans="2:2" x14ac:dyDescent="0.25">
      <c r="B5845" t="str">
        <v>765-87: Tractors, Wheel Type, Except Farm Tractors, Including Walk-Behind Type)</v>
      </c>
    </row>
    <row r="5846" spans="2:2" x14ac:dyDescent="0.25">
      <c r="B5846" t="str">
        <v>765-88: Vacuum Trucks</v>
      </c>
    </row>
    <row r="5847" spans="2:2" x14ac:dyDescent="0.25">
      <c r="B5847" t="str">
        <v>765-90: Weed Burners and Accessories</v>
      </c>
    </row>
    <row r="5848" spans="2:2" x14ac:dyDescent="0.25">
      <c r="B5848" t="str">
        <v>765-93: Wire Rope  (Inactive, please see commodity code 765-95 effective January 1, 2016)</v>
      </c>
    </row>
    <row r="5849" spans="2:2" x14ac:dyDescent="0.25">
      <c r="B5849" t="str">
        <v>765-95: Wire Rope Including Accessories: Clamps, Clips, Cutters, Eyes, Hoists, Slings, Thimbles, Turnbuckles, Windlasses, etc.</v>
      </c>
    </row>
    <row r="5850" spans="2:2" x14ac:dyDescent="0.25">
      <c r="B5850" t="str">
        <v>765-96: Recycled Road and Highway Equipment and Supplies (Not Otherwise Classified)</v>
      </c>
    </row>
    <row r="5851" spans="2:2" x14ac:dyDescent="0.25">
      <c r="B5851" t="str">
        <v>770-06: Aggregate, Gravel, Marble and Stone Chips, etc., For Roofs)</v>
      </c>
    </row>
    <row r="5852" spans="2:2" x14ac:dyDescent="0.25">
      <c r="B5852" t="str">
        <v>770-09: Asphalt, Roofing</v>
      </c>
    </row>
    <row r="5853" spans="2:2" x14ac:dyDescent="0.25">
      <c r="B5853" t="str">
        <v>770-15: Bolts, Clips, Fasteners, etc., For Sheet Roofing</v>
      </c>
    </row>
    <row r="5854" spans="2:2" x14ac:dyDescent="0.25">
      <c r="B5854" t="str">
        <v>770-18: Cant Strips, Expansion Joint Fillers</v>
      </c>
    </row>
    <row r="5855" spans="2:2" x14ac:dyDescent="0.25">
      <c r="B5855" t="str">
        <v>770-20: Caps, Roofing</v>
      </c>
    </row>
    <row r="5856" spans="2:2" x14ac:dyDescent="0.25">
      <c r="B5856" t="str">
        <v>770-23: Cements and Mastics, Roofing</v>
      </c>
    </row>
    <row r="5857" spans="2:2" x14ac:dyDescent="0.25">
      <c r="B5857" t="str">
        <v>770-26: Coatings, Roof, All Kinds</v>
      </c>
    </row>
    <row r="5858" spans="2:2" x14ac:dyDescent="0.25">
      <c r="B5858" t="str">
        <v>770-38: Felt, Roofing, Rolls</v>
      </c>
    </row>
    <row r="5859" spans="2:2" x14ac:dyDescent="0.25">
      <c r="B5859" t="str">
        <v>770-41: Flashing, Eave Strips, Gravel Guards, Ridge Rolls, Valleys, etc., Metal</v>
      </c>
    </row>
    <row r="5860" spans="2:2" x14ac:dyDescent="0.25">
      <c r="B5860" t="str">
        <v>770-42: Flashing, Plastic</v>
      </c>
    </row>
    <row r="5861" spans="2:2" x14ac:dyDescent="0.25">
      <c r="B5861" t="str">
        <v>770-45: Insulation, Roof, All Kinds</v>
      </c>
    </row>
    <row r="5862" spans="2:2" x14ac:dyDescent="0.25">
      <c r="B5862" t="str">
        <v>770-48: Paper, Roofing</v>
      </c>
    </row>
    <row r="5863" spans="2:2" x14ac:dyDescent="0.25">
      <c r="B5863" t="str">
        <v>770-53: Primers, Roofing</v>
      </c>
    </row>
    <row r="5864" spans="2:2" x14ac:dyDescent="0.25">
      <c r="B5864" t="str">
        <v>770-56: Roofing, Aluminum: Corrugated, V-Crimp, etc.</v>
      </c>
    </row>
    <row r="5865" spans="2:2" x14ac:dyDescent="0.25">
      <c r="B5865" t="str">
        <v>770-59: Roofing, Asbestos-Cement: Corrugated, etc.</v>
      </c>
    </row>
    <row r="5866" spans="2:2" x14ac:dyDescent="0.25">
      <c r="B5866" t="str">
        <v>770-60: Roofing, Baked Enamel Sheet Steel: Corrugated, V-Crimp, etc.</v>
      </c>
    </row>
    <row r="5867" spans="2:2" x14ac:dyDescent="0.25">
      <c r="B5867" t="str">
        <v>770-61: Roofing: Coated, Elastomeric, Sprayed Foam, etc.</v>
      </c>
    </row>
    <row r="5868" spans="2:2" x14ac:dyDescent="0.25">
      <c r="B5868" t="str">
        <v>770-62: Roofing, Composition, Rolls</v>
      </c>
    </row>
    <row r="5869" spans="2:2" x14ac:dyDescent="0.25">
      <c r="B5869" t="str">
        <v>770-64: Roofing, Concrete Tile  (See 135-74 for Clay Roofing Tile)</v>
      </c>
    </row>
    <row r="5870" spans="2:2" x14ac:dyDescent="0.25">
      <c r="B5870" t="str">
        <v>770-65: Roofing, Galvanized Sheet Metal: Corrugated, V-Crimp, etc.</v>
      </c>
    </row>
    <row r="5871" spans="2:2" x14ac:dyDescent="0.25">
      <c r="B5871" t="str">
        <v>770-66: Roofing, Malleable Iron</v>
      </c>
    </row>
    <row r="5872" spans="2:2" x14ac:dyDescent="0.25">
      <c r="B5872" t="str">
        <v>770-68: Roofing, Plastic and Fiberglass: Corrugated, etc.</v>
      </c>
    </row>
    <row r="5873" spans="2:2" x14ac:dyDescent="0.25">
      <c r="B5873" t="str">
        <v>770-70: Roofing Repair Kits</v>
      </c>
    </row>
    <row r="5874" spans="2:2" x14ac:dyDescent="0.25">
      <c r="B5874" t="str">
        <v>770-72: Roofing Supplies (Not Otherwise Classified)</v>
      </c>
    </row>
    <row r="5875" spans="2:2" x14ac:dyDescent="0.25">
      <c r="B5875" t="str">
        <v>770-73: Roofing, Tin</v>
      </c>
    </row>
    <row r="5876" spans="2:2" x14ac:dyDescent="0.25">
      <c r="B5876" t="str">
        <v>770-74: Shingles, Asbestos</v>
      </c>
    </row>
    <row r="5877" spans="2:2" x14ac:dyDescent="0.25">
      <c r="B5877" t="str">
        <v>770-77: Shingles, Composition, Asphalt</v>
      </c>
    </row>
    <row r="5878" spans="2:2" x14ac:dyDescent="0.25">
      <c r="B5878" t="str">
        <v>770-78: Shingles, Fiberglass</v>
      </c>
    </row>
    <row r="5879" spans="2:2" x14ac:dyDescent="0.25">
      <c r="B5879" t="str">
        <v>770-80: Shingles, Metal</v>
      </c>
    </row>
    <row r="5880" spans="2:2" x14ac:dyDescent="0.25">
      <c r="B5880" t="str">
        <v>770-82: Shingles, Wood</v>
      </c>
    </row>
    <row r="5881" spans="2:2" x14ac:dyDescent="0.25">
      <c r="B5881" t="str">
        <v>770-83: Skylights, All Types</v>
      </c>
    </row>
    <row r="5882" spans="2:2" x14ac:dyDescent="0.25">
      <c r="B5882" t="str">
        <v>770-88: Tar, Roofing, Coal Tar Pitch</v>
      </c>
    </row>
    <row r="5883" spans="2:2" x14ac:dyDescent="0.25">
      <c r="B5883" t="str">
        <v>770-93: Waterproofing Membrane and Base Sheet</v>
      </c>
    </row>
    <row r="5884" spans="2:2" x14ac:dyDescent="0.25">
      <c r="B5884" t="str">
        <v>770-96: Recycled Roofing Material and Supplies Including Insulation</v>
      </c>
    </row>
    <row r="5885" spans="2:2" x14ac:dyDescent="0.25">
      <c r="B5885" t="str">
        <v>775-09: Block Salt, Plain or Medicated, For Livestock</v>
      </c>
    </row>
    <row r="5886" spans="2:2" x14ac:dyDescent="0.25">
      <c r="B5886" t="str">
        <v>775-18: Brine</v>
      </c>
    </row>
    <row r="5887" spans="2:2" x14ac:dyDescent="0.25">
      <c r="B5887" t="str">
        <v>775-27: Ice Cream Salt</v>
      </c>
    </row>
    <row r="5888" spans="2:2" x14ac:dyDescent="0.25">
      <c r="B5888" t="str">
        <v>775-36: Meat Curing Salt</v>
      </c>
    </row>
    <row r="5889" spans="2:2" x14ac:dyDescent="0.25">
      <c r="B5889" t="str">
        <v>775-45: Road Maintenance Salt (See Class 192 for Ice Removal Chemicals)</v>
      </c>
    </row>
    <row r="5890" spans="2:2" x14ac:dyDescent="0.25">
      <c r="B5890" t="str">
        <v>775-54: Rock, Granular Salt , For Livestock</v>
      </c>
    </row>
    <row r="5891" spans="2:2" x14ac:dyDescent="0.25">
      <c r="B5891" t="str">
        <v>775-63: Salt, Evaporated</v>
      </c>
    </row>
    <row r="5892" spans="2:2" x14ac:dyDescent="0.25">
      <c r="B5892" t="str">
        <v>775-72: Salt Tablets, With or Without Dextrose</v>
      </c>
    </row>
    <row r="5893" spans="2:2" x14ac:dyDescent="0.25">
      <c r="B5893" t="str">
        <v>775-81: Salt, Tissue Flake, Dairy, Dendritic Butter or Cheese Salt</v>
      </c>
    </row>
    <row r="5894" spans="2:2" x14ac:dyDescent="0.25">
      <c r="B5894" t="str">
        <v>775-90: Water Softener Salt</v>
      </c>
    </row>
    <row r="5895" spans="2:2" x14ac:dyDescent="0.25">
      <c r="B5895" t="str">
        <v>775-95: Recycled Road Salt</v>
      </c>
    </row>
    <row r="5896" spans="2:2" x14ac:dyDescent="0.25">
      <c r="B5896" t="str">
        <v>780-04: Abattoir Scales</v>
      </c>
    </row>
    <row r="5897" spans="2:2" x14ac:dyDescent="0.25">
      <c r="B5897" t="str">
        <v>780-08: Animal Scales, Cattle, Horses, etc.</v>
      </c>
    </row>
    <row r="5898" spans="2:2" x14ac:dyDescent="0.25">
      <c r="B5898" t="str">
        <v>780-12: Automatic Scales, With Printers and Recorders</v>
      </c>
    </row>
    <row r="5899" spans="2:2" x14ac:dyDescent="0.25">
      <c r="B5899" t="str">
        <v>780-16: Batching Scales</v>
      </c>
    </row>
    <row r="5900" spans="2:2" x14ac:dyDescent="0.25">
      <c r="B5900" t="str">
        <v>780-18: Bathroom Scales</v>
      </c>
    </row>
    <row r="5901" spans="2:2" x14ac:dyDescent="0.25">
      <c r="B5901" t="str">
        <v>780-20: Bench and Counter Scales</v>
      </c>
    </row>
    <row r="5902" spans="2:2" x14ac:dyDescent="0.25">
      <c r="B5902" t="str">
        <v>780-24: Computing Scales Except Postal</v>
      </c>
    </row>
    <row r="5903" spans="2:2" x14ac:dyDescent="0.25">
      <c r="B5903" t="str">
        <v>780-27: Counters, Mechanical: Tally, etc.</v>
      </c>
    </row>
    <row r="5904" spans="2:2" x14ac:dyDescent="0.25">
      <c r="B5904" t="str">
        <v>780-28: Counting Scales</v>
      </c>
    </row>
    <row r="5905" spans="2:2" x14ac:dyDescent="0.25">
      <c r="B5905" t="str">
        <v>780-32: Crane Scales</v>
      </c>
    </row>
    <row r="5906" spans="2:2" x14ac:dyDescent="0.25">
      <c r="B5906" t="str">
        <v>780-34: Dairy Scales</v>
      </c>
    </row>
    <row r="5907" spans="2:2" x14ac:dyDescent="0.25">
      <c r="B5907" t="str">
        <v>780-37: Egg Scales</v>
      </c>
    </row>
    <row r="5908" spans="2:2" x14ac:dyDescent="0.25">
      <c r="B5908" t="str">
        <v>780-40: Floor Scales</v>
      </c>
    </row>
    <row r="5909" spans="2:2" x14ac:dyDescent="0.25">
      <c r="B5909" t="str">
        <v>780-42: Gas Cylinder Weighing Scales</v>
      </c>
    </row>
    <row r="5910" spans="2:2" x14ac:dyDescent="0.25">
      <c r="B5910" t="str">
        <v>780-43: Grain Scales</v>
      </c>
    </row>
    <row r="5911" spans="2:2" x14ac:dyDescent="0.25">
      <c r="B5911" t="str">
        <v>780-44: Hanging Scales</v>
      </c>
    </row>
    <row r="5912" spans="2:2" x14ac:dyDescent="0.25">
      <c r="B5912" t="str">
        <v>780-48: Hopper Scales</v>
      </c>
    </row>
    <row r="5913" spans="2:2" x14ac:dyDescent="0.25">
      <c r="B5913" t="str">
        <v>780-49: Hospital Scales: Chair, In-Bed, etc.</v>
      </c>
    </row>
    <row r="5914" spans="2:2" x14ac:dyDescent="0.25">
      <c r="B5914" t="str">
        <v>780-52: Industrial Built-In Scales</v>
      </c>
    </row>
    <row r="5915" spans="2:2" x14ac:dyDescent="0.25">
      <c r="B5915" t="str">
        <v>780-60: Infant (Pediatric) Scales</v>
      </c>
    </row>
    <row r="5916" spans="2:2" x14ac:dyDescent="0.25">
      <c r="B5916" t="str">
        <v>780-63: Load Cell Scales</v>
      </c>
    </row>
    <row r="5917" spans="2:2" x14ac:dyDescent="0.25">
      <c r="B5917" t="str">
        <v>780-64: Over-Under, Even Balance Scales</v>
      </c>
    </row>
    <row r="5918" spans="2:2" x14ac:dyDescent="0.25">
      <c r="B5918" t="str">
        <v>780-72: Physician's Scales: Clinical, Office, etc.</v>
      </c>
    </row>
    <row r="5919" spans="2:2" x14ac:dyDescent="0.25">
      <c r="B5919" t="str">
        <v>780-76: Platform Scales</v>
      </c>
    </row>
    <row r="5920" spans="2:2" x14ac:dyDescent="0.25">
      <c r="B5920" t="str">
        <v>780-77: Postage Scales, Conventional</v>
      </c>
    </row>
    <row r="5921" spans="2:2" x14ac:dyDescent="0.25">
      <c r="B5921" t="str">
        <v>780-78: Postage Scales, Electronic, Computing</v>
      </c>
    </row>
    <row r="5922" spans="2:2" x14ac:dyDescent="0.25">
      <c r="B5922" t="str">
        <v>780-80: Table Scales, Small: Baker's, Dietetic, etc.</v>
      </c>
    </row>
    <row r="5923" spans="2:2" x14ac:dyDescent="0.25">
      <c r="B5923" t="str">
        <v>780-82: Test Systems and Calibration Standards</v>
      </c>
    </row>
    <row r="5924" spans="2:2" x14ac:dyDescent="0.25">
      <c r="B5924" t="str">
        <v>780-84: Truck Scales and Railroad Track Scales</v>
      </c>
    </row>
    <row r="5925" spans="2:2" x14ac:dyDescent="0.25">
      <c r="B5925" t="str">
        <v>780-90: Underwater Scales (See 495-82 For Laboratory)</v>
      </c>
    </row>
    <row r="5926" spans="2:2" x14ac:dyDescent="0.25">
      <c r="B5926" t="str">
        <v>780-95: Weigh-In-Motion Systems</v>
      </c>
    </row>
    <row r="5927" spans="2:2" x14ac:dyDescent="0.25">
      <c r="B5927" t="str">
        <v>780-96: Recycled Scales, Weighing Apparatus, Including Parts and Accessories</v>
      </c>
    </row>
    <row r="5928" spans="2:2" x14ac:dyDescent="0.25">
      <c r="B5928" t="str">
        <v>785-02: Agendas and Planners, Student</v>
      </c>
    </row>
    <row r="5929" spans="2:2" x14ac:dyDescent="0.25">
      <c r="B5929" t="str">
        <v>785-03: Anatomical Models, For Medical and Nursing Instruction, (See Also First Aid Manikins and Models In Class 345-68)</v>
      </c>
    </row>
    <row r="5930" spans="2:2" x14ac:dyDescent="0.25">
      <c r="B5930" t="str">
        <v>785-05: *Atlases, Charts, Globes, and Maps</v>
      </c>
    </row>
    <row r="5931" spans="2:2" x14ac:dyDescent="0.25">
      <c r="B5931" t="str">
        <v>785-15: Blackboards, Chalkboards and Dry Erase Boards</v>
      </c>
    </row>
    <row r="5932" spans="2:2" x14ac:dyDescent="0.25">
      <c r="B5932" t="str">
        <v>785-17: Blind Teaching and Training Equipment and Supplies (See Class 600 for Braille Writers and Printers)</v>
      </c>
    </row>
    <row r="5933" spans="2:2" x14ac:dyDescent="0.25">
      <c r="B5933" t="str">
        <v>785-20: Books: Class Register, Record, and Plan Books</v>
      </c>
    </row>
    <row r="5934" spans="2:2" x14ac:dyDescent="0.25">
      <c r="B5934" t="str">
        <v>785-25: Bulletin Boards: Changeable Letter, Cork, Magnetic, Peg, etc.</v>
      </c>
    </row>
    <row r="5935" spans="2:2" x14ac:dyDescent="0.25">
      <c r="B5935" t="str">
        <v>785-26: Bulletin Board Accessories</v>
      </c>
    </row>
    <row r="5936" spans="2:2" x14ac:dyDescent="0.25">
      <c r="B5936" t="str">
        <v>785-27: Carrels, Audio-Visual</v>
      </c>
    </row>
    <row r="5937" spans="2:2" x14ac:dyDescent="0.25">
      <c r="B5937" t="str">
        <v>785-30: Chalk, Crayons, Erasable Markers, Water Colors, Permanent Markers (Child Proof Safety Type), etc.</v>
      </c>
    </row>
    <row r="5938" spans="2:2" x14ac:dyDescent="0.25">
      <c r="B5938" t="str">
        <v>785-32: Classroom Equipment and Supplies, (Not Otherwise Classified)</v>
      </c>
    </row>
    <row r="5939" spans="2:2" x14ac:dyDescent="0.25">
      <c r="B5939" t="str">
        <v>785-43: Display Cabinets, Cases, Files, Racks, Stands, etc.</v>
      </c>
    </row>
    <row r="5940" spans="2:2" x14ac:dyDescent="0.25">
      <c r="B5940" t="str">
        <v>785-44: Displays, Educational: Kits, Models, Plaques, etc.</v>
      </c>
    </row>
    <row r="5941" spans="2:2" x14ac:dyDescent="0.25">
      <c r="B5941" t="str">
        <v>785-45: Drawing/Art Supplies, Schoolroom: Colored Pencils, Compasses, Construction Paper, Drawing Paper, Pencil/Pen Pouches, Protractors, etc.</v>
      </c>
    </row>
    <row r="5942" spans="2:2" x14ac:dyDescent="0.25">
      <c r="B5942" t="str">
        <v>785-46: Driver Training Materials</v>
      </c>
    </row>
    <row r="5943" spans="2:2" x14ac:dyDescent="0.25">
      <c r="B5943" t="str">
        <v>785-47: Easels, Accessories and Supplies, All Types, Including Flip Charts</v>
      </c>
    </row>
    <row r="5944" spans="2:2" x14ac:dyDescent="0.25">
      <c r="B5944" t="str">
        <v>785-53: Educationnal Games and Toys, All Types (see 037-84, 208-47, 209-48, and 805-51 for other type games) Incl.Assembly Kits</v>
      </c>
    </row>
    <row r="5945" spans="2:2" x14ac:dyDescent="0.25">
      <c r="B5945" t="str">
        <v>785-55: Engineering and Technical Instruction Equipment and Materials, For Air Conditioning, Electronics, Machine Shop, etc.</v>
      </c>
    </row>
    <row r="5946" spans="2:2" x14ac:dyDescent="0.25">
      <c r="B5946" t="str">
        <v>785-57: Erasers and Cleaners</v>
      </c>
    </row>
    <row r="5947" spans="2:2" x14ac:dyDescent="0.25">
      <c r="B5947" t="str">
        <v>785-62: Flannel Boards and Accessories</v>
      </c>
    </row>
    <row r="5948" spans="2:2" x14ac:dyDescent="0.25">
      <c r="B5948" t="str">
        <v>785-65: Handwriting Materials, Instructional Aids and Supplies</v>
      </c>
    </row>
    <row r="5949" spans="2:2" x14ac:dyDescent="0.25">
      <c r="B5949" t="str">
        <v>785-70: Instructional Aids: Courses, Lesson Plans, Prepared, Programs, Ancillary Materials, DVDs, etc. (See Class 715 for Textbooks)</v>
      </c>
    </row>
    <row r="5950" spans="2:2" x14ac:dyDescent="0.25">
      <c r="B5950" t="str">
        <v>785-72: Lecterns, Rostrums, and Speaker's Stands, Pointers, etc.</v>
      </c>
    </row>
    <row r="5951" spans="2:2" x14ac:dyDescent="0.25">
      <c r="B5951" t="str">
        <v>785-73: Notebooks and Spirals</v>
      </c>
    </row>
    <row r="5952" spans="2:2" x14ac:dyDescent="0.25">
      <c r="B5952" t="str">
        <v>785-74: Number Boards and Directory Boards</v>
      </c>
    </row>
    <row r="5953" spans="2:2" x14ac:dyDescent="0.25">
      <c r="B5953" t="str">
        <v>785-76: Paper Items, Classroom: Composition Books, Scrapbooks, Examination Booklets, Notebook Filler, Tablets, etc.</v>
      </c>
    </row>
    <row r="5954" spans="2:2" x14ac:dyDescent="0.25">
      <c r="B5954" t="str">
        <v>785-80: Plays and Entertainment, Schoolroom</v>
      </c>
    </row>
    <row r="5955" spans="2:2" x14ac:dyDescent="0.25">
      <c r="B5955" t="str">
        <v>785-83: Presentation Systems Equipment, Including Presentation Boards and Multi-Image Devices</v>
      </c>
    </row>
    <row r="5956" spans="2:2" x14ac:dyDescent="0.25">
      <c r="B5956" t="str">
        <v>785-85: Reading Programs, Reading Aids, Accelerators</v>
      </c>
    </row>
    <row r="5957" spans="2:2" x14ac:dyDescent="0.25">
      <c r="B5957" t="str">
        <v>785-86: Recycled School Equipment and Supplies</v>
      </c>
    </row>
    <row r="5958" spans="2:2" x14ac:dyDescent="0.25">
      <c r="B5958" t="str">
        <v>785-87: Resource Books and Materials, (Not Otherwise Classified)</v>
      </c>
    </row>
    <row r="5959" spans="2:2" x14ac:dyDescent="0.25">
      <c r="B5959" t="str">
        <v>785-88: Science Instruction Equipment, Classroom or Laboratory Use</v>
      </c>
    </row>
    <row r="5960" spans="2:2" x14ac:dyDescent="0.25">
      <c r="B5960" t="str">
        <v>785-89: School Equipment Required to Meet the Needs of the Physically Challenged Student: Prone Stands, Toddler Chairs, Special Computer Keyboards, etc.</v>
      </c>
    </row>
    <row r="5961" spans="2:2" x14ac:dyDescent="0.25">
      <c r="B5961" t="str">
        <v>785-90: Test and Test Scoring Devices: Achievement, Aptitude, Intelligence, etc.</v>
      </c>
    </row>
    <row r="5962" spans="2:2" x14ac:dyDescent="0.25">
      <c r="B5962" t="str">
        <v>785-92: Vocational Equipment and Supplies, Industrial Trades</v>
      </c>
    </row>
    <row r="5963" spans="2:2" x14ac:dyDescent="0.25">
      <c r="B5963" t="str">
        <v>785-93: Vocational Education Equipment and Supplies</v>
      </c>
    </row>
    <row r="5964" spans="2:2" x14ac:dyDescent="0.25">
      <c r="B5964" t="str">
        <v>790-02: Athletic Field Compositions, Baseball Infields, etc.</v>
      </c>
    </row>
    <row r="5965" spans="2:2" x14ac:dyDescent="0.25">
      <c r="B5965" t="str">
        <v>790-05: Desert Plant Seeds</v>
      </c>
    </row>
    <row r="5966" spans="2:2" x14ac:dyDescent="0.25">
      <c r="B5966" t="str">
        <v>790-10: Field Seeds, Cotton, etc.</v>
      </c>
    </row>
    <row r="5967" spans="2:2" x14ac:dyDescent="0.25">
      <c r="B5967" t="str">
        <v>790-15: Field Seeds, Grains, etc.</v>
      </c>
    </row>
    <row r="5968" spans="2:2" x14ac:dyDescent="0.25">
      <c r="B5968" t="str">
        <v>790-18: Fruit Seeds</v>
      </c>
    </row>
    <row r="5969" spans="2:2" x14ac:dyDescent="0.25">
      <c r="B5969" t="str">
        <v>790-20: Grass Seeds</v>
      </c>
    </row>
    <row r="5970" spans="2:2" x14ac:dyDescent="0.25">
      <c r="B5970" t="str">
        <v>790-30: Inoculants</v>
      </c>
    </row>
    <row r="5971" spans="2:2" x14ac:dyDescent="0.25">
      <c r="B5971" t="str">
        <v>790-31: Melon Seeds, Including Pumpkin</v>
      </c>
    </row>
    <row r="5972" spans="2:2" x14ac:dyDescent="0.25">
      <c r="B5972" t="str">
        <v>790-32: Millet Grass</v>
      </c>
    </row>
    <row r="5973" spans="2:2" x14ac:dyDescent="0.25">
      <c r="B5973" t="str">
        <v>790-33: Nut Seeds</v>
      </c>
    </row>
    <row r="5974" spans="2:2" x14ac:dyDescent="0.25">
      <c r="B5974" t="str">
        <v>790-34: Peanut Seeds</v>
      </c>
    </row>
    <row r="5975" spans="2:2" x14ac:dyDescent="0.25">
      <c r="B5975" t="str">
        <v>790-37: Rice Seeds</v>
      </c>
    </row>
    <row r="5976" spans="2:2" x14ac:dyDescent="0.25">
      <c r="B5976" t="str">
        <v>790-40: Seed Potato Seeds</v>
      </c>
    </row>
    <row r="5977" spans="2:2" x14ac:dyDescent="0.25">
      <c r="B5977" t="str">
        <v>790-44: Spice Seeds</v>
      </c>
    </row>
    <row r="5978" spans="2:2" x14ac:dyDescent="0.25">
      <c r="B5978" t="str">
        <v>790-50: Sod, Grass</v>
      </c>
    </row>
    <row r="5979" spans="2:2" x14ac:dyDescent="0.25">
      <c r="B5979" t="str">
        <v>790-54: Soil Mixtures, Special</v>
      </c>
    </row>
    <row r="5980" spans="2:2" x14ac:dyDescent="0.25">
      <c r="B5980" t="str">
        <v>790-60: Sprigs, Grass</v>
      </c>
    </row>
    <row r="5981" spans="2:2" x14ac:dyDescent="0.25">
      <c r="B5981" t="str">
        <v>790-70: Top Soil and Fill Dirt (See Class 335 for Mulch)</v>
      </c>
    </row>
    <row r="5982" spans="2:2" x14ac:dyDescent="0.25">
      <c r="B5982" t="str">
        <v>790-73: Tree Seeds</v>
      </c>
    </row>
    <row r="5983" spans="2:2" x14ac:dyDescent="0.25">
      <c r="B5983" t="str">
        <v>790-80: Vegetable Seeds</v>
      </c>
    </row>
    <row r="5984" spans="2:2" x14ac:dyDescent="0.25">
      <c r="B5984" t="str">
        <v>790-95: Recycled Seed, Soil, Sod and Inoculants</v>
      </c>
    </row>
    <row r="5985" spans="2:2" x14ac:dyDescent="0.25">
      <c r="B5985" t="str">
        <v>795-05: Bartacking Machines</v>
      </c>
    </row>
    <row r="5986" spans="2:2" x14ac:dyDescent="0.25">
      <c r="B5986" t="str">
        <v>795-10: Button Covering Machines</v>
      </c>
    </row>
    <row r="5987" spans="2:2" x14ac:dyDescent="0.25">
      <c r="B5987" t="str">
        <v>795-15: Button Sewing Machines</v>
      </c>
    </row>
    <row r="5988" spans="2:2" x14ac:dyDescent="0.25">
      <c r="B5988" t="str">
        <v>795-20: Buttonhole Machines</v>
      </c>
    </row>
    <row r="5989" spans="2:2" x14ac:dyDescent="0.25">
      <c r="B5989" t="str">
        <v>795-25: Cloth Cutting Machines</v>
      </c>
    </row>
    <row r="5990" spans="2:2" x14ac:dyDescent="0.25">
      <c r="B5990" t="str">
        <v>795-28: Cloth Rolling Equipment and Supplies</v>
      </c>
    </row>
    <row r="5991" spans="2:2" x14ac:dyDescent="0.25">
      <c r="B5991" t="str">
        <v>795-30: Cloth Spreading Machines</v>
      </c>
    </row>
    <row r="5992" spans="2:2" x14ac:dyDescent="0.25">
      <c r="B5992" t="str">
        <v>795-35: Cushion Filling Machines</v>
      </c>
    </row>
    <row r="5993" spans="2:2" x14ac:dyDescent="0.25">
      <c r="B5993" t="str">
        <v>795-37: Drapery Making Equipment and Accessories</v>
      </c>
    </row>
    <row r="5994" spans="2:2" x14ac:dyDescent="0.25">
      <c r="B5994" t="str">
        <v>795-38: Embroidery Machines, Accessories and Supplies</v>
      </c>
    </row>
    <row r="5995" spans="2:2" x14ac:dyDescent="0.25">
      <c r="B5995" t="str">
        <v>795-39: Eye and Hook Attaching Machines</v>
      </c>
    </row>
    <row r="5996" spans="2:2" x14ac:dyDescent="0.25">
      <c r="B5996" t="str">
        <v>795-40: Fabric Drills, All Types</v>
      </c>
    </row>
    <row r="5997" spans="2:2" x14ac:dyDescent="0.25">
      <c r="B5997" t="str">
        <v>795-45: Folding and Rewinding Machines</v>
      </c>
    </row>
    <row r="5998" spans="2:2" x14ac:dyDescent="0.25">
      <c r="B5998" t="str">
        <v>795-48: Garment and Brand Tag Fasteners and Accessories</v>
      </c>
    </row>
    <row r="5999" spans="2:2" x14ac:dyDescent="0.25">
      <c r="B5999" t="str">
        <v>795-50: Gripper Snap Fastener Machines</v>
      </c>
    </row>
    <row r="6000" spans="2:2" x14ac:dyDescent="0.25">
      <c r="B6000" t="str">
        <v>795-53: Knitting Machines and Accessories</v>
      </c>
    </row>
    <row r="6001" spans="2:2" x14ac:dyDescent="0.25">
      <c r="B6001" t="str">
        <v>795-55: Looms and Other Textile Weaving Equipment</v>
      </c>
    </row>
    <row r="6002" spans="2:2" x14ac:dyDescent="0.25">
      <c r="B6002" t="str">
        <v>795-60: Pattern Paper</v>
      </c>
    </row>
    <row r="6003" spans="2:2" x14ac:dyDescent="0.25">
      <c r="B6003" t="str">
        <v>795-63: Quiller Machines and Accessories</v>
      </c>
    </row>
    <row r="6004" spans="2:2" x14ac:dyDescent="0.25">
      <c r="B6004" t="str">
        <v>795-64: Roving Cans</v>
      </c>
    </row>
    <row r="6005" spans="2:2" x14ac:dyDescent="0.25">
      <c r="B6005" t="str">
        <v>795-65: Sewing Machines and Accessories, Domestic</v>
      </c>
    </row>
    <row r="6006" spans="2:2" x14ac:dyDescent="0.25">
      <c r="B6006" t="str">
        <v>795-70: Sewing Machines and Accessories, Heavy Duty, Except Shoe Stitching</v>
      </c>
    </row>
    <row r="6007" spans="2:2" x14ac:dyDescent="0.25">
      <c r="B6007" t="str">
        <v>795-75: Sheeting, Slitting, Spooling, and Notching Machines</v>
      </c>
    </row>
    <row r="6008" spans="2:2" x14ac:dyDescent="0.25">
      <c r="B6008" t="str">
        <v>795-80: Slashers, Batts, and Pickers</v>
      </c>
    </row>
    <row r="6009" spans="2:2" x14ac:dyDescent="0.25">
      <c r="B6009" t="str">
        <v>795-82: Spinning Machines and Accessories</v>
      </c>
    </row>
    <row r="6010" spans="2:2" x14ac:dyDescent="0.25">
      <c r="B6010" t="str">
        <v>795-83: Spiral Tubes</v>
      </c>
    </row>
    <row r="6011" spans="2:2" x14ac:dyDescent="0.25">
      <c r="B6011" t="str">
        <v>795-85: Tables, Cloth Cutting and Sewing</v>
      </c>
    </row>
    <row r="6012" spans="2:2" x14ac:dyDescent="0.25">
      <c r="B6012" t="str">
        <v>795-87: Textile Processing Equipment (Not Otherwise Classified)</v>
      </c>
    </row>
    <row r="6013" spans="2:2" x14ac:dyDescent="0.25">
      <c r="B6013" t="str">
        <v>795-88: Textile Working Equipment (Not Otherwise Classified)</v>
      </c>
    </row>
    <row r="6014" spans="2:2" x14ac:dyDescent="0.25">
      <c r="B6014" t="str">
        <v>795-90: Warp Conditioner</v>
      </c>
    </row>
    <row r="6015" spans="2:2" x14ac:dyDescent="0.25">
      <c r="B6015" t="str">
        <v>795-92: Warper Machines and Supplies</v>
      </c>
    </row>
    <row r="6016" spans="2:2" x14ac:dyDescent="0.25">
      <c r="B6016" t="str">
        <v>795-95: Refurbished  Sewing Room and Textile Equipment, Including Parts and Accessories</v>
      </c>
    </row>
    <row r="6017" spans="2:2" x14ac:dyDescent="0.25">
      <c r="B6017" t="str">
        <v>800-05: Boots and Shoes, Athletic and Sportsman Type, Including Canvas Type</v>
      </c>
    </row>
    <row r="6018" spans="2:2" x14ac:dyDescent="0.25">
      <c r="B6018" t="str">
        <v>800-08: Boots, Leather</v>
      </c>
    </row>
    <row r="6019" spans="2:2" x14ac:dyDescent="0.25">
      <c r="B6019" t="str">
        <v>800-14: Boots, Other Than Leather or Rubber)</v>
      </c>
    </row>
    <row r="6020" spans="2:2" x14ac:dyDescent="0.25">
      <c r="B6020" t="str">
        <v>800-16: Boots, Rubber</v>
      </c>
    </row>
    <row r="6021" spans="2:2" x14ac:dyDescent="0.25">
      <c r="B6021" t="str">
        <v>800-17: Boots, Rubber, Waders</v>
      </c>
    </row>
    <row r="6022" spans="2:2" x14ac:dyDescent="0.25">
      <c r="B6022" t="str">
        <v>800-24: Boots, Rubber, Safety Toe</v>
      </c>
    </row>
    <row r="6023" spans="2:2" x14ac:dyDescent="0.25">
      <c r="B6023" t="str">
        <v>800-25: Boots, Rubber, Waders, Safety Toe</v>
      </c>
    </row>
    <row r="6024" spans="2:2" x14ac:dyDescent="0.25">
      <c r="B6024" t="str">
        <v>800-28: Caps, Spikes, Spurs, and Shields</v>
      </c>
    </row>
    <row r="6025" spans="2:2" x14ac:dyDescent="0.25">
      <c r="B6025" t="str">
        <v>800-32: Shoes and Slippers, House, All Types</v>
      </c>
    </row>
    <row r="6026" spans="2:2" x14ac:dyDescent="0.25">
      <c r="B6026" t="str">
        <v>800-38: Racks, Shoe and Boot</v>
      </c>
    </row>
    <row r="6027" spans="2:2" x14ac:dyDescent="0.25">
      <c r="B6027" t="str">
        <v>800-40: Shoes, Casual, Women's and Girls</v>
      </c>
    </row>
    <row r="6028" spans="2:2" x14ac:dyDescent="0.25">
      <c r="B6028" t="str">
        <v>800-48: Shoes, Casual, Men's and Boys</v>
      </c>
    </row>
    <row r="6029" spans="2:2" x14ac:dyDescent="0.25">
      <c r="B6029" t="str">
        <v>800-56: Shoes, Dress, Women's and Girls</v>
      </c>
    </row>
    <row r="6030" spans="2:2" x14ac:dyDescent="0.25">
      <c r="B6030" t="str">
        <v>800-64: Shoes, Dress, Men's and Boys</v>
      </c>
    </row>
    <row r="6031" spans="2:2" x14ac:dyDescent="0.25">
      <c r="B6031" t="str">
        <v>800-68: Shoes and Boots, Inmate</v>
      </c>
    </row>
    <row r="6032" spans="2:2" x14ac:dyDescent="0.25">
      <c r="B6032" t="str">
        <v>800-70: Shoes, Orthopedic</v>
      </c>
    </row>
    <row r="6033" spans="2:2" x14ac:dyDescent="0.25">
      <c r="B6033" t="str">
        <v>800-72: Shoes and Boots, Safety Toe</v>
      </c>
    </row>
    <row r="6034" spans="2:2" x14ac:dyDescent="0.25">
      <c r="B6034" t="str">
        <v>800-80: Shoes, Rain</v>
      </c>
    </row>
    <row r="6035" spans="2:2" x14ac:dyDescent="0.25">
      <c r="B6035" t="str">
        <v>800-86: Shoes and Boots, Work, Men's</v>
      </c>
    </row>
    <row r="6036" spans="2:2" x14ac:dyDescent="0.25">
      <c r="B6036" t="str">
        <v>800-88: Shoes and Boots, Work, Women's</v>
      </c>
    </row>
    <row r="6037" spans="2:2" x14ac:dyDescent="0.25">
      <c r="B6037" t="str">
        <v>800-89: Shoes and Sandals, Disposable</v>
      </c>
    </row>
    <row r="6038" spans="2:2" x14ac:dyDescent="0.25">
      <c r="B6038" t="str">
        <v>800-95: Recycled Shoes and Boots</v>
      </c>
    </row>
    <row r="6039" spans="2:2" x14ac:dyDescent="0.25">
      <c r="B6039" t="str">
        <v>801-09: Blanks, Sign, Metal (See 801-71, 89, and 97 for other Sign Blanks)</v>
      </c>
    </row>
    <row r="6040" spans="2:2" x14ac:dyDescent="0.25">
      <c r="B6040" t="str">
        <v>801-12: Brackets and Holders, Sign</v>
      </c>
    </row>
    <row r="6041" spans="2:2" x14ac:dyDescent="0.25">
      <c r="B6041" t="str">
        <v>801-20: Letters and Numerals, Sign, Including Logos</v>
      </c>
    </row>
    <row r="6042" spans="2:2" x14ac:dyDescent="0.25">
      <c r="B6042" t="str">
        <v>801-30: Posts, Standards, Supports, and Expansion Plugs</v>
      </c>
    </row>
    <row r="6043" spans="2:2" x14ac:dyDescent="0.25">
      <c r="B6043" t="str">
        <v>801-38: Recycled Signs, Equipment, and Supplies, Including Braille Type</v>
      </c>
    </row>
    <row r="6044" spans="2:2" x14ac:dyDescent="0.25">
      <c r="B6044" t="str">
        <v>801-40: Sign Faces</v>
      </c>
    </row>
    <row r="6045" spans="2:2" x14ac:dyDescent="0.25">
      <c r="B6045" t="str">
        <v>801-45: *Sign Making Equipment Including Computerized Type</v>
      </c>
    </row>
    <row r="6046" spans="2:2" x14ac:dyDescent="0.25">
      <c r="B6046" t="str">
        <v>801-48: Sign Material, Non-Reflective</v>
      </c>
    </row>
    <row r="6047" spans="2:2" x14ac:dyDescent="0.25">
      <c r="B6047" t="str">
        <v>801-49: Sign Material, Reflective (See 550-45 for Reflective Sheeting for other than Signs)</v>
      </c>
    </row>
    <row r="6048" spans="2:2" x14ac:dyDescent="0.25">
      <c r="B6048" t="str">
        <v>801-50: Sign Material, Reflective, Die Cut, (See 550-45 for Reflective Sheeting for other than Signs)</v>
      </c>
    </row>
    <row r="6049" spans="2:2" x14ac:dyDescent="0.25">
      <c r="B6049" t="str">
        <v>801-53: Sign Painting Machines, Including Automatic</v>
      </c>
    </row>
    <row r="6050" spans="2:2" x14ac:dyDescent="0.25">
      <c r="B6050" t="str">
        <v>801-54: Sign Painting Supplies, Including Brushes and Inks</v>
      </c>
    </row>
    <row r="6051" spans="2:2" x14ac:dyDescent="0.25">
      <c r="B6051" t="str">
        <v>801-56: Signs, American Disability Act (ADA)</v>
      </c>
    </row>
    <row r="6052" spans="2:2" x14ac:dyDescent="0.25">
      <c r="B6052" t="str">
        <v>801-58: Signs: Billboard, Advertising, etc.</v>
      </c>
    </row>
    <row r="6053" spans="2:2" x14ac:dyDescent="0.25">
      <c r="B6053" t="str">
        <v>801-59: Signs, Braille, Including Markers and Plaques</v>
      </c>
    </row>
    <row r="6054" spans="2:2" x14ac:dyDescent="0.25">
      <c r="B6054" t="str">
        <v>801-60: Signs: Construction, Including Roll-Up Type Message Signs</v>
      </c>
    </row>
    <row r="6055" spans="2:2" x14ac:dyDescent="0.25">
      <c r="B6055" t="str">
        <v>801-62: Signs, Door Knob: Meeting in Progress, Do Not Disturb, etc.</v>
      </c>
    </row>
    <row r="6056" spans="2:2" x14ac:dyDescent="0.25">
      <c r="B6056" t="str">
        <v>801-66: *Signs, Electronic Display, Marquee, etc.</v>
      </c>
    </row>
    <row r="6057" spans="2:2" x14ac:dyDescent="0.25">
      <c r="B6057" t="str">
        <v>801-68: Signs, Exit: LED, Lighted, etc.</v>
      </c>
    </row>
    <row r="6058" spans="2:2" x14ac:dyDescent="0.25">
      <c r="B6058" t="str">
        <v>801-69: Signs, Fabric</v>
      </c>
    </row>
    <row r="6059" spans="2:2" x14ac:dyDescent="0.25">
      <c r="B6059" t="str">
        <v>801-71: Signs, Fiberglass, Including Blanks</v>
      </c>
    </row>
    <row r="6060" spans="2:2" x14ac:dyDescent="0.25">
      <c r="B6060" t="str">
        <v>801-74: Signs, Hospital Bed</v>
      </c>
    </row>
    <row r="6061" spans="2:2" x14ac:dyDescent="0.25">
      <c r="B6061" t="str">
        <v>801-76: Signs and Posters, Informational, No Smoking, Fire Extinguisher, etc.</v>
      </c>
    </row>
    <row r="6062" spans="2:2" x14ac:dyDescent="0.25">
      <c r="B6062" t="str">
        <v>801-78: Signs, Janitorial, Wet Floor, Hazardous Spill, etc.</v>
      </c>
    </row>
    <row r="6063" spans="2:2" x14ac:dyDescent="0.25">
      <c r="B6063" t="str">
        <v>801-81: Signs, Library</v>
      </c>
    </row>
    <row r="6064" spans="2:2" x14ac:dyDescent="0.25">
      <c r="B6064" t="str">
        <v>801-82: Signs, Magnetic</v>
      </c>
    </row>
    <row r="6065" spans="2:2" x14ac:dyDescent="0.25">
      <c r="B6065" t="str">
        <v>801-83: Signs, Metal, Not Blanks</v>
      </c>
    </row>
    <row r="6066" spans="2:2" x14ac:dyDescent="0.25">
      <c r="B6066" t="str">
        <v>801-84: *Signs, Message, Computerized</v>
      </c>
    </row>
    <row r="6067" spans="2:2" x14ac:dyDescent="0.25">
      <c r="B6067" t="str">
        <v>801-85: Signs, Neon</v>
      </c>
    </row>
    <row r="6068" spans="2:2" x14ac:dyDescent="0.25">
      <c r="B6068" t="str">
        <v>801-86: Signs, Miscellaneous (Not Otherwise Classified)</v>
      </c>
    </row>
    <row r="6069" spans="2:2" x14ac:dyDescent="0.25">
      <c r="B6069" t="str">
        <v>801-87: Signs, Overhead, Traffic</v>
      </c>
    </row>
    <row r="6070" spans="2:2" x14ac:dyDescent="0.25">
      <c r="B6070" t="str">
        <v>801-89: Signs, Plastic and Polyethylene, Including Blanks</v>
      </c>
    </row>
    <row r="6071" spans="2:2" x14ac:dyDescent="0.25">
      <c r="B6071" t="str">
        <v>801-91: Signs, Railroad Crossing, Electric</v>
      </c>
    </row>
    <row r="6072" spans="2:2" x14ac:dyDescent="0.25">
      <c r="B6072" t="str">
        <v>801-94: Signs, Runway and Taxiway</v>
      </c>
    </row>
    <row r="6073" spans="2:2" x14ac:dyDescent="0.25">
      <c r="B6073" t="str">
        <v>801-95: Signs, Surge Marker, Metal</v>
      </c>
    </row>
    <row r="6074" spans="2:2" x14ac:dyDescent="0.25">
      <c r="B6074" t="str">
        <v>801-96: Signs, Traffic, Solar Powered, LED, Flashing, Programmable</v>
      </c>
    </row>
    <row r="6075" spans="2:2" x14ac:dyDescent="0.25">
      <c r="B6075" t="str">
        <v>801-97: Signs, Wood, Including Blanks</v>
      </c>
    </row>
    <row r="6076" spans="2:2" x14ac:dyDescent="0.25">
      <c r="B6076" t="str">
        <v>803-10: Cartridges, Microphone, Phonograph, etc., Needles, Pickup Arms, Styli, etc.</v>
      </c>
    </row>
    <row r="6077" spans="2:2" x14ac:dyDescent="0.25">
      <c r="B6077" t="str">
        <v>803-16: Disc Players, Compact, MP3, etc.</v>
      </c>
    </row>
    <row r="6078" spans="2:2" x14ac:dyDescent="0.25">
      <c r="B6078" t="str">
        <v>803-18: Electronic Sound Equipment (Not Otherwise Classified)</v>
      </c>
    </row>
    <row r="6079" spans="2:2" x14ac:dyDescent="0.25">
      <c r="B6079" t="str">
        <v>803-20: Group Auditory Systems, Language Laboratories, and Speech Training Equipment</v>
      </c>
    </row>
    <row r="6080" spans="2:2" x14ac:dyDescent="0.25">
      <c r="B6080" t="str">
        <v>803-30: Intercom Systems, Group, For Panel Discussions, Schoolrooms, Hospital Rooms, etc.</v>
      </c>
    </row>
    <row r="6081" spans="2:2" x14ac:dyDescent="0.25">
      <c r="B6081" t="str">
        <v>803-39: Microphones and Related Equipment, Not Wireless Systems: Chestsets, Earphones, Handsets, Headphones, etc.</v>
      </c>
    </row>
    <row r="6082" spans="2:2" x14ac:dyDescent="0.25">
      <c r="B6082" t="str">
        <v>803-40: Microphones and Related Equipment, Wireless Systems: Chestsets, Earphones, Handsets, Headphones, etc.</v>
      </c>
    </row>
    <row r="6083" spans="2:2" x14ac:dyDescent="0.25">
      <c r="B6083" t="str">
        <v>803-45: Music Systems and Components: Amplifiers, Mixers, Preamplifiers, Tuners, Turntables, etc.</v>
      </c>
    </row>
    <row r="6084" spans="2:2" x14ac:dyDescent="0.25">
      <c r="B6084" t="str">
        <v>803-50: Music Systems and Component, Stereo Only</v>
      </c>
    </row>
    <row r="6085" spans="2:2" x14ac:dyDescent="0.25">
      <c r="B6085" t="str">
        <v>803-54: Paging Systems, Airport</v>
      </c>
    </row>
    <row r="6086" spans="2:2" x14ac:dyDescent="0.25">
      <c r="B6086" t="str">
        <v>803-55: Paging Systems, Loud Speaker Type</v>
      </c>
    </row>
    <row r="6087" spans="2:2" x14ac:dyDescent="0.25">
      <c r="B6087" t="str">
        <v>803-56: *Paging Terminal, Solid State, Computerized</v>
      </c>
    </row>
    <row r="6088" spans="2:2" x14ac:dyDescent="0.25">
      <c r="B6088" t="str">
        <v>803-60: Public Address Systems, Portable</v>
      </c>
    </row>
    <row r="6089" spans="2:2" x14ac:dyDescent="0.25">
      <c r="B6089" t="str">
        <v>803-61: Public Address Systems, Stationary</v>
      </c>
    </row>
    <row r="6090" spans="2:2" x14ac:dyDescent="0.25">
      <c r="B6090" t="str">
        <v>803-65: Record Player, Phonographs, Record Changers, Including Parts and Accessories</v>
      </c>
    </row>
    <row r="6091" spans="2:2" x14ac:dyDescent="0.25">
      <c r="B6091" t="str">
        <v>803-68: *Recorders, Digital, Voice to CD</v>
      </c>
    </row>
    <row r="6092" spans="2:2" x14ac:dyDescent="0.25">
      <c r="B6092" t="str">
        <v>803-70: Recording Disks and Sound Sheets, Including Compact and Laser Disks</v>
      </c>
    </row>
    <row r="6093" spans="2:2" x14ac:dyDescent="0.25">
      <c r="B6093" t="str">
        <v>803-75: Recording Tape, Sound: Audio Cassettes, Cartridges, Reels, etc.</v>
      </c>
    </row>
    <row r="6094" spans="2:2" x14ac:dyDescent="0.25">
      <c r="B6094" t="str">
        <v>803-77: Recycled Sound Equipment, Components and Accessories</v>
      </c>
    </row>
    <row r="6095" spans="2:2" x14ac:dyDescent="0.25">
      <c r="B6095" t="str">
        <v>803-79: Sound Booths or Chambers, Including Anechoic, Portable and Soundproof Types</v>
      </c>
    </row>
    <row r="6096" spans="2:2" x14ac:dyDescent="0.25">
      <c r="B6096" t="str">
        <v>803-80: Speakers and Accessories: Drivers, Enclosures, Grilles, Grille Cloth, etc.</v>
      </c>
    </row>
    <row r="6097" spans="2:2" x14ac:dyDescent="0.25">
      <c r="B6097" t="str">
        <v>803-82: Studio Monitors, Broadcasting and Recording</v>
      </c>
    </row>
    <row r="6098" spans="2:2" x14ac:dyDescent="0.25">
      <c r="B6098" t="str">
        <v>803-85: Tape Recorders, Decks, Players, etc., Sound, Not for Office Dictation</v>
      </c>
    </row>
    <row r="6099" spans="2:2" x14ac:dyDescent="0.25">
      <c r="B6099" t="str">
        <v>803-90: Tape Duplicating and Erasing Equipment</v>
      </c>
    </row>
    <row r="6100" spans="2:2" x14ac:dyDescent="0.25">
      <c r="B6100" t="str">
        <v>803-92: *Telephony Equipment, Accessories and Supplies</v>
      </c>
    </row>
    <row r="6101" spans="2:2" x14ac:dyDescent="0.25">
      <c r="B6101" t="str">
        <v>804-10: Accessories, Satellite (Not Otherwise Classified)</v>
      </c>
    </row>
    <row r="6102" spans="2:2" x14ac:dyDescent="0.25">
      <c r="B6102" t="str">
        <v>804-12: Altitude Control Systems, Spacecraft</v>
      </c>
    </row>
    <row r="6103" spans="2:2" x14ac:dyDescent="0.25">
      <c r="B6103" t="str">
        <v>804-32: Computerized Master Control Systems, Spacecraft</v>
      </c>
    </row>
    <row r="6104" spans="2:2" x14ac:dyDescent="0.25">
      <c r="B6104" t="str">
        <v>804-42: Flight Instrumentation, Aerospace</v>
      </c>
    </row>
    <row r="6105" spans="2:2" x14ac:dyDescent="0.25">
      <c r="B6105" t="str">
        <v>804-53: Payload Delivery Systems, Spacecraft</v>
      </c>
    </row>
    <row r="6106" spans="2:2" x14ac:dyDescent="0.25">
      <c r="B6106" t="str">
        <v>804-57: Power Systems, Spacecraft, Solar Arrays, Solar Cells, etc.</v>
      </c>
    </row>
    <row r="6107" spans="2:2" x14ac:dyDescent="0.25">
      <c r="B6107" t="str">
        <v>804-74: Satellites, Navigation, Geosynchrous, Orbiting, etc., (See 257-75 for Military Types)</v>
      </c>
    </row>
    <row r="6108" spans="2:2" x14ac:dyDescent="0.25">
      <c r="B6108" t="str">
        <v>804-76: Service Modules, Spacecraft</v>
      </c>
    </row>
    <row r="6109" spans="2:2" x14ac:dyDescent="0.25">
      <c r="B6109" t="str">
        <v>804-77: Spacecrafts</v>
      </c>
    </row>
    <row r="6110" spans="2:2" x14ac:dyDescent="0.25">
      <c r="B6110" t="str">
        <v>804-95: Recycled Spacecrafts, Components and Accessories</v>
      </c>
    </row>
    <row r="6111" spans="2:2" x14ac:dyDescent="0.25">
      <c r="B6111" t="str">
        <v>805-05: Aerobic Training Equipment</v>
      </c>
    </row>
    <row r="6112" spans="2:2" x14ac:dyDescent="0.25">
      <c r="B6112" t="str">
        <v>805-09: Archery Equipment</v>
      </c>
    </row>
    <row r="6113" spans="2:2" x14ac:dyDescent="0.25">
      <c r="B6113" t="str">
        <v>805-10: Athletic Benches</v>
      </c>
    </row>
    <row r="6114" spans="2:2" x14ac:dyDescent="0.25">
      <c r="B6114" t="str">
        <v>805-15: Athletic Awards: Medals, Plaques, Trophies, etc., (See Class 080 For Service Type)</v>
      </c>
    </row>
    <row r="6115" spans="2:2" x14ac:dyDescent="0.25">
      <c r="B6115" t="str">
        <v>805-16: Athletic Facility Storage Equipment, Including Locker Room Equipment</v>
      </c>
    </row>
    <row r="6116" spans="2:2" x14ac:dyDescent="0.25">
      <c r="B6116" t="str">
        <v>805-17: Athletic Field Markers, Goal Posts, Bases, Goals, etc., Including Athletic Field Striping Machines</v>
      </c>
    </row>
    <row r="6117" spans="2:2" x14ac:dyDescent="0.25">
      <c r="B6117" t="str">
        <v>805-18: Athletic Field Groomers and Equipment, Artificial Turf</v>
      </c>
    </row>
    <row r="6118" spans="2:2" x14ac:dyDescent="0.25">
      <c r="B6118" t="str">
        <v>805-21: Badminton Equipment</v>
      </c>
    </row>
    <row r="6119" spans="2:2" x14ac:dyDescent="0.25">
      <c r="B6119" t="str">
        <v>805-22: Balls, (Not Otherwise Classified): Medicine, Playground, Push, etc., and Inflators</v>
      </c>
    </row>
    <row r="6120" spans="2:2" x14ac:dyDescent="0.25">
      <c r="B6120" t="str">
        <v>805-23: Bags, Sports Equipment</v>
      </c>
    </row>
    <row r="6121" spans="2:2" x14ac:dyDescent="0.25">
      <c r="B6121" t="str">
        <v>805-24: Baseball Equipment</v>
      </c>
    </row>
    <row r="6122" spans="2:2" x14ac:dyDescent="0.25">
      <c r="B6122" t="str">
        <v>805-30: Basketball Equipment, Including Backboards and Backstops</v>
      </c>
    </row>
    <row r="6123" spans="2:2" x14ac:dyDescent="0.25">
      <c r="B6123" t="str">
        <v>805-34: Bicycles and Tricycles, All Types: Children's, Mountain, Racing, Recumbent, Tandem, Touring, etc. (See 805-05 for Stationary Bikes and 805-57 for Exercise Bikes)</v>
      </c>
    </row>
    <row r="6124" spans="2:2" x14ac:dyDescent="0.25">
      <c r="B6124" t="str">
        <v>805-35: Bicycle Accessories Including Tires and Tubes</v>
      </c>
    </row>
    <row r="6125" spans="2:2" x14ac:dyDescent="0.25">
      <c r="B6125" t="str">
        <v>805-36: Billiard and Pool Tables and Supplies</v>
      </c>
    </row>
    <row r="6126" spans="2:2" x14ac:dyDescent="0.25">
      <c r="B6126" t="str">
        <v>805-37: Bobsled Equipment and Accessories</v>
      </c>
    </row>
    <row r="6127" spans="2:2" x14ac:dyDescent="0.25">
      <c r="B6127" t="str">
        <v>805-38: Bungee Equipment and Accessories</v>
      </c>
    </row>
    <row r="6128" spans="2:2" x14ac:dyDescent="0.25">
      <c r="B6128" t="str">
        <v>805-39: Bowling Equipment, Including Lawn Bowling</v>
      </c>
    </row>
    <row r="6129" spans="2:2" x14ac:dyDescent="0.25">
      <c r="B6129" t="str">
        <v>805-40: Coaching Equipment and Supplies</v>
      </c>
    </row>
    <row r="6130" spans="2:2" x14ac:dyDescent="0.25">
      <c r="B6130" t="str">
        <v>805-41: Cricket Equipment and Accessories</v>
      </c>
    </row>
    <row r="6131" spans="2:2" x14ac:dyDescent="0.25">
      <c r="B6131" t="str">
        <v>805-42: Boxing and Wrestling Equipment: Gloves, Platforms, Rings, Striking Bags, Training Bags, etc.</v>
      </c>
    </row>
    <row r="6132" spans="2:2" x14ac:dyDescent="0.25">
      <c r="B6132" t="str">
        <v>805-43: Climbing and Rappelling Equipment</v>
      </c>
    </row>
    <row r="6133" spans="2:2" x14ac:dyDescent="0.25">
      <c r="B6133" t="str">
        <v>805-44: Equestrian Equipment, Clothing and Supplies, Including Polo</v>
      </c>
    </row>
    <row r="6134" spans="2:2" x14ac:dyDescent="0.25">
      <c r="B6134" t="str">
        <v>805-45: *Fencing Equipment, Sport</v>
      </c>
    </row>
    <row r="6135" spans="2:2" x14ac:dyDescent="0.25">
      <c r="B6135" t="str">
        <v>805-46: Flip Score Cards</v>
      </c>
    </row>
    <row r="6136" spans="2:2" x14ac:dyDescent="0.25">
      <c r="B6136" t="str">
        <v>805-47: Flooring, Temporary Portable, Athletic Facility</v>
      </c>
    </row>
    <row r="6137" spans="2:2" x14ac:dyDescent="0.25">
      <c r="B6137" t="str">
        <v>805-48: Football Equipment</v>
      </c>
    </row>
    <row r="6138" spans="2:2" x14ac:dyDescent="0.25">
      <c r="B6138" t="str">
        <v>805-50: Jumping and Parachuting Equipment</v>
      </c>
    </row>
    <row r="6139" spans="2:2" x14ac:dyDescent="0.25">
      <c r="B6139" t="str">
        <v>805-51: Games: Croquet, Dart Boards, Horseshoes, Shuffleboards, Table Tennis, Tetherball, etc. (See 037-84; 208-47; 209-48; and 785-53 for other type games)</v>
      </c>
    </row>
    <row r="6140" spans="2:2" x14ac:dyDescent="0.25">
      <c r="B6140" t="str">
        <v>805-54: Golfing Equipment</v>
      </c>
    </row>
    <row r="6141" spans="2:2" x14ac:dyDescent="0.25">
      <c r="B6141" t="str">
        <v>805-57: Gymnasium Apparatus and Equipment: Bicycle Trainers, Climbing Ropes, Exerciser Units, Game Standards, Horizontal, Parallel, and Stall Bars</v>
      </c>
    </row>
    <row r="6142" spans="2:2" x14ac:dyDescent="0.25">
      <c r="B6142" t="str">
        <v>805-58: LaCrosse Equipment and Accessories</v>
      </c>
    </row>
    <row r="6143" spans="2:2" x14ac:dyDescent="0.25">
      <c r="B6143" t="str">
        <v>805-59: Hunting Equipment and Accessories, Including Decoys and Blinds, (See Class 680 For Weapons)</v>
      </c>
    </row>
    <row r="6144" spans="2:2" x14ac:dyDescent="0.25">
      <c r="B6144" t="str">
        <v>805-60: Gymnasium Mats, Covers, Hangers, and Trucks</v>
      </c>
    </row>
    <row r="6145" spans="2:2" x14ac:dyDescent="0.25">
      <c r="B6145" t="str">
        <v>805-61: Hockey Equipment, Ice and Field</v>
      </c>
    </row>
    <row r="6146" spans="2:2" x14ac:dyDescent="0.25">
      <c r="B6146" t="str">
        <v>805-62: Physical Education Equipment, Adaptive: Body Alignment Wedges, Mobile Mats, Stimulation Boards, Straddle Seats, Vestibular Boards, etc.</v>
      </c>
    </row>
    <row r="6147" spans="2:2" x14ac:dyDescent="0.25">
      <c r="B6147" t="str">
        <v>805-63: Scoreboards, Sports</v>
      </c>
    </row>
    <row r="6148" spans="2:2" x14ac:dyDescent="0.25">
      <c r="B6148" t="str">
        <v>805-64: Skating Rink and Skater Equipment and Accessories, Ice and Roller</v>
      </c>
    </row>
    <row r="6149" spans="2:2" x14ac:dyDescent="0.25">
      <c r="B6149" t="str">
        <v>805-65: Ski Equipment and Accessories</v>
      </c>
    </row>
    <row r="6150" spans="2:2" x14ac:dyDescent="0.25">
      <c r="B6150" t="str">
        <v>805-66: Soccer Equipment</v>
      </c>
    </row>
    <row r="6151" spans="2:2" x14ac:dyDescent="0.25">
      <c r="B6151" t="str">
        <v>805-67: Scooters and Skateboards</v>
      </c>
    </row>
    <row r="6152" spans="2:2" x14ac:dyDescent="0.25">
      <c r="B6152" t="str">
        <v>805-69: Softball Equipment</v>
      </c>
    </row>
    <row r="6153" spans="2:2" x14ac:dyDescent="0.25">
      <c r="B6153" t="str">
        <v>805-72: Squash, Handball, Paddle Ball, and Racquet Ball Equipment</v>
      </c>
    </row>
    <row r="6154" spans="2:2" x14ac:dyDescent="0.25">
      <c r="B6154" t="str">
        <v>805-73: Stadium Lighting Equipment and Light Poles (See Class 285 for Lamps)</v>
      </c>
    </row>
    <row r="6155" spans="2:2" x14ac:dyDescent="0.25">
      <c r="B6155" t="str">
        <v>805-74: Starting Gates and Other Racing Equipment</v>
      </c>
    </row>
    <row r="6156" spans="2:2" x14ac:dyDescent="0.25">
      <c r="B6156" t="str">
        <v>805-75: Swimming and Surfing Equipment</v>
      </c>
    </row>
    <row r="6157" spans="2:2" x14ac:dyDescent="0.25">
      <c r="B6157" t="str">
        <v>805-77: Tables, Score, For Scorer's Use</v>
      </c>
    </row>
    <row r="6158" spans="2:2" x14ac:dyDescent="0.25">
      <c r="B6158" t="str">
        <v>805-78: Tennis Equipment</v>
      </c>
    </row>
    <row r="6159" spans="2:2" x14ac:dyDescent="0.25">
      <c r="B6159" t="str">
        <v>805-81: Track and Field Equipment</v>
      </c>
    </row>
    <row r="6160" spans="2:2" x14ac:dyDescent="0.25">
      <c r="B6160" t="str">
        <v>805-84: Trainer Supplies</v>
      </c>
    </row>
    <row r="6161" spans="2:2" x14ac:dyDescent="0.25">
      <c r="B6161" t="str">
        <v>805-86: Tubes, Sports Type: Snow and Water</v>
      </c>
    </row>
    <row r="6162" spans="2:2" x14ac:dyDescent="0.25">
      <c r="B6162" t="str">
        <v>805-87: Trampolines, Beds, Cables, Frame Pads, etc.</v>
      </c>
    </row>
    <row r="6163" spans="2:2" x14ac:dyDescent="0.25">
      <c r="B6163" t="str">
        <v>805-88: Trap Shooting Equipment</v>
      </c>
    </row>
    <row r="6164" spans="2:2" x14ac:dyDescent="0.25">
      <c r="B6164" t="str">
        <v>805-89: Umpire, Referee, and Coach Equipment, Clothing and Supplies</v>
      </c>
    </row>
    <row r="6165" spans="2:2" x14ac:dyDescent="0.25">
      <c r="B6165" t="str">
        <v>805-90: Volleyball Equipment</v>
      </c>
    </row>
    <row r="6166" spans="2:2" x14ac:dyDescent="0.25">
      <c r="B6166" t="str">
        <v>805-93: Water Polo Equipment and Accessories</v>
      </c>
    </row>
    <row r="6167" spans="2:2" x14ac:dyDescent="0.25">
      <c r="B6167" t="str">
        <v>805-94: Weight Lifting Equipment and Accessories</v>
      </c>
    </row>
    <row r="6168" spans="2:2" x14ac:dyDescent="0.25">
      <c r="B6168" t="str">
        <v>805-95: Whirlpools, Saunas, Hot Tubs, Spas, etc.</v>
      </c>
    </row>
    <row r="6169" spans="2:2" x14ac:dyDescent="0.25">
      <c r="B6169" t="str">
        <v>805-96: Recycled Sporting Goods and Athletic Equipment and Accessories</v>
      </c>
    </row>
    <row r="6170" spans="2:2" x14ac:dyDescent="0.25">
      <c r="B6170" t="str">
        <v>810-15: Cleaner, Spray Equipment</v>
      </c>
    </row>
    <row r="6171" spans="2:2" x14ac:dyDescent="0.25">
      <c r="B6171" t="str">
        <v>810-18: Dusting Machines, Crop</v>
      </c>
    </row>
    <row r="6172" spans="2:2" x14ac:dyDescent="0.25">
      <c r="B6172" t="str">
        <v>810-27: Fogging Machines for Outdoor Service (See 485-60 for Room Type)</v>
      </c>
    </row>
    <row r="6173" spans="2:2" x14ac:dyDescent="0.25">
      <c r="B6173" t="str">
        <v>810-40: Insect Vacuum, Engine Driven</v>
      </c>
    </row>
    <row r="6174" spans="2:2" x14ac:dyDescent="0.25">
      <c r="B6174" t="str">
        <v>810-50: Smoke Generators</v>
      </c>
    </row>
    <row r="6175" spans="2:2" x14ac:dyDescent="0.25">
      <c r="B6175" t="str">
        <v>810-54: Spray Equipment, Crop, Machine Powered</v>
      </c>
    </row>
    <row r="6176" spans="2:2" x14ac:dyDescent="0.25">
      <c r="B6176" t="str">
        <v>810-56: Spray Equipment, Defoliant</v>
      </c>
    </row>
    <row r="6177" spans="2:2" x14ac:dyDescent="0.25">
      <c r="B6177" t="str">
        <v>810-57: Spray Equipment, Deicer and Frost Protection</v>
      </c>
    </row>
    <row r="6178" spans="2:2" x14ac:dyDescent="0.25">
      <c r="B6178" t="str">
        <v>810-71: Spray Equipment, Landscape, Machine Powered</v>
      </c>
    </row>
    <row r="6179" spans="2:2" x14ac:dyDescent="0.25">
      <c r="B6179" t="str">
        <v>810-72: Spray Equipment, Livestock, Machine Powered</v>
      </c>
    </row>
    <row r="6180" spans="2:2" x14ac:dyDescent="0.25">
      <c r="B6180" t="str">
        <v>810-85: Spray Equipment, Pesticide, Machine Powered, Commercial</v>
      </c>
    </row>
    <row r="6181" spans="2:2" x14ac:dyDescent="0.25">
      <c r="B6181" t="str">
        <v>810-90: Spray Equipment, Portable, Hand Powered</v>
      </c>
    </row>
    <row r="6182" spans="2:2" x14ac:dyDescent="0.25">
      <c r="B6182" t="str">
        <v>810-91: Spray Equipment, Portable, Machine Powered, Back-Pack Type, etc.</v>
      </c>
    </row>
    <row r="6183" spans="2:2" x14ac:dyDescent="0.25">
      <c r="B6183" t="str">
        <v>810-93: Spray Equipment: Vehicle, Trailer, or Skid Mounted</v>
      </c>
    </row>
    <row r="6184" spans="2:2" x14ac:dyDescent="0.25">
      <c r="B6184" t="str">
        <v>810-95: Sprayer Guns, Nozzles, Fittings, Reels, etc.</v>
      </c>
    </row>
    <row r="6185" spans="2:2" x14ac:dyDescent="0.25">
      <c r="B6185" t="str">
        <v>810-96: Recycled Spraying Equipment, Accessories and Supplies</v>
      </c>
    </row>
    <row r="6186" spans="2:2" x14ac:dyDescent="0.25">
      <c r="B6186" t="str">
        <v>815-06: Cocks: Air, Drain, Gauge, Pet, Try, etc.</v>
      </c>
    </row>
    <row r="6187" spans="2:2" x14ac:dyDescent="0.25">
      <c r="B6187" t="str">
        <v>815-12: Expansion Joints</v>
      </c>
    </row>
    <row r="6188" spans="2:2" x14ac:dyDescent="0.25">
      <c r="B6188" t="str">
        <v>815-18: Fusible Plugs</v>
      </c>
    </row>
    <row r="6189" spans="2:2" x14ac:dyDescent="0.25">
      <c r="B6189" t="str">
        <v>815-22: Gaskets: Flange, Handhole and Manhole, All Types</v>
      </c>
    </row>
    <row r="6190" spans="2:2" x14ac:dyDescent="0.25">
      <c r="B6190" t="str">
        <v>815-23: Gasket Sealants, Compounds, etc.</v>
      </c>
    </row>
    <row r="6191" spans="2:2" x14ac:dyDescent="0.25">
      <c r="B6191" t="str">
        <v>815-26: Gauge Glass and Gaskets</v>
      </c>
    </row>
    <row r="6192" spans="2:2" x14ac:dyDescent="0.25">
      <c r="B6192" t="str">
        <v>815-28: Gauge Siphons and Pulsation Dampers</v>
      </c>
    </row>
    <row r="6193" spans="2:2" x14ac:dyDescent="0.25">
      <c r="B6193" t="str">
        <v>815-40: Mechanical Pump and Shaft Seals</v>
      </c>
    </row>
    <row r="6194" spans="2:2" x14ac:dyDescent="0.25">
      <c r="B6194" t="str">
        <v>815-45: O-Rings</v>
      </c>
    </row>
    <row r="6195" spans="2:2" x14ac:dyDescent="0.25">
      <c r="B6195" t="str">
        <v>815-48: Oil Seals</v>
      </c>
    </row>
    <row r="6196" spans="2:2" x14ac:dyDescent="0.25">
      <c r="B6196" t="str">
        <v>815-52: Packing, All Kinds, Except Sheet: Rod, Shaft, Valve Stem, etc.</v>
      </c>
    </row>
    <row r="6197" spans="2:2" x14ac:dyDescent="0.25">
      <c r="B6197" t="str">
        <v>815-54: Packing, Sheet, All Kinds</v>
      </c>
    </row>
    <row r="6198" spans="2:2" x14ac:dyDescent="0.25">
      <c r="B6198" t="str">
        <v>815-58: Pressure Gauges, Not Hospital, Laboratory, and Refrigeration</v>
      </c>
    </row>
    <row r="6199" spans="2:2" x14ac:dyDescent="0.25">
      <c r="B6199" t="str">
        <v>815-62: Steam Specialties: Air Vent Valves, Main Vent Valves, Radiator Valves, Radiator Traps, etc.</v>
      </c>
    </row>
    <row r="6200" spans="2:2" x14ac:dyDescent="0.25">
      <c r="B6200" t="str">
        <v>815-65: Steam Traps and Strainers</v>
      </c>
    </row>
    <row r="6201" spans="2:2" x14ac:dyDescent="0.25">
      <c r="B6201" t="str">
        <v>815-70: Thermometers, Industrial; and Thermometer Wells</v>
      </c>
    </row>
    <row r="6202" spans="2:2" x14ac:dyDescent="0.25">
      <c r="B6202" t="str">
        <v>815-73: Valves, Directional Control, To Control Pneumatic, Hydraulic, or Water Cylinders</v>
      </c>
    </row>
    <row r="6203" spans="2:2" x14ac:dyDescent="0.25">
      <c r="B6203" t="str">
        <v>815-75: Valves, Mixing</v>
      </c>
    </row>
    <row r="6204" spans="2:2" x14ac:dyDescent="0.25">
      <c r="B6204" t="str">
        <v>815-78: Valves, Pressure Reducing</v>
      </c>
    </row>
    <row r="6205" spans="2:2" x14ac:dyDescent="0.25">
      <c r="B6205" t="str">
        <v>815-81: Valves, Relief and Safety</v>
      </c>
    </row>
    <row r="6206" spans="2:2" x14ac:dyDescent="0.25">
      <c r="B6206" t="str">
        <v>815-84: Valves, Temperature and Pressure Regulating</v>
      </c>
    </row>
    <row r="6207" spans="2:2" x14ac:dyDescent="0.25">
      <c r="B6207" t="str">
        <v>815-90: Water Gauges, Columns, etc.</v>
      </c>
    </row>
    <row r="6208" spans="2:2" x14ac:dyDescent="0.25">
      <c r="B6208" t="str">
        <v>815-95: Recycled Steam and Hot Water Fittings, Accessories and Supplies</v>
      </c>
    </row>
    <row r="6209" spans="2:2" x14ac:dyDescent="0.25">
      <c r="B6209" t="str">
        <v>820-04: After-Coolers and Condensers</v>
      </c>
    </row>
    <row r="6210" spans="2:2" x14ac:dyDescent="0.25">
      <c r="B6210" t="str">
        <v>820-05: Air Dryers, Dehydrators, and Preheaters</v>
      </c>
    </row>
    <row r="6211" spans="2:2" x14ac:dyDescent="0.25">
      <c r="B6211" t="str">
        <v>820-06: A.S.M.E. Code Tanks</v>
      </c>
    </row>
    <row r="6212" spans="2:2" x14ac:dyDescent="0.25">
      <c r="B6212" t="str">
        <v>820-08: Boilers, High Pressure</v>
      </c>
    </row>
    <row r="6213" spans="2:2" x14ac:dyDescent="0.25">
      <c r="B6213" t="str">
        <v>820-12: Boilers, Low Pressure</v>
      </c>
    </row>
    <row r="6214" spans="2:2" x14ac:dyDescent="0.25">
      <c r="B6214" t="str">
        <v>820-14: Boiler Parts and Accessories (Not Otherwise Classified)</v>
      </c>
    </row>
    <row r="6215" spans="2:2" x14ac:dyDescent="0.25">
      <c r="B6215" t="str">
        <v>820-16: Boiler Tubes</v>
      </c>
    </row>
    <row r="6216" spans="2:2" x14ac:dyDescent="0.25">
      <c r="B6216" t="str">
        <v>820-19: Blow-Down Equipment, Automatic Top</v>
      </c>
    </row>
    <row r="6217" spans="2:2" x14ac:dyDescent="0.25">
      <c r="B6217" t="str">
        <v>820-20: Blow-Off Basins</v>
      </c>
    </row>
    <row r="6218" spans="2:2" x14ac:dyDescent="0.25">
      <c r="B6218" t="str">
        <v>820-24: Blow-Off Valves</v>
      </c>
    </row>
    <row r="6219" spans="2:2" x14ac:dyDescent="0.25">
      <c r="B6219" t="str">
        <v>820-28: Burners, Gas and Oil</v>
      </c>
    </row>
    <row r="6220" spans="2:2" x14ac:dyDescent="0.25">
      <c r="B6220" t="str">
        <v>820-32: Chemical Feed Systems (See Class 720 For Proportioning Pumps)</v>
      </c>
    </row>
    <row r="6221" spans="2:2" x14ac:dyDescent="0.25">
      <c r="B6221" t="str">
        <v>820-36: Coils, Steam Heating</v>
      </c>
    </row>
    <row r="6222" spans="2:2" x14ac:dyDescent="0.25">
      <c r="B6222" t="str">
        <v>820-38: Condensate Return Systems: Vacuum Heat Pumps, Wet Vacuum Pumps, etc.</v>
      </c>
    </row>
    <row r="6223" spans="2:2" x14ac:dyDescent="0.25">
      <c r="B6223" t="str">
        <v>820-40: Controls: Combustion, Fuel Cut-Off, Hardness, High-Low Water Level, Ignition, etc.</v>
      </c>
    </row>
    <row r="6224" spans="2:2" x14ac:dyDescent="0.25">
      <c r="B6224" t="str">
        <v>820-41: Control, Corrosion, Using Entrained Gas Eliminator Equipment</v>
      </c>
    </row>
    <row r="6225" spans="2:2" x14ac:dyDescent="0.25">
      <c r="B6225" t="str">
        <v>820-42: Controllers, Steam Boiler Automatic Conductivity</v>
      </c>
    </row>
    <row r="6226" spans="2:2" x14ac:dyDescent="0.25">
      <c r="B6226" t="str">
        <v>820-44: Convectors and Radiators</v>
      </c>
    </row>
    <row r="6227" spans="2:2" x14ac:dyDescent="0.25">
      <c r="B6227" t="str">
        <v>820-48: Deaerating Units</v>
      </c>
    </row>
    <row r="6228" spans="2:2" x14ac:dyDescent="0.25">
      <c r="B6228" t="str">
        <v>820-49: Descaling Equipment, MHD Type</v>
      </c>
    </row>
    <row r="6229" spans="2:2" x14ac:dyDescent="0.25">
      <c r="B6229" t="str">
        <v>820-52: Draft Fans and Draft Gauges</v>
      </c>
    </row>
    <row r="6230" spans="2:2" x14ac:dyDescent="0.25">
      <c r="B6230" t="str">
        <v>820-56: Feedwater Heaters</v>
      </c>
    </row>
    <row r="6231" spans="2:2" x14ac:dyDescent="0.25">
      <c r="B6231" t="str">
        <v>820-60: Feedwater Injectors</v>
      </c>
    </row>
    <row r="6232" spans="2:2" x14ac:dyDescent="0.25">
      <c r="B6232" t="str">
        <v>820-62: Feedwater Pumps</v>
      </c>
    </row>
    <row r="6233" spans="2:2" x14ac:dyDescent="0.25">
      <c r="B6233" t="str">
        <v>820-64: Filters, Boiler Water</v>
      </c>
    </row>
    <row r="6234" spans="2:2" x14ac:dyDescent="0.25">
      <c r="B6234" t="str">
        <v>820-65: Flue Gas Desulfurization System Equipment</v>
      </c>
    </row>
    <row r="6235" spans="2:2" x14ac:dyDescent="0.25">
      <c r="B6235" t="str">
        <v>820-66: Flue Gas Heat Recovery System Equipment</v>
      </c>
    </row>
    <row r="6236" spans="2:2" x14ac:dyDescent="0.25">
      <c r="B6236" t="str">
        <v>820-68: Heat Exchangers, Accessories, and Parts</v>
      </c>
    </row>
    <row r="6237" spans="2:2" x14ac:dyDescent="0.25">
      <c r="B6237" t="str">
        <v>820-72: Hot Water Generators</v>
      </c>
    </row>
    <row r="6238" spans="2:2" x14ac:dyDescent="0.25">
      <c r="B6238" t="str">
        <v>820-75: Oil Coolers</v>
      </c>
    </row>
    <row r="6239" spans="2:2" x14ac:dyDescent="0.25">
      <c r="B6239" t="str">
        <v>820-76: Oil Purifiers</v>
      </c>
    </row>
    <row r="6240" spans="2:2" x14ac:dyDescent="0.25">
      <c r="B6240" t="str">
        <v>820-78: Oxygen Reduction Equipment, Dissolved</v>
      </c>
    </row>
    <row r="6241" spans="2:2" x14ac:dyDescent="0.25">
      <c r="B6241" t="str">
        <v>820-80: Pulverizers, Boiler and Power Plant</v>
      </c>
    </row>
    <row r="6242" spans="2:2" x14ac:dyDescent="0.25">
      <c r="B6242" t="str">
        <v>820-81: Screens and Strainers, Water Intake, etc.</v>
      </c>
    </row>
    <row r="6243" spans="2:2" x14ac:dyDescent="0.25">
      <c r="B6243" t="str">
        <v>820-84: Stacks, Steel</v>
      </c>
    </row>
    <row r="6244" spans="2:2" x14ac:dyDescent="0.25">
      <c r="B6244" t="str">
        <v>820-85: Steam Boiler Bottom Blow Alarm</v>
      </c>
    </row>
    <row r="6245" spans="2:2" x14ac:dyDescent="0.25">
      <c r="B6245" t="str">
        <v>820-86: Steam Flow Transmitters</v>
      </c>
    </row>
    <row r="6246" spans="2:2" x14ac:dyDescent="0.25">
      <c r="B6246" t="str">
        <v>820-88: Tube Cleaners and Tube Expanders</v>
      </c>
    </row>
    <row r="6247" spans="2:2" x14ac:dyDescent="0.25">
      <c r="B6247" t="str">
        <v>820-91: Turbines, Gas Driven</v>
      </c>
    </row>
    <row r="6248" spans="2:2" x14ac:dyDescent="0.25">
      <c r="B6248" t="str">
        <v>820-92: Turbines, Steam Driven</v>
      </c>
    </row>
    <row r="6249" spans="2:2" x14ac:dyDescent="0.25">
      <c r="B6249" t="str">
        <v>820-93: Turbines, Water, Hydraulic, Including Pats and Accessories</v>
      </c>
    </row>
    <row r="6250" spans="2:2" x14ac:dyDescent="0.25">
      <c r="B6250" t="str">
        <v>820-95: Valves, Spherical</v>
      </c>
    </row>
    <row r="6251" spans="2:2" x14ac:dyDescent="0.25">
      <c r="B6251" t="str">
        <v>820-96: Recycled Steam and Hot Water Boilers and Heating Equipment</v>
      </c>
    </row>
    <row r="6252" spans="2:2" x14ac:dyDescent="0.25">
      <c r="B6252" t="str">
        <v>825-03: Animal Dips and Sprays</v>
      </c>
    </row>
    <row r="6253" spans="2:2" x14ac:dyDescent="0.25">
      <c r="B6253" t="str">
        <v>825-05: Back Scratchers and Oilers</v>
      </c>
    </row>
    <row r="6254" spans="2:2" x14ac:dyDescent="0.25">
      <c r="B6254" t="str">
        <v>825-06: Bee Keeping Equipment and Supplies, Agriculture</v>
      </c>
    </row>
    <row r="6255" spans="2:2" x14ac:dyDescent="0.25">
      <c r="B6255" t="str">
        <v>825-08: Blankets, Livestock</v>
      </c>
    </row>
    <row r="6256" spans="2:2" x14ac:dyDescent="0.25">
      <c r="B6256" t="str">
        <v>825-09: Boots, Hoof, Animal</v>
      </c>
    </row>
    <row r="6257" spans="2:2" x14ac:dyDescent="0.25">
      <c r="B6257" t="str">
        <v>825-11: Branding Crayons, Paints, Paint Pellets, Pistols, etc.</v>
      </c>
    </row>
    <row r="6258" spans="2:2" x14ac:dyDescent="0.25">
      <c r="B6258" t="str">
        <v>825-13: Branding Irons</v>
      </c>
    </row>
    <row r="6259" spans="2:2" x14ac:dyDescent="0.25">
      <c r="B6259" t="str">
        <v>825-14: Calf Pullers, Obstetrical</v>
      </c>
    </row>
    <row r="6260" spans="2:2" x14ac:dyDescent="0.25">
      <c r="B6260" t="str">
        <v>825-16: Castrators</v>
      </c>
    </row>
    <row r="6261" spans="2:2" x14ac:dyDescent="0.25">
      <c r="B6261" t="str">
        <v>825-19: Chains, Halters, Leaders, Nose Rings, Straps, Bits, etc.</v>
      </c>
    </row>
    <row r="6262" spans="2:2" x14ac:dyDescent="0.25">
      <c r="B6262" t="str">
        <v>825-20: Chin-Ball Marking Devices</v>
      </c>
    </row>
    <row r="6263" spans="2:2" x14ac:dyDescent="0.25">
      <c r="B6263" t="str">
        <v>825-22: Chutes, Corrals, Livestock Holding Pens, etc.</v>
      </c>
    </row>
    <row r="6264" spans="2:2" x14ac:dyDescent="0.25">
      <c r="B6264" t="str">
        <v>825-25: Dehorners</v>
      </c>
    </row>
    <row r="6265" spans="2:2" x14ac:dyDescent="0.25">
      <c r="B6265" t="str">
        <v>825-26: Disinfectants, Animal Pens, Creosote, etc.</v>
      </c>
    </row>
    <row r="6266" spans="2:2" x14ac:dyDescent="0.25">
      <c r="B6266" t="str">
        <v>825-29: Drench Guns</v>
      </c>
    </row>
    <row r="6267" spans="2:2" x14ac:dyDescent="0.25">
      <c r="B6267" t="str">
        <v>825-31: Farrowing Stalls</v>
      </c>
    </row>
    <row r="6268" spans="2:2" x14ac:dyDescent="0.25">
      <c r="B6268" t="str">
        <v>825-34: Feeders, All Kinds, Except Troughs</v>
      </c>
    </row>
    <row r="6269" spans="2:2" x14ac:dyDescent="0.25">
      <c r="B6269" t="str">
        <v>825-36: Feeder Troughs, Dishes, etc.</v>
      </c>
    </row>
    <row r="6270" spans="2:2" x14ac:dyDescent="0.25">
      <c r="B6270" t="str">
        <v>825-37: Feedlots</v>
      </c>
    </row>
    <row r="6271" spans="2:2" x14ac:dyDescent="0.25">
      <c r="B6271" t="str">
        <v>825-39: Grooming Equipment and Supplies: Brushes, Clippers, Currycombs, Docking Supplies, Nippers, Trimmers, etc.</v>
      </c>
    </row>
    <row r="6272" spans="2:2" x14ac:dyDescent="0.25">
      <c r="B6272" t="str">
        <v>825-42: Harness, Ewe Marking</v>
      </c>
    </row>
    <row r="6273" spans="2:2" x14ac:dyDescent="0.25">
      <c r="B6273" t="str">
        <v>825-45: Hog Holders</v>
      </c>
    </row>
    <row r="6274" spans="2:2" x14ac:dyDescent="0.25">
      <c r="B6274" t="str">
        <v>825-48: Hog Ringer Pliers and Rings</v>
      </c>
    </row>
    <row r="6275" spans="2:2" x14ac:dyDescent="0.25">
      <c r="B6275" t="str">
        <v>825-51: Horn Trainers and Weights</v>
      </c>
    </row>
    <row r="6276" spans="2:2" x14ac:dyDescent="0.25">
      <c r="B6276" t="str">
        <v>825-54: Immobilizers and Accessories: Guns, Loads, Syringes, etc.</v>
      </c>
    </row>
    <row r="6277" spans="2:2" x14ac:dyDescent="0.25">
      <c r="B6277" t="str">
        <v>825-58: Lariats</v>
      </c>
    </row>
    <row r="6278" spans="2:2" x14ac:dyDescent="0.25">
      <c r="B6278" t="str">
        <v>825-62: Nipple Pails</v>
      </c>
    </row>
    <row r="6279" spans="2:2" x14ac:dyDescent="0.25">
      <c r="B6279" t="str">
        <v>825-65: Prodders, Shock Type</v>
      </c>
    </row>
    <row r="6280" spans="2:2" x14ac:dyDescent="0.25">
      <c r="B6280" t="str">
        <v>825-69: Recycled Stockman Equipment and Supplies</v>
      </c>
    </row>
    <row r="6281" spans="2:2" x14ac:dyDescent="0.25">
      <c r="B6281" t="str">
        <v>825-72: Shearing Equipment</v>
      </c>
    </row>
    <row r="6282" spans="2:2" x14ac:dyDescent="0.25">
      <c r="B6282" t="str">
        <v>825-75: Slappers and Whips</v>
      </c>
    </row>
    <row r="6283" spans="2:2" x14ac:dyDescent="0.25">
      <c r="B6283" t="str">
        <v>825-76: Stockman Equipment and Supplies, (Not Otherwise Classified)</v>
      </c>
    </row>
    <row r="6284" spans="2:2" x14ac:dyDescent="0.25">
      <c r="B6284" t="str">
        <v>825-78: Tags, Ear, Neck, etc., Tagging Accessories, Chains, Fasteners, Pliers, etc.</v>
      </c>
    </row>
    <row r="6285" spans="2:2" x14ac:dyDescent="0.25">
      <c r="B6285" t="str">
        <v>825-81: Tattooing Equipment and Inks</v>
      </c>
    </row>
    <row r="6286" spans="2:2" x14ac:dyDescent="0.25">
      <c r="B6286" t="str">
        <v>825-85: Vacuum Cleaners, Cattle</v>
      </c>
    </row>
    <row r="6287" spans="2:2" x14ac:dyDescent="0.25">
      <c r="B6287" t="str">
        <v>825-90: Waterers, Except Concrete Troughs</v>
      </c>
    </row>
    <row r="6288" spans="2:2" x14ac:dyDescent="0.25">
      <c r="B6288" t="str">
        <v>825-93: Weaners</v>
      </c>
    </row>
    <row r="6289" spans="2:2" x14ac:dyDescent="0.25">
      <c r="B6289" t="str">
        <v>830-04: Aluminum Tanks, All Kinds</v>
      </c>
    </row>
    <row r="6290" spans="2:2" x14ac:dyDescent="0.25">
      <c r="B6290" t="str">
        <v>830-10: Brass Tanks, All Kinds</v>
      </c>
    </row>
    <row r="6291" spans="2:2" x14ac:dyDescent="0.25">
      <c r="B6291" t="str">
        <v>830-13: Butane and Propane Tanks, Surface and Underground</v>
      </c>
    </row>
    <row r="6292" spans="2:2" x14ac:dyDescent="0.25">
      <c r="B6292" t="str">
        <v>830-16: Butane and Propane Tanks, Transport Truck Type</v>
      </c>
    </row>
    <row r="6293" spans="2:2" x14ac:dyDescent="0.25">
      <c r="B6293" t="str">
        <v>830-18: Calibrating Tanks</v>
      </c>
    </row>
    <row r="6294" spans="2:2" x14ac:dyDescent="0.25">
      <c r="B6294" t="str">
        <v>830-19: Cast Iron Tanks, All Kinds</v>
      </c>
    </row>
    <row r="6295" spans="2:2" x14ac:dyDescent="0.25">
      <c r="B6295" t="str">
        <v>830-22: Cement Lined Tanks</v>
      </c>
    </row>
    <row r="6296" spans="2:2" x14ac:dyDescent="0.25">
      <c r="B6296" t="str">
        <v>830-23: Cisterns and Parts, Fire</v>
      </c>
    </row>
    <row r="6297" spans="2:2" x14ac:dyDescent="0.25">
      <c r="B6297" t="str">
        <v>830-24: Collapsible Tank for Petroleum Spills</v>
      </c>
    </row>
    <row r="6298" spans="2:2" x14ac:dyDescent="0.25">
      <c r="B6298" t="str">
        <v>830-25: Copper Lined Tanks</v>
      </c>
    </row>
    <row r="6299" spans="2:2" x14ac:dyDescent="0.25">
      <c r="B6299" t="str">
        <v>830-26: Dip Tanks</v>
      </c>
    </row>
    <row r="6300" spans="2:2" x14ac:dyDescent="0.25">
      <c r="B6300" t="str">
        <v>830-27: Expansion Tanks</v>
      </c>
    </row>
    <row r="6301" spans="2:2" x14ac:dyDescent="0.25">
      <c r="B6301" t="str">
        <v>830-28: Fiberglass Lined Tanks</v>
      </c>
    </row>
    <row r="6302" spans="2:2" x14ac:dyDescent="0.25">
      <c r="B6302" t="str">
        <v>830-31: Fiberglass Tanks, Gasoline, Including Underground Type</v>
      </c>
    </row>
    <row r="6303" spans="2:2" x14ac:dyDescent="0.25">
      <c r="B6303" t="str">
        <v>830-32: Fiberglass Tanks, Other Than for Gasoline</v>
      </c>
    </row>
    <row r="6304" spans="2:2" x14ac:dyDescent="0.25">
      <c r="B6304" t="str">
        <v>830-33: Filters, Storage Tank</v>
      </c>
    </row>
    <row r="6305" spans="2:2" x14ac:dyDescent="0.25">
      <c r="B6305" t="str">
        <v>830-34: Galvanized Sheet Iron and Steel Tanks</v>
      </c>
    </row>
    <row r="6306" spans="2:2" x14ac:dyDescent="0.25">
      <c r="B6306" t="str">
        <v>830-37: Glass Lined Tanks</v>
      </c>
    </row>
    <row r="6307" spans="2:2" x14ac:dyDescent="0.25">
      <c r="B6307" t="str">
        <v>830-40: Lead Lined Tanks</v>
      </c>
    </row>
    <row r="6308" spans="2:2" x14ac:dyDescent="0.25">
      <c r="B6308" t="str">
        <v>830-41: Leak Detection and Vapor Monitoring Equipment</v>
      </c>
    </row>
    <row r="6309" spans="2:2" x14ac:dyDescent="0.25">
      <c r="B6309" t="str">
        <v>830-42: Plastic and PVC Tanks</v>
      </c>
    </row>
    <row r="6310" spans="2:2" x14ac:dyDescent="0.25">
      <c r="B6310" t="str">
        <v>830-43: Plastic Lined Tanks</v>
      </c>
    </row>
    <row r="6311" spans="2:2" x14ac:dyDescent="0.25">
      <c r="B6311" t="str">
        <v>830-44: Polyethylene Tanks</v>
      </c>
    </row>
    <row r="6312" spans="2:2" x14ac:dyDescent="0.25">
      <c r="B6312" t="str">
        <v>830-45: Processing Tanks</v>
      </c>
    </row>
    <row r="6313" spans="2:2" x14ac:dyDescent="0.25">
      <c r="B6313" t="str">
        <v>830-46: Stainless Steel Tanks, Pressure Type</v>
      </c>
    </row>
    <row r="6314" spans="2:2" x14ac:dyDescent="0.25">
      <c r="B6314" t="str">
        <v>830-47: Stainless Steel Tanks, Holding, Milk</v>
      </c>
    </row>
    <row r="6315" spans="2:2" x14ac:dyDescent="0.25">
      <c r="B6315" t="str">
        <v>830-49: Stainless Steel Tanks, Transport Truck Type, Chemicals, Milk, etc.</v>
      </c>
    </row>
    <row r="6316" spans="2:2" x14ac:dyDescent="0.25">
      <c r="B6316" t="str">
        <v>830-52: Stainless Steel Tanks: Mixing, Pickling, and Processing Types, Chemicals, Foods, Paints, Soaps, etc.</v>
      </c>
    </row>
    <row r="6317" spans="2:2" x14ac:dyDescent="0.25">
      <c r="B6317" t="str">
        <v>830-54: Steel Tanks, For Chemical Storage</v>
      </c>
    </row>
    <row r="6318" spans="2:2" x14ac:dyDescent="0.25">
      <c r="B6318" t="str">
        <v>830-55: Steel Tanks, Overhead Type: Diesel Fuel, Gasoline, Kerosene, etc.</v>
      </c>
    </row>
    <row r="6319" spans="2:2" x14ac:dyDescent="0.25">
      <c r="B6319" t="str">
        <v>830-58: Steel Tanks, Portable Type: Diesel Fuel, Gasoline, Kerosene, Liquid Fertilizers, Water, etc.</v>
      </c>
    </row>
    <row r="6320" spans="2:2" x14ac:dyDescent="0.25">
      <c r="B6320" t="str">
        <v>830-61: Steel Tanks, Pressure Type: Air, Gas, Water, etc.</v>
      </c>
    </row>
    <row r="6321" spans="2:2" x14ac:dyDescent="0.25">
      <c r="B6321" t="str">
        <v>830-64: Steel Tanks, Surface Storage Type: Asphalt, Emulsions, Road Oil, Water, etc.</v>
      </c>
    </row>
    <row r="6322" spans="2:2" x14ac:dyDescent="0.25">
      <c r="B6322" t="str">
        <v>830-67: Steel Tanks, Transport Truck Type: Asphalt, Gasoline, Oil, Water, etc.</v>
      </c>
    </row>
    <row r="6323" spans="2:2" x14ac:dyDescent="0.25">
      <c r="B6323" t="str">
        <v>830-69: Steel Tanks, Storage Type: Fuel, Gasoline, and Wetted Salt</v>
      </c>
    </row>
    <row r="6324" spans="2:2" x14ac:dyDescent="0.25">
      <c r="B6324" t="str">
        <v>830-70: Steel Tanks, Surface and Underground Type: Gasoline, Kerosene, etc.</v>
      </c>
    </row>
    <row r="6325" spans="2:2" x14ac:dyDescent="0.25">
      <c r="B6325" t="str">
        <v>830-73: Steel Tanks, Water Works Type, Elevated and Tower</v>
      </c>
    </row>
    <row r="6326" spans="2:2" x14ac:dyDescent="0.25">
      <c r="B6326" t="str">
        <v>830-77: Tank Packing Material</v>
      </c>
    </row>
    <row r="6327" spans="2:2" x14ac:dyDescent="0.25">
      <c r="B6327" t="str">
        <v>830-78: Tank Ends, Heads, Metal</v>
      </c>
    </row>
    <row r="6328" spans="2:2" x14ac:dyDescent="0.25">
      <c r="B6328" t="str">
        <v>830-79: Tanks and Cylinders (Not Otherwise Classified)</v>
      </c>
    </row>
    <row r="6329" spans="2:2" x14ac:dyDescent="0.25">
      <c r="B6329" t="str">
        <v>830-80: Wooden Tanks, All Kinds</v>
      </c>
    </row>
    <row r="6330" spans="2:2" x14ac:dyDescent="0.25">
      <c r="B6330" t="str">
        <v>830-95: Recycled Tanks, Accessories and Supplies</v>
      </c>
    </row>
    <row r="6331" spans="2:2" x14ac:dyDescent="0.25">
      <c r="B6331" t="str">
        <v>832-02: Tape, Anti-Seizing</v>
      </c>
    </row>
    <row r="6332" spans="2:2" x14ac:dyDescent="0.25">
      <c r="B6332" t="str">
        <v>832-03: Tape, Anti-Skid</v>
      </c>
    </row>
    <row r="6333" spans="2:2" x14ac:dyDescent="0.25">
      <c r="B6333" t="str">
        <v>832-04: Tape, Athletic</v>
      </c>
    </row>
    <row r="6334" spans="2:2" x14ac:dyDescent="0.25">
      <c r="B6334" t="str">
        <v>832-05: Tape, Automotive Type</v>
      </c>
    </row>
    <row r="6335" spans="2:2" x14ac:dyDescent="0.25">
      <c r="B6335" t="str">
        <v>832-10: Tape, Barrier, Including  Cautionary and Crime Scene Tape</v>
      </c>
    </row>
    <row r="6336" spans="2:2" x14ac:dyDescent="0.25">
      <c r="B6336" t="str">
        <v>832-20: Tape, Cellulose: Drafting, Labeling, Magnetic, etc.</v>
      </c>
    </row>
    <row r="6337" spans="2:2" x14ac:dyDescent="0.25">
      <c r="B6337" t="str">
        <v>832-22: Tape, Cloth, Mending</v>
      </c>
    </row>
    <row r="6338" spans="2:2" x14ac:dyDescent="0.25">
      <c r="B6338" t="str">
        <v>832-23: Tape, Detectable Marking</v>
      </c>
    </row>
    <row r="6339" spans="2:2" x14ac:dyDescent="0.25">
      <c r="B6339" t="str">
        <v>832-24: Tape, Duct, Adhesive Type</v>
      </c>
    </row>
    <row r="6340" spans="2:2" x14ac:dyDescent="0.25">
      <c r="B6340" t="str">
        <v>832-26: Tape, Electrical</v>
      </c>
    </row>
    <row r="6341" spans="2:2" x14ac:dyDescent="0.25">
      <c r="B6341" t="str">
        <v>832-27: Tape, Epoxy</v>
      </c>
    </row>
    <row r="6342" spans="2:2" x14ac:dyDescent="0.25">
      <c r="B6342" t="str">
        <v>832-28: Tape, Filament</v>
      </c>
    </row>
    <row r="6343" spans="2:2" x14ac:dyDescent="0.25">
      <c r="B6343" t="str">
        <v>832-29: Tape, Glass Setting</v>
      </c>
    </row>
    <row r="6344" spans="2:2" x14ac:dyDescent="0.25">
      <c r="B6344" t="str">
        <v>832-30: Tape, Freezer or Freeze Protection</v>
      </c>
    </row>
    <row r="6345" spans="2:2" x14ac:dyDescent="0.25">
      <c r="B6345" t="str">
        <v>832-32: Tape, Gummed Kraft and Reinforced Paper</v>
      </c>
    </row>
    <row r="6346" spans="2:2" x14ac:dyDescent="0.25">
      <c r="B6346" t="str">
        <v>832-36: Tape, Insulating, All Types, Except Electrical</v>
      </c>
    </row>
    <row r="6347" spans="2:2" x14ac:dyDescent="0.25">
      <c r="B6347" t="str">
        <v>832-40: Tape, Insulating, Electrical</v>
      </c>
    </row>
    <row r="6348" spans="2:2" x14ac:dyDescent="0.25">
      <c r="B6348" t="str">
        <v>832-44: Tape, Labeling, Library Type</v>
      </c>
    </row>
    <row r="6349" spans="2:2" x14ac:dyDescent="0.25">
      <c r="B6349" t="str">
        <v>832-48: Tape, Marking, Reflective Adhesive-Backed (See 550-72 for Pavement Marking Tape)</v>
      </c>
    </row>
    <row r="6350" spans="2:2" x14ac:dyDescent="0.25">
      <c r="B6350" t="str">
        <v>832-52: Tape, Masking</v>
      </c>
    </row>
    <row r="6351" spans="2:2" x14ac:dyDescent="0.25">
      <c r="B6351" t="str">
        <v>832-54: Tape, Metal Repair</v>
      </c>
    </row>
    <row r="6352" spans="2:2" x14ac:dyDescent="0.25">
      <c r="B6352" t="str">
        <v>832-55: Tape (Not Otherwise Classified)</v>
      </c>
    </row>
    <row r="6353" spans="2:2" x14ac:dyDescent="0.25">
      <c r="B6353" t="str">
        <v>832-56: Tape, Nuclear Radiation</v>
      </c>
    </row>
    <row r="6354" spans="2:2" x14ac:dyDescent="0.25">
      <c r="B6354" t="str">
        <v>832-60: Tape, Nylon</v>
      </c>
    </row>
    <row r="6355" spans="2:2" x14ac:dyDescent="0.25">
      <c r="B6355" t="str">
        <v>832-62: Tape, Pipe Banding</v>
      </c>
    </row>
    <row r="6356" spans="2:2" x14ac:dyDescent="0.25">
      <c r="B6356" t="str">
        <v>832-63: Tape, Polypropylene</v>
      </c>
    </row>
    <row r="6357" spans="2:2" x14ac:dyDescent="0.25">
      <c r="B6357" t="str">
        <v>832-64: Tape, Roofing: Rubber, etc.</v>
      </c>
    </row>
    <row r="6358" spans="2:2" x14ac:dyDescent="0.25">
      <c r="B6358" t="str">
        <v>832-68: Tape, Sheetrock</v>
      </c>
    </row>
    <row r="6359" spans="2:2" x14ac:dyDescent="0.25">
      <c r="B6359" t="str">
        <v>832-69: Tape, Sign</v>
      </c>
    </row>
    <row r="6360" spans="2:2" x14ac:dyDescent="0.25">
      <c r="B6360" t="str">
        <v>832-72: Tape, Thread, Teflon</v>
      </c>
    </row>
    <row r="6361" spans="2:2" x14ac:dyDescent="0.25">
      <c r="B6361" t="str">
        <v>832-74: Tape, Vinyl</v>
      </c>
    </row>
    <row r="6362" spans="2:2" x14ac:dyDescent="0.25">
      <c r="B6362" t="str">
        <v>832-75: Tape, Wire and Cable Marking and Accessories</v>
      </c>
    </row>
    <row r="6363" spans="2:2" x14ac:dyDescent="0.25">
      <c r="B6363" t="str">
        <v>832-76: Tape, Wood, All Kinds</v>
      </c>
    </row>
    <row r="6364" spans="2:2" x14ac:dyDescent="0.25">
      <c r="B6364" t="str">
        <v>832-95: Recycled Tape</v>
      </c>
    </row>
    <row r="6365" spans="2:2" x14ac:dyDescent="0.25">
      <c r="B6365" t="str">
        <v>838-23: *Batteries, Communication, Radio, Telephone, etc.</v>
      </c>
    </row>
    <row r="6366" spans="2:2" x14ac:dyDescent="0.25">
      <c r="B6366" t="str">
        <v>838-26: *Cabinets for Data, Frames, Runway, Cable Management, Raceway, Wire Mesh or Basket Tray, Interduct, Telecom Closets</v>
      </c>
    </row>
    <row r="6367" spans="2:2" x14ac:dyDescent="0.25">
      <c r="B6367" t="str">
        <v>838-28: *Cable, Copper, Cat. 5E 6, 6E, 7, 8  etc., Including Interconnecting Components and Accessories (See Class 280 for Other Communications Cable)</v>
      </c>
    </row>
    <row r="6368" spans="2:2" x14ac:dyDescent="0.25">
      <c r="B6368" t="str">
        <v>838-29: *Cable, Fiber Optic w/Interconnecting Components and Accessories (See Class 280 for Other Communications Cable)</v>
      </c>
    </row>
    <row r="6369" spans="2:2" x14ac:dyDescent="0.25">
      <c r="B6369" t="str">
        <v>838-32: *Communication Devices, Multi-Function, Blackberries, Palm Pilots, PDAs, etc.</v>
      </c>
    </row>
    <row r="6370" spans="2:2" x14ac:dyDescent="0.25">
      <c r="B6370" t="str">
        <v>838-33: *Communications: Networking, Linking, Fiber Modems, Power Over Ethernet, Wireless</v>
      </c>
    </row>
    <row r="6371" spans="2:2" x14ac:dyDescent="0.25">
      <c r="B6371" t="str">
        <v>838-34: *Communication Security Systems</v>
      </c>
    </row>
    <row r="6372" spans="2:2" x14ac:dyDescent="0.25">
      <c r="B6372" t="str">
        <v>838-35: *Communication Systems, Integrated, Including Telephone, Clock, Intercom, etc.</v>
      </c>
    </row>
    <row r="6373" spans="2:2" x14ac:dyDescent="0.25">
      <c r="B6373" t="str">
        <v>838-39: *Consoles and Racks, Security</v>
      </c>
    </row>
    <row r="6374" spans="2:2" x14ac:dyDescent="0.25">
      <c r="B6374" t="str">
        <v>838-40: *Controllers, Wireless Devices, Wireless Access Points, Modems, Infrared Access Points, Antenna for WAPs, Infrared/Radio Frequency</v>
      </c>
    </row>
    <row r="6375" spans="2:2" x14ac:dyDescent="0.25">
      <c r="B6375" t="str">
        <v>838-45: *Emergency Radio/Telephone Systems, 411, 911 etc., Dispatch</v>
      </c>
    </row>
    <row r="6376" spans="2:2" x14ac:dyDescent="0.25">
      <c r="B6376" t="str">
        <v>838-46: Emergency Simultaneous Communication Systems (Voice, E-mail, Text)</v>
      </c>
    </row>
    <row r="6377" spans="2:2" x14ac:dyDescent="0.25">
      <c r="B6377" t="str">
        <v>838-47: *Emulators, Telecommunication</v>
      </c>
    </row>
    <row r="6378" spans="2:2" x14ac:dyDescent="0.25">
      <c r="B6378" t="str">
        <v>838-68: *Recycled Telecommunication Equipment and Accessories</v>
      </c>
    </row>
    <row r="6379" spans="2:2" x14ac:dyDescent="0.25">
      <c r="B6379" t="str">
        <v>838-81: *Telecommunication Equipment, Via Satellite, for Emergency Vehicles , Including Radio Terminal Display</v>
      </c>
    </row>
    <row r="6380" spans="2:2" x14ac:dyDescent="0.25">
      <c r="B6380" t="str">
        <v>838-83: *Telecommunication, Internet Protocol, Network Monitoring, Surveillance, Intrusion Detection Systems and Networking Products</v>
      </c>
    </row>
    <row r="6381" spans="2:2" x14ac:dyDescent="0.25">
      <c r="B6381" t="str">
        <v>838-85: *Telecommunication Parts and Accessories (Not Otherwise Classified)</v>
      </c>
    </row>
    <row r="6382" spans="2:2" x14ac:dyDescent="0.25">
      <c r="B6382" t="str">
        <v>838-86: *Telecommunicators for the Hearing and Speech Impaired</v>
      </c>
    </row>
    <row r="6383" spans="2:2" x14ac:dyDescent="0.25">
      <c r="B6383" t="str">
        <v>838-87: *Telemedical Equipment</v>
      </c>
    </row>
    <row r="6384" spans="2:2" x14ac:dyDescent="0.25">
      <c r="B6384" t="str">
        <v>838-88: *Telemetry Equipment</v>
      </c>
    </row>
    <row r="6385" spans="2:2" x14ac:dyDescent="0.25">
      <c r="B6385" t="str">
        <v>838-90: *Tools and Supplies for Copper and Fiber Optic Wiring Systems</v>
      </c>
    </row>
    <row r="6386" spans="2:2" x14ac:dyDescent="0.25">
      <c r="B6386" t="str">
        <v>838-91: *Translation Equipment, Networked, Portable, Mobile</v>
      </c>
    </row>
    <row r="6387" spans="2:2" x14ac:dyDescent="0.25">
      <c r="B6387" t="str">
        <v>838-96: *Wire and Cable, Telecommunication (Not Otherwise Classified)</v>
      </c>
    </row>
    <row r="6388" spans="2:2" x14ac:dyDescent="0.25">
      <c r="B6388" t="str">
        <v>839-12: *Accessories, Telephone (Not Otherwise Classified)</v>
      </c>
    </row>
    <row r="6389" spans="2:2" x14ac:dyDescent="0.25">
      <c r="B6389" t="str">
        <v>839-31: *Call Answering Telephone System, High Volume</v>
      </c>
    </row>
    <row r="6390" spans="2:2" x14ac:dyDescent="0.25">
      <c r="B6390" t="str">
        <v>839-32: *Call Answering Telephone Systems, Low Volume</v>
      </c>
    </row>
    <row r="6391" spans="2:2" x14ac:dyDescent="0.25">
      <c r="B6391" t="str">
        <v>839-35: *Cellular Telephones, All Types</v>
      </c>
    </row>
    <row r="6392" spans="2:2" x14ac:dyDescent="0.25">
      <c r="B6392" t="str">
        <v>839-40: *Digital Subscriber Loop (DSL) Equipment</v>
      </c>
    </row>
    <row r="6393" spans="2:2" x14ac:dyDescent="0.25">
      <c r="B6393" t="str">
        <v>839-51: *Microwave Equipment (See Class 045 for Household Ovens)</v>
      </c>
    </row>
    <row r="6394" spans="2:2" x14ac:dyDescent="0.25">
      <c r="B6394" t="str">
        <v>839-54: *Nurse Call Systems</v>
      </c>
    </row>
    <row r="6395" spans="2:2" x14ac:dyDescent="0.25">
      <c r="B6395" t="str">
        <v>839-57: *Pay Telephones</v>
      </c>
    </row>
    <row r="6396" spans="2:2" x14ac:dyDescent="0.25">
      <c r="B6396" t="str">
        <v>839-60: *Poles, High Voltage Transmission</v>
      </c>
    </row>
    <row r="6397" spans="2:2" x14ac:dyDescent="0.25">
      <c r="B6397" t="str">
        <v>839-61: *Poles, Telephone and Utility, All Kinds</v>
      </c>
    </row>
    <row r="6398" spans="2:2" x14ac:dyDescent="0.25">
      <c r="B6398" t="str">
        <v>839-63: *Radio Telephones, Vehicle, Marine, etc.</v>
      </c>
    </row>
    <row r="6399" spans="2:2" x14ac:dyDescent="0.25">
      <c r="B6399" t="str">
        <v>839-67: *Recycled Telephone Equipment and Accessories</v>
      </c>
    </row>
    <row r="6400" spans="2:2" x14ac:dyDescent="0.25">
      <c r="B6400" t="str">
        <v>839-74: *Satellite Telephones</v>
      </c>
    </row>
    <row r="6401" spans="2:2" x14ac:dyDescent="0.25">
      <c r="B6401" t="str">
        <v>839-77: *Switchboards, Telephone</v>
      </c>
    </row>
    <row r="6402" spans="2:2" x14ac:dyDescent="0.25">
      <c r="B6402" t="str">
        <v>839-80: *Telecommunicators and/or Display Terminals for the Hearing and Handicapped</v>
      </c>
    </row>
    <row r="6403" spans="2:2" x14ac:dyDescent="0.25">
      <c r="B6403" t="str">
        <v>839-83: *Telephone Cards</v>
      </c>
    </row>
    <row r="6404" spans="2:2" x14ac:dyDescent="0.25">
      <c r="B6404" t="str">
        <v>839-84: *Telephone Dialing and Answering Apparatus</v>
      </c>
    </row>
    <row r="6405" spans="2:2" x14ac:dyDescent="0.25">
      <c r="B6405" t="str">
        <v>839-85: *Telephone Equipment Parts and Accessories (Not Otherwise Classified)</v>
      </c>
    </row>
    <row r="6406" spans="2:2" x14ac:dyDescent="0.25">
      <c r="B6406" t="str">
        <v>839-86: *Telephones, Correctional Facilities</v>
      </c>
    </row>
    <row r="6407" spans="2:2" x14ac:dyDescent="0.25">
      <c r="B6407" t="str">
        <v>839-87: *Telephone Systems, 2-60 Stations</v>
      </c>
    </row>
    <row r="6408" spans="2:2" x14ac:dyDescent="0.25">
      <c r="B6408" t="str">
        <v>839-88: *Telephone System, Over 60 Stations</v>
      </c>
    </row>
    <row r="6409" spans="2:2" x14ac:dyDescent="0.25">
      <c r="B6409" t="str">
        <v>839-92: *Videophone Devices, Equipment and Accessories</v>
      </c>
    </row>
    <row r="6410" spans="2:2" x14ac:dyDescent="0.25">
      <c r="B6410" t="str">
        <v>840-10: Antennas and Accessories: Amplifiers, Brackets, Masts, Mounts, Rotators, Standoffs, etc., Television Only</v>
      </c>
    </row>
    <row r="6411" spans="2:2" x14ac:dyDescent="0.25">
      <c r="B6411" t="str">
        <v>840-14: *Audio Equipment and Accessories, Television, Microphones, Mixers, and Amplifiers</v>
      </c>
    </row>
    <row r="6412" spans="2:2" x14ac:dyDescent="0.25">
      <c r="B6412" t="str">
        <v>840-20: *Broadcast Equipment, Television</v>
      </c>
    </row>
    <row r="6413" spans="2:2" x14ac:dyDescent="0.25">
      <c r="B6413" t="str">
        <v>840-21: Broadcast Disaster Recovery Equipment</v>
      </c>
    </row>
    <row r="6414" spans="2:2" x14ac:dyDescent="0.25">
      <c r="B6414" t="str">
        <v>840-24: *Cable or Community Television Equipment and Hardware</v>
      </c>
    </row>
    <row r="6415" spans="2:2" x14ac:dyDescent="0.25">
      <c r="B6415" t="str">
        <v>840-27: Carts and Stands, Television, VCR/DVD Players, Multi-Device</v>
      </c>
    </row>
    <row r="6416" spans="2:2" x14ac:dyDescent="0.25">
      <c r="B6416" t="str">
        <v>840-28: Cassette Holders, Video, DVD/DVR/CDR</v>
      </c>
    </row>
    <row r="6417" spans="2:2" x14ac:dyDescent="0.25">
      <c r="B6417" t="str">
        <v>840-30: *Digital Video Disk, DVD Television Combinations</v>
      </c>
    </row>
    <row r="6418" spans="2:2" x14ac:dyDescent="0.25">
      <c r="B6418" t="str">
        <v>840-34: *Editing, Titling, and Special Effects Systems, Accessories, and Parts</v>
      </c>
    </row>
    <row r="6419" spans="2:2" x14ac:dyDescent="0.25">
      <c r="B6419" t="str">
        <v>840-36: *Frequency Measuring Equipment, Television</v>
      </c>
    </row>
    <row r="6420" spans="2:2" x14ac:dyDescent="0.25">
      <c r="B6420" t="str">
        <v>840-38: *Monitors, Television</v>
      </c>
    </row>
    <row r="6421" spans="2:2" x14ac:dyDescent="0.25">
      <c r="B6421" t="str">
        <v>840-40: Recording Tape, Video; Video Cassettes: Videotape Evaluator/Cleaner</v>
      </c>
    </row>
    <row r="6422" spans="2:2" x14ac:dyDescent="0.25">
      <c r="B6422" t="str">
        <v>840-43: Rewinding Equipment, Tape</v>
      </c>
    </row>
    <row r="6423" spans="2:2" x14ac:dyDescent="0.25">
      <c r="B6423" t="str">
        <v>840-45: *Satellite Receiver Dish, Video</v>
      </c>
    </row>
    <row r="6424" spans="2:2" x14ac:dyDescent="0.25">
      <c r="B6424" t="str">
        <v>840-50: Studio Equipment: Furnishings, Record and Tape Storage Cabinets, Tables, etc.</v>
      </c>
    </row>
    <row r="6425" spans="2:2" x14ac:dyDescent="0.25">
      <c r="B6425" t="str">
        <v>840-55: *Switchers, Audio and Video</v>
      </c>
    </row>
    <row r="6426" spans="2:2" x14ac:dyDescent="0.25">
      <c r="B6426" t="str">
        <v>840-56: *Teleconference Systems, Audio/Video, Including Video on Demand Systems</v>
      </c>
    </row>
    <row r="6427" spans="2:2" x14ac:dyDescent="0.25">
      <c r="B6427" t="str">
        <v>840-57: Teleprompters and Accessories</v>
      </c>
    </row>
    <row r="6428" spans="2:2" x14ac:dyDescent="0.25">
      <c r="B6428" t="str">
        <v>840-58: *Television Hardware, Adapters, Brackets, Connectors, and Converters - Analog to Digital, etc.</v>
      </c>
    </row>
    <row r="6429" spans="2:2" x14ac:dyDescent="0.25">
      <c r="B6429" t="str">
        <v>840-59: *Television, Interactive Digital LED/LCD HDTV, Integrated with PC</v>
      </c>
    </row>
    <row r="6430" spans="2:2" x14ac:dyDescent="0.25">
      <c r="B6430" t="str">
        <v>840-60: Television Receivers and Consoles</v>
      </c>
    </row>
    <row r="6431" spans="2:2" x14ac:dyDescent="0.25">
      <c r="B6431" t="str">
        <v>840-62: *Television Receivers, Wide Screen, Projection Type</v>
      </c>
    </row>
    <row r="6432" spans="2:2" x14ac:dyDescent="0.25">
      <c r="B6432" t="str">
        <v>840-64: Television Tools, Equipment and Supplies for Analysis, Inspection, Testing, etc.</v>
      </c>
    </row>
    <row r="6433" spans="2:2" x14ac:dyDescent="0.25">
      <c r="B6433" t="str">
        <v>840-65: Television Transmitters</v>
      </c>
    </row>
    <row r="6434" spans="2:2" x14ac:dyDescent="0.25">
      <c r="B6434" t="str">
        <v>840-66: Television-VCR Combination Sets</v>
      </c>
    </row>
    <row r="6435" spans="2:2" x14ac:dyDescent="0.25">
      <c r="B6435" t="str">
        <v>840-67: *Video Camera Recorders, Digital Type</v>
      </c>
    </row>
    <row r="6436" spans="2:2" x14ac:dyDescent="0.25">
      <c r="B6436" t="str">
        <v>840-68: *VCR/DVD/Blu-Ray Television Combinations</v>
      </c>
    </row>
    <row r="6437" spans="2:2" x14ac:dyDescent="0.25">
      <c r="B6437" t="str">
        <v>840-69: *Video Camera-Recorders, Accessories and Parts, Television Studio Type</v>
      </c>
    </row>
    <row r="6438" spans="2:2" x14ac:dyDescent="0.25">
      <c r="B6438" t="str">
        <v>840-70: *Video Camera-Recorders, Accessories and Parts, Portable Type</v>
      </c>
    </row>
    <row r="6439" spans="2:2" x14ac:dyDescent="0.25">
      <c r="B6439" t="str">
        <v>840-71: Video Cassette Recorders, VCR, Accessories and Parts, Consumer</v>
      </c>
    </row>
    <row r="6440" spans="2:2" x14ac:dyDescent="0.25">
      <c r="B6440" t="str">
        <v>840-72: Video Lighting Units, Portable, and Battery Packs, Accessories, etc.</v>
      </c>
    </row>
    <row r="6441" spans="2:2" x14ac:dyDescent="0.25">
      <c r="B6441" t="str">
        <v>840-74: Video Monitors, Demodulators, Signal Processors, etc.; Accessories and Parts</v>
      </c>
    </row>
    <row r="6442" spans="2:2" x14ac:dyDescent="0.25">
      <c r="B6442" t="str">
        <v>840-75: Video Players</v>
      </c>
    </row>
    <row r="6443" spans="2:2" x14ac:dyDescent="0.25">
      <c r="B6443" t="str">
        <v>840-76: Video Projectors, Accessories and Parts</v>
      </c>
    </row>
    <row r="6444" spans="2:2" x14ac:dyDescent="0.25">
      <c r="B6444" t="str">
        <v>840-82: Video/Disk/DVD Players, Recorders and Playback Only Devices; CDI Players, etc.</v>
      </c>
    </row>
    <row r="6445" spans="2:2" x14ac:dyDescent="0.25">
      <c r="B6445" t="str">
        <v>840-84: *Video and Audio Systems, Accessories and Parts, Closed Circuit TV, Including Surveillance Type</v>
      </c>
    </row>
    <row r="6446" spans="2:2" x14ac:dyDescent="0.25">
      <c r="B6446" t="str">
        <v>840-86: Video Systems, Studio Quality Production</v>
      </c>
    </row>
    <row r="6447" spans="2:2" x14ac:dyDescent="0.25">
      <c r="B6447" t="str">
        <v>840-95: Recycled Television Equipment and Accessories</v>
      </c>
    </row>
    <row r="6448" spans="2:2" x14ac:dyDescent="0.25">
      <c r="B6448" t="str">
        <v>845-01: *Acoustic Testing Devices</v>
      </c>
    </row>
    <row r="6449" spans="2:2" x14ac:dyDescent="0.25">
      <c r="B6449" t="str">
        <v>845-02: Aerodynamic and Aeronautical Testing Equipment Including Wind Tunnels</v>
      </c>
    </row>
    <row r="6450" spans="2:2" x14ac:dyDescent="0.25">
      <c r="B6450" t="str">
        <v>845-04: Combustion Efficiency Measurement Equipment</v>
      </c>
    </row>
    <row r="6451" spans="2:2" x14ac:dyDescent="0.25">
      <c r="B6451" t="str">
        <v>845-06: Concrete Testing Equipment</v>
      </c>
    </row>
    <row r="6452" spans="2:2" x14ac:dyDescent="0.25">
      <c r="B6452" t="str">
        <v>845-08: Corrosion Testing Equipment</v>
      </c>
    </row>
    <row r="6453" spans="2:2" x14ac:dyDescent="0.25">
      <c r="B6453" t="str">
        <v>845-10: Fabric Testing Equipment</v>
      </c>
    </row>
    <row r="6454" spans="2:2" x14ac:dyDescent="0.25">
      <c r="B6454" t="str">
        <v>845-12: Falling Weight Deflectometer System, Pavement Loading Device (Inactive, please see commodity code 845-49 effective January 1, 2016)</v>
      </c>
    </row>
    <row r="6455" spans="2:2" x14ac:dyDescent="0.25">
      <c r="B6455" t="str">
        <v>845-14: Fiber/Fabric Testing Apparatus, Except Flammability</v>
      </c>
    </row>
    <row r="6456" spans="2:2" x14ac:dyDescent="0.25">
      <c r="B6456" t="str">
        <v>845-19: Flash Point Tester, Closed and Open Cup</v>
      </c>
    </row>
    <row r="6457" spans="2:2" x14ac:dyDescent="0.25">
      <c r="B6457" t="str">
        <v>845-22: Fuel Test Kits and Devices</v>
      </c>
    </row>
    <row r="6458" spans="2:2" x14ac:dyDescent="0.25">
      <c r="B6458" t="str">
        <v>845-23: Flammability Testing Equipment, For Apparel, Construction Materials, Fabrics, etc.</v>
      </c>
    </row>
    <row r="6459" spans="2:2" x14ac:dyDescent="0.25">
      <c r="B6459" t="str">
        <v>845-24: Food Testing Apparatus, For Fat, Fiber, Moisture Content, etc.</v>
      </c>
    </row>
    <row r="6460" spans="2:2" x14ac:dyDescent="0.25">
      <c r="B6460" t="str">
        <v>845-25: Hydrostatic Pressure Testers: Dead Weight Testers, Hydrostatic Test Pumps, etc.</v>
      </c>
    </row>
    <row r="6461" spans="2:2" x14ac:dyDescent="0.25">
      <c r="B6461" t="str">
        <v>845-32: Lead Test Kits  (Inactive, please see commodity code 845-87 effective January 1, 2016)</v>
      </c>
    </row>
    <row r="6462" spans="2:2" x14ac:dyDescent="0.25">
      <c r="B6462" t="str">
        <v>845-34: Metallurgical Physical Quality Control Testers</v>
      </c>
    </row>
    <row r="6463" spans="2:2" x14ac:dyDescent="0.25">
      <c r="B6463" t="str">
        <v>845-35: Milk and Dairy Testing Equipment, (See 245-87 For Dairy Thermometers)</v>
      </c>
    </row>
    <row r="6464" spans="2:2" x14ac:dyDescent="0.25">
      <c r="B6464" t="str">
        <v>845-44: Microwave Test Equipment and Accessories, Not Communications Type</v>
      </c>
    </row>
    <row r="6465" spans="2:2" x14ac:dyDescent="0.25">
      <c r="B6465" t="str">
        <v>845-45: Moisture Testing Equipment, Not for Soils</v>
      </c>
    </row>
    <row r="6466" spans="2:2" x14ac:dyDescent="0.25">
      <c r="B6466" t="str">
        <v>845-46: Moisture-Density Tester, For Soil): Nuclear Moisture-Density Gauges, etc. (Inactive, please see commodity code 845-84 effective January 1, 2016)</v>
      </c>
    </row>
    <row r="6467" spans="2:2" x14ac:dyDescent="0.25">
      <c r="B6467" t="str">
        <v>845-48: Paint Testing Equipment</v>
      </c>
    </row>
    <row r="6468" spans="2:2" x14ac:dyDescent="0.25">
      <c r="B6468" t="str">
        <v>845-49: *Pavement Testing and Data Collection Equipment</v>
      </c>
    </row>
    <row r="6469" spans="2:2" x14ac:dyDescent="0.25">
      <c r="B6469" t="str">
        <v>845-50: Petroleum Production Test Equipment</v>
      </c>
    </row>
    <row r="6470" spans="2:2" x14ac:dyDescent="0.25">
      <c r="B6470" t="str">
        <v>845-51: Petroleum Test Equipment and Supplies, To Determine Recyclability</v>
      </c>
    </row>
    <row r="6471" spans="2:2" x14ac:dyDescent="0.25">
      <c r="B6471" t="str">
        <v>845-54: Precision Linear Measuring Instruments: Calipers and Vernier Calipers, Dry Film Thickness Gauges, Dial And Standard Micrometers, etc.</v>
      </c>
    </row>
    <row r="6472" spans="2:2" x14ac:dyDescent="0.25">
      <c r="B6472" t="str">
        <v>845-60: Recycled Testing Apparatus, Instruments and Accessories</v>
      </c>
    </row>
    <row r="6473" spans="2:2" x14ac:dyDescent="0.25">
      <c r="B6473" t="str">
        <v>845-63: Road Building Materials Testers and Accessories</v>
      </c>
    </row>
    <row r="6474" spans="2:2" x14ac:dyDescent="0.25">
      <c r="B6474" t="str">
        <v>845-71: *Civil Engineering &amp; Materials Testing Equipment</v>
      </c>
    </row>
    <row r="6475" spans="2:2" x14ac:dyDescent="0.25">
      <c r="B6475" t="str">
        <v>845-81: Soil Testing Equipment, For Determining Permeability, Resistivity, Soil Chemistry, etc.</v>
      </c>
    </row>
    <row r="6476" spans="2:2" x14ac:dyDescent="0.25">
      <c r="B6476" t="str">
        <v>845-84: Moisture-Density Tester, For Soil): Nuclear Moisture-Density Gauges, etc.</v>
      </c>
    </row>
    <row r="6477" spans="2:2" x14ac:dyDescent="0.25">
      <c r="B6477" t="str">
        <v>845-87: Test Equipment, Hazardous Material</v>
      </c>
    </row>
    <row r="6478" spans="2:2" x14ac:dyDescent="0.25">
      <c r="B6478" t="str">
        <v>845-95: Viscosity Testers, Viscometers and Viscosimeters</v>
      </c>
    </row>
    <row r="6479" spans="2:2" x14ac:dyDescent="0.25">
      <c r="B6479" t="str">
        <v>845-97: Volume Standards: Liter Provers, etc.</v>
      </c>
    </row>
    <row r="6480" spans="2:2" x14ac:dyDescent="0.25">
      <c r="B6480" t="str">
        <v>850-03: Bags, Bedding</v>
      </c>
    </row>
    <row r="6481" spans="2:2" x14ac:dyDescent="0.25">
      <c r="B6481" t="str">
        <v>850-04: Bags, Flour</v>
      </c>
    </row>
    <row r="6482" spans="2:2" x14ac:dyDescent="0.25">
      <c r="B6482" t="str">
        <v>850-08: Bedspread, (Including Dust Ruffles</v>
      </c>
    </row>
    <row r="6483" spans="2:2" x14ac:dyDescent="0.25">
      <c r="B6483" t="str">
        <v>850-12: Blankets, Bedding, All Types</v>
      </c>
    </row>
    <row r="6484" spans="2:2" x14ac:dyDescent="0.25">
      <c r="B6484" t="str">
        <v>850-14: Border Foam</v>
      </c>
    </row>
    <row r="6485" spans="2:2" x14ac:dyDescent="0.25">
      <c r="B6485" t="str">
        <v>850-15: Braiding Material</v>
      </c>
    </row>
    <row r="6486" spans="2:2" x14ac:dyDescent="0.25">
      <c r="B6486" t="str">
        <v>850-16: Cheesecloth</v>
      </c>
    </row>
    <row r="6487" spans="2:2" x14ac:dyDescent="0.25">
      <c r="B6487" t="str">
        <v>850-17: Chemicals and Dyes, Textile</v>
      </c>
    </row>
    <row r="6488" spans="2:2" x14ac:dyDescent="0.25">
      <c r="B6488" t="str">
        <v>850-20: Fabric, Yard Goods: Cotton</v>
      </c>
    </row>
    <row r="6489" spans="2:2" x14ac:dyDescent="0.25">
      <c r="B6489" t="str">
        <v>850-24: Fabric, Yard Goods: Blends, Mixtures, and Synthetics</v>
      </c>
    </row>
    <row r="6490" spans="2:2" x14ac:dyDescent="0.25">
      <c r="B6490" t="str">
        <v>850-26: Cloth, Oil</v>
      </c>
    </row>
    <row r="6491" spans="2:2" x14ac:dyDescent="0.25">
      <c r="B6491" t="str">
        <v>850-28: Fabric, Sheeting: Muslin and Percale</v>
      </c>
    </row>
    <row r="6492" spans="2:2" x14ac:dyDescent="0.25">
      <c r="B6492" t="str">
        <v>850-32: Fabric, Yard Goods: Wool</v>
      </c>
    </row>
    <row r="6493" spans="2:2" x14ac:dyDescent="0.25">
      <c r="B6493" t="str">
        <v>850-33: Cotton Linters, Bales and Batts</v>
      </c>
    </row>
    <row r="6494" spans="2:2" x14ac:dyDescent="0.25">
      <c r="B6494" t="str">
        <v>850-34: Cotton Staple, Bales and Batts</v>
      </c>
    </row>
    <row r="6495" spans="2:2" x14ac:dyDescent="0.25">
      <c r="B6495" t="str">
        <v>850-35: Comforters and Quilts</v>
      </c>
    </row>
    <row r="6496" spans="2:2" x14ac:dyDescent="0.25">
      <c r="B6496" t="str">
        <v>850-36: Diaper Cloth, Yard Goods</v>
      </c>
    </row>
    <row r="6497" spans="2:2" x14ac:dyDescent="0.25">
      <c r="B6497" t="str">
        <v>850-40: Diapers, Cotton and Synthetic</v>
      </c>
    </row>
    <row r="6498" spans="2:2" x14ac:dyDescent="0.25">
      <c r="B6498" t="str">
        <v>850-42: Duck, Canvas, Treated, Tent Cloth</v>
      </c>
    </row>
    <row r="6499" spans="2:2" x14ac:dyDescent="0.25">
      <c r="B6499" t="str">
        <v>850-44: Duck, Canvas, Untreated</v>
      </c>
    </row>
    <row r="6500" spans="2:2" x14ac:dyDescent="0.25">
      <c r="B6500" t="str">
        <v>850-45: Fabric, Yard Goods: Non-woven</v>
      </c>
    </row>
    <row r="6501" spans="2:2" x14ac:dyDescent="0.25">
      <c r="B6501" t="str">
        <v>850-46: Fibers, Plant: Hemp, Cotton, Flax, Jute, Sisal, etc.</v>
      </c>
    </row>
    <row r="6502" spans="2:2" x14ac:dyDescent="0.25">
      <c r="B6502" t="str">
        <v>850-47: Fur and Related Material Including Feathers</v>
      </c>
    </row>
    <row r="6503" spans="2:2" x14ac:dyDescent="0.25">
      <c r="B6503" t="str">
        <v>850-48: Fabric: Coated and Impregnate, Not Ticking</v>
      </c>
    </row>
    <row r="6504" spans="2:2" x14ac:dyDescent="0.25">
      <c r="B6504" t="str">
        <v>850-49: Furniture Covers and Scarves</v>
      </c>
    </row>
    <row r="6505" spans="2:2" x14ac:dyDescent="0.25">
      <c r="B6505" t="str">
        <v>850-50: Hot Pads and Pot Holders</v>
      </c>
    </row>
    <row r="6506" spans="2:2" x14ac:dyDescent="0.25">
      <c r="B6506" t="str">
        <v>850-51: Fabric, Yard Goods: Synthetic and Artificial (Not Otherwise Classified)</v>
      </c>
    </row>
    <row r="6507" spans="2:2" x14ac:dyDescent="0.25">
      <c r="B6507" t="str">
        <v>850-52: Mattress Covers, Cotton or Vinyl</v>
      </c>
    </row>
    <row r="6508" spans="2:2" x14ac:dyDescent="0.25">
      <c r="B6508" t="str">
        <v>850-56: Mattress Pads</v>
      </c>
    </row>
    <row r="6509" spans="2:2" x14ac:dyDescent="0.25">
      <c r="B6509" t="str">
        <v>850-60: Mattress Protectors and Pillow Covers, Synthetic</v>
      </c>
    </row>
    <row r="6510" spans="2:2" x14ac:dyDescent="0.25">
      <c r="B6510" t="str">
        <v>850-61: Mohair</v>
      </c>
    </row>
    <row r="6511" spans="2:2" x14ac:dyDescent="0.25">
      <c r="B6511" t="str">
        <v>850-62: Pads, Furniture: Protective and Moving</v>
      </c>
    </row>
    <row r="6512" spans="2:2" x14ac:dyDescent="0.25">
      <c r="B6512" t="str">
        <v>850-63: Pillows, All Types</v>
      </c>
    </row>
    <row r="6513" spans="2:2" x14ac:dyDescent="0.25">
      <c r="B6513" t="str">
        <v>850-64: Sheets and Pillow Cases</v>
      </c>
    </row>
    <row r="6514" spans="2:2" x14ac:dyDescent="0.25">
      <c r="B6514" t="str">
        <v>850-68: Shower Curtain, Duck</v>
      </c>
    </row>
    <row r="6515" spans="2:2" x14ac:dyDescent="0.25">
      <c r="B6515" t="str">
        <v>850-72: Shower Curtain, Synthetic</v>
      </c>
    </row>
    <row r="6516" spans="2:2" x14ac:dyDescent="0.25">
      <c r="B6516" t="str">
        <v>850-73: Fabric, Yard Goods: Silk</v>
      </c>
    </row>
    <row r="6517" spans="2:2" x14ac:dyDescent="0.25">
      <c r="B6517" t="str">
        <v>850-74: Synthetic Textile Fibers: Nylon, Polyethylene, Rayon, etc.</v>
      </c>
    </row>
    <row r="6518" spans="2:2" x14ac:dyDescent="0.25">
      <c r="B6518" t="str">
        <v>850-76: Table Linens</v>
      </c>
    </row>
    <row r="6519" spans="2:2" x14ac:dyDescent="0.25">
      <c r="B6519" t="str">
        <v>850-77: Textile Mills</v>
      </c>
    </row>
    <row r="6520" spans="2:2" x14ac:dyDescent="0.25">
      <c r="B6520" t="str">
        <v>850-78: Textiles, Scrap or Waste</v>
      </c>
    </row>
    <row r="6521" spans="2:2" x14ac:dyDescent="0.25">
      <c r="B6521" t="str">
        <v>850-80: Ticking, Mattress and Pillow, Cotton</v>
      </c>
    </row>
    <row r="6522" spans="2:2" x14ac:dyDescent="0.25">
      <c r="B6522" t="str">
        <v>850-84: Ticking, Mattress and Pillow, Synthetic and Waterproofed</v>
      </c>
    </row>
    <row r="6523" spans="2:2" x14ac:dyDescent="0.25">
      <c r="B6523" t="str">
        <v>850-88: Toweling: Crash, Cup, Huck, and Terry, Including Dish Towels and Cloths</v>
      </c>
    </row>
    <row r="6524" spans="2:2" x14ac:dyDescent="0.25">
      <c r="B6524" t="str">
        <v>850-92: Towels, Washcloths, and Bathmats, Huck and Terry</v>
      </c>
    </row>
    <row r="6525" spans="2:2" x14ac:dyDescent="0.25">
      <c r="B6525" t="str">
        <v>850-94: Wool</v>
      </c>
    </row>
    <row r="6526" spans="2:2" x14ac:dyDescent="0.25">
      <c r="B6526" t="str">
        <v>850-95: Recycled Textiles, Fibers, Household Linens and Piece Goods</v>
      </c>
    </row>
    <row r="6527" spans="2:2" x14ac:dyDescent="0.25">
      <c r="B6527" t="str">
        <v>855-15: Costumes and Accessories</v>
      </c>
    </row>
    <row r="6528" spans="2:2" x14ac:dyDescent="0.25">
      <c r="B6528" t="str">
        <v>855-22: Curtains, Cycloramas, Draperies, Drops, etc.</v>
      </c>
    </row>
    <row r="6529" spans="2:2" x14ac:dyDescent="0.25">
      <c r="B6529" t="str">
        <v>855-30: Dance Floors, Portable</v>
      </c>
    </row>
    <row r="6530" spans="2:2" x14ac:dyDescent="0.25">
      <c r="B6530" t="str">
        <v>855-43: Lifts, Orchestra, Theater Pit Area</v>
      </c>
    </row>
    <row r="6531" spans="2:2" x14ac:dyDescent="0.25">
      <c r="B6531" t="str">
        <v>855-44: Lighting and Dimming Controls: Autotransformer Dimmers, Control Panels, Solid State Thyristor and Triac Dimmers, etc.</v>
      </c>
    </row>
    <row r="6532" spans="2:2" x14ac:dyDescent="0.25">
      <c r="B6532" t="str">
        <v>855-46: Lighting Control Systems: Memory and Computer Microprocessor Type</v>
      </c>
    </row>
    <row r="6533" spans="2:2" x14ac:dyDescent="0.25">
      <c r="B6533" t="str">
        <v>855-48: Lighting Distribution Hardware: Borderlight Cables, Pipe Battens, Plugging Strips and Boxes, Wall and Floor Pockets, etc.</v>
      </c>
    </row>
    <row r="6534" spans="2:2" x14ac:dyDescent="0.25">
      <c r="B6534" t="str">
        <v>855-50: Lighting Instruments: Border and Cyclorama Strip lights, Follow Spotlights, Floodlights, Special Effects Lighting, Spotlights, etc.</v>
      </c>
    </row>
    <row r="6535" spans="2:2" x14ac:dyDescent="0.25">
      <c r="B6535" t="str">
        <v>855-53: Lighting Systems, Complete</v>
      </c>
    </row>
    <row r="6536" spans="2:2" x14ac:dyDescent="0.25">
      <c r="B6536" t="str">
        <v>855-60: Makeup</v>
      </c>
    </row>
    <row r="6537" spans="2:2" x14ac:dyDescent="0.25">
      <c r="B6537" t="str">
        <v>855-68: Scenery and Props</v>
      </c>
    </row>
    <row r="6538" spans="2:2" x14ac:dyDescent="0.25">
      <c r="B6538" t="str">
        <v>855-70: Sound Effects Equipment</v>
      </c>
    </row>
    <row r="6539" spans="2:2" x14ac:dyDescent="0.25">
      <c r="B6539" t="str">
        <v>855-75: Stage Hardware and Supplies: Braces, Canvas, Clamps, Paints, etc.</v>
      </c>
    </row>
    <row r="6540" spans="2:2" x14ac:dyDescent="0.25">
      <c r="B6540" t="str">
        <v>855-77: Standards, Portable, Ropes, For Theater Lobbies</v>
      </c>
    </row>
    <row r="6541" spans="2:2" x14ac:dyDescent="0.25">
      <c r="B6541" t="str">
        <v>855-80: Stage Rigging and Tracks</v>
      </c>
    </row>
    <row r="6542" spans="2:2" x14ac:dyDescent="0.25">
      <c r="B6542" t="str">
        <v>855-81: Stages, Theatre, All Types)</v>
      </c>
    </row>
    <row r="6543" spans="2:2" x14ac:dyDescent="0.25">
      <c r="B6543" t="str">
        <v>855-88: Turnstiles, Theater</v>
      </c>
    </row>
    <row r="6544" spans="2:2" x14ac:dyDescent="0.25">
      <c r="B6544" t="str">
        <v>855-95: Recycled Theatrical Equipment, Accessories and Supplies</v>
      </c>
    </row>
    <row r="6545" spans="2:2" x14ac:dyDescent="0.25">
      <c r="B6545" t="str">
        <v>860-20: Coupon Books</v>
      </c>
    </row>
    <row r="6546" spans="2:2" x14ac:dyDescent="0.25">
      <c r="B6546" t="str">
        <v>860-30: Dispensing Machines and Collection Boxes for Tickets, etc.</v>
      </c>
    </row>
    <row r="6547" spans="2:2" x14ac:dyDescent="0.25">
      <c r="B6547" t="str">
        <v>860-40: Sales Books</v>
      </c>
    </row>
    <row r="6548" spans="2:2" x14ac:dyDescent="0.25">
      <c r="B6548" t="str">
        <v>860-50: Strip Books</v>
      </c>
    </row>
    <row r="6549" spans="2:2" x14ac:dyDescent="0.25">
      <c r="B6549" t="str">
        <v>860-70: Tickets, Reserved Type</v>
      </c>
    </row>
    <row r="6550" spans="2:2" x14ac:dyDescent="0.25">
      <c r="B6550" t="str">
        <v>860-75: Tickets, Roll Type</v>
      </c>
    </row>
    <row r="6551" spans="2:2" x14ac:dyDescent="0.25">
      <c r="B6551" t="str">
        <v>860-76: Tickets, Spitter</v>
      </c>
    </row>
    <row r="6552" spans="2:2" x14ac:dyDescent="0.25">
      <c r="B6552" t="str">
        <v>860-95: Recycled Tickets, Coupon Books, Sales Books and Strip Books</v>
      </c>
    </row>
    <row r="6553" spans="2:2" x14ac:dyDescent="0.25">
      <c r="B6553" t="str">
        <v>863-03: Tires and Tubes, Aircraft</v>
      </c>
    </row>
    <row r="6554" spans="2:2" x14ac:dyDescent="0.25">
      <c r="B6554" t="str">
        <v>863-05: Tires and Tubes, Passenger Vehicles</v>
      </c>
    </row>
    <row r="6555" spans="2:2" x14ac:dyDescent="0.25">
      <c r="B6555" t="str">
        <v>863-06: Tires and Tubes, Motorcycle</v>
      </c>
    </row>
    <row r="6556" spans="2:2" x14ac:dyDescent="0.25">
      <c r="B6556" t="str">
        <v>863-07: Tires and Tubes, Light Trucks</v>
      </c>
    </row>
    <row r="6557" spans="2:2" x14ac:dyDescent="0.25">
      <c r="B6557" t="str">
        <v>863-10: Tires and Tubes, Medium Truck and Bus</v>
      </c>
    </row>
    <row r="6558" spans="2:2" x14ac:dyDescent="0.25">
      <c r="B6558" t="str">
        <v>863-15: Tires and Tubes, Off-Road Equipment</v>
      </c>
    </row>
    <row r="6559" spans="2:2" x14ac:dyDescent="0.25">
      <c r="B6559" t="str">
        <v>863-20: Tires and Tubes, Farm Tractor and Implement</v>
      </c>
    </row>
    <row r="6560" spans="2:2" x14ac:dyDescent="0.25">
      <c r="B6560" t="str">
        <v>863-25: Tires and Tubes, Industrial</v>
      </c>
    </row>
    <row r="6561" spans="2:2" x14ac:dyDescent="0.25">
      <c r="B6561" t="str">
        <v>863-30: Tires and Tubes, Misc. (Not Otherwise Classified)</v>
      </c>
    </row>
    <row r="6562" spans="2:2" x14ac:dyDescent="0.25">
      <c r="B6562" t="str">
        <v>863-42: Flaps and O-Rings, Tire</v>
      </c>
    </row>
    <row r="6563" spans="2:2" x14ac:dyDescent="0.25">
      <c r="B6563" t="str">
        <v>863-65: Recapped and Retreaded Tires (See Class 928 if Recapping and Retreading Own Tires as a Service)</v>
      </c>
    </row>
    <row r="6564" spans="2:2" x14ac:dyDescent="0.25">
      <c r="B6564" t="str">
        <v>863-95: Recycled Tires and Tubes</v>
      </c>
    </row>
    <row r="6565" spans="2:2" x14ac:dyDescent="0.25">
      <c r="B6565" t="str">
        <v>864-40: Mainline Train Controls</v>
      </c>
    </row>
    <row r="6566" spans="2:2" x14ac:dyDescent="0.25">
      <c r="B6566" t="str">
        <v>864-45: Mainline Sub-System Controls</v>
      </c>
    </row>
    <row r="6567" spans="2:2" x14ac:dyDescent="0.25">
      <c r="B6567" t="str">
        <v>864-55: Miscellaneous Train Controls</v>
      </c>
    </row>
    <row r="6568" spans="2:2" x14ac:dyDescent="0.25">
      <c r="B6568" t="str">
        <v>864-65: Operations Control Center</v>
      </c>
    </row>
    <row r="6569" spans="2:2" x14ac:dyDescent="0.25">
      <c r="B6569" t="str">
        <v>864-73: Recycled Train Controls</v>
      </c>
    </row>
    <row r="6570" spans="2:2" x14ac:dyDescent="0.25">
      <c r="B6570" t="str">
        <v>864-80: Vehicle Train Protection</v>
      </c>
    </row>
    <row r="6571" spans="2:2" x14ac:dyDescent="0.25">
      <c r="B6571" t="str">
        <v>864-85: Vital Relays</v>
      </c>
    </row>
    <row r="6572" spans="2:2" x14ac:dyDescent="0.25">
      <c r="B6572" t="str">
        <v>864-90: Yard Train Controls</v>
      </c>
    </row>
    <row r="6573" spans="2:2" x14ac:dyDescent="0.25">
      <c r="B6573" t="str">
        <v>864-95: Yard Sub-System Controls</v>
      </c>
    </row>
    <row r="6574" spans="2:2" x14ac:dyDescent="0.25">
      <c r="B6574" t="str">
        <v>865-20: Cotton Twine</v>
      </c>
    </row>
    <row r="6575" spans="2:2" x14ac:dyDescent="0.25">
      <c r="B6575" t="str">
        <v>865-30: Hay Baler Twine</v>
      </c>
    </row>
    <row r="6576" spans="2:2" x14ac:dyDescent="0.25">
      <c r="B6576" t="str">
        <v>865-35: Hemp Twine</v>
      </c>
    </row>
    <row r="6577" spans="2:2" x14ac:dyDescent="0.25">
      <c r="B6577" t="str">
        <v>865-40: Jute Twine</v>
      </c>
    </row>
    <row r="6578" spans="2:2" x14ac:dyDescent="0.25">
      <c r="B6578" t="str">
        <v>865-50: Linen Twine</v>
      </c>
    </row>
    <row r="6579" spans="2:2" x14ac:dyDescent="0.25">
      <c r="B6579" t="str">
        <v>865-55: Marline Twine</v>
      </c>
    </row>
    <row r="6580" spans="2:2" x14ac:dyDescent="0.25">
      <c r="B6580" t="str">
        <v>865-60: Nylon Twine</v>
      </c>
    </row>
    <row r="6581" spans="2:2" x14ac:dyDescent="0.25">
      <c r="B6581" t="str">
        <v>865-65: Polyester and Polypropylene Twine</v>
      </c>
    </row>
    <row r="6582" spans="2:2" x14ac:dyDescent="0.25">
      <c r="B6582" t="str">
        <v>865-68: Seine Twine</v>
      </c>
    </row>
    <row r="6583" spans="2:2" x14ac:dyDescent="0.25">
      <c r="B6583" t="str">
        <v>865-70: Sisal Twine, Including Binder Twine</v>
      </c>
    </row>
    <row r="6584" spans="2:2" x14ac:dyDescent="0.25">
      <c r="B6584" t="str">
        <v>865-75: String, All Types: Kite, Mailing, Pull, etc.</v>
      </c>
    </row>
    <row r="6585" spans="2:2" x14ac:dyDescent="0.25">
      <c r="B6585" t="str">
        <v>865-95: Recycled Twine and String</v>
      </c>
    </row>
    <row r="6586" spans="2:2" x14ac:dyDescent="0.25">
      <c r="B6586" t="str">
        <v>870-10: Awnings, Cloth</v>
      </c>
    </row>
    <row r="6587" spans="2:2" x14ac:dyDescent="0.25">
      <c r="B6587" t="str">
        <v>870-20: Awnings, Metal and Wood</v>
      </c>
    </row>
    <row r="6588" spans="2:2" x14ac:dyDescent="0.25">
      <c r="B6588" t="str">
        <v>870-22: Awnings, Vinyl</v>
      </c>
    </row>
    <row r="6589" spans="2:2" x14ac:dyDescent="0.25">
      <c r="B6589" t="str">
        <v>870-25: Reflective Film, Solar Type Sun Screen</v>
      </c>
    </row>
    <row r="6590" spans="2:2" x14ac:dyDescent="0.25">
      <c r="B6590" t="str">
        <v>870-30: Shade Screens, Louvered or Perforated</v>
      </c>
    </row>
    <row r="6591" spans="2:2" x14ac:dyDescent="0.25">
      <c r="B6591" t="str">
        <v>870-35: Shutters, Inside and Outside Types</v>
      </c>
    </row>
    <row r="6592" spans="2:2" x14ac:dyDescent="0.25">
      <c r="B6592" t="str">
        <v>870-40: Venetian Blinds Cord and Tape</v>
      </c>
    </row>
    <row r="6593" spans="2:2" x14ac:dyDescent="0.25">
      <c r="B6593" t="str">
        <v>870-50: Venetian Blinds, Metal, Audio-Visual and Standard</v>
      </c>
    </row>
    <row r="6594" spans="2:2" x14ac:dyDescent="0.25">
      <c r="B6594" t="str">
        <v>870-60: Venetian Blinds, Wood</v>
      </c>
    </row>
    <row r="6595" spans="2:2" x14ac:dyDescent="0.25">
      <c r="B6595" t="str">
        <v>870-70: Vertical Blinds, All Types</v>
      </c>
    </row>
    <row r="6596" spans="2:2" x14ac:dyDescent="0.25">
      <c r="B6596" t="str">
        <v>870-78: Wind Screens, Privacy Screens, etc.</v>
      </c>
    </row>
    <row r="6597" spans="2:2" x14ac:dyDescent="0.25">
      <c r="B6597" t="str">
        <v>870-80: Window Shade Cloth</v>
      </c>
    </row>
    <row r="6598" spans="2:2" x14ac:dyDescent="0.25">
      <c r="B6598" t="str">
        <v>870-90: Window Shades</v>
      </c>
    </row>
    <row r="6599" spans="2:2" x14ac:dyDescent="0.25">
      <c r="B6599" t="str">
        <v>870-95: Recycled Awnings, Venetian and Vertical Blinds, and Shades</v>
      </c>
    </row>
    <row r="6600" spans="2:2" x14ac:dyDescent="0.25">
      <c r="B6600" t="str">
        <v>875-05: Anesthesia Equipment: Ventilators, etc., Veterinary</v>
      </c>
    </row>
    <row r="6601" spans="2:2" x14ac:dyDescent="0.25">
      <c r="B6601" t="str">
        <v>875-08: Animal Control Equipment: Catching Poles, Muzzles, Restrainers, Shockers, etc.</v>
      </c>
    </row>
    <row r="6602" spans="2:2" x14ac:dyDescent="0.25">
      <c r="B6602" t="str">
        <v>875-09: Animal Body Parts, Tissues, Body Fluids, etc., Veterinary</v>
      </c>
    </row>
    <row r="6603" spans="2:2" x14ac:dyDescent="0.25">
      <c r="B6603" t="str">
        <v>875-10: Artificial Insemination Equipment, Semen Ejaculation, Freezing, Storage, and Use, Veterinary</v>
      </c>
    </row>
    <row r="6604" spans="2:2" x14ac:dyDescent="0.25">
      <c r="B6604" t="str">
        <v>875-12: Dental Equipment and Supplies, Veterinary</v>
      </c>
    </row>
    <row r="6605" spans="2:2" x14ac:dyDescent="0.25">
      <c r="B6605" t="str">
        <v>875-13: Diagnostic Equipment: Scopes, Speculums, etc., Veterinary</v>
      </c>
    </row>
    <row r="6606" spans="2:2" x14ac:dyDescent="0.25">
      <c r="B6606" t="str">
        <v>875-15: Diagnostic Test Kits and Supplies, Veterinary</v>
      </c>
    </row>
    <row r="6607" spans="2:2" x14ac:dyDescent="0.25">
      <c r="B6607" t="str">
        <v>875-24: Fat and Muscle Assay Equipment, Veterinary</v>
      </c>
    </row>
    <row r="6608" spans="2:2" x14ac:dyDescent="0.25">
      <c r="B6608" t="str">
        <v>875-27: Flea, Tick and Insect Control Equipment and Supplies</v>
      </c>
    </row>
    <row r="6609" spans="2:2" x14ac:dyDescent="0.25">
      <c r="B6609" t="str">
        <v>875-30: Frozen Semen, Veterinary</v>
      </c>
    </row>
    <row r="6610" spans="2:2" x14ac:dyDescent="0.25">
      <c r="B6610" t="str">
        <v>875-34: Instruments, Surgical, Veterinary</v>
      </c>
    </row>
    <row r="6611" spans="2:2" x14ac:dyDescent="0.25">
      <c r="B6611" t="str">
        <v>875-53: Operating Room Equipment, Veterinary</v>
      </c>
    </row>
    <row r="6612" spans="2:2" x14ac:dyDescent="0.25">
      <c r="B6612" t="str">
        <v>875-55: Orthopedic Device, Veterinary</v>
      </c>
    </row>
    <row r="6613" spans="2:2" x14ac:dyDescent="0.25">
      <c r="B6613" t="str">
        <v>875-58: Pharmaceuticals, Animal: Drugs, Vaccines, etc., Veterinary</v>
      </c>
    </row>
    <row r="6614" spans="2:2" x14ac:dyDescent="0.25">
      <c r="B6614" t="str">
        <v>875-59: Pharmaceuticals, Marine Life: Drugs, Vaccines, etc., Veterinary</v>
      </c>
    </row>
    <row r="6615" spans="2:2" x14ac:dyDescent="0.25">
      <c r="B6615" t="str">
        <v>875-65: Pregnancy Detection Equipment, Veterinary</v>
      </c>
    </row>
    <row r="6616" spans="2:2" x14ac:dyDescent="0.25">
      <c r="B6616" t="str">
        <v>875-67: Repellants, Animal and Birds</v>
      </c>
    </row>
    <row r="6617" spans="2:2" x14ac:dyDescent="0.25">
      <c r="B6617" t="str">
        <v>875-70: Surgical Supplies: Catheters, Gut, Needles, Syringes, etc., Veterinary.</v>
      </c>
    </row>
    <row r="6618" spans="2:2" x14ac:dyDescent="0.25">
      <c r="B6618" t="str">
        <v>875-80: Thermometers, Veterinary</v>
      </c>
    </row>
    <row r="6619" spans="2:2" x14ac:dyDescent="0.25">
      <c r="B6619" t="str">
        <v>875-95: Recycled Equipment and Supplies, Veterinary</v>
      </c>
    </row>
    <row r="6620" spans="2:2" x14ac:dyDescent="0.25">
      <c r="B6620" t="str">
        <v>880-11: Audio Visual Equipment and Supplies, (Not Otherwise Classified)</v>
      </c>
    </row>
    <row r="6621" spans="2:2" x14ac:dyDescent="0.25">
      <c r="B6621" t="str">
        <v>880-20: Film Editing and Splicing Equipment and Supplies: Cement, Cleaner, Conditioner, Editors, Film Leader, Splicers, etc.</v>
      </c>
    </row>
    <row r="6622" spans="2:2" x14ac:dyDescent="0.25">
      <c r="B6622" t="str">
        <v>880-30: Pointers: Projection Type, Hand-Held and Stationary, 110V AC and Battery Powered</v>
      </c>
    </row>
    <row r="6623" spans="2:2" x14ac:dyDescent="0.25">
      <c r="B6623" t="str">
        <v>880-40: Previewers, Sorters, and Viewers: Filmstrips, Slides, etc., Not Projectors or Film Editors and Viewers</v>
      </c>
    </row>
    <row r="6624" spans="2:2" x14ac:dyDescent="0.25">
      <c r="B6624" t="str">
        <v>880-42: Projectional Supplies: Acetate Sheets, Films, Photo-Reflex and Photo-Modifier Materials, etc.</v>
      </c>
    </row>
    <row r="6625" spans="2:2" x14ac:dyDescent="0.25">
      <c r="B6625" t="str">
        <v>880-43: Projection Screens: Standard and Rear-Projection Types</v>
      </c>
    </row>
    <row r="6626" spans="2:2" x14ac:dyDescent="0.25">
      <c r="B6626" t="str">
        <v>880-46: Projection Stands, Tables, etc.: Standard and Rear-Projection Types</v>
      </c>
    </row>
    <row r="6627" spans="2:2" x14ac:dyDescent="0.25">
      <c r="B6627" t="str">
        <v>880-49: Projectors, Filmstrip, Standard Types Only; Carrying Cases; Parts, and Accessories</v>
      </c>
    </row>
    <row r="6628" spans="2:2" x14ac:dyDescent="0.25">
      <c r="B6628" t="str">
        <v>880-52: Projectors, Motion Picture, Specialized Types Only: Film Loop Projectors, Rear-Projection Units, Repetitive Projectors, etc.</v>
      </c>
    </row>
    <row r="6629" spans="2:2" x14ac:dyDescent="0.25">
      <c r="B6629" t="str">
        <v>880-55: Projectors, Motion Picture, Standard Type Only, Including Carrying Cases, Parts and Accessories</v>
      </c>
    </row>
    <row r="6630" spans="2:2" x14ac:dyDescent="0.25">
      <c r="B6630" t="str">
        <v>880-58: Projectors, Opaque, Including Carrying Cases, Parts and Accessories, Epidiascopes</v>
      </c>
    </row>
    <row r="6631" spans="2:2" x14ac:dyDescent="0.25">
      <c r="B6631" t="str">
        <v>880-61: Projectors, Overhead Transparency, Including Carrying Cases, Parts and Accessories</v>
      </c>
    </row>
    <row r="6632" spans="2:2" x14ac:dyDescent="0.25">
      <c r="B6632" t="str">
        <v>880-64: Projectors, Slide, Standard Types Only, Including  Carrying Cases, Parts and Accessories</v>
      </c>
    </row>
    <row r="6633" spans="2:2" x14ac:dyDescent="0.25">
      <c r="B6633" t="str">
        <v>880-67: Projectors: Combination Filmstrip-Slide Projectors, Rear-Projection Slide Units, Rear-Projection Filmstrip Units, LCD Projectors, (Not Otherwise Classified)</v>
      </c>
    </row>
    <row r="6634" spans="2:2" x14ac:dyDescent="0.25">
      <c r="B6634" t="str">
        <v>880-73: Recycled Visual Education Equipment, Accessories and Supplies</v>
      </c>
    </row>
    <row r="6635" spans="2:2" x14ac:dyDescent="0.25">
      <c r="B6635" t="str">
        <v>880-80: Shipping and Storage Accessories, For Films, Filmstrips, Slides, etc.: Cans, Carrying Cases, Cartridges, Reels, Shipping Cases, Slide Files and Trays, etc.</v>
      </c>
    </row>
    <row r="6636" spans="2:2" x14ac:dyDescent="0.25">
      <c r="B6636" t="str">
        <v>880-85: Storage Cabinets, Visual Education Equipment and Supplies</v>
      </c>
    </row>
    <row r="6637" spans="2:2" x14ac:dyDescent="0.25">
      <c r="B6637" t="str">
        <v>880-86: Tables, Light, Visual Education</v>
      </c>
    </row>
    <row r="6638" spans="2:2" x14ac:dyDescent="0.25">
      <c r="B6638" t="str">
        <v>880-88: Transparencies (See Class 715 for Prepared Material)</v>
      </c>
    </row>
    <row r="6639" spans="2:2" x14ac:dyDescent="0.25">
      <c r="B6639" t="str">
        <v>880-90: Transparency Equipment</v>
      </c>
    </row>
    <row r="6640" spans="2:2" x14ac:dyDescent="0.25">
      <c r="B6640" t="str">
        <v>883-16: *Audiotex Voice Response Systems</v>
      </c>
    </row>
    <row r="6641" spans="2:2" x14ac:dyDescent="0.25">
      <c r="B6641" t="str">
        <v>883-18: *Auto Attendant Telephone Systems</v>
      </c>
    </row>
    <row r="6642" spans="2:2" x14ac:dyDescent="0.25">
      <c r="B6642" t="str">
        <v>883-19: *Automatic Call Distribution (ACD) Systems</v>
      </c>
    </row>
    <row r="6643" spans="2:2" x14ac:dyDescent="0.25">
      <c r="B6643" t="str">
        <v>883-32: *Computer Telephony Integration (CTI) Systems</v>
      </c>
    </row>
    <row r="6644" spans="2:2" x14ac:dyDescent="0.25">
      <c r="B6644" t="str">
        <v>883-43: *Interactive Voice Response (IVR) Systems</v>
      </c>
    </row>
    <row r="6645" spans="2:2" x14ac:dyDescent="0.25">
      <c r="B6645" t="str">
        <v>883-64: *Recycled Voice Response Systems, Accessories and Supplies</v>
      </c>
    </row>
    <row r="6646" spans="2:2" x14ac:dyDescent="0.25">
      <c r="B6646" t="str">
        <v>883-80: *Telephone Switching (PBX) Systems</v>
      </c>
    </row>
    <row r="6647" spans="2:2" x14ac:dyDescent="0.25">
      <c r="B6647" t="str">
        <v>883-90: *Voice Mail Systems</v>
      </c>
    </row>
    <row r="6648" spans="2:2" x14ac:dyDescent="0.25">
      <c r="B6648" t="str">
        <v>885-08: Activated Carbon and Filter Elements</v>
      </c>
    </row>
    <row r="6649" spans="2:2" x14ac:dyDescent="0.25">
      <c r="B6649" t="str">
        <v>885-11: Agents, Curing</v>
      </c>
    </row>
    <row r="6650" spans="2:2" x14ac:dyDescent="0.25">
      <c r="B6650" t="str">
        <v>885-15: Algae and Microbe Control Chemicals, Copper Sulfate, etc. (Inactive, please see commodity code 885-16 effective January 1, 2016)</v>
      </c>
    </row>
    <row r="6651" spans="2:2" x14ac:dyDescent="0.25">
      <c r="B6651" t="str">
        <v>885-16: Algae and Microbe Control Chemicals, Air Conditioning and Cooling Water</v>
      </c>
    </row>
    <row r="6652" spans="2:2" x14ac:dyDescent="0.25">
      <c r="B6652" t="str">
        <v>885-28: Antifoaming Agents</v>
      </c>
    </row>
    <row r="6653" spans="2:2" x14ac:dyDescent="0.25">
      <c r="B6653" t="str">
        <v>885-31: Biological Maintainers, Bacteria, Enzymes, etc.</v>
      </c>
    </row>
    <row r="6654" spans="2:2" x14ac:dyDescent="0.25">
      <c r="B6654" t="str">
        <v>885-32: Boiler Water Chemical Treating Compounds</v>
      </c>
    </row>
    <row r="6655" spans="2:2" x14ac:dyDescent="0.25">
      <c r="B6655" t="str">
        <v>885-36: Carbon Based Chemicals and Compounds</v>
      </c>
    </row>
    <row r="6656" spans="2:2" x14ac:dyDescent="0.25">
      <c r="B6656" t="str">
        <v>885-38: Chlorine, Liquefied</v>
      </c>
    </row>
    <row r="6657" spans="2:2" x14ac:dyDescent="0.25">
      <c r="B6657" t="str">
        <v>885-40: Chlorinating and Oxidizing Agents: Bromohydantoins, Chloroisocyanurates, Hypochlorites, etc., Swimming Pool Disinfection</v>
      </c>
    </row>
    <row r="6658" spans="2:2" x14ac:dyDescent="0.25">
      <c r="B6658" t="str">
        <v>885-43: Color Control Chemicals, Water</v>
      </c>
    </row>
    <row r="6659" spans="2:2" x14ac:dyDescent="0.25">
      <c r="B6659" t="str">
        <v>885-44: Corrosion, Scale, and Sludge Control Chemicals: Alum, Amines, Morpholine, etc., Sodium Sulfite, etc.</v>
      </c>
    </row>
    <row r="6660" spans="2:2" x14ac:dyDescent="0.25">
      <c r="B6660" t="str">
        <v>885-46: Counteractant and Degreaser, Odor</v>
      </c>
    </row>
    <row r="6661" spans="2:2" x14ac:dyDescent="0.25">
      <c r="B6661" t="str">
        <v>885-47: Dechlorinating Agents, Sulfur Dioxide, etc.</v>
      </c>
    </row>
    <row r="6662" spans="2:2" x14ac:dyDescent="0.25">
      <c r="B6662" t="str">
        <v>885-48: Descaling Compounds</v>
      </c>
    </row>
    <row r="6663" spans="2:2" x14ac:dyDescent="0.25">
      <c r="B6663" t="str">
        <v>885-51: Disinfectants, Wastewater</v>
      </c>
    </row>
    <row r="6664" spans="2:2" x14ac:dyDescent="0.25">
      <c r="B6664" t="str">
        <v>885-52: Disinfectant, Ozone, Laboratory and Clinical Baths</v>
      </c>
    </row>
    <row r="6665" spans="2:2" x14ac:dyDescent="0.25">
      <c r="B6665" t="str">
        <v>885-60: Ferrous Sulfate and Ferrous Chloride</v>
      </c>
    </row>
    <row r="6666" spans="2:2" x14ac:dyDescent="0.25">
      <c r="B6666" t="str">
        <v>885-64: Filter Aids: Diatomaceous Earth, Fuller's Earth, etc.</v>
      </c>
    </row>
    <row r="6667" spans="2:2" x14ac:dyDescent="0.25">
      <c r="B6667" t="str">
        <v>885-66: Fluoride and Other Drinking Water Additives</v>
      </c>
    </row>
    <row r="6668" spans="2:2" x14ac:dyDescent="0.25">
      <c r="B6668" t="str">
        <v>885-70: Hardness Control Chemicals: Chelating Agents, Phosphonates, Polyphosphates, Polymer Flocculants, etc.</v>
      </c>
    </row>
    <row r="6669" spans="2:2" x14ac:dyDescent="0.25">
      <c r="B6669" t="str">
        <v>885-74: Nitrogen and Oxygen, Liquid</v>
      </c>
    </row>
    <row r="6670" spans="2:2" x14ac:dyDescent="0.25">
      <c r="B6670" t="str">
        <v>885-76: Odor Control Chemicals, etc.</v>
      </c>
    </row>
    <row r="6671" spans="2:2" x14ac:dyDescent="0.25">
      <c r="B6671" t="str">
        <v>885-77: Polymer Flocculants, Color, Thickening, Dewatering, Coagulant Aid, Not Hardness Control</v>
      </c>
    </row>
    <row r="6672" spans="2:2" x14ac:dyDescent="0.25">
      <c r="B6672" t="str">
        <v>885-78: pH Control Chemicals: Caustic Soda, Lime, Muriatic Acid, Quicklime, Soda Ash, etc.</v>
      </c>
    </row>
    <row r="6673" spans="2:2" x14ac:dyDescent="0.25">
      <c r="B6673" t="str">
        <v>885-79: Reagents, Buffer, Water Treatment</v>
      </c>
    </row>
    <row r="6674" spans="2:2" x14ac:dyDescent="0.25">
      <c r="B6674" t="str">
        <v>885-80: Resins, Sodium Ion Exchange, Water Softening</v>
      </c>
    </row>
    <row r="6675" spans="2:2" x14ac:dyDescent="0.25">
      <c r="B6675" t="str">
        <v>885-82: Sewer and Septic Treating Chemicals</v>
      </c>
    </row>
    <row r="6676" spans="2:2" x14ac:dyDescent="0.25">
      <c r="B6676" t="str">
        <v>885-84: Sodium Hydroxide</v>
      </c>
    </row>
    <row r="6677" spans="2:2" x14ac:dyDescent="0.25">
      <c r="B6677" t="str">
        <v>885-89: Stabilizers, Cyanuric Acid, etc.</v>
      </c>
    </row>
    <row r="6678" spans="2:2" x14ac:dyDescent="0.25">
      <c r="B6678" t="str">
        <v>885-94: Water Treating Chemicals (Not Otherwise Classified)</v>
      </c>
    </row>
    <row r="6679" spans="2:2" x14ac:dyDescent="0.25">
      <c r="B6679" t="str">
        <v>885-95: Water Testing Kits, Chlorine, Hardness, PH, etc.</v>
      </c>
    </row>
    <row r="6680" spans="2:2" x14ac:dyDescent="0.25">
      <c r="B6680" t="str">
        <v>885-96: Recycled Water and Wastewater Treating Chemicals</v>
      </c>
    </row>
    <row r="6681" spans="2:2" x14ac:dyDescent="0.25">
      <c r="B6681" t="str">
        <v>890-01: Air Flotation Systems, Water Treatment Removal of Hydrocarbons</v>
      </c>
    </row>
    <row r="6682" spans="2:2" x14ac:dyDescent="0.25">
      <c r="B6682" t="str">
        <v>890-02: Activated Carbon Systems, Equipment, and Absorbers</v>
      </c>
    </row>
    <row r="6683" spans="2:2" x14ac:dyDescent="0.25">
      <c r="B6683" t="str">
        <v>890-03: Back Flow Preventers for Water and Sewer Pipe</v>
      </c>
    </row>
    <row r="6684" spans="2:2" x14ac:dyDescent="0.25">
      <c r="B6684" t="str">
        <v>890-04: Bar and Trash Screen Equipment, Including Parts and Accessories</v>
      </c>
    </row>
    <row r="6685" spans="2:2" x14ac:dyDescent="0.25">
      <c r="B6685" t="str">
        <v>890-05: Belt Filter Press, Including Parts and Accessories</v>
      </c>
    </row>
    <row r="6686" spans="2:2" x14ac:dyDescent="0.25">
      <c r="B6686" t="str">
        <v>890-06: Bioroughing Systems, Including Parts and Accessories</v>
      </c>
    </row>
    <row r="6687" spans="2:2" x14ac:dyDescent="0.25">
      <c r="B6687" t="str">
        <v>890-07: Centrifuges, Water Treatment</v>
      </c>
    </row>
    <row r="6688" spans="2:2" x14ac:dyDescent="0.25">
      <c r="B6688" t="str">
        <v>890-08: Chlorination Equipment, Including Parts and Accessories</v>
      </c>
    </row>
    <row r="6689" spans="2:2" x14ac:dyDescent="0.25">
      <c r="B6689" t="str">
        <v>890-13: Clarifiers and Settlers, Separators</v>
      </c>
    </row>
    <row r="6690" spans="2:2" x14ac:dyDescent="0.25">
      <c r="B6690" t="str">
        <v>890-15: Complete Water Treatment Systems, Chemical</v>
      </c>
    </row>
    <row r="6691" spans="2:2" x14ac:dyDescent="0.25">
      <c r="B6691" t="str">
        <v>890-16: Complete Water Treatment Systems, Nonchemical: Ultraviolet Water Supply Sterilization, etc.</v>
      </c>
    </row>
    <row r="6692" spans="2:2" x14ac:dyDescent="0.25">
      <c r="B6692" t="str">
        <v>890-17: Contaminated Groundwater Treatment Equipment</v>
      </c>
    </row>
    <row r="6693" spans="2:2" x14ac:dyDescent="0.25">
      <c r="B6693" t="str">
        <v>890-19: Crushers, Grinders, Size Reduction Equipment, etc.</v>
      </c>
    </row>
    <row r="6694" spans="2:2" x14ac:dyDescent="0.25">
      <c r="B6694" t="str">
        <v>890-20: Demineralizers: Reverse Osmosis, etc.</v>
      </c>
    </row>
    <row r="6695" spans="2:2" x14ac:dyDescent="0.25">
      <c r="B6695" t="str">
        <v>890-21: Desludging Equipment, Including Parts and Accessories</v>
      </c>
    </row>
    <row r="6696" spans="2:2" x14ac:dyDescent="0.25">
      <c r="B6696" t="str">
        <v>890-22: Desalination Equipment, Water Treatment</v>
      </c>
    </row>
    <row r="6697" spans="2:2" x14ac:dyDescent="0.25">
      <c r="B6697" t="str">
        <v>890-23: Elements, Primary, Flow, Pressure, Temperature, etc.</v>
      </c>
    </row>
    <row r="6698" spans="2:2" x14ac:dyDescent="0.25">
      <c r="B6698" t="str">
        <v>890-24: Filtration Equipment, Water Including Parts and Accessories</v>
      </c>
    </row>
    <row r="6699" spans="2:2" x14ac:dyDescent="0.25">
      <c r="B6699" t="str">
        <v>890-25: Fluoridation Equipment</v>
      </c>
    </row>
    <row r="6700" spans="2:2" x14ac:dyDescent="0.25">
      <c r="B6700" t="str">
        <v>890-27: Incinerators, Sludge, Including Part and Accessories</v>
      </c>
    </row>
    <row r="6701" spans="2:2" x14ac:dyDescent="0.25">
      <c r="B6701" t="str">
        <v>890-28: Instrumentation Equipment, Actuators, Analyzers, Regulators, Controllers, Transducers, etc., Including Parts and Accessories</v>
      </c>
    </row>
    <row r="6702" spans="2:2" x14ac:dyDescent="0.25">
      <c r="B6702" t="str">
        <v>890-30: Manholes, and Manhole Covers, Frames, Grates, Rings, Yokes, etc.</v>
      </c>
    </row>
    <row r="6703" spans="2:2" x14ac:dyDescent="0.25">
      <c r="B6703" t="str">
        <v>890-31: Manhole Risers, Steel Expandable</v>
      </c>
    </row>
    <row r="6704" spans="2:2" x14ac:dyDescent="0.25">
      <c r="B6704" t="str">
        <v>890-35: Metal Finders and Detectors, Pipe Locators, etc.</v>
      </c>
    </row>
    <row r="6705" spans="2:2" x14ac:dyDescent="0.25">
      <c r="B6705" t="str">
        <v>890-40: Meter Boxes, Meter Vaults, and Valve Boxes (See 210-45 for Concrete Type)</v>
      </c>
    </row>
    <row r="6706" spans="2:2" x14ac:dyDescent="0.25">
      <c r="B6706" t="str">
        <v>890-44: Meters, Water</v>
      </c>
    </row>
    <row r="6707" spans="2:2" x14ac:dyDescent="0.25">
      <c r="B6707" t="str">
        <v>890-45: Meter Fittings, Water, Including Parts and Accessories, and Conversion Kits</v>
      </c>
    </row>
    <row r="6708" spans="2:2" x14ac:dyDescent="0.25">
      <c r="B6708" t="str">
        <v>890-46: Meter Reading Devices</v>
      </c>
    </row>
    <row r="6709" spans="2:2" x14ac:dyDescent="0.25">
      <c r="B6709" t="str">
        <v>890-47: Mixing and Agitation Equipment</v>
      </c>
    </row>
    <row r="6710" spans="2:2" x14ac:dyDescent="0.25">
      <c r="B6710" t="str">
        <v>890-48: Oil Skimming Equipment, Including Parts and Accessories</v>
      </c>
    </row>
    <row r="6711" spans="2:2" x14ac:dyDescent="0.25">
      <c r="B6711" t="str">
        <v>890-49: Ozone and Oxygen Generating Equipment, Including Parts and Accessories</v>
      </c>
    </row>
    <row r="6712" spans="2:2" x14ac:dyDescent="0.25">
      <c r="B6712" t="str">
        <v>890-50: Rings and Seals, Carbon, Turbine Shafts</v>
      </c>
    </row>
    <row r="6713" spans="2:2" x14ac:dyDescent="0.25">
      <c r="B6713" t="str">
        <v>890-51: Root Cutting Equipment, Sewer Lines</v>
      </c>
    </row>
    <row r="6714" spans="2:2" x14ac:dyDescent="0.25">
      <c r="B6714" t="str">
        <v>890-52: Removal Equipment, Water Treatment: Ammonia, Bacterial, Iron, Etc.</v>
      </c>
    </row>
    <row r="6715" spans="2:2" x14ac:dyDescent="0.25">
      <c r="B6715" t="str">
        <v>890-53: Separation and Treatment Equipment, Oil/Water</v>
      </c>
    </row>
    <row r="6716" spans="2:2" x14ac:dyDescent="0.25">
      <c r="B6716" t="str">
        <v>890-63: Sewer Analyzing, Monitoring, Probe and Related Equipment</v>
      </c>
    </row>
    <row r="6717" spans="2:2" x14ac:dyDescent="0.25">
      <c r="B6717" t="str">
        <v>890-64: Sewer Inspection Equipment</v>
      </c>
    </row>
    <row r="6718" spans="2:2" x14ac:dyDescent="0.25">
      <c r="B6718" t="str">
        <v>890-65: Sewage and Waste Treating Equipment and Supplies</v>
      </c>
    </row>
    <row r="6719" spans="2:2" x14ac:dyDescent="0.25">
      <c r="B6719" t="str">
        <v>890-66: Sewer Lift Stations, Including Parts and Accessories</v>
      </c>
    </row>
    <row r="6720" spans="2:2" x14ac:dyDescent="0.25">
      <c r="B6720" t="str">
        <v>890-67: Solvent, Chlorinated Recovery System</v>
      </c>
    </row>
    <row r="6721" spans="2:2" x14ac:dyDescent="0.25">
      <c r="B6721" t="str">
        <v>890-68: Tags, Water Meter Removal</v>
      </c>
    </row>
    <row r="6722" spans="2:2" x14ac:dyDescent="0.25">
      <c r="B6722" t="str">
        <v>890-69: Sumps, Parts, and Accessories (See 720-73 for Sump Pumps)</v>
      </c>
    </row>
    <row r="6723" spans="2:2" x14ac:dyDescent="0.25">
      <c r="B6723" t="str">
        <v>890-70: Switches, Pressure, Flow, Level, Proximity, Temperature, etc.</v>
      </c>
    </row>
    <row r="6724" spans="2:2" x14ac:dyDescent="0.25">
      <c r="B6724" t="str">
        <v>890-72: Tapping Machines and Equipment</v>
      </c>
    </row>
    <row r="6725" spans="2:2" x14ac:dyDescent="0.25">
      <c r="B6725" t="str">
        <v>890-74: Transmitters, Pressure, Flow, Level, etc.</v>
      </c>
    </row>
    <row r="6726" spans="2:2" x14ac:dyDescent="0.25">
      <c r="B6726" t="str">
        <v>890-75: Valve Operators, Including Parts and Accessories and Tools (See 515-82 for Lawn Sprinkler Type)</v>
      </c>
    </row>
    <row r="6727" spans="2:2" x14ac:dyDescent="0.25">
      <c r="B6727" t="str">
        <v>890-76: Virus and Bacteria Inactivation, Ozone Type Equipment (See 493-05 for Airborne Type)</v>
      </c>
    </row>
    <row r="6728" spans="2:2" x14ac:dyDescent="0.25">
      <c r="B6728" t="str">
        <v>890-77: Waste Water Reclamation Systems, Including Parts and Accessories</v>
      </c>
    </row>
    <row r="6729" spans="2:2" x14ac:dyDescent="0.25">
      <c r="B6729" t="str">
        <v>890-78: Water Filters and Filter Elements, Except Boiler, Photographic Darkroom, and Swimming Pool: Cartridges, etc.</v>
      </c>
    </row>
    <row r="6730" spans="2:2" x14ac:dyDescent="0.25">
      <c r="B6730" t="str">
        <v>890-79: Water and Wastewater Disinfecting Ozonators</v>
      </c>
    </row>
    <row r="6731" spans="2:2" x14ac:dyDescent="0.25">
      <c r="B6731" t="str">
        <v>890-80: Water Leak Detection System, Including Chemicals, Dyes and Supplies</v>
      </c>
    </row>
    <row r="6732" spans="2:2" x14ac:dyDescent="0.25">
      <c r="B6732" t="str">
        <v>890-81: Water Main Cleaning Equipment</v>
      </c>
    </row>
    <row r="6733" spans="2:2" x14ac:dyDescent="0.25">
      <c r="B6733" t="str">
        <v>890-82: Water Screens and Parts, Traveling</v>
      </c>
    </row>
    <row r="6734" spans="2:2" x14ac:dyDescent="0.25">
      <c r="B6734" t="str">
        <v>890-83: Water Purification Separators</v>
      </c>
    </row>
    <row r="6735" spans="2:2" x14ac:dyDescent="0.25">
      <c r="B6735" t="str">
        <v>890-84: Water Odor Control Equipment</v>
      </c>
    </row>
    <row r="6736" spans="2:2" x14ac:dyDescent="0.25">
      <c r="B6736" t="str">
        <v>890-85: Water Softening Equipment, Ion Exchange Type (Also See 670-92,93)</v>
      </c>
    </row>
    <row r="6737" spans="2:2" x14ac:dyDescent="0.25">
      <c r="B6737" t="str">
        <v>890-86: Water Systems, Ultra Pure</v>
      </c>
    </row>
    <row r="6738" spans="2:2" x14ac:dyDescent="0.25">
      <c r="B6738" t="str">
        <v>890-87: Water Treatment Equipment (Not Otherwise Classified)</v>
      </c>
    </row>
    <row r="6739" spans="2:2" x14ac:dyDescent="0.25">
      <c r="B6739" t="str">
        <v>890-88: Water Rights (Inactive, effective January 1, 2016)</v>
      </c>
    </row>
    <row r="6740" spans="2:2" x14ac:dyDescent="0.25">
      <c r="B6740" t="str">
        <v>890-89: Well Pointing Systems, Including Parts and Accessories</v>
      </c>
    </row>
    <row r="6741" spans="2:2" x14ac:dyDescent="0.25">
      <c r="B6741" t="str">
        <v>890-95: Recycled Water Supply, Groundwater and Sewage Treatment Equipment, Including Parts and Accessories</v>
      </c>
    </row>
    <row r="6742" spans="2:2" x14ac:dyDescent="0.25">
      <c r="B6742" t="str">
        <v>895-09: Arc Welders, Air (Inactive, please see commodity code 895-20 effective January 1, 2016)</v>
      </c>
    </row>
    <row r="6743" spans="2:2" x14ac:dyDescent="0.25">
      <c r="B6743" t="str">
        <v>895-10: Arc Welders, Electric Driven</v>
      </c>
    </row>
    <row r="6744" spans="2:2" x14ac:dyDescent="0.25">
      <c r="B6744" t="str">
        <v>895-20: Arc Welders: Air, Electric Spot Welders, Engine Driven, Wire Self-Feeder</v>
      </c>
    </row>
    <row r="6745" spans="2:2" x14ac:dyDescent="0.25">
      <c r="B6745" t="str">
        <v>895-21: Arc Welders, Wire, Self-Feeder (Inactive, please see commodity code 895-20 effective January 1, 2016)</v>
      </c>
    </row>
    <row r="6746" spans="2:2" x14ac:dyDescent="0.25">
      <c r="B6746" t="str">
        <v>895-25: Electric Spot Welder (Inactive, please see commodity code 895-20 effective January 1, 2016)</v>
      </c>
    </row>
    <row r="6747" spans="2:2" x14ac:dyDescent="0.25">
      <c r="B6747" t="str">
        <v>895-27: Electric Welding Torch, Flameless</v>
      </c>
    </row>
    <row r="6748" spans="2:2" x14ac:dyDescent="0.25">
      <c r="B6748" t="str">
        <v>895-29: Fittings for Welding Equipment</v>
      </c>
    </row>
    <row r="6749" spans="2:2" x14ac:dyDescent="0.25">
      <c r="B6749" t="str">
        <v>895-30: Gas Cylinder Carts, Industrial</v>
      </c>
    </row>
    <row r="6750" spans="2:2" x14ac:dyDescent="0.25">
      <c r="B6750" t="str">
        <v>895-40: Welder, Gas Tungsten-Arc (TIG) and Specialized Accessories</v>
      </c>
    </row>
    <row r="6751" spans="2:2" x14ac:dyDescent="0.25">
      <c r="B6751" t="str">
        <v>895-45: Welder, Gas Shielded Metal-Arc (MIG) and Specialized Accessories</v>
      </c>
    </row>
    <row r="6752" spans="2:2" x14ac:dyDescent="0.25">
      <c r="B6752" t="str">
        <v>895-50: Welding Apparatus, Gas</v>
      </c>
    </row>
    <row r="6753" spans="2:2" x14ac:dyDescent="0.25">
      <c r="B6753" t="str">
        <v>895-51: Welding Machines, Laser</v>
      </c>
    </row>
    <row r="6754" spans="2:2" x14ac:dyDescent="0.25">
      <c r="B6754" t="str">
        <v>895-52: Welding Machines, Projection</v>
      </c>
    </row>
    <row r="6755" spans="2:2" x14ac:dyDescent="0.25">
      <c r="B6755" t="str">
        <v>895-55: Torch, Cutting</v>
      </c>
    </row>
    <row r="6756" spans="2:2" x14ac:dyDescent="0.25">
      <c r="B6756" t="str">
        <v>895-56: Welding Machines, Ultrasonic</v>
      </c>
    </row>
    <row r="6757" spans="2:2" x14ac:dyDescent="0.25">
      <c r="B6757" t="str">
        <v>895-65: Welder/Soldering Unit, Refrigeration/Plumber Type, Single Tank, Complete</v>
      </c>
    </row>
    <row r="6758" spans="2:2" x14ac:dyDescent="0.25">
      <c r="B6758" t="str">
        <v>895-70: Welding Accessories: Cutting Tips, Hammers, Hose, Inspection Shields, Lighters, Lighter Flints, Soapstone, Tip Cleaner, Tip Dip, etc.</v>
      </c>
    </row>
    <row r="6759" spans="2:2" x14ac:dyDescent="0.25">
      <c r="B6759" t="str">
        <v>895-71: Welding Equipment and Supplies, Extrusion, Plastic</v>
      </c>
    </row>
    <row r="6760" spans="2:2" x14ac:dyDescent="0.25">
      <c r="B6760" t="str">
        <v>895-72: Welding Safety Equipment</v>
      </c>
    </row>
    <row r="6761" spans="2:2" x14ac:dyDescent="0.25">
      <c r="B6761" t="str">
        <v>895-74: Welding Goggles, Helmets, Chin Straps, and Face Shields  (Inactive, please see commodity code 895-72 effective January 1, 2016)</v>
      </c>
    </row>
    <row r="6762" spans="2:2" x14ac:dyDescent="0.25">
      <c r="B6762" t="str">
        <v>895-90: Welding Electrodes, Flux, Rods, Wire, and Soldering Compounds</v>
      </c>
    </row>
    <row r="6763" spans="2:2" x14ac:dyDescent="0.25">
      <c r="B6763" t="str">
        <v>895-92: Welding Electrode Oven</v>
      </c>
    </row>
    <row r="6764" spans="2:2" x14ac:dyDescent="0.25">
      <c r="B6764" t="str">
        <v>895-94: Welding Safety Shields/Curtains/Partitions</v>
      </c>
    </row>
    <row r="6765" spans="2:2" x14ac:dyDescent="0.25">
      <c r="B6765" t="str">
        <v>895-96: Welding and Brazing Tools, Including Plasma Cutters</v>
      </c>
    </row>
    <row r="6766" spans="2:2" x14ac:dyDescent="0.25">
      <c r="B6766" t="str">
        <v>895-97: Refurbished Welding Equipment, Accessories, and Supplies</v>
      </c>
    </row>
    <row r="6767" spans="2:2" x14ac:dyDescent="0.25">
      <c r="B6767" t="str">
        <v>898-03: *Archiving System Hardware, Medical X-Ray Film</v>
      </c>
    </row>
    <row r="6768" spans="2:2" x14ac:dyDescent="0.25">
      <c r="B6768" t="str">
        <v>898-06: Cassettes, Cassette Holders, Grids, and Intensifying Screens</v>
      </c>
    </row>
    <row r="6769" spans="2:2" x14ac:dyDescent="0.25">
      <c r="B6769" t="str">
        <v>898-10: Chemicals, Developing and Processing</v>
      </c>
    </row>
    <row r="6770" spans="2:2" x14ac:dyDescent="0.25">
      <c r="B6770" t="str">
        <v>898-20: Computerized Axial Tomography (CAT) Scanning Systems</v>
      </c>
    </row>
    <row r="6771" spans="2:2" x14ac:dyDescent="0.25">
      <c r="B6771" t="str">
        <v>898-21: Computed Radiography Digitizing Equipment and Supplies</v>
      </c>
    </row>
    <row r="6772" spans="2:2" x14ac:dyDescent="0.25">
      <c r="B6772" t="str">
        <v>898-24: Daylight Stampers or Identification Printers for Medical X-Ray Film</v>
      </c>
    </row>
    <row r="6773" spans="2:2" x14ac:dyDescent="0.25">
      <c r="B6773" t="str">
        <v>898-26: Digital (filmless) Radiography Equipment and Supplies</v>
      </c>
    </row>
    <row r="6774" spans="2:2" x14ac:dyDescent="0.25">
      <c r="B6774" t="str">
        <v>898-30: Film Developing and Processing Equipment, Except Dental: Automatic Processors, Safelights, etc., Including Wet Darkroom or Daylight Type</v>
      </c>
    </row>
    <row r="6775" spans="2:2" x14ac:dyDescent="0.25">
      <c r="B6775" t="str">
        <v>898-35: Film, X-Ray, Including Dental</v>
      </c>
    </row>
    <row r="6776" spans="2:2" x14ac:dyDescent="0.25">
      <c r="B6776" t="str">
        <v>898-41: Gamma Cameras</v>
      </c>
    </row>
    <row r="6777" spans="2:2" x14ac:dyDescent="0.25">
      <c r="B6777" t="str">
        <v>898-42: Generators, X-Ray</v>
      </c>
    </row>
    <row r="6778" spans="2:2" x14ac:dyDescent="0.25">
      <c r="B6778" t="str">
        <v>898-45: Illuminators, Film Viewing Devices</v>
      </c>
    </row>
    <row r="6779" spans="2:2" x14ac:dyDescent="0.25">
      <c r="B6779" t="str">
        <v>898-46: Image Analysis Systems</v>
      </c>
    </row>
    <row r="6780" spans="2:2" x14ac:dyDescent="0.25">
      <c r="B6780" t="str">
        <v>898-47: *Magnetic Resonance Imaging Systems and Accessories (MRI)</v>
      </c>
    </row>
    <row r="6781" spans="2:2" x14ac:dyDescent="0.25">
      <c r="B6781" t="str">
        <v>898-48: Phantoms</v>
      </c>
    </row>
    <row r="6782" spans="2:2" x14ac:dyDescent="0.25">
      <c r="B6782" t="str">
        <v>898-50: Radiation Measuring Equipment: Ionization Chambers, X-Ray Film Densitometers, etc.</v>
      </c>
    </row>
    <row r="6783" spans="2:2" x14ac:dyDescent="0.25">
      <c r="B6783" t="str">
        <v>898-55: Radiation Monitoring Equipment and Shielding Materials: Badges, Dosimeters, Protective Aprons and Coats, etc. (See Also Class 490 and 593)</v>
      </c>
    </row>
    <row r="6784" spans="2:2" x14ac:dyDescent="0.25">
      <c r="B6784" t="str">
        <v>898-60: Radiation Therapy Equipment, Nuclear: Cobalt Sources, Radioactive Implants, etc.</v>
      </c>
    </row>
    <row r="6785" spans="2:2" x14ac:dyDescent="0.25">
      <c r="B6785" t="str">
        <v>898-65: Radiation Therapy Equipment and Accessories, X-Ray</v>
      </c>
    </row>
    <row r="6786" spans="2:2" x14ac:dyDescent="0.25">
      <c r="B6786" t="str">
        <v>898-67: Radiography Examination Equipment and Accessories</v>
      </c>
    </row>
    <row r="6787" spans="2:2" x14ac:dyDescent="0.25">
      <c r="B6787" t="str">
        <v>898-68: Recycled X-Ray and Radiological Equipment, Accessories and Supplies</v>
      </c>
    </row>
    <row r="6788" spans="2:2" x14ac:dyDescent="0.25">
      <c r="B6788" t="str">
        <v>898-70: Radiological Furniture: Cabinets, Files, Tables, etc.</v>
      </c>
    </row>
    <row r="6789" spans="2:2" x14ac:dyDescent="0.25">
      <c r="B6789" t="str">
        <v>898-74: Ultrasonic Imaging Systems: Echocardiographs, etc.</v>
      </c>
    </row>
    <row r="6790" spans="2:2" x14ac:dyDescent="0.25">
      <c r="B6790" t="str">
        <v>898-78: Radiological Equipment and Accessories (Not Otherwise Classified)</v>
      </c>
    </row>
    <row r="6791" spans="2:2" x14ac:dyDescent="0.25">
      <c r="B6791" t="str">
        <v>898-80: X-Ray Machines, Diagnostic, Except Dental, Including Parts and Accessories</v>
      </c>
    </row>
    <row r="6792" spans="2:2" x14ac:dyDescent="0.25">
      <c r="B6792" t="str">
        <v>898-90: X-Ray Supplies: Film Hangers and Holders, Labels, Markers and Mounts</v>
      </c>
    </row>
    <row r="6793" spans="2:2" x14ac:dyDescent="0.25">
      <c r="B6793" t="str">
        <v>905-03: Aerial Patrolling Services, Not Survey</v>
      </c>
    </row>
    <row r="6794" spans="2:2" x14ac:dyDescent="0.25">
      <c r="B6794" t="str">
        <v>905-04: *Aerial Photogrammetry Services</v>
      </c>
    </row>
    <row r="6795" spans="2:2" x14ac:dyDescent="0.25">
      <c r="B6795" t="str">
        <v>905-05: *Aerial Photography and Videography Services, Including Drones</v>
      </c>
    </row>
    <row r="6796" spans="2:2" x14ac:dyDescent="0.25">
      <c r="B6796" t="str">
        <v>905-10: *Aerial Surveys and Mapping Services (See 962-52 for Standard Survey and Mapping Services)</v>
      </c>
    </row>
    <row r="6797" spans="2:2" x14ac:dyDescent="0.25">
      <c r="B6797" t="str">
        <v>905-11: Aircraft Painting Services</v>
      </c>
    </row>
    <row r="6798" spans="2:2" x14ac:dyDescent="0.25">
      <c r="B6798" t="str">
        <v>905-12: Aircraft Crash Removal Services</v>
      </c>
    </row>
    <row r="6799" spans="2:2" x14ac:dyDescent="0.25">
      <c r="B6799" t="str">
        <v>905-13: Aircraft Washing, Waxing and Polishing Services</v>
      </c>
    </row>
    <row r="6800" spans="2:2" x14ac:dyDescent="0.25">
      <c r="B6800" t="str">
        <v>905-14: Airplane and Helicopter Services (Not Otherwise Classified)</v>
      </c>
    </row>
    <row r="6801" spans="2:2" x14ac:dyDescent="0.25">
      <c r="B6801" t="str">
        <v>905-15: Aircraft Refurbishing, Soundproofing, etc. Services</v>
      </c>
    </row>
    <row r="6802" spans="2:2" x14ac:dyDescent="0.25">
      <c r="B6802" t="str">
        <v>905-16: Airplanes, Helicopters and Accessories Maintenance and Repair Services</v>
      </c>
    </row>
    <row r="6803" spans="2:2" x14ac:dyDescent="0.25">
      <c r="B6803" t="str">
        <v>905-17: Airport Ground Handling Services</v>
      </c>
    </row>
    <row r="6804" spans="2:2" x14ac:dyDescent="0.25">
      <c r="B6804" t="str">
        <v>905-18: Airport Runway Friction Testing Services</v>
      </c>
    </row>
    <row r="6805" spans="2:2" x14ac:dyDescent="0.25">
      <c r="B6805" t="str">
        <v>905-19: Air Cargo Services: Developers, Operators, etc.</v>
      </c>
    </row>
    <row r="6806" spans="2:2" x14ac:dyDescent="0.25">
      <c r="B6806" t="str">
        <v>905-20: Air Rescue and Transfer Services, Patients</v>
      </c>
    </row>
    <row r="6807" spans="2:2" x14ac:dyDescent="0.25">
      <c r="B6807" t="str">
        <v>905-26: Air Traffic Control Services</v>
      </c>
    </row>
    <row r="6808" spans="2:2" x14ac:dyDescent="0.25">
      <c r="B6808" t="str">
        <v>905-28: Aviation Analytical Studies Services, Including Surveys (See 918-12 for Consulting)</v>
      </c>
    </row>
    <row r="6809" spans="2:2" x14ac:dyDescent="0.25">
      <c r="B6809" t="str">
        <v>905-31: Concessions, Airport: Art Gallery</v>
      </c>
    </row>
    <row r="6810" spans="2:2" x14ac:dyDescent="0.25">
      <c r="B6810" t="str">
        <v>905-32: Concessions, Airport: Business Center</v>
      </c>
    </row>
    <row r="6811" spans="2:2" x14ac:dyDescent="0.25">
      <c r="B6811" t="str">
        <v>905-33: Concessions, Airport: Currency Exchange</v>
      </c>
    </row>
    <row r="6812" spans="2:2" x14ac:dyDescent="0.25">
      <c r="B6812" t="str">
        <v>905-34: Concessions, Airport: Food</v>
      </c>
    </row>
    <row r="6813" spans="2:2" x14ac:dyDescent="0.25">
      <c r="B6813" t="str">
        <v>905-35: Concessions, Airport: Gift Shops, Specialties</v>
      </c>
    </row>
    <row r="6814" spans="2:2" x14ac:dyDescent="0.25">
      <c r="B6814" t="str">
        <v>905-36: Concessions, Airport: Miscellaneous</v>
      </c>
    </row>
    <row r="6815" spans="2:2" x14ac:dyDescent="0.25">
      <c r="B6815" t="str">
        <v>905-37: Concessions, Airport: Pay Telephone</v>
      </c>
    </row>
    <row r="6816" spans="2:2" x14ac:dyDescent="0.25">
      <c r="B6816" t="str">
        <v>905-38: Deicing Fluid Recovery Services, Aircraft</v>
      </c>
    </row>
    <row r="6817" spans="2:2" x14ac:dyDescent="0.25">
      <c r="B6817" t="str">
        <v>905-41: Dusting and Seeding Services, Crop, Aerial</v>
      </c>
    </row>
    <row r="6818" spans="2:2" x14ac:dyDescent="0.25">
      <c r="B6818" t="str">
        <v>905-47: Falconry Services (See 910-59 for other Bird Proofing Services)</v>
      </c>
    </row>
    <row r="6819" spans="2:2" x14ac:dyDescent="0.25">
      <c r="B6819" t="str">
        <v>905-50: *Paging System Services, Airport</v>
      </c>
    </row>
    <row r="6820" spans="2:2" x14ac:dyDescent="0.25">
      <c r="B6820" t="str">
        <v>905-53: Pilot Training Services</v>
      </c>
    </row>
    <row r="6821" spans="2:2" x14ac:dyDescent="0.25">
      <c r="B6821" t="str">
        <v>905-59: Radio Frequency Access Services</v>
      </c>
    </row>
    <row r="6822" spans="2:2" x14ac:dyDescent="0.25">
      <c r="B6822" t="str">
        <v>905-60: Removal of Rubber Deposits from Runways</v>
      </c>
    </row>
    <row r="6823" spans="2:2" x14ac:dyDescent="0.25">
      <c r="B6823" t="str">
        <v>905-66: Runway Grooving Services, Airport</v>
      </c>
    </row>
    <row r="6824" spans="2:2" x14ac:dyDescent="0.25">
      <c r="B6824" t="str">
        <v>905-67: Runway Services (Not Otherwise Classified)</v>
      </c>
    </row>
    <row r="6825" spans="2:2" x14ac:dyDescent="0.25">
      <c r="B6825" t="str">
        <v>905-68: Security Screening Services, Personnel</v>
      </c>
    </row>
    <row r="6826" spans="2:2" x14ac:dyDescent="0.25">
      <c r="B6826" t="str">
        <v>905-69: Signage Services, Aircraft and Airport</v>
      </c>
    </row>
    <row r="6827" spans="2:2" x14ac:dyDescent="0.25">
      <c r="B6827" t="str">
        <v>905-70: Storage Space Services, Not Building Lease, Aircraft</v>
      </c>
    </row>
    <row r="6828" spans="2:2" x14ac:dyDescent="0.25">
      <c r="B6828" t="str">
        <v>905-71: Spacecraft Cargo Transport Services</v>
      </c>
    </row>
    <row r="6829" spans="2:2" x14ac:dyDescent="0.25">
      <c r="B6829" t="str">
        <v>905-72: Spacecraft Services (Not Otherwise Classified)</v>
      </c>
    </row>
    <row r="6830" spans="2:2" x14ac:dyDescent="0.25">
      <c r="B6830" t="str">
        <v>905-80: Traveler's Assistance Services</v>
      </c>
    </row>
    <row r="6831" spans="2:2" x14ac:dyDescent="0.25">
      <c r="B6831" t="str">
        <v>905-90: Waste Disposal Services, Aircraft</v>
      </c>
    </row>
    <row r="6832" spans="2:2" x14ac:dyDescent="0.25">
      <c r="B6832" t="str">
        <v>906-02: Acoustics, Noise Abatement, Architectural Services</v>
      </c>
    </row>
    <row r="6833" spans="2:2" x14ac:dyDescent="0.25">
      <c r="B6833" t="str">
        <v>906-04: Agricultural Development, Architectural Services</v>
      </c>
    </row>
    <row r="6834" spans="2:2" x14ac:dyDescent="0.25">
      <c r="B6834" t="str">
        <v>906-06: Airports, Lighting, Fueling, Navaids, Architectural Services</v>
      </c>
    </row>
    <row r="6835" spans="2:2" x14ac:dyDescent="0.25">
      <c r="B6835" t="str">
        <v>906-07: Architect Services, Professional, (Not Otherwise Classified), Including Consulting</v>
      </c>
    </row>
    <row r="6836" spans="2:2" x14ac:dyDescent="0.25">
      <c r="B6836" t="str">
        <v>906-08: Automation; Controls; Instrumentation, Architectural Services</v>
      </c>
    </row>
    <row r="6837" spans="2:2" x14ac:dyDescent="0.25">
      <c r="B6837" t="str">
        <v>906-10: Buildings, Architectural Design Services</v>
      </c>
    </row>
    <row r="6838" spans="2:2" x14ac:dyDescent="0.25">
      <c r="B6838" t="str">
        <v>906-12: Building Sanitation, Architectural Services</v>
      </c>
    </row>
    <row r="6839" spans="2:2" x14ac:dyDescent="0.25">
      <c r="B6839" t="str">
        <v>906-14: Cemeteries, Planning and Relocation, Architectural Services</v>
      </c>
    </row>
    <row r="6840" spans="2:2" x14ac:dyDescent="0.25">
      <c r="B6840" t="str">
        <v>906-16: Chemical Processing and Storage, Architectural Services</v>
      </c>
    </row>
    <row r="6841" spans="2:2" x14ac:dyDescent="0.25">
      <c r="B6841" t="str">
        <v>906-18: Cold Storage; Refrigeration; Fast Freeze, Architectural Services</v>
      </c>
    </row>
    <row r="6842" spans="2:2" x14ac:dyDescent="0.25">
      <c r="B6842" t="str">
        <v>906-19: Concrete, Architectural Services</v>
      </c>
    </row>
    <row r="6843" spans="2:2" x14ac:dyDescent="0.25">
      <c r="B6843" t="str">
        <v>906-22: Corrosion Control; Cathodic Protection; Electrolysis, Architectural Services</v>
      </c>
    </row>
    <row r="6844" spans="2:2" x14ac:dyDescent="0.25">
      <c r="B6844" t="str">
        <v>906-24: Desalinization, Process and Facilities, Architectural Services</v>
      </c>
    </row>
    <row r="6845" spans="2:2" x14ac:dyDescent="0.25">
      <c r="B6845" t="str">
        <v>906-25: Design Build, Architectural Services (Inactive, effective January 1, 2016)</v>
      </c>
    </row>
    <row r="6846" spans="2:2" x14ac:dyDescent="0.25">
      <c r="B6846" t="str">
        <v>906-26: Electronics, Architectural Services</v>
      </c>
    </row>
    <row r="6847" spans="2:2" x14ac:dyDescent="0.25">
      <c r="B6847" t="str">
        <v>906-27: Energy Management, Architectural Services</v>
      </c>
    </row>
    <row r="6848" spans="2:2" x14ac:dyDescent="0.25">
      <c r="B6848" t="str">
        <v>906-28: Energy Conservation; New Energy Sources, Solar, etc., Architectural Services</v>
      </c>
    </row>
    <row r="6849" spans="2:2" x14ac:dyDescent="0.25">
      <c r="B6849" t="str">
        <v>906-29: Environmental and Energy, Architectural Services</v>
      </c>
    </row>
    <row r="6850" spans="2:2" x14ac:dyDescent="0.25">
      <c r="B6850" t="str">
        <v>906-30: Fire Protection, Architectural Services</v>
      </c>
    </row>
    <row r="6851" spans="2:2" x14ac:dyDescent="0.25">
      <c r="B6851" t="str">
        <v>906-32: Fisheries; Fish Ladders, Architectural Services</v>
      </c>
    </row>
    <row r="6852" spans="2:2" x14ac:dyDescent="0.25">
      <c r="B6852" t="str">
        <v>906-33: Forensic, Architectural Services</v>
      </c>
    </row>
    <row r="6853" spans="2:2" x14ac:dyDescent="0.25">
      <c r="B6853" t="str">
        <v>906-34: Freight Handling; Materials Handling, Architectural Services</v>
      </c>
    </row>
    <row r="6854" spans="2:2" x14ac:dyDescent="0.25">
      <c r="B6854" t="str">
        <v>906-36: Gas Systems, Propane, Natural, etc., Architectural Services</v>
      </c>
    </row>
    <row r="6855" spans="2:2" x14ac:dyDescent="0.25">
      <c r="B6855" t="str">
        <v>906-38: General Construction, Architectural Services</v>
      </c>
    </row>
    <row r="6856" spans="2:2" x14ac:dyDescent="0.25">
      <c r="B6856" t="str">
        <v>906-40: Graphic Design, Architectural Services</v>
      </c>
    </row>
    <row r="6857" spans="2:2" x14ac:dyDescent="0.25">
      <c r="B6857" t="str">
        <v>906-42: Harbors; Jetties; Piers; Ship Terminal Facilities, Architectural Services</v>
      </c>
    </row>
    <row r="6858" spans="2:2" x14ac:dyDescent="0.25">
      <c r="B6858" t="str">
        <v>906-44: Heating; Ventilating; Air Conditioning, Architectural Services</v>
      </c>
    </row>
    <row r="6859" spans="2:2" x14ac:dyDescent="0.25">
      <c r="B6859" t="str">
        <v>906-46: Highways; Streets; Airport Pay-Parking Lots, Architectural Services</v>
      </c>
    </row>
    <row r="6860" spans="2:2" x14ac:dyDescent="0.25">
      <c r="B6860" t="str">
        <v>906-48: Historical Preservation</v>
      </c>
    </row>
    <row r="6861" spans="2:2" x14ac:dyDescent="0.25">
      <c r="B6861" t="str">
        <v>906-50: Industrial Processes; Quality Control (Inactive, effective January 1, 2016)</v>
      </c>
    </row>
    <row r="6862" spans="2:2" x14ac:dyDescent="0.25">
      <c r="B6862" t="str">
        <v>906-52: Interior Design, Decorating, Space Planning, Exhibits and Displays</v>
      </c>
    </row>
    <row r="6863" spans="2:2" x14ac:dyDescent="0.25">
      <c r="B6863" t="str">
        <v>906-54: Irrigation; Drainage; Flood Control, Architectural Services</v>
      </c>
    </row>
    <row r="6864" spans="2:2" x14ac:dyDescent="0.25">
      <c r="B6864" t="str">
        <v>906-56: Landscape, Architectural Services</v>
      </c>
    </row>
    <row r="6865" spans="2:2" x14ac:dyDescent="0.25">
      <c r="B6865" t="str">
        <v>906-57: Land Development and Planning, Architectural Services</v>
      </c>
    </row>
    <row r="6866" spans="2:2" x14ac:dyDescent="0.25">
      <c r="B6866" t="str">
        <v>906-58: Lighting, Interior, Exterior, Architectural Services</v>
      </c>
    </row>
    <row r="6867" spans="2:2" x14ac:dyDescent="0.25">
      <c r="B6867" t="str">
        <v>906-60: Mining and Mineralogy, Architectural Services</v>
      </c>
    </row>
    <row r="6868" spans="2:2" x14ac:dyDescent="0.25">
      <c r="B6868" t="str">
        <v>906-61: Models of Layouts and Buildings to Scale, Architectural Services</v>
      </c>
    </row>
    <row r="6869" spans="2:2" x14ac:dyDescent="0.25">
      <c r="B6869" t="str">
        <v>906-62: Petroleum and Fuel, Storage and Distribution, Architectural Services</v>
      </c>
    </row>
    <row r="6870" spans="2:2" x14ac:dyDescent="0.25">
      <c r="B6870" t="str">
        <v>906-64: Planning, Urban, Community, Regional, Area wide, and State</v>
      </c>
    </row>
    <row r="6871" spans="2:2" x14ac:dyDescent="0.25">
      <c r="B6871" t="str">
        <v>906-66: Planning, Site, Installation and Project</v>
      </c>
    </row>
    <row r="6872" spans="2:2" x14ac:dyDescent="0.25">
      <c r="B6872" t="str">
        <v>906-68: Power Generation, Transmission, Distribution, Architectural Services</v>
      </c>
    </row>
    <row r="6873" spans="2:2" x14ac:dyDescent="0.25">
      <c r="B6873" t="str">
        <v>906-69: Correctional Facilities, Architectural Design Services</v>
      </c>
    </row>
    <row r="6874" spans="2:2" x14ac:dyDescent="0.25">
      <c r="B6874" t="str">
        <v>906-70: Railroad; Rapid Transit; Monorail, Architectural Services</v>
      </c>
    </row>
    <row r="6875" spans="2:2" x14ac:dyDescent="0.25">
      <c r="B6875" t="str">
        <v>906-72: Recreation Facilities, Parks, Marinas, etc., Architectural Services</v>
      </c>
    </row>
    <row r="6876" spans="2:2" x14ac:dyDescent="0.25">
      <c r="B6876" t="str">
        <v>906-74: Recycling Systems, Architectural Services</v>
      </c>
    </row>
    <row r="6877" spans="2:2" x14ac:dyDescent="0.25">
      <c r="B6877" t="str">
        <v>906-78: Security Systems; Intruder and Smoke Detection, Architectural Services</v>
      </c>
    </row>
    <row r="6878" spans="2:2" x14ac:dyDescent="0.25">
      <c r="B6878" t="str">
        <v>906-80: Sewage Collection, Treatment, and Disposal, Architectural Services</v>
      </c>
    </row>
    <row r="6879" spans="2:2" x14ac:dyDescent="0.25">
      <c r="B6879" t="str">
        <v>906-82: Solid Waste Disposal Systems, Architectural Services</v>
      </c>
    </row>
    <row r="6880" spans="2:2" x14ac:dyDescent="0.25">
      <c r="B6880" t="str">
        <v>906-83: Sports Facility, Architectural Services</v>
      </c>
    </row>
    <row r="6881" spans="2:2" x14ac:dyDescent="0.25">
      <c r="B6881" t="str">
        <v>906-84: *Telecommunications Systems, Telephone, Cellular, Radio, etc., Architectural Services</v>
      </c>
    </row>
    <row r="6882" spans="2:2" x14ac:dyDescent="0.25">
      <c r="B6882" t="str">
        <v>906-88: Towers, Architectural Services</v>
      </c>
    </row>
    <row r="6883" spans="2:2" x14ac:dyDescent="0.25">
      <c r="B6883" t="str">
        <v>906-90: Tunnels and Subways, Architectural Services</v>
      </c>
    </row>
    <row r="6884" spans="2:2" x14ac:dyDescent="0.25">
      <c r="B6884" t="str">
        <v>906-92: Utilities, Gas, Steam, Electric, Architectural Services</v>
      </c>
    </row>
    <row r="6885" spans="2:2" x14ac:dyDescent="0.25">
      <c r="B6885" t="str">
        <v>906-93: Video and Audio Systems Design, Architectural Services (Inactive, please see commodity code 906-26 effective January 1, 2016)</v>
      </c>
    </row>
    <row r="6886" spans="2:2" x14ac:dyDescent="0.25">
      <c r="B6886" t="str">
        <v>906-94: Water Supply, Treatment and Distribution, Architectural Services</v>
      </c>
    </row>
    <row r="6887" spans="2:2" x14ac:dyDescent="0.25">
      <c r="B6887" t="str">
        <v>907-14: Architectural Services, Non-Licensed (Not Otherwise Classified)</v>
      </c>
    </row>
    <row r="6888" spans="2:2" x14ac:dyDescent="0.25">
      <c r="B6888" t="str">
        <v>907-28: *Communications Systems; TV, Microwave, Telephone, Computer, Network</v>
      </c>
    </row>
    <row r="6889" spans="2:2" x14ac:dyDescent="0.25">
      <c r="B6889" t="str">
        <v>907-35: *Design Services</v>
      </c>
    </row>
    <row r="6890" spans="2:2" x14ac:dyDescent="0.25">
      <c r="B6890" t="str">
        <v>907-38: Drafting Services</v>
      </c>
    </row>
    <row r="6891" spans="2:2" x14ac:dyDescent="0.25">
      <c r="B6891" t="str">
        <v>907-40: *Engineering Services, Non-Licensed (Not Otherwise Classified), Including Consulting</v>
      </c>
    </row>
    <row r="6892" spans="2:2" x14ac:dyDescent="0.25">
      <c r="B6892" t="str">
        <v>907-42: Geotechnical - Soils</v>
      </c>
    </row>
    <row r="6893" spans="2:2" x14ac:dyDescent="0.25">
      <c r="B6893" t="str">
        <v>907-72: Safety Engineering and Accident Studies; OSHA Studies</v>
      </c>
    </row>
    <row r="6894" spans="2:2" x14ac:dyDescent="0.25">
      <c r="B6894" t="str">
        <v>907-75: *Site Assessment and Site Field Observation</v>
      </c>
    </row>
    <row r="6895" spans="2:2" x14ac:dyDescent="0.25">
      <c r="B6895" t="str">
        <v>907-83: *Testing Services</v>
      </c>
    </row>
    <row r="6896" spans="2:2" x14ac:dyDescent="0.25">
      <c r="B6896" t="str">
        <v>908-10: Bookbinding Services, Custom</v>
      </c>
    </row>
    <row r="6897" spans="2:2" x14ac:dyDescent="0.25">
      <c r="B6897" t="str">
        <v>908-12: Bookbinding Services, Glued or Paste Type</v>
      </c>
    </row>
    <row r="6898" spans="2:2" x14ac:dyDescent="0.25">
      <c r="B6898" t="str">
        <v>908-15: Bookbinding Services, Perfect, Paperback Book Type</v>
      </c>
    </row>
    <row r="6899" spans="2:2" x14ac:dyDescent="0.25">
      <c r="B6899" t="str">
        <v>908-17: Bookbinding Services, Saddle Stitched</v>
      </c>
    </row>
    <row r="6900" spans="2:2" x14ac:dyDescent="0.25">
      <c r="B6900" t="str">
        <v>908-20: Bookbinding Services, Sewed Cross Stitched, Library Quality, Rebinding, and Repairing: Library Books, Text Books, etc.</v>
      </c>
    </row>
    <row r="6901" spans="2:2" x14ac:dyDescent="0.25">
      <c r="B6901" t="str">
        <v>908-22: Bookbinding, Spiral</v>
      </c>
    </row>
    <row r="6902" spans="2:2" x14ac:dyDescent="0.25">
      <c r="B6902" t="str">
        <v>908-35: Headbands Installed</v>
      </c>
    </row>
    <row r="6903" spans="2:2" x14ac:dyDescent="0.25">
      <c r="B6903" t="str">
        <v>908-45: Magazine Binding, Sewed, Rebinding, and Repairing</v>
      </c>
    </row>
    <row r="6904" spans="2:2" x14ac:dyDescent="0.25">
      <c r="B6904" t="str">
        <v>908-50: Manuscript Binding, Sewed</v>
      </c>
    </row>
    <row r="6905" spans="2:2" x14ac:dyDescent="0.25">
      <c r="B6905" t="str">
        <v>908-55: Newspaper Binding, Sewed, Rebinding, and Repairing</v>
      </c>
    </row>
    <row r="6906" spans="2:2" x14ac:dyDescent="0.25">
      <c r="B6906" t="str">
        <v>908-65: Special Work and Repairing: Special Treatment of Rare Volumes, Rebacking of Old Volumes, etc.</v>
      </c>
    </row>
    <row r="6907" spans="2:2" x14ac:dyDescent="0.25">
      <c r="B6907" t="str">
        <v>908-75: Thesis Binding, Sewed</v>
      </c>
    </row>
    <row r="6908" spans="2:2" x14ac:dyDescent="0.25">
      <c r="B6908" t="str">
        <v>909-03: Administration of Contracts: Summary of Work, Quality Control, Project Closeout, etc.</v>
      </c>
    </row>
    <row r="6909" spans="2:2" x14ac:dyDescent="0.25">
      <c r="B6909" t="str">
        <v>909-10: Airport Facility Construction</v>
      </c>
    </row>
    <row r="6910" spans="2:2" x14ac:dyDescent="0.25">
      <c r="B6910" t="str">
        <v>909-11: Airport Facility Maintenance and Repair</v>
      </c>
    </row>
    <row r="6911" spans="2:2" x14ac:dyDescent="0.25">
      <c r="B6911" t="str">
        <v>909-16: Athletic Facility Construction</v>
      </c>
    </row>
    <row r="6912" spans="2:2" x14ac:dyDescent="0.25">
      <c r="B6912" t="str">
        <v>909-17: Athletic Facility Maintenance and Repair</v>
      </c>
    </row>
    <row r="6913" spans="2:2" x14ac:dyDescent="0.25">
      <c r="B6913" t="str">
        <v>909-21: Building Construction, Industrial, Warehouse, etc.</v>
      </c>
    </row>
    <row r="6914" spans="2:2" x14ac:dyDescent="0.25">
      <c r="B6914" t="str">
        <v>909-22: Building Construction, Non-Residential, Office Bldg., etc.</v>
      </c>
    </row>
    <row r="6915" spans="2:2" x14ac:dyDescent="0.25">
      <c r="B6915" t="str">
        <v>909-23: Building Construction, Residential, Apartments, etc.</v>
      </c>
    </row>
    <row r="6916" spans="2:2" x14ac:dyDescent="0.25">
      <c r="B6916" t="str">
        <v>909-24: Building Construction, Commercial and Institutional</v>
      </c>
    </row>
    <row r="6917" spans="2:2" x14ac:dyDescent="0.25">
      <c r="B6917" t="str">
        <v>909-25: Building Construction, Prefabricated, All Types</v>
      </c>
    </row>
    <row r="6918" spans="2:2" x14ac:dyDescent="0.25">
      <c r="B6918" t="str">
        <v>909-26: Building Construction, Agricultural</v>
      </c>
    </row>
    <row r="6919" spans="2:2" x14ac:dyDescent="0.25">
      <c r="B6919" t="str">
        <v>909-27: Building Construction, Educational</v>
      </c>
    </row>
    <row r="6920" spans="2:2" x14ac:dyDescent="0.25">
      <c r="B6920" t="str">
        <v>909-28: Building Construction, Medical</v>
      </c>
    </row>
    <row r="6921" spans="2:2" x14ac:dyDescent="0.25">
      <c r="B6921" t="str">
        <v>909-29: Building Construction, Religious</v>
      </c>
    </row>
    <row r="6922" spans="2:2" x14ac:dyDescent="0.25">
      <c r="B6922" t="str">
        <v>909-30: Building Construction, (Not Otherwise Classified)</v>
      </c>
    </row>
    <row r="6923" spans="2:2" x14ac:dyDescent="0.25">
      <c r="B6923" t="str">
        <v>909-31: Building Construction, Sustainable, Green</v>
      </c>
    </row>
    <row r="6924" spans="2:2" x14ac:dyDescent="0.25">
      <c r="B6924" t="str">
        <v>909-33: Contractor Compliance Monitoring Services</v>
      </c>
    </row>
    <row r="6925" spans="2:2" x14ac:dyDescent="0.25">
      <c r="B6925" t="str">
        <v>909-34: Conveying Systems: Elevators, Lifts, etc.</v>
      </c>
    </row>
    <row r="6926" spans="2:2" x14ac:dyDescent="0.25">
      <c r="B6926" t="str">
        <v>909-37: Doors and Windows</v>
      </c>
    </row>
    <row r="6927" spans="2:2" x14ac:dyDescent="0.25">
      <c r="B6927" t="str">
        <v>909-45: Finishes, Flooring, Wall and Ceiling, etc.</v>
      </c>
    </row>
    <row r="6928" spans="2:2" x14ac:dyDescent="0.25">
      <c r="B6928" t="str">
        <v>909-48: Furnishings: Artwork, Cabinets, Furniture, Window Treatments, etc.</v>
      </c>
    </row>
    <row r="6929" spans="2:2" x14ac:dyDescent="0.25">
      <c r="B6929" t="str">
        <v>909-54: Home Construction, Single Family</v>
      </c>
    </row>
    <row r="6930" spans="2:2" x14ac:dyDescent="0.25">
      <c r="B6930" t="str">
        <v>909-57: Land Development and Sub-Division Services</v>
      </c>
    </row>
    <row r="6931" spans="2:2" x14ac:dyDescent="0.25">
      <c r="B6931" t="str">
        <v>909-60: Maintenance and Repair, Industrial Building</v>
      </c>
    </row>
    <row r="6932" spans="2:2" x14ac:dyDescent="0.25">
      <c r="B6932" t="str">
        <v>909-61: Maintenance and Repair, Non-Residential Building</v>
      </c>
    </row>
    <row r="6933" spans="2:2" x14ac:dyDescent="0.25">
      <c r="B6933" t="str">
        <v>909-62: Maintenance and Repair, Residential Buildings, Including Single Family Homes and Apartments</v>
      </c>
    </row>
    <row r="6934" spans="2:2" x14ac:dyDescent="0.25">
      <c r="B6934" t="str">
        <v>909-63: Maintenance and Repair, Commercial and Institutional Building</v>
      </c>
    </row>
    <row r="6935" spans="2:2" x14ac:dyDescent="0.25">
      <c r="B6935" t="str">
        <v>909-64: Maintenance and Repair, Agricultural Building</v>
      </c>
    </row>
    <row r="6936" spans="2:2" x14ac:dyDescent="0.25">
      <c r="B6936" t="str">
        <v>909-66: Maintenance and Repair, Educational Building</v>
      </c>
    </row>
    <row r="6937" spans="2:2" x14ac:dyDescent="0.25">
      <c r="B6937" t="str">
        <v>909-67: Maintenance and Repair, Medical Building</v>
      </c>
    </row>
    <row r="6938" spans="2:2" x14ac:dyDescent="0.25">
      <c r="B6938" t="str">
        <v>909-68: Maintenance and Repair, Religious Building</v>
      </c>
    </row>
    <row r="6939" spans="2:2" x14ac:dyDescent="0.25">
      <c r="B6939" t="str">
        <v>909-74: Site Clean-up, Pre-Contruction</v>
      </c>
    </row>
    <row r="6940" spans="2:2" x14ac:dyDescent="0.25">
      <c r="B6940" t="str">
        <v>909-75: Site Clean-up, Post-Construction</v>
      </c>
    </row>
    <row r="6941" spans="2:2" x14ac:dyDescent="0.25">
      <c r="B6941" t="str">
        <v>909-76: Site Work</v>
      </c>
    </row>
    <row r="6942" spans="2:2" x14ac:dyDescent="0.25">
      <c r="B6942" t="str">
        <v>909-77: Special Construction: Observatory, Security, Special Rooms, etc.</v>
      </c>
    </row>
    <row r="6943" spans="2:2" x14ac:dyDescent="0.25">
      <c r="B6943" t="str">
        <v>909-79: Specialties: Chalkboards, Fireplace, Storage, etc.</v>
      </c>
    </row>
    <row r="6944" spans="2:2" x14ac:dyDescent="0.25">
      <c r="B6944" t="str">
        <v>909-80: Special Equipment: Bank Vaults, Darkrooms, etc.</v>
      </c>
    </row>
    <row r="6945" spans="2:2" x14ac:dyDescent="0.25">
      <c r="B6945" t="str">
        <v>909-84: Thermal and Moisture Protection Services</v>
      </c>
    </row>
    <row r="6946" spans="2:2" x14ac:dyDescent="0.25">
      <c r="B6946" t="str">
        <v>910-01: Acoustical Ceilings and Walls: Cleaning, Installation, Restoration, Maintenance and Repair Services, Including Panel Wall Systems</v>
      </c>
    </row>
    <row r="6947" spans="2:2" x14ac:dyDescent="0.25">
      <c r="B6947" t="str">
        <v>910-02: Background Music Maintenance and Repair Services</v>
      </c>
    </row>
    <row r="6948" spans="2:2" x14ac:dyDescent="0.25">
      <c r="B6948" t="str">
        <v>910-03: Building Cleaning Services, Exterior</v>
      </c>
    </row>
    <row r="6949" spans="2:2" x14ac:dyDescent="0.25">
      <c r="B6949" t="str">
        <v>910-04: Air Duct Cleaning Services</v>
      </c>
    </row>
    <row r="6950" spans="2:2" x14ac:dyDescent="0.25">
      <c r="B6950" t="str">
        <v>910-05: Building and House Leveling Services</v>
      </c>
    </row>
    <row r="6951" spans="2:2" x14ac:dyDescent="0.25">
      <c r="B6951" t="str">
        <v>910-06: Carpentry Maintenance and Repair Services</v>
      </c>
    </row>
    <row r="6952" spans="2:2" x14ac:dyDescent="0.25">
      <c r="B6952" t="str">
        <v>910-07: Chute Installation Services</v>
      </c>
    </row>
    <row r="6953" spans="2:2" x14ac:dyDescent="0.25">
      <c r="B6953" t="str">
        <v>910-08: Concrete Raising and Undersealing Services</v>
      </c>
    </row>
    <row r="6954" spans="2:2" x14ac:dyDescent="0.25">
      <c r="B6954" t="str">
        <v>910-09: Carpet Cleaning, Dyeing, Installation and Repair Services</v>
      </c>
    </row>
    <row r="6955" spans="2:2" x14ac:dyDescent="0.25">
      <c r="B6955" t="str">
        <v>910-10: Chimney Installation, Maintenance and Repair Services</v>
      </c>
    </row>
    <row r="6956" spans="2:2" x14ac:dyDescent="0.25">
      <c r="B6956" t="str">
        <v>910-11: Drapery and Curtain Installation, Maintenance and Repair Services</v>
      </c>
    </row>
    <row r="6957" spans="2:2" x14ac:dyDescent="0.25">
      <c r="B6957" t="str">
        <v>910-12: Drapery and Curtain Fabrication Services</v>
      </c>
    </row>
    <row r="6958" spans="2:2" x14ac:dyDescent="0.25">
      <c r="B6958" t="str">
        <v>910-13: Elevator Installation, Maintenance, Repair and Inspection Services</v>
      </c>
    </row>
    <row r="6959" spans="2:2" x14ac:dyDescent="0.25">
      <c r="B6959" t="str">
        <v>910-14: Door Installation, Metal, Maintenance and Repair Services</v>
      </c>
    </row>
    <row r="6960" spans="2:2" x14ac:dyDescent="0.25">
      <c r="B6960" t="str">
        <v>910-15: Door Installation, Wood, Maintenance and Repair Services</v>
      </c>
    </row>
    <row r="6961" spans="2:2" x14ac:dyDescent="0.25">
      <c r="B6961" t="str">
        <v>910-16: Energy Conservation Services, Including Audits</v>
      </c>
    </row>
    <row r="6962" spans="2:2" x14ac:dyDescent="0.25">
      <c r="B6962" t="str">
        <v>910-17: Energy Computerized Control System, HVAC, Lighting, Utilities, etc., Installation, Maintenance and Repair Services</v>
      </c>
    </row>
    <row r="6963" spans="2:2" x14ac:dyDescent="0.25">
      <c r="B6963" t="str">
        <v>910-18: Energy Systems, Solar, Installation Services (Inactive, please see commodity code 939-38 effective January 1, 2016)</v>
      </c>
    </row>
    <row r="6964" spans="2:2" x14ac:dyDescent="0.25">
      <c r="B6964" t="str">
        <v>910-20: Escalator and Moving Walkway, Installation, Maintenance and Repair Services</v>
      </c>
    </row>
    <row r="6965" spans="2:2" x14ac:dyDescent="0.25">
      <c r="B6965" t="str">
        <v>910-22: Fireproofing Services, Spray-On Type</v>
      </c>
    </row>
    <row r="6966" spans="2:2" x14ac:dyDescent="0.25">
      <c r="B6966" t="str">
        <v>910-23: Firestop Systems, Including Installation and Fireproofing Services</v>
      </c>
    </row>
    <row r="6967" spans="2:2" x14ac:dyDescent="0.25">
      <c r="B6967" t="str">
        <v>910-24: Fire and or Water Damage Restoration Services</v>
      </c>
    </row>
    <row r="6968" spans="2:2" x14ac:dyDescent="0.25">
      <c r="B6968" t="str">
        <v>910-25: Flooring Maintenance and Repair, Including Refinishing and Sealing Services</v>
      </c>
    </row>
    <row r="6969" spans="2:2" x14ac:dyDescent="0.25">
      <c r="B6969" t="str">
        <v>910-26: Furnace Maintenance and Repair Services</v>
      </c>
    </row>
    <row r="6970" spans="2:2" x14ac:dyDescent="0.25">
      <c r="B6970" t="str">
        <v>910-27: Garbage and Trash Removal, Disposal and or Treatment Services</v>
      </c>
    </row>
    <row r="6971" spans="2:2" x14ac:dyDescent="0.25">
      <c r="B6971" t="str">
        <v>910-30: Glass Replacement, Maintenance and Repair Services</v>
      </c>
    </row>
    <row r="6972" spans="2:2" x14ac:dyDescent="0.25">
      <c r="B6972" t="str">
        <v>910-36: Heating, Air Conditioning, and Ventilation Maintenance, Repair and Installation Services</v>
      </c>
    </row>
    <row r="6973" spans="2:2" x14ac:dyDescent="0.25">
      <c r="B6973" t="str">
        <v>910-37: Incinerator Maintenance and Repair Services</v>
      </c>
    </row>
    <row r="6974" spans="2:2" x14ac:dyDescent="0.25">
      <c r="B6974" t="str">
        <v>910-38: Insulation and Asbestos Installation, Maintenance, Repair and Removal Services, Including Spray-On Insulation</v>
      </c>
    </row>
    <row r="6975" spans="2:2" x14ac:dyDescent="0.25">
      <c r="B6975" t="str">
        <v>910-39: Janitorial and Custodial Services</v>
      </c>
    </row>
    <row r="6976" spans="2:2" x14ac:dyDescent="0.25">
      <c r="B6976" t="str">
        <v>910-40: Inspection, Monitoring of Insulation and Asbestos Installation and Removal Services</v>
      </c>
    </row>
    <row r="6977" spans="2:2" x14ac:dyDescent="0.25">
      <c r="B6977" t="str">
        <v>910-42: Kitchen and Bathroom Fixture Repair Services, Not Plumbing: Bathtubs, Sinks, Cabinets, Counter Tops, etc.</v>
      </c>
    </row>
    <row r="6978" spans="2:2" x14ac:dyDescent="0.25">
      <c r="B6978" t="str">
        <v>910-45: Lathing and Plastering Maintenance and Repair Services</v>
      </c>
    </row>
    <row r="6979" spans="2:2" x14ac:dyDescent="0.25">
      <c r="B6979" t="str">
        <v>910-46: Lead Poisoning Control and Reduction</v>
      </c>
    </row>
    <row r="6980" spans="2:2" x14ac:dyDescent="0.25">
      <c r="B6980" t="str">
        <v>910-47: Lead Abatement Services</v>
      </c>
    </row>
    <row r="6981" spans="2:2" x14ac:dyDescent="0.25">
      <c r="B6981" t="str">
        <v>910-48: Locksmith Services</v>
      </c>
    </row>
    <row r="6982" spans="2:2" x14ac:dyDescent="0.25">
      <c r="B6982" t="str">
        <v>910-49: Loading Dock and Associated Accessories Maintenance and Repair Services</v>
      </c>
    </row>
    <row r="6983" spans="2:2" x14ac:dyDescent="0.25">
      <c r="B6983" t="str">
        <v>910-51: Masonry, Concrete, and Stucco Maintenance, Finishing, and Repair Services Including Inside Concrete Sawing and Grouting Work</v>
      </c>
    </row>
    <row r="6984" spans="2:2" x14ac:dyDescent="0.25">
      <c r="B6984" t="str">
        <v>910-52: Maintenance and Repair Services, Building (Not Otherwise Classified)</v>
      </c>
    </row>
    <row r="6985" spans="2:2" x14ac:dyDescent="0.25">
      <c r="B6985" t="str">
        <v>910-53: Metal Work Maintenance and Repair Services, Including Metal Refinishing Services</v>
      </c>
    </row>
    <row r="6986" spans="2:2" x14ac:dyDescent="0.25">
      <c r="B6986" t="str">
        <v>910-54: Painting, Maintenance and Repair Services, Including Caulking</v>
      </c>
    </row>
    <row r="6987" spans="2:2" x14ac:dyDescent="0.25">
      <c r="B6987" t="str">
        <v>910-55: Overhead Door Installation, Maintenance, and Repair Services</v>
      </c>
    </row>
    <row r="6988" spans="2:2" x14ac:dyDescent="0.25">
      <c r="B6988" t="str">
        <v>910-56: Panel Wall Systems Installation, Maintenance and Repair Services</v>
      </c>
    </row>
    <row r="6989" spans="2:2" x14ac:dyDescent="0.25">
      <c r="B6989" t="str">
        <v>910-59: Pest Control Services: Termite Inspection and Control, Bird Proofing, Animal Trapping, Rodent Control, Exterminating and Fumigation</v>
      </c>
    </row>
    <row r="6990" spans="2:2" x14ac:dyDescent="0.25">
      <c r="B6990" t="str">
        <v>910-60: Plumbing Maintenance and Repair Services: Pressure Tapping Services, Pipe Freezes, Toilets, etc.</v>
      </c>
    </row>
    <row r="6991" spans="2:2" x14ac:dyDescent="0.25">
      <c r="B6991" t="str">
        <v>910-61: Plant Maintenance Services , Indoor</v>
      </c>
    </row>
    <row r="6992" spans="2:2" x14ac:dyDescent="0.25">
      <c r="B6992" t="str">
        <v>910-62: Protection of Building, Weather or Vandalism</v>
      </c>
    </row>
    <row r="6993" spans="2:2" x14ac:dyDescent="0.25">
      <c r="B6993" t="str">
        <v>910-63: Public Utilities: Water, Sewer and Gas Maintenance and Repair Services</v>
      </c>
    </row>
    <row r="6994" spans="2:2" x14ac:dyDescent="0.25">
      <c r="B6994" t="str">
        <v>910-64: Relocation, Building</v>
      </c>
    </row>
    <row r="6995" spans="2:2" x14ac:dyDescent="0.25">
      <c r="B6995" t="str">
        <v>910-65: Remodeling and Alteration Services</v>
      </c>
    </row>
    <row r="6996" spans="2:2" x14ac:dyDescent="0.25">
      <c r="B6996" t="str">
        <v>910-66: Roofing, Gutters, and Downspouts Maintenance and Repair Services</v>
      </c>
    </row>
    <row r="6997" spans="2:2" x14ac:dyDescent="0.25">
      <c r="B6997" t="str">
        <v>910-67: Security Lock-Bar Installation, Maintenance and Repair Services</v>
      </c>
    </row>
    <row r="6998" spans="2:2" x14ac:dyDescent="0.25">
      <c r="B6998" t="str">
        <v>910-68: Septic Tank Maintenance and Repair Services, Including Absorption and Leach Field Construction</v>
      </c>
    </row>
    <row r="6999" spans="2:2" x14ac:dyDescent="0.25">
      <c r="B6999" t="str">
        <v>910-69: Shelters, Carports, Portable Buildings, etc. Maintenance and Repair Services</v>
      </c>
    </row>
    <row r="7000" spans="2:2" x14ac:dyDescent="0.25">
      <c r="B7000" t="str">
        <v>910-70: Sludge Removal Services, Building, Including Grease Trap Cleaning</v>
      </c>
    </row>
    <row r="7001" spans="2:2" x14ac:dyDescent="0.25">
      <c r="B7001" t="str">
        <v>910-71: Shoring and Reinforcement Services</v>
      </c>
    </row>
    <row r="7002" spans="2:2" x14ac:dyDescent="0.25">
      <c r="B7002" t="str">
        <v>910-72: Tinting Services, Window</v>
      </c>
    </row>
    <row r="7003" spans="2:2" x14ac:dyDescent="0.25">
      <c r="B7003" t="str">
        <v>910-73: Tile and Stone Restoration, Refurbishing, Maintenance and Repair Services: Granite, Marble, and Terrazzo</v>
      </c>
    </row>
    <row r="7004" spans="2:2" x14ac:dyDescent="0.25">
      <c r="B7004" t="str">
        <v>910-74: Wallpapering Services, Including Maintenance and Repair Services</v>
      </c>
    </row>
    <row r="7005" spans="2:2" x14ac:dyDescent="0.25">
      <c r="B7005" t="str">
        <v>910-75: Wall and Ceiling Maintenance, Repair and Replacement Services, Including Drywalling</v>
      </c>
    </row>
    <row r="7006" spans="2:2" x14ac:dyDescent="0.25">
      <c r="B7006" t="str">
        <v>910-76: Welding Maintenance and Repair Services: Brazing, Casting, and Soldering</v>
      </c>
    </row>
    <row r="7007" spans="2:2" x14ac:dyDescent="0.25">
      <c r="B7007" t="str">
        <v>910-77: Water Purification and Softening Services</v>
      </c>
    </row>
    <row r="7008" spans="2:2" x14ac:dyDescent="0.25">
      <c r="B7008" t="str">
        <v>910-78: Weatherization, Weather and Waterproofing Maintenance and Repair Services</v>
      </c>
    </row>
    <row r="7009" spans="2:2" x14ac:dyDescent="0.25">
      <c r="B7009" t="str">
        <v>910-79: Windows, Metal, Installation, Maintenance and Repair Services</v>
      </c>
    </row>
    <row r="7010" spans="2:2" x14ac:dyDescent="0.25">
      <c r="B7010" t="str">
        <v>910-80: Windows, Wood,  Installation, Maintenance, and Repair Services</v>
      </c>
    </row>
    <row r="7011" spans="2:2" x14ac:dyDescent="0.25">
      <c r="B7011" t="str">
        <v>910-81: Window Washing Services</v>
      </c>
    </row>
    <row r="7012" spans="2:2" x14ac:dyDescent="0.25">
      <c r="B7012" t="str">
        <v>910-82: Wiring and Other Electrical Maintenance and Repair Services</v>
      </c>
    </row>
    <row r="7013" spans="2:2" x14ac:dyDescent="0.25">
      <c r="B7013" t="str">
        <v>910-83: Sandblasting Services, Buildings (See 968-67 for All Other Types)</v>
      </c>
    </row>
    <row r="7014" spans="2:2" x14ac:dyDescent="0.25">
      <c r="B7014" t="str">
        <v>910-84: Shutter Installation, Maintenance and Repair Services</v>
      </c>
    </row>
    <row r="7015" spans="2:2" x14ac:dyDescent="0.25">
      <c r="B7015" t="str">
        <v>910-85: Skylight Installation Services</v>
      </c>
    </row>
    <row r="7016" spans="2:2" x14ac:dyDescent="0.25">
      <c r="B7016" t="str">
        <v>910-86: Siding Installation and Repair Services</v>
      </c>
    </row>
    <row r="7017" spans="2:2" x14ac:dyDescent="0.25">
      <c r="B7017" t="str">
        <v>911-01: C.I.P., Advertising</v>
      </c>
    </row>
    <row r="7018" spans="2:2" x14ac:dyDescent="0.25">
      <c r="B7018" t="str">
        <v>911-02: C.I.P., A/E Miscellaneous</v>
      </c>
    </row>
    <row r="7019" spans="2:2" x14ac:dyDescent="0.25">
      <c r="B7019" t="str">
        <v>911-03: C.I.P., Archeological and Environment Surveys</v>
      </c>
    </row>
    <row r="7020" spans="2:2" x14ac:dyDescent="0.25">
      <c r="B7020" t="str">
        <v>911-04: C.I.P., Architect/Engineer Extra Services</v>
      </c>
    </row>
    <row r="7021" spans="2:2" x14ac:dyDescent="0.25">
      <c r="B7021" t="str">
        <v>911-06: C.I.P., Archeological</v>
      </c>
    </row>
    <row r="7022" spans="2:2" x14ac:dyDescent="0.25">
      <c r="B7022" t="str">
        <v>911-07: C.I.P., Architectural and Engineering Services</v>
      </c>
    </row>
    <row r="7023" spans="2:2" x14ac:dyDescent="0.25">
      <c r="B7023" t="str">
        <v>911-08: C.I.P., Asbestos</v>
      </c>
    </row>
    <row r="7024" spans="2:2" x14ac:dyDescent="0.25">
      <c r="B7024" t="str">
        <v>911-09: C.I.P., Audio Visual Equipment, Capital</v>
      </c>
    </row>
    <row r="7025" spans="2:2" x14ac:dyDescent="0.25">
      <c r="B7025" t="str">
        <v>911-10: C.I.P., Audio Visual Equipment, Expense</v>
      </c>
    </row>
    <row r="7026" spans="2:2" x14ac:dyDescent="0.25">
      <c r="B7026" t="str">
        <v>911-12: C.I.P., Building Studies</v>
      </c>
    </row>
    <row r="7027" spans="2:2" x14ac:dyDescent="0.25">
      <c r="B7027" t="str">
        <v>911-13: C.I.P., Commissioning</v>
      </c>
    </row>
    <row r="7028" spans="2:2" x14ac:dyDescent="0.25">
      <c r="B7028" t="str">
        <v>911-14: C.I.P., Construction Contingency</v>
      </c>
    </row>
    <row r="7029" spans="2:2" x14ac:dyDescent="0.25">
      <c r="B7029" t="str">
        <v>911-15: C.I.P., Construction and Rehabilitation, Other than Buildings</v>
      </c>
    </row>
    <row r="7030" spans="2:2" x14ac:dyDescent="0.25">
      <c r="B7030" t="str">
        <v>911-16: C.I.P., Construction and Rehabilitation, Buildings</v>
      </c>
    </row>
    <row r="7031" spans="2:2" x14ac:dyDescent="0.25">
      <c r="B7031" t="str">
        <v>911-17: C.I.P., Construction, Roads</v>
      </c>
    </row>
    <row r="7032" spans="2:2" x14ac:dyDescent="0.25">
      <c r="B7032" t="str">
        <v>911-18: C.I.P., Construction Testing</v>
      </c>
    </row>
    <row r="7033" spans="2:2" x14ac:dyDescent="0.25">
      <c r="B7033" t="str">
        <v>911-19: C.I.P., Cost Estimate Verification</v>
      </c>
    </row>
    <row r="7034" spans="2:2" x14ac:dyDescent="0.25">
      <c r="B7034" t="str">
        <v>911-20: C.I.P., Demolition Contingency</v>
      </c>
    </row>
    <row r="7035" spans="2:2" x14ac:dyDescent="0.25">
      <c r="B7035" t="str">
        <v>911-22: C.I.P., Demolition Contract</v>
      </c>
    </row>
    <row r="7036" spans="2:2" x14ac:dyDescent="0.25">
      <c r="B7036" t="str">
        <v>911-24: C.I.P., Endangered Species</v>
      </c>
    </row>
    <row r="7037" spans="2:2" x14ac:dyDescent="0.25">
      <c r="B7037" t="str">
        <v>911-25: C.I.P., Energy Management System</v>
      </c>
    </row>
    <row r="7038" spans="2:2" x14ac:dyDescent="0.25">
      <c r="B7038" t="str">
        <v>911-26: C.I.P., Environmental Factors</v>
      </c>
    </row>
    <row r="7039" spans="2:2" x14ac:dyDescent="0.25">
      <c r="B7039" t="str">
        <v>911-27: C.I.P., Equipment, Capitalized</v>
      </c>
    </row>
    <row r="7040" spans="2:2" x14ac:dyDescent="0.25">
      <c r="B7040" t="str">
        <v>911-28: C.I.P., Equipment, Controlled</v>
      </c>
    </row>
    <row r="7041" spans="2:2" x14ac:dyDescent="0.25">
      <c r="B7041" t="str">
        <v>911-29: C.I.P., Equipment, Expensed</v>
      </c>
    </row>
    <row r="7042" spans="2:2" x14ac:dyDescent="0.25">
      <c r="B7042" t="str">
        <v>911-30: C.I.P., Fabrication of Equipment</v>
      </c>
    </row>
    <row r="7043" spans="2:2" x14ac:dyDescent="0.25">
      <c r="B7043" t="str">
        <v>911-31: C.I.P., Fiber optics</v>
      </c>
    </row>
    <row r="7044" spans="2:2" x14ac:dyDescent="0.25">
      <c r="B7044" t="str">
        <v>911-32: C.I.P., Fire Alarm System</v>
      </c>
    </row>
    <row r="7045" spans="2:2" x14ac:dyDescent="0.25">
      <c r="B7045" t="str">
        <v>911-35: C.I.P., Hazardous Materials</v>
      </c>
    </row>
    <row r="7046" spans="2:2" x14ac:dyDescent="0.25">
      <c r="B7046" t="str">
        <v>911-36: C.I.P., HVAC Balancing Services</v>
      </c>
    </row>
    <row r="7047" spans="2:2" x14ac:dyDescent="0.25">
      <c r="B7047" t="str">
        <v>911-40: C.I.P., Land Surveying Services</v>
      </c>
    </row>
    <row r="7048" spans="2:2" x14ac:dyDescent="0.25">
      <c r="B7048" t="str">
        <v>911-41: C.I.P., Landscaping</v>
      </c>
    </row>
    <row r="7049" spans="2:2" x14ac:dyDescent="0.25">
      <c r="B7049" t="str">
        <v>911-43: C.I.P., Movable Furnishings</v>
      </c>
    </row>
    <row r="7050" spans="2:2" x14ac:dyDescent="0.25">
      <c r="B7050" t="str">
        <v>911-45: C.I.P., Movable Furnishings Contingency</v>
      </c>
    </row>
    <row r="7051" spans="2:2" x14ac:dyDescent="0.25">
      <c r="B7051" t="str">
        <v>911-46: C.I.P., Other Services</v>
      </c>
    </row>
    <row r="7052" spans="2:2" x14ac:dyDescent="0.25">
      <c r="B7052" t="str">
        <v>911-47: C.I.P., Preconstruction Reimbursable</v>
      </c>
    </row>
    <row r="7053" spans="2:2" x14ac:dyDescent="0.25">
      <c r="B7053" t="str">
        <v>911-48: C.I.P., Preconstruction Services</v>
      </c>
    </row>
    <row r="7054" spans="2:2" x14ac:dyDescent="0.25">
      <c r="B7054" t="str">
        <v>911-49: C.I.P., Program of Requirements</v>
      </c>
    </row>
    <row r="7055" spans="2:2" x14ac:dyDescent="0.25">
      <c r="B7055" t="str">
        <v>911-50: C.I.P., Project Management and Administration, Move Furniture</v>
      </c>
    </row>
    <row r="7056" spans="2:2" x14ac:dyDescent="0.25">
      <c r="B7056" t="str">
        <v>911-51: C.I.P., Project Management and Administration</v>
      </c>
    </row>
    <row r="7057" spans="2:2" x14ac:dyDescent="0.25">
      <c r="B7057" t="str">
        <v>911-52: C.I.P., Project Management and Administration Surveys</v>
      </c>
    </row>
    <row r="7058" spans="2:2" x14ac:dyDescent="0.25">
      <c r="B7058" t="str">
        <v>911-55: C.I.P., Security System</v>
      </c>
    </row>
    <row r="7059" spans="2:2" x14ac:dyDescent="0.25">
      <c r="B7059" t="str">
        <v>911-56: C.I.P., Site Evaluation Analysis</v>
      </c>
    </row>
    <row r="7060" spans="2:2" x14ac:dyDescent="0.25">
      <c r="B7060" t="str">
        <v>911-57: C.I.P., Soil Investigation</v>
      </c>
    </row>
    <row r="7061" spans="2:2" x14ac:dyDescent="0.25">
      <c r="B7061" t="str">
        <v>911-58: C.I.P., Special Consultants</v>
      </c>
    </row>
    <row r="7062" spans="2:2" x14ac:dyDescent="0.25">
      <c r="B7062" t="str">
        <v>911-64: C.I.P., Utilities</v>
      </c>
    </row>
    <row r="7063" spans="2:2" x14ac:dyDescent="0.25">
      <c r="B7063" t="str">
        <v>911-67: C.I.P., Wind Tunnel Testing</v>
      </c>
    </row>
    <row r="7064" spans="2:2" x14ac:dyDescent="0.25">
      <c r="B7064" t="str">
        <v>911-70: Capitalized Construction Interest</v>
      </c>
    </row>
    <row r="7065" spans="2:2" x14ac:dyDescent="0.25">
      <c r="B7065" t="str">
        <v>911-72: Design / Bid Contingency</v>
      </c>
    </row>
    <row r="7066" spans="2:2" x14ac:dyDescent="0.25">
      <c r="B7066" t="str">
        <v>911-73: Domestic Hot Water</v>
      </c>
    </row>
    <row r="7067" spans="2:2" x14ac:dyDescent="0.25">
      <c r="B7067" t="str">
        <v>911-75: Electricity Contracts</v>
      </c>
    </row>
    <row r="7068" spans="2:2" x14ac:dyDescent="0.25">
      <c r="B7068" t="str">
        <v>911-77: Facilities and Other Improvements</v>
      </c>
    </row>
    <row r="7069" spans="2:2" x14ac:dyDescent="0.25">
      <c r="B7069" t="str">
        <v>911-79: Gas Contracts</v>
      </c>
    </row>
    <row r="7070" spans="2:2" x14ac:dyDescent="0.25">
      <c r="B7070" t="str">
        <v>911-80: Heat</v>
      </c>
    </row>
    <row r="7071" spans="2:2" x14ac:dyDescent="0.25">
      <c r="B7071" t="str">
        <v>911-81: Heavy Construction Resold to Departments</v>
      </c>
    </row>
    <row r="7072" spans="2:2" x14ac:dyDescent="0.25">
      <c r="B7072" t="str">
        <v>911-85: Special Trade Construction, Power Plant</v>
      </c>
    </row>
    <row r="7073" spans="2:2" x14ac:dyDescent="0.25">
      <c r="B7073" t="str">
        <v>911-86: Steam</v>
      </c>
    </row>
    <row r="7074" spans="2:2" x14ac:dyDescent="0.25">
      <c r="B7074" t="str">
        <v>911-87: Storm Drainage</v>
      </c>
    </row>
    <row r="7075" spans="2:2" x14ac:dyDescent="0.25">
      <c r="B7075" t="str">
        <v>911-95: Waived Utility Expense.</v>
      </c>
    </row>
    <row r="7076" spans="2:2" x14ac:dyDescent="0.25">
      <c r="B7076" t="str">
        <v>912-16: Boring, Drilling, Testing, and Soundings Services, Including Concrete Coring</v>
      </c>
    </row>
    <row r="7077" spans="2:2" x14ac:dyDescent="0.25">
      <c r="B7077" t="str">
        <v>912-19: Clearing and Grubbing Services</v>
      </c>
    </row>
    <row r="7078" spans="2:2" x14ac:dyDescent="0.25">
      <c r="B7078" t="str">
        <v>912-20: Construction, Fire Protection: Fire Escapes, Fire and Smoke Barriers, Firestops</v>
      </c>
    </row>
    <row r="7079" spans="2:2" x14ac:dyDescent="0.25">
      <c r="B7079" t="str">
        <v>912-21: Construction, Energy Related, All Types</v>
      </c>
    </row>
    <row r="7080" spans="2:2" x14ac:dyDescent="0.25">
      <c r="B7080" t="str">
        <v>912-22: Construction, Equestrian Arena</v>
      </c>
    </row>
    <row r="7081" spans="2:2" x14ac:dyDescent="0.25">
      <c r="B7081" t="str">
        <v>912-23: Construction, General: Backfill Services, Digging, Ditching, Road Grading, Rock Stabilization, etc.</v>
      </c>
    </row>
    <row r="7082" spans="2:2" x14ac:dyDescent="0.25">
      <c r="B7082" t="str">
        <v>912-25: Construction, Golf Course</v>
      </c>
    </row>
    <row r="7083" spans="2:2" x14ac:dyDescent="0.25">
      <c r="B7083" t="str">
        <v>912-26: Construction, Hike and Bike Trail</v>
      </c>
    </row>
    <row r="7084" spans="2:2" x14ac:dyDescent="0.25">
      <c r="B7084" t="str">
        <v>912-27: Construction, Irrigation System</v>
      </c>
    </row>
    <row r="7085" spans="2:2" x14ac:dyDescent="0.25">
      <c r="B7085" t="str">
        <v>912-29: Construction, Oil and Gas Refinery</v>
      </c>
    </row>
    <row r="7086" spans="2:2" x14ac:dyDescent="0.25">
      <c r="B7086" t="str">
        <v>912-30: Construction, Power Plant</v>
      </c>
    </row>
    <row r="7087" spans="2:2" x14ac:dyDescent="0.25">
      <c r="B7087" t="str">
        <v>912-31: Construction, Statues and Monuments</v>
      </c>
    </row>
    <row r="7088" spans="2:2" x14ac:dyDescent="0.25">
      <c r="B7088" t="str">
        <v>912-32: Construction, Street Lighting</v>
      </c>
    </row>
    <row r="7089" spans="2:2" x14ac:dyDescent="0.25">
      <c r="B7089" t="str">
        <v>912-33: Construction, Swimming Pool</v>
      </c>
    </row>
    <row r="7090" spans="2:2" x14ac:dyDescent="0.25">
      <c r="B7090" t="str">
        <v>912-35: Construction, Tennis and Sports Court</v>
      </c>
    </row>
    <row r="7091" spans="2:2" x14ac:dyDescent="0.25">
      <c r="B7091" t="str">
        <v>912-38: Construction Services, Hazardous Waste, Including Site Management</v>
      </c>
    </row>
    <row r="7092" spans="2:2" x14ac:dyDescent="0.25">
      <c r="B7092" t="str">
        <v>912-40: Demolition Services</v>
      </c>
    </row>
    <row r="7093" spans="2:2" x14ac:dyDescent="0.25">
      <c r="B7093" t="str">
        <v>912-42: Drilling and Boring Services, Horizontal Directional (HDD and HDB)</v>
      </c>
    </row>
    <row r="7094" spans="2:2" x14ac:dyDescent="0.25">
      <c r="B7094" t="str">
        <v>912-44: Excavation Services</v>
      </c>
    </row>
    <row r="7095" spans="2:2" x14ac:dyDescent="0.25">
      <c r="B7095" t="str">
        <v>912-50: Maintenance and Repair, Golf Course</v>
      </c>
    </row>
    <row r="7096" spans="2:2" x14ac:dyDescent="0.25">
      <c r="B7096" t="str">
        <v>912-52: Maintenance and Repair, Hike and Bike Trails</v>
      </c>
    </row>
    <row r="7097" spans="2:2" x14ac:dyDescent="0.25">
      <c r="B7097" t="str">
        <v>912-54: Maintenance and Repair, Oil and Gas Refinery</v>
      </c>
    </row>
    <row r="7098" spans="2:2" x14ac:dyDescent="0.25">
      <c r="B7098" t="str">
        <v>912-56: Maintenance and Repair, Power Plant</v>
      </c>
    </row>
    <row r="7099" spans="2:2" x14ac:dyDescent="0.25">
      <c r="B7099" t="str">
        <v>912-59: Maintenance and Repair, Statues and Monuments</v>
      </c>
    </row>
    <row r="7100" spans="2:2" x14ac:dyDescent="0.25">
      <c r="B7100" t="str">
        <v>912-60: Maintenance and Repair, Street Lighting</v>
      </c>
    </row>
    <row r="7101" spans="2:2" x14ac:dyDescent="0.25">
      <c r="B7101" t="str">
        <v>912-63: Maintenance and Repair, Swimming Pool, Including, Swimming Pool Water Treatment Services</v>
      </c>
    </row>
    <row r="7102" spans="2:2" x14ac:dyDescent="0.25">
      <c r="B7102" t="str">
        <v>912-65: Maintenance and Repair, Tennis and Sport Court</v>
      </c>
    </row>
    <row r="7103" spans="2:2" x14ac:dyDescent="0.25">
      <c r="B7103" t="str">
        <v>912-68: Monitoring Services, Structural</v>
      </c>
    </row>
    <row r="7104" spans="2:2" x14ac:dyDescent="0.25">
      <c r="B7104" t="str">
        <v>912-73: Paver Block Installation</v>
      </c>
    </row>
    <row r="7105" spans="2:2" x14ac:dyDescent="0.25">
      <c r="B7105" t="str">
        <v>912-75: Quality Control Testing Services for Construction</v>
      </c>
    </row>
    <row r="7106" spans="2:2" x14ac:dyDescent="0.25">
      <c r="B7106" t="str">
        <v>912-76: Striping: Streets, Parking Facilities, Lane Divisions, Paint, etc.</v>
      </c>
    </row>
    <row r="7107" spans="2:2" x14ac:dyDescent="0.25">
      <c r="B7107" t="str">
        <v>912-77: Real Estate Developers (Inactive, please see commodity code 918-89 effective January 1, 2016)</v>
      </c>
    </row>
    <row r="7108" spans="2:2" x14ac:dyDescent="0.25">
      <c r="B7108" t="str">
        <v>913-10: Construction: Airport Roadway, Runway and Taxiway</v>
      </c>
    </row>
    <row r="7109" spans="2:2" x14ac:dyDescent="0.25">
      <c r="B7109" t="str">
        <v>913-13: Construction, Bridge and Drawbridge, Including Reconstruction and Rehabilitation</v>
      </c>
    </row>
    <row r="7110" spans="2:2" x14ac:dyDescent="0.25">
      <c r="B7110" t="str">
        <v>913-15: Construction, Canal or Aquaduct</v>
      </c>
    </row>
    <row r="7111" spans="2:2" x14ac:dyDescent="0.25">
      <c r="B7111" t="str">
        <v>913-16: Construction, Communication Equipment, Including Antenna Towers</v>
      </c>
    </row>
    <row r="7112" spans="2:2" x14ac:dyDescent="0.25">
      <c r="B7112" t="str">
        <v>913-19: Construction, Curb and Gutter, Including Maintenance, Repair, and Removal Services</v>
      </c>
    </row>
    <row r="7113" spans="2:2" x14ac:dyDescent="0.25">
      <c r="B7113" t="str">
        <v>913-23: Construction, Defense and Military Structure</v>
      </c>
    </row>
    <row r="7114" spans="2:2" x14ac:dyDescent="0.25">
      <c r="B7114" t="str">
        <v>913-27: Construction, Highway and Road</v>
      </c>
    </row>
    <row r="7115" spans="2:2" x14ac:dyDescent="0.25">
      <c r="B7115" t="str">
        <v>913-30: Construction, Industrial Pipeline Insulation, Including Maintenance, Repair and Installation</v>
      </c>
    </row>
    <row r="7116" spans="2:2" x14ac:dyDescent="0.25">
      <c r="B7116" t="str">
        <v>913-36: Construction, Parking Lot and Alley</v>
      </c>
    </row>
    <row r="7117" spans="2:2" x14ac:dyDescent="0.25">
      <c r="B7117" t="str">
        <v>913-38: Construction, Chilled Water Pipe Installation</v>
      </c>
    </row>
    <row r="7118" spans="2:2" x14ac:dyDescent="0.25">
      <c r="B7118" t="str">
        <v>913-39: Construction, Pipe Culvert</v>
      </c>
    </row>
    <row r="7119" spans="2:2" x14ac:dyDescent="0.25">
      <c r="B7119" t="str">
        <v>913-40: Construction, Pipeline, Including Aerial Crossings</v>
      </c>
    </row>
    <row r="7120" spans="2:2" x14ac:dyDescent="0.25">
      <c r="B7120" t="str">
        <v>913-41: Construction, Power Lines, Including Installation, Maintenance and Repair Services</v>
      </c>
    </row>
    <row r="7121" spans="2:2" x14ac:dyDescent="0.25">
      <c r="B7121" t="str">
        <v>913-44: Construction, Railroad</v>
      </c>
    </row>
    <row r="7122" spans="2:2" x14ac:dyDescent="0.25">
      <c r="B7122" t="str">
        <v>913-45: Construction, Sewer and Storm Drain</v>
      </c>
    </row>
    <row r="7123" spans="2:2" x14ac:dyDescent="0.25">
      <c r="B7123" t="str">
        <v>913-47: Construction, Sidewalk and Driveway, Including Pedestrian and Handicap Ramps</v>
      </c>
    </row>
    <row r="7124" spans="2:2" x14ac:dyDescent="0.25">
      <c r="B7124" t="str">
        <v>913-48: Construction, Special Foundation</v>
      </c>
    </row>
    <row r="7125" spans="2:2" x14ac:dyDescent="0.25">
      <c r="B7125" t="str">
        <v>913-50: Construction, Streets, Major and Residential, Including Reconstruction</v>
      </c>
    </row>
    <row r="7126" spans="2:2" x14ac:dyDescent="0.25">
      <c r="B7126" t="str">
        <v>913-55: Construction, Tunnel</v>
      </c>
    </row>
    <row r="7127" spans="2:2" x14ac:dyDescent="0.25">
      <c r="B7127" t="str">
        <v>913-56: Construction, Utility and Underground Projects</v>
      </c>
    </row>
    <row r="7128" spans="2:2" x14ac:dyDescent="0.25">
      <c r="B7128" t="str">
        <v>913-57: Construction, Vaulted Sidewalk</v>
      </c>
    </row>
    <row r="7129" spans="2:2" x14ac:dyDescent="0.25">
      <c r="B7129" t="str">
        <v>913-58: Construction, Viaduct (Includes Reconstruction)</v>
      </c>
    </row>
    <row r="7130" spans="2:2" x14ac:dyDescent="0.25">
      <c r="B7130" t="str">
        <v>913-59: Construction and Upgrades, Wastewater Treatment Plant</v>
      </c>
    </row>
    <row r="7131" spans="2:2" x14ac:dyDescent="0.25">
      <c r="B7131" t="str">
        <v>913-60: Construction, Water System, Plants, Main and Service Line</v>
      </c>
    </row>
    <row r="7132" spans="2:2" x14ac:dyDescent="0.25">
      <c r="B7132" t="str">
        <v>913-61: Construction, Vertical, Concrete, Pour-In-Place, Form, Place, Finish</v>
      </c>
    </row>
    <row r="7133" spans="2:2" x14ac:dyDescent="0.25">
      <c r="B7133" t="str">
        <v>913-62: Construction, Concrete, Pour-In-Place, Form, Place, Finish</v>
      </c>
    </row>
    <row r="7134" spans="2:2" x14ac:dyDescent="0.25">
      <c r="B7134" t="str">
        <v>913-63: Lime Slurry Removal Services</v>
      </c>
    </row>
    <row r="7135" spans="2:2" x14ac:dyDescent="0.25">
      <c r="B7135" t="str">
        <v>913-64: Maintenance and Repair: Airport Roadway, Runway and Taxiway</v>
      </c>
    </row>
    <row r="7136" spans="2:2" x14ac:dyDescent="0.25">
      <c r="B7136" t="str">
        <v>913-65: Maintenance, Repair, and Removal Services, Antenna Tower and other Communication Equipment</v>
      </c>
    </row>
    <row r="7137" spans="2:2" x14ac:dyDescent="0.25">
      <c r="B7137" t="str">
        <v>913-66: Maintenance and Repair, Bridges</v>
      </c>
    </row>
    <row r="7138" spans="2:2" x14ac:dyDescent="0.25">
      <c r="B7138" t="str">
        <v>913-67: Maintenance, Repair, and Operation of Drawbridges</v>
      </c>
    </row>
    <row r="7139" spans="2:2" x14ac:dyDescent="0.25">
      <c r="B7139" t="str">
        <v>913-68: Maintenance and Repair, Canal</v>
      </c>
    </row>
    <row r="7140" spans="2:2" x14ac:dyDescent="0.25">
      <c r="B7140" t="str">
        <v>913-69: Maintenance and Repair, Defense and Military Structure</v>
      </c>
    </row>
    <row r="7141" spans="2:2" x14ac:dyDescent="0.25">
      <c r="B7141" t="str">
        <v>913-71: Maintenance and Repair, Highway and Roads, Including Removal of Asphalt, Concrete, Bitumens, etc.</v>
      </c>
    </row>
    <row r="7142" spans="2:2" x14ac:dyDescent="0.25">
      <c r="B7142" t="str">
        <v>913-75: Maintenance and Repair, Parking Lot and Alley</v>
      </c>
    </row>
    <row r="7143" spans="2:2" x14ac:dyDescent="0.25">
      <c r="B7143" t="str">
        <v>913-77: Maintenance and Repair, Pipe Culvert</v>
      </c>
    </row>
    <row r="7144" spans="2:2" x14ac:dyDescent="0.25">
      <c r="B7144" t="str">
        <v>913-78: Maintenance and Repair, Pipeline, Including  Removal and Relocation</v>
      </c>
    </row>
    <row r="7145" spans="2:2" x14ac:dyDescent="0.25">
      <c r="B7145" t="str">
        <v>913-81: Maintenance and Repair, Sewer and Storm Drain, Including Removal</v>
      </c>
    </row>
    <row r="7146" spans="2:2" x14ac:dyDescent="0.25">
      <c r="B7146" t="str">
        <v>913-82: Maintenance and Repair, Sidewalk and Driveway, Including Removal</v>
      </c>
    </row>
    <row r="7147" spans="2:2" x14ac:dyDescent="0.25">
      <c r="B7147" t="str">
        <v>913-84: Maintenance and Repair, Streets, Major and Residential</v>
      </c>
    </row>
    <row r="7148" spans="2:2" x14ac:dyDescent="0.25">
      <c r="B7148" t="str">
        <v>913-88: Maintenance and Repair, Tunnel</v>
      </c>
    </row>
    <row r="7149" spans="2:2" x14ac:dyDescent="0.25">
      <c r="B7149" t="str">
        <v>913-89: Maintenance and Repair, Utility and Underground Projects</v>
      </c>
    </row>
    <row r="7150" spans="2:2" x14ac:dyDescent="0.25">
      <c r="B7150" t="str">
        <v>913-90: Maintenance and Repair, Viaduct</v>
      </c>
    </row>
    <row r="7151" spans="2:2" x14ac:dyDescent="0.25">
      <c r="B7151" t="str">
        <v>913-91: Maintenance and Repair, Wastewater Treatment Plant</v>
      </c>
    </row>
    <row r="7152" spans="2:2" x14ac:dyDescent="0.25">
      <c r="B7152" t="str">
        <v>913-92: Maintenance and Repair, Water System, Main and Service Line</v>
      </c>
    </row>
    <row r="7153" spans="2:2" x14ac:dyDescent="0.25">
      <c r="B7153" t="str">
        <v>913-94: Paving and Resurfacing, Alley and Parking Lot</v>
      </c>
    </row>
    <row r="7154" spans="2:2" x14ac:dyDescent="0.25">
      <c r="B7154" t="str">
        <v>913-95: Paving and Resurfacing, Highway and Road</v>
      </c>
    </row>
    <row r="7155" spans="2:2" x14ac:dyDescent="0.25">
      <c r="B7155" t="str">
        <v>913-96: Paving and Resurfacing, Streets, Major and Residential</v>
      </c>
    </row>
    <row r="7156" spans="2:2" x14ac:dyDescent="0.25">
      <c r="B7156" t="str">
        <v>914-10: *Building Documentation Services</v>
      </c>
    </row>
    <row r="7157" spans="2:2" x14ac:dyDescent="0.25">
      <c r="B7157" t="str">
        <v>914-27: Carpentry</v>
      </c>
    </row>
    <row r="7158" spans="2:2" x14ac:dyDescent="0.25">
      <c r="B7158" t="str">
        <v>914-28: Cleaning, Interior and Exterior, New Construction</v>
      </c>
    </row>
    <row r="7159" spans="2:2" x14ac:dyDescent="0.25">
      <c r="B7159" t="str">
        <v>914-29: Communication Systems, Including Infrastructure</v>
      </c>
    </row>
    <row r="7160" spans="2:2" x14ac:dyDescent="0.25">
      <c r="B7160" t="str">
        <v>914-30: Concrete</v>
      </c>
    </row>
    <row r="7161" spans="2:2" x14ac:dyDescent="0.25">
      <c r="B7161" t="str">
        <v>914-31: Composites</v>
      </c>
    </row>
    <row r="7162" spans="2:2" x14ac:dyDescent="0.25">
      <c r="B7162" t="str">
        <v>914-38: Electrical</v>
      </c>
    </row>
    <row r="7163" spans="2:2" x14ac:dyDescent="0.25">
      <c r="B7163" t="str">
        <v>914-39: Facility Fuel Systems</v>
      </c>
    </row>
    <row r="7164" spans="2:2" x14ac:dyDescent="0.25">
      <c r="B7164" t="str">
        <v>914-44: Flooring</v>
      </c>
    </row>
    <row r="7165" spans="2:2" x14ac:dyDescent="0.25">
      <c r="B7165" t="str">
        <v>914-47: Glass and Glazing</v>
      </c>
    </row>
    <row r="7166" spans="2:2" x14ac:dyDescent="0.25">
      <c r="B7166" t="str">
        <v>914-50: Heating, Ventilating and Air Conditioning (HVAC)</v>
      </c>
    </row>
    <row r="7167" spans="2:2" x14ac:dyDescent="0.25">
      <c r="B7167" t="str">
        <v>914-53: Insulation</v>
      </c>
    </row>
    <row r="7168" spans="2:2" x14ac:dyDescent="0.25">
      <c r="B7168" t="str">
        <v>914-55: Masonry</v>
      </c>
    </row>
    <row r="7169" spans="2:2" x14ac:dyDescent="0.25">
      <c r="B7169" t="str">
        <v>914-57: Metal Work</v>
      </c>
    </row>
    <row r="7170" spans="2:2" x14ac:dyDescent="0.25">
      <c r="B7170" t="str">
        <v>914-58: Metal Work, Miscellaneous Metals  (Inactive, please see commodity code 914-57 effective January 1, 2016)</v>
      </c>
    </row>
    <row r="7171" spans="2:2" x14ac:dyDescent="0.25">
      <c r="B7171" t="str">
        <v>914-60: *Millwright</v>
      </c>
    </row>
    <row r="7172" spans="2:2" x14ac:dyDescent="0.25">
      <c r="B7172" t="str">
        <v>914-61: Painting and Wallpapering</v>
      </c>
    </row>
    <row r="7173" spans="2:2" x14ac:dyDescent="0.25">
      <c r="B7173" t="str">
        <v>914-64: Plastering</v>
      </c>
    </row>
    <row r="7174" spans="2:2" x14ac:dyDescent="0.25">
      <c r="B7174" t="str">
        <v>914-65: Plastics</v>
      </c>
    </row>
    <row r="7175" spans="2:2" x14ac:dyDescent="0.25">
      <c r="B7175" t="str">
        <v>914-68: Plumbing</v>
      </c>
    </row>
    <row r="7176" spans="2:2" x14ac:dyDescent="0.25">
      <c r="B7176" t="str">
        <v>914-73: Roofing and Siding</v>
      </c>
    </row>
    <row r="7177" spans="2:2" x14ac:dyDescent="0.25">
      <c r="B7177" t="str">
        <v>914-79: Structural and Reinforcement Metal Work (Inactive, please see commodity code 914-57 effective January 1, 2016)</v>
      </c>
    </row>
    <row r="7178" spans="2:2" x14ac:dyDescent="0.25">
      <c r="B7178" t="str">
        <v>914-80: Stucco</v>
      </c>
    </row>
    <row r="7179" spans="2:2" x14ac:dyDescent="0.25">
      <c r="B7179" t="str">
        <v>914-83: Tile and Marble Work, All Types</v>
      </c>
    </row>
    <row r="7180" spans="2:2" x14ac:dyDescent="0.25">
      <c r="B7180" t="str">
        <v>914-84: Trade Services, Construction, (Not Otherwise Classified)</v>
      </c>
    </row>
    <row r="7181" spans="2:2" x14ac:dyDescent="0.25">
      <c r="B7181" t="str">
        <v>914-85: Welding</v>
      </c>
    </row>
    <row r="7182" spans="2:2" x14ac:dyDescent="0.25">
      <c r="B7182" t="str">
        <v>914-88: Wood, Includes Architectural Woodwork</v>
      </c>
    </row>
    <row r="7183" spans="2:2" x14ac:dyDescent="0.25">
      <c r="B7183" t="str">
        <v>915-01: Advertising Agency Services</v>
      </c>
    </row>
    <row r="7184" spans="2:2" x14ac:dyDescent="0.25">
      <c r="B7184" t="str">
        <v>915-02: Advertising Services, Including Notice of Bid Solicitation, Statutory Notices, Legal</v>
      </c>
    </row>
    <row r="7185" spans="2:2" x14ac:dyDescent="0.25">
      <c r="B7185" t="str">
        <v>915-03: Advertising and Public Relations, Including Skywriting</v>
      </c>
    </row>
    <row r="7186" spans="2:2" x14ac:dyDescent="0.25">
      <c r="B7186" t="str">
        <v>915-04: Advertising Services, Outdoor Billboard, etc.</v>
      </c>
    </row>
    <row r="7187" spans="2:2" x14ac:dyDescent="0.25">
      <c r="B7187" t="str">
        <v>915-05: *Answering and Paging Services</v>
      </c>
    </row>
    <row r="7188" spans="2:2" x14ac:dyDescent="0.25">
      <c r="B7188" t="str">
        <v>915-06: Audio Production Services</v>
      </c>
    </row>
    <row r="7189" spans="2:2" x14ac:dyDescent="0.25">
      <c r="B7189" t="str">
        <v>915-07: Audio Recording Services</v>
      </c>
    </row>
    <row r="7190" spans="2:2" x14ac:dyDescent="0.25">
      <c r="B7190" t="str">
        <v>915-08: Audio Media Duplicating Services, Including Cassettes, CD ROMs, Tapes, etc.</v>
      </c>
    </row>
    <row r="7191" spans="2:2" x14ac:dyDescent="0.25">
      <c r="B7191" t="str">
        <v>915-09: Audio and Video Production Services</v>
      </c>
    </row>
    <row r="7192" spans="2:2" x14ac:dyDescent="0.25">
      <c r="B7192" t="str">
        <v>915-10: *Advertising, Digital</v>
      </c>
    </row>
    <row r="7193" spans="2:2" x14ac:dyDescent="0.25">
      <c r="B7193" t="str">
        <v>915-11: Background Music Services, Including Messaging on Hold, etc.</v>
      </c>
    </row>
    <row r="7194" spans="2:2" x14ac:dyDescent="0.25">
      <c r="B7194" t="str">
        <v>915-14: Broadcasting Services, Radio</v>
      </c>
    </row>
    <row r="7195" spans="2:2" x14ac:dyDescent="0.25">
      <c r="B7195" t="str">
        <v>915-15: Broadcasting Services, Television</v>
      </c>
    </row>
    <row r="7196" spans="2:2" x14ac:dyDescent="0.25">
      <c r="B7196" t="str">
        <v>915-20: Call Center Services</v>
      </c>
    </row>
    <row r="7197" spans="2:2" x14ac:dyDescent="0.25">
      <c r="B7197" t="str">
        <v>915-22: Communications Marketing Services</v>
      </c>
    </row>
    <row r="7198" spans="2:2" x14ac:dyDescent="0.25">
      <c r="B7198" t="str">
        <v>915-23: Conference Coordinating and Planning Services</v>
      </c>
    </row>
    <row r="7199" spans="2:2" x14ac:dyDescent="0.25">
      <c r="B7199" t="str">
        <v>915-24: Cable Television Services, Including Pay-Per-View Services</v>
      </c>
    </row>
    <row r="7200" spans="2:2" x14ac:dyDescent="0.25">
      <c r="B7200" t="str">
        <v>915-25: *Captioned Services for the Hearing Impaired  (See 915-85 for Telecommunication Relay Services)</v>
      </c>
    </row>
    <row r="7201" spans="2:2" x14ac:dyDescent="0.25">
      <c r="B7201" t="str">
        <v>915-26: *EDI, Electronic Data Interchange, VAN, Value Added Network Services</v>
      </c>
    </row>
    <row r="7202" spans="2:2" x14ac:dyDescent="0.25">
      <c r="B7202" t="str">
        <v>915-27: Editorial Services</v>
      </c>
    </row>
    <row r="7203" spans="2:2" x14ac:dyDescent="0.25">
      <c r="B7203" t="str">
        <v>915-28: *Electronic Information and Mailing Services</v>
      </c>
    </row>
    <row r="7204" spans="2:2" x14ac:dyDescent="0.25">
      <c r="B7204" t="str">
        <v>915-30: DVD Duplicating Services</v>
      </c>
    </row>
    <row r="7205" spans="2:2" x14ac:dyDescent="0.25">
      <c r="B7205" t="str">
        <v>915-36: *Facsimile, Fax Services</v>
      </c>
    </row>
    <row r="7206" spans="2:2" x14ac:dyDescent="0.25">
      <c r="B7206" t="str">
        <v>915-38: Film and Slide Processing, Duplicating and Touch Up Services</v>
      </c>
    </row>
    <row r="7207" spans="2:2" x14ac:dyDescent="0.25">
      <c r="B7207" t="str">
        <v>915-42: Film, Slide and Tape Production Services</v>
      </c>
    </row>
    <row r="7208" spans="2:2" x14ac:dyDescent="0.25">
      <c r="B7208" t="str">
        <v>915-44: *Fulfillment, Including Data Processing, Packaging, Labeling and Mailing of Literature as a Package</v>
      </c>
    </row>
    <row r="7209" spans="2:2" x14ac:dyDescent="0.25">
      <c r="B7209" t="str">
        <v>915-45: Fulfillment, Inventory and Storage Services</v>
      </c>
    </row>
    <row r="7210" spans="2:2" x14ac:dyDescent="0.25">
      <c r="B7210" t="str">
        <v>915-48: Graphic Arts Services, Not Printing</v>
      </c>
    </row>
    <row r="7211" spans="2:2" x14ac:dyDescent="0.25">
      <c r="B7211" t="str">
        <v>915-49: *High Volume, Telephone Call Answering Services (See 915-05 for Low Volume Services)</v>
      </c>
    </row>
    <row r="7212" spans="2:2" x14ac:dyDescent="0.25">
      <c r="B7212" t="str">
        <v>915-51: *Information Highway Electronic Services: Internet, Ethernet, World Wide Web, Virtual Tours, Including Construction Renderings, etc.</v>
      </c>
    </row>
    <row r="7213" spans="2:2" x14ac:dyDescent="0.25">
      <c r="B7213" t="str">
        <v>915-52: Journalistic Services, Including Page Print Services</v>
      </c>
    </row>
    <row r="7214" spans="2:2" x14ac:dyDescent="0.25">
      <c r="B7214" t="str">
        <v>915-57: Mailing, Postage and Shipping Services, Electronic</v>
      </c>
    </row>
    <row r="7215" spans="2:2" x14ac:dyDescent="0.25">
      <c r="B7215" t="str">
        <v>915-58: Mailing Services: Addressing, Collating, Packaging, Sorting and Delivery</v>
      </c>
    </row>
    <row r="7216" spans="2:2" x14ac:dyDescent="0.25">
      <c r="B7216" t="str">
        <v>915-59: Mail Services, Express</v>
      </c>
    </row>
    <row r="7217" spans="2:2" x14ac:dyDescent="0.25">
      <c r="B7217" t="str">
        <v>915-60: Magazine Distribution Services</v>
      </c>
    </row>
    <row r="7218" spans="2:2" x14ac:dyDescent="0.25">
      <c r="B7218" t="str">
        <v>915-64: Media Clippings, Outtakes, Critiques, Summaries, Legislative Bill Tracking Services, etc., Including State, Local, Out-of-State and International</v>
      </c>
    </row>
    <row r="7219" spans="2:2" x14ac:dyDescent="0.25">
      <c r="B7219" t="str">
        <v>915-65: Photograph Services, Including Reprinting and Usage</v>
      </c>
    </row>
    <row r="7220" spans="2:2" x14ac:dyDescent="0.25">
      <c r="B7220" t="str">
        <v>915-67: Monitoring Services, Critical Equipment and Site, Wireless, Web-based</v>
      </c>
    </row>
    <row r="7221" spans="2:2" x14ac:dyDescent="0.25">
      <c r="B7221" t="str">
        <v>915-68: Microfiche and Microfilming Services</v>
      </c>
    </row>
    <row r="7222" spans="2:2" x14ac:dyDescent="0.25">
      <c r="B7222" t="str">
        <v>915-69: Motion Picture Production and Distribution Services</v>
      </c>
    </row>
    <row r="7223" spans="2:2" x14ac:dyDescent="0.25">
      <c r="B7223" t="str">
        <v>915-70: *Monitoring Services: Parolee, Patient, Convict, etc.</v>
      </c>
    </row>
    <row r="7224" spans="2:2" x14ac:dyDescent="0.25">
      <c r="B7224" t="str">
        <v>915-71: Newspaper and Publication Advertising, Non-legal</v>
      </c>
    </row>
    <row r="7225" spans="2:2" x14ac:dyDescent="0.25">
      <c r="B7225" t="str">
        <v>915-72: Photography Services, Not Including Aerial Photography</v>
      </c>
    </row>
    <row r="7226" spans="2:2" x14ac:dyDescent="0.25">
      <c r="B7226" t="str">
        <v>915-73: Public Information Services, Including Press Releases</v>
      </c>
    </row>
    <row r="7227" spans="2:2" x14ac:dyDescent="0.25">
      <c r="B7227" t="str">
        <v>915-74: Radio Commercial Production Services</v>
      </c>
    </row>
    <row r="7228" spans="2:2" x14ac:dyDescent="0.25">
      <c r="B7228" t="str">
        <v>915-75: *Telephone Services, Cellular</v>
      </c>
    </row>
    <row r="7229" spans="2:2" x14ac:dyDescent="0.25">
      <c r="B7229" t="str">
        <v>915-76: *Telephone Services,  Including Installation, Moves, Changes, Adds, Programming, Removal, Training, etc.,  Including Pay Telephones</v>
      </c>
    </row>
    <row r="7230" spans="2:2" x14ac:dyDescent="0.25">
      <c r="B7230" t="str">
        <v>915-77: *Telephone Services, Long Distance and Local, Including 800, Telex, Watts Services, and Offender Telephone Systems</v>
      </c>
    </row>
    <row r="7231" spans="2:2" x14ac:dyDescent="0.25">
      <c r="B7231" t="str">
        <v>915-78: Television Commercial Production Services</v>
      </c>
    </row>
    <row r="7232" spans="2:2" x14ac:dyDescent="0.25">
      <c r="B7232" t="str">
        <v>915-79: *Telecommunication Services (Not Otherwise Classified)</v>
      </c>
    </row>
    <row r="7233" spans="2:2" x14ac:dyDescent="0.25">
      <c r="B7233" t="str">
        <v>915-80: Typing and Word Processing Services</v>
      </c>
    </row>
    <row r="7234" spans="2:2" x14ac:dyDescent="0.25">
      <c r="B7234" t="str">
        <v>915-81: Telegram and Telegraph Services</v>
      </c>
    </row>
    <row r="7235" spans="2:2" x14ac:dyDescent="0.25">
      <c r="B7235" t="str">
        <v>915-82: Video Production Services</v>
      </c>
    </row>
    <row r="7236" spans="2:2" x14ac:dyDescent="0.25">
      <c r="B7236" t="str">
        <v>915-83: Television Services, Satellite</v>
      </c>
    </row>
    <row r="7237" spans="2:2" x14ac:dyDescent="0.25">
      <c r="B7237" t="str">
        <v>915-84: Video Recording Services</v>
      </c>
    </row>
    <row r="7238" spans="2:2" x14ac:dyDescent="0.25">
      <c r="B7238" t="str">
        <v>915-85: *Telecommunication Relay Services: Text Telephone (TTY); Text-To-Voice; Voice Carry Over (VCO); Hearing Carry Over (HCO); Speech-To-Speech Relay; Video Relay; Spanish Relay; 7-1-1 Access to TRS, Short Message Service (SMS)</v>
      </c>
    </row>
    <row r="7239" spans="2:2" x14ac:dyDescent="0.25">
      <c r="B7239" t="str">
        <v>915-90: Video Media Duplicating and Production Service, (Including CD ROMs, Tapes, etc.</v>
      </c>
    </row>
    <row r="7240" spans="2:2" x14ac:dyDescent="0.25">
      <c r="B7240" t="str">
        <v>915-93: *Voice Mail Services</v>
      </c>
    </row>
    <row r="7241" spans="2:2" x14ac:dyDescent="0.25">
      <c r="B7241" t="str">
        <v>915-95: *Warning System Services, Citizen</v>
      </c>
    </row>
    <row r="7242" spans="2:2" x14ac:dyDescent="0.25">
      <c r="B7242" t="str">
        <v>915-96: *Web Page Design, Management and Maintenance Services</v>
      </c>
    </row>
    <row r="7243" spans="2:2" x14ac:dyDescent="0.25">
      <c r="B7243" t="str">
        <v>915-97: *Wiring Services, Data and Voice</v>
      </c>
    </row>
    <row r="7244" spans="2:2" x14ac:dyDescent="0.25">
      <c r="B7244" t="str">
        <v>916-10: Computer SW-Int Developed &gt;1 Million</v>
      </c>
    </row>
    <row r="7245" spans="2:2" x14ac:dyDescent="0.25">
      <c r="B7245" t="str">
        <v>916-20: Lease Purchase Infrastructure Telecom</v>
      </c>
    </row>
    <row r="7246" spans="2:2" x14ac:dyDescent="0.25">
      <c r="B7246" t="str">
        <v>916-80: TTI Network Support Services</v>
      </c>
    </row>
    <row r="7247" spans="2:2" x14ac:dyDescent="0.25">
      <c r="B7247" t="str">
        <v>916-81: TTVN Intra-System Communication</v>
      </c>
    </row>
    <row r="7248" spans="2:2" x14ac:dyDescent="0.25">
      <c r="B7248" t="str">
        <v>917-01: Accreditation Services</v>
      </c>
    </row>
    <row r="7249" spans="2:2" x14ac:dyDescent="0.25">
      <c r="B7249" t="str">
        <v>917-03: Contract Equipment, Capital</v>
      </c>
    </row>
    <row r="7250" spans="2:2" x14ac:dyDescent="0.25">
      <c r="B7250" t="str">
        <v>917-04: Contract Equipment, Not Capital</v>
      </c>
    </row>
    <row r="7251" spans="2:2" x14ac:dyDescent="0.25">
      <c r="B7251" t="str">
        <v>917-05: Contract Labor</v>
      </c>
    </row>
    <row r="7252" spans="2:2" x14ac:dyDescent="0.25">
      <c r="B7252" t="str">
        <v>917-08: Contracted Services, Athletic Scouting</v>
      </c>
    </row>
    <row r="7253" spans="2:2" x14ac:dyDescent="0.25">
      <c r="B7253" t="str">
        <v>917-10: Contracted Services, Curriculum Development</v>
      </c>
    </row>
    <row r="7254" spans="2:2" x14ac:dyDescent="0.25">
      <c r="B7254" t="str">
        <v>917-20: Contracted Services, Officiating</v>
      </c>
    </row>
    <row r="7255" spans="2:2" x14ac:dyDescent="0.25">
      <c r="B7255" t="str">
        <v>917-21: Contracted Services, Physical Plant</v>
      </c>
    </row>
    <row r="7256" spans="2:2" x14ac:dyDescent="0.25">
      <c r="B7256" t="str">
        <v>917-22: Contracted Services, Proof, Edit, Illustrate</v>
      </c>
    </row>
    <row r="7257" spans="2:2" x14ac:dyDescent="0.25">
      <c r="B7257" t="str">
        <v>917-25: Contracted Services, Research Collaboration</v>
      </c>
    </row>
    <row r="7258" spans="2:2" x14ac:dyDescent="0.25">
      <c r="B7258" t="str">
        <v>917-26: Contracted Services, Research Foundation</v>
      </c>
    </row>
    <row r="7259" spans="2:2" x14ac:dyDescent="0.25">
      <c r="B7259" t="str">
        <v>917-27: Contracted Services, Research Subject</v>
      </c>
    </row>
    <row r="7260" spans="2:2" x14ac:dyDescent="0.25">
      <c r="B7260" t="str">
        <v>917-28: Contracted Services, Sales Commissions</v>
      </c>
    </row>
    <row r="7261" spans="2:2" x14ac:dyDescent="0.25">
      <c r="B7261" t="str">
        <v>917-30: Contracted Services, Shodding</v>
      </c>
    </row>
    <row r="7262" spans="2:2" x14ac:dyDescent="0.25">
      <c r="B7262" t="str">
        <v>917-31: Contracted Services, System Assessment</v>
      </c>
    </row>
    <row r="7263" spans="2:2" x14ac:dyDescent="0.25">
      <c r="B7263" t="str">
        <v>917-35: Contracted Services, Travel, Hotel</v>
      </c>
    </row>
    <row r="7264" spans="2:2" x14ac:dyDescent="0.25">
      <c r="B7264" t="str">
        <v>917-36: Contracted Services, Travel, Meals</v>
      </c>
    </row>
    <row r="7265" spans="2:2" x14ac:dyDescent="0.25">
      <c r="B7265" t="str">
        <v>917-37: Contracted Services, Travel, Mileage</v>
      </c>
    </row>
    <row r="7266" spans="2:2" x14ac:dyDescent="0.25">
      <c r="B7266" t="str">
        <v>917-38: Contracted Services, Travel, Other</v>
      </c>
    </row>
    <row r="7267" spans="2:2" x14ac:dyDescent="0.25">
      <c r="B7267" t="str">
        <v>917-39: Contracted Services, Travel, Transportation</v>
      </c>
    </row>
    <row r="7268" spans="2:2" x14ac:dyDescent="0.25">
      <c r="B7268" t="str">
        <v>917-40: Contracted Services, University Plus Instructors</v>
      </c>
    </row>
    <row r="7269" spans="2:2" x14ac:dyDescent="0.25">
      <c r="B7269" t="str">
        <v>917-41: Contracted Services, Utilities</v>
      </c>
    </row>
    <row r="7270" spans="2:2" x14ac:dyDescent="0.25">
      <c r="B7270" t="str">
        <v>917-45: Cyclotron Services</v>
      </c>
    </row>
    <row r="7271" spans="2:2" x14ac:dyDescent="0.25">
      <c r="B7271" t="str">
        <v>917-48: Data Processing Employment Services, Not CIS</v>
      </c>
    </row>
    <row r="7272" spans="2:2" x14ac:dyDescent="0.25">
      <c r="B7272" t="str">
        <v>917-49: Data Processing Employment Services, CIS</v>
      </c>
    </row>
    <row r="7273" spans="2:2" x14ac:dyDescent="0.25">
      <c r="B7273" t="str">
        <v>917-50: Data Processing Rental Services, CIS</v>
      </c>
    </row>
    <row r="7274" spans="2:2" x14ac:dyDescent="0.25">
      <c r="B7274" t="str">
        <v>917-51: Data Processing Rental Services, Not CIS</v>
      </c>
    </row>
    <row r="7275" spans="2:2" x14ac:dyDescent="0.25">
      <c r="B7275" t="str">
        <v>917-55: Information Distribution Services</v>
      </c>
    </row>
    <row r="7276" spans="2:2" x14ac:dyDescent="0.25">
      <c r="B7276" t="str">
        <v>917-56: Lease Purchase, Buildings</v>
      </c>
    </row>
    <row r="7277" spans="2:2" x14ac:dyDescent="0.25">
      <c r="B7277" t="str">
        <v>917-57: Lease Purchase, Computer Equipment</v>
      </c>
    </row>
    <row r="7278" spans="2:2" x14ac:dyDescent="0.25">
      <c r="B7278" t="str">
        <v>917-59: Lease Purchase, Computer Software</v>
      </c>
    </row>
    <row r="7279" spans="2:2" x14ac:dyDescent="0.25">
      <c r="B7279" t="str">
        <v>917-60: Lease Purchase, Facilities and Other Improvements</v>
      </c>
    </row>
    <row r="7280" spans="2:2" x14ac:dyDescent="0.25">
      <c r="B7280" t="str">
        <v>917-61: Lease Purchase, Farm Equipment</v>
      </c>
    </row>
    <row r="7281" spans="2:2" x14ac:dyDescent="0.25">
      <c r="B7281" t="str">
        <v>917-62: Lease Purchase, Furnishings and Equipment</v>
      </c>
    </row>
    <row r="7282" spans="2:2" x14ac:dyDescent="0.25">
      <c r="B7282" t="str">
        <v>917-64: Lease Purchase, Motor Vehicle, Other</v>
      </c>
    </row>
    <row r="7283" spans="2:2" x14ac:dyDescent="0.25">
      <c r="B7283" t="str">
        <v>917-65: Lease Purchase, Motor Vehicle, Passenger Cars</v>
      </c>
    </row>
    <row r="7284" spans="2:2" x14ac:dyDescent="0.25">
      <c r="B7284" t="str">
        <v>917-66: Lease Purchase, Personal Property, Other</v>
      </c>
    </row>
    <row r="7285" spans="2:2" x14ac:dyDescent="0.25">
      <c r="B7285" t="str">
        <v>917-67: Maintenance and Repair, Computer Equipment, CIS</v>
      </c>
    </row>
    <row r="7286" spans="2:2" x14ac:dyDescent="0.25">
      <c r="B7286" t="str">
        <v>917-68: Maintenance and Repair, Computer Software, CIS</v>
      </c>
    </row>
    <row r="7287" spans="2:2" x14ac:dyDescent="0.25">
      <c r="B7287" t="str">
        <v>917-69: Maintenance and Repair, Emission System</v>
      </c>
    </row>
    <row r="7288" spans="2:2" x14ac:dyDescent="0.25">
      <c r="B7288" t="str">
        <v>917-71: Maintenance and Repair, Engine Services</v>
      </c>
    </row>
    <row r="7289" spans="2:2" x14ac:dyDescent="0.25">
      <c r="B7289" t="str">
        <v>917-73: Maintenance and Repair, Lifting Machines</v>
      </c>
    </row>
    <row r="7290" spans="2:2" x14ac:dyDescent="0.25">
      <c r="B7290" t="str">
        <v>917-74: Maintenance and Repair, Non-University Owned Vehicles</v>
      </c>
    </row>
    <row r="7291" spans="2:2" x14ac:dyDescent="0.25">
      <c r="B7291" t="str">
        <v>917-75: Maintenance and Repair, Other Infrastructure</v>
      </c>
    </row>
    <row r="7292" spans="2:2" x14ac:dyDescent="0.25">
      <c r="B7292" t="str">
        <v>917-76: Maintenance and Repair, Transmission Service</v>
      </c>
    </row>
    <row r="7293" spans="2:2" x14ac:dyDescent="0.25">
      <c r="B7293" t="str">
        <v>917-77: Other Contracted Services, Non Exempt</v>
      </c>
    </row>
    <row r="7294" spans="2:2" x14ac:dyDescent="0.25">
      <c r="B7294" t="str">
        <v>917-78: Outsource Printing, Graphic Arts Only</v>
      </c>
    </row>
    <row r="7295" spans="2:2" x14ac:dyDescent="0.25">
      <c r="B7295" t="str">
        <v>917-79: Postal Services, Campus Mail Service</v>
      </c>
    </row>
    <row r="7296" spans="2:2" x14ac:dyDescent="0.25">
      <c r="B7296" t="str">
        <v>917-80: Rent, Exhibit Space Onsite</v>
      </c>
    </row>
    <row r="7297" spans="2:2" x14ac:dyDescent="0.25">
      <c r="B7297" t="str">
        <v>917-81: Rent, Other Space Offsite</v>
      </c>
    </row>
    <row r="7298" spans="2:2" x14ac:dyDescent="0.25">
      <c r="B7298" t="str">
        <v>917-82: Rent, Other Space Onsite</v>
      </c>
    </row>
    <row r="7299" spans="2:2" x14ac:dyDescent="0.25">
      <c r="B7299" t="str">
        <v>917-83: Rent, Service Building Offsite</v>
      </c>
    </row>
    <row r="7300" spans="2:2" x14ac:dyDescent="0.25">
      <c r="B7300" t="str">
        <v>917-84: Rent, Service Building Onsite</v>
      </c>
    </row>
    <row r="7301" spans="2:2" x14ac:dyDescent="0.25">
      <c r="B7301" t="str">
        <v>917-85: Rent, Storage Space Onsite</v>
      </c>
    </row>
    <row r="7302" spans="2:2" x14ac:dyDescent="0.25">
      <c r="B7302" t="str">
        <v>917-86: Rental of Aircraft, Aircraft Pooling</v>
      </c>
    </row>
    <row r="7303" spans="2:2" x14ac:dyDescent="0.25">
      <c r="B7303" t="str">
        <v>917-87: Rental of Aircraft, University Exempt</v>
      </c>
    </row>
    <row r="7304" spans="2:2" x14ac:dyDescent="0.25">
      <c r="B7304" t="str">
        <v>917-89: Rental of Animals</v>
      </c>
    </row>
    <row r="7305" spans="2:2" x14ac:dyDescent="0.25">
      <c r="B7305" t="str">
        <v>917-90: Rental of Containers</v>
      </c>
    </row>
    <row r="7306" spans="2:2" x14ac:dyDescent="0.25">
      <c r="B7306" t="str">
        <v>917-91: Rental of Dormitory Furniture</v>
      </c>
    </row>
    <row r="7307" spans="2:2" x14ac:dyDescent="0.25">
      <c r="B7307" t="str">
        <v>917-92: Rental of Radio Towers</v>
      </c>
    </row>
    <row r="7308" spans="2:2" x14ac:dyDescent="0.25">
      <c r="B7308" t="str">
        <v>917-93: Rental of Space System, Aircraft Only</v>
      </c>
    </row>
    <row r="7309" spans="2:2" x14ac:dyDescent="0.25">
      <c r="B7309" t="str">
        <v>917-94: Rental of Video Equipment</v>
      </c>
    </row>
    <row r="7310" spans="2:2" x14ac:dyDescent="0.25">
      <c r="B7310" t="str">
        <v>917-95: Use Fee for Equipment Repair and Replacement</v>
      </c>
    </row>
    <row r="7311" spans="2:2" x14ac:dyDescent="0.25">
      <c r="B7311" t="str">
        <v>917-96: Wind Tunnel Services</v>
      </c>
    </row>
    <row r="7312" spans="2:2" x14ac:dyDescent="0.25">
      <c r="B7312" t="str">
        <v>918-02: Audio and Visual (A/V) Consulting</v>
      </c>
    </row>
    <row r="7313" spans="2:2" x14ac:dyDescent="0.25">
      <c r="B7313" t="str">
        <v>918-03: Alcohol and Drug Abuse Consulting</v>
      </c>
    </row>
    <row r="7314" spans="2:2" x14ac:dyDescent="0.25">
      <c r="B7314" t="str">
        <v>918-04: Accounting, Auditing, Budget Consulting</v>
      </c>
    </row>
    <row r="7315" spans="2:2" x14ac:dyDescent="0.25">
      <c r="B7315" t="str">
        <v>918-06: Administrative Consulting</v>
      </c>
    </row>
    <row r="7316" spans="2:2" x14ac:dyDescent="0.25">
      <c r="B7316" t="str">
        <v>918-07: Advertising Consulting</v>
      </c>
    </row>
    <row r="7317" spans="2:2" x14ac:dyDescent="0.25">
      <c r="B7317" t="str">
        <v>918-09: Agricultural Consulting</v>
      </c>
    </row>
    <row r="7318" spans="2:2" x14ac:dyDescent="0.25">
      <c r="B7318" t="str">
        <v>918-10: Air Quality Consulting</v>
      </c>
    </row>
    <row r="7319" spans="2:2" x14ac:dyDescent="0.25">
      <c r="B7319" t="str">
        <v>918-11: Anthropology Consulting</v>
      </c>
    </row>
    <row r="7320" spans="2:2" x14ac:dyDescent="0.25">
      <c r="B7320" t="str">
        <v>918-12: Analytical Predictive Studies and Surveys Consulting</v>
      </c>
    </row>
    <row r="7321" spans="2:2" x14ac:dyDescent="0.25">
      <c r="B7321" t="str">
        <v>918-13: Asbestos Consulting</v>
      </c>
    </row>
    <row r="7322" spans="2:2" x14ac:dyDescent="0.25">
      <c r="B7322" t="str">
        <v>918-14: Appraisals Consulting</v>
      </c>
    </row>
    <row r="7323" spans="2:2" x14ac:dyDescent="0.25">
      <c r="B7323" t="str">
        <v>918-15: Architectural Consulting  (Inactive, please see commodity code 906-07 effective January 1, 2016)</v>
      </c>
    </row>
    <row r="7324" spans="2:2" x14ac:dyDescent="0.25">
      <c r="B7324" t="str">
        <v>918-16: Archeological Consulting</v>
      </c>
    </row>
    <row r="7325" spans="2:2" x14ac:dyDescent="0.25">
      <c r="B7325" t="str">
        <v>918-17: Aviation Consulting</v>
      </c>
    </row>
    <row r="7326" spans="2:2" x14ac:dyDescent="0.25">
      <c r="B7326" t="str">
        <v>918-18: Boiler Chemistry Consulting</v>
      </c>
    </row>
    <row r="7327" spans="2:2" x14ac:dyDescent="0.25">
      <c r="B7327" t="str">
        <v>918-19: Buildings, Structures and Components Consulting</v>
      </c>
    </row>
    <row r="7328" spans="2:2" x14ac:dyDescent="0.25">
      <c r="B7328" t="str">
        <v>918-20: Business Consulting, Small  (Inactive, please see commodity code 918-21 effective January 1, 2016)</v>
      </c>
    </row>
    <row r="7329" spans="2:2" x14ac:dyDescent="0.25">
      <c r="B7329" t="str">
        <v>918-21: Business Consulting</v>
      </c>
    </row>
    <row r="7330" spans="2:2" x14ac:dyDescent="0.25">
      <c r="B7330" t="str">
        <v>918-24: Communications Consulting</v>
      </c>
    </row>
    <row r="7331" spans="2:2" x14ac:dyDescent="0.25">
      <c r="B7331" t="str">
        <v>918-25: Compliance Consulting, Including American Disabilities Act (ADA)</v>
      </c>
    </row>
    <row r="7332" spans="2:2" x14ac:dyDescent="0.25">
      <c r="B7332" t="str">
        <v>918-26: Public Relations Consulting</v>
      </c>
    </row>
    <row r="7333" spans="2:2" x14ac:dyDescent="0.25">
      <c r="B7333" t="str">
        <v>918-27: Community Development Consulting</v>
      </c>
    </row>
    <row r="7334" spans="2:2" x14ac:dyDescent="0.25">
      <c r="B7334" t="str">
        <v>918-28: *Computer Hardware Consulting</v>
      </c>
    </row>
    <row r="7335" spans="2:2" x14ac:dyDescent="0.25">
      <c r="B7335" t="str">
        <v>918-29: *Computer Software Consulting</v>
      </c>
    </row>
    <row r="7336" spans="2:2" x14ac:dyDescent="0.25">
      <c r="B7336" t="str">
        <v>918-30: *Computer Network Consulting</v>
      </c>
    </row>
    <row r="7337" spans="2:2" x14ac:dyDescent="0.25">
      <c r="B7337" t="str">
        <v>918-31: Construction Consulting</v>
      </c>
    </row>
    <row r="7338" spans="2:2" x14ac:dyDescent="0.25">
      <c r="B7338" t="str">
        <v>918-32: Consulting Services (Not Otherwise Classified)</v>
      </c>
    </row>
    <row r="7339" spans="2:2" x14ac:dyDescent="0.25">
      <c r="B7339" t="str">
        <v>918-35: Disadvantaged Business Enterprise (DBE) or Historically Underutilized Business (HUB) Consulting Including Technical Assistance</v>
      </c>
    </row>
    <row r="7340" spans="2:2" x14ac:dyDescent="0.25">
      <c r="B7340" t="str">
        <v>918-36: *E-Commerce Consulting</v>
      </c>
    </row>
    <row r="7341" spans="2:2" x14ac:dyDescent="0.25">
      <c r="B7341" t="str">
        <v>918-37: Economy Consulting  (Inactive, please see commodity code 918-49 effective January 1, 2016)</v>
      </c>
    </row>
    <row r="7342" spans="2:2" x14ac:dyDescent="0.25">
      <c r="B7342" t="str">
        <v>918-38: Education and Training Consulting</v>
      </c>
    </row>
    <row r="7343" spans="2:2" x14ac:dyDescent="0.25">
      <c r="B7343" t="str">
        <v>918-39: Elevator, Escalator, Moving Walks Consulting</v>
      </c>
    </row>
    <row r="7344" spans="2:2" x14ac:dyDescent="0.25">
      <c r="B7344" t="str">
        <v>918-40: Employee Benefits Consulting</v>
      </c>
    </row>
    <row r="7345" spans="2:2" x14ac:dyDescent="0.25">
      <c r="B7345" t="str">
        <v>918-41: Energy Conservation Consulting</v>
      </c>
    </row>
    <row r="7346" spans="2:2" x14ac:dyDescent="0.25">
      <c r="B7346" t="str">
        <v>918-42: Engineering Consulting  (Inactive, please see commodity code 907-40 effective January 1, 2016)</v>
      </c>
    </row>
    <row r="7347" spans="2:2" x14ac:dyDescent="0.25">
      <c r="B7347" t="str">
        <v>918-43: Environmental Consulting</v>
      </c>
    </row>
    <row r="7348" spans="2:2" x14ac:dyDescent="0.25">
      <c r="B7348" t="str">
        <v>918-44: E-Mail Archiving and Records Management Consulting</v>
      </c>
    </row>
    <row r="7349" spans="2:2" x14ac:dyDescent="0.25">
      <c r="B7349" t="str">
        <v>918-45: Fashion Consulting</v>
      </c>
    </row>
    <row r="7350" spans="2:2" x14ac:dyDescent="0.25">
      <c r="B7350" t="str">
        <v>918-46: *Feasibility Studies, Consulting</v>
      </c>
    </row>
    <row r="7351" spans="2:2" x14ac:dyDescent="0.25">
      <c r="B7351" t="str">
        <v>918-49: Finance and Economics Consulting</v>
      </c>
    </row>
    <row r="7352" spans="2:2" x14ac:dyDescent="0.25">
      <c r="B7352" t="str">
        <v>918-52: Food Service Consulting</v>
      </c>
    </row>
    <row r="7353" spans="2:2" x14ac:dyDescent="0.25">
      <c r="B7353" t="str">
        <v>918-54: Furnishings Consulting</v>
      </c>
    </row>
    <row r="7354" spans="2:2" x14ac:dyDescent="0.25">
      <c r="B7354" t="str">
        <v>918-55: Geological Consulting</v>
      </c>
    </row>
    <row r="7355" spans="2:2" x14ac:dyDescent="0.25">
      <c r="B7355" t="str">
        <v>918-58: Governmental Consulting</v>
      </c>
    </row>
    <row r="7356" spans="2:2" x14ac:dyDescent="0.25">
      <c r="B7356" t="str">
        <v>918-61: *Smart Technology Consulting Services</v>
      </c>
    </row>
    <row r="7357" spans="2:2" x14ac:dyDescent="0.25">
      <c r="B7357" t="str">
        <v>918-62: Horticultural Consulting</v>
      </c>
    </row>
    <row r="7358" spans="2:2" x14ac:dyDescent="0.25">
      <c r="B7358" t="str">
        <v>918-63: Housing Consulting</v>
      </c>
    </row>
    <row r="7359" spans="2:2" x14ac:dyDescent="0.25">
      <c r="B7359" t="str">
        <v>918-65: Human Resources, Relations Consulting</v>
      </c>
    </row>
    <row r="7360" spans="2:2" x14ac:dyDescent="0.25">
      <c r="B7360" t="str">
        <v>918-66: Human Resources Consulting  (Inactive, please see commodity code 918-65 effective January 1, 2016)</v>
      </c>
    </row>
    <row r="7361" spans="2:2" x14ac:dyDescent="0.25">
      <c r="B7361" t="str">
        <v>918-67: Human Services Consulting, Including Mental Health Consulting</v>
      </c>
    </row>
    <row r="7362" spans="2:2" x14ac:dyDescent="0.25">
      <c r="B7362" t="str">
        <v>918-69: Insurance Consulting</v>
      </c>
    </row>
    <row r="7363" spans="2:2" x14ac:dyDescent="0.25">
      <c r="B7363" t="str">
        <v>918-70: Inventory Consulting</v>
      </c>
    </row>
    <row r="7364" spans="2:2" x14ac:dyDescent="0.25">
      <c r="B7364" t="str">
        <v>918-71: *IT Consulting, (Not Otherwise Classified)</v>
      </c>
    </row>
    <row r="7365" spans="2:2" x14ac:dyDescent="0.25">
      <c r="B7365" t="str">
        <v>918-72: Lakes, Rivers, and Other Waterway Management Consulting</v>
      </c>
    </row>
    <row r="7366" spans="2:2" x14ac:dyDescent="0.25">
      <c r="B7366" t="str">
        <v>918-73: Landscaping Consulting</v>
      </c>
    </row>
    <row r="7367" spans="2:2" x14ac:dyDescent="0.25">
      <c r="B7367" t="str">
        <v>918-74: Legal Consulting</v>
      </c>
    </row>
    <row r="7368" spans="2:2" x14ac:dyDescent="0.25">
      <c r="B7368" t="str">
        <v>918-75: Management Consulting</v>
      </c>
    </row>
    <row r="7369" spans="2:2" x14ac:dyDescent="0.25">
      <c r="B7369" t="str">
        <v>918-76: Marketing Consulting</v>
      </c>
    </row>
    <row r="7370" spans="2:2" x14ac:dyDescent="0.25">
      <c r="B7370" t="str">
        <v>918-77: Mail Consulting</v>
      </c>
    </row>
    <row r="7371" spans="2:2" x14ac:dyDescent="0.25">
      <c r="B7371" t="str">
        <v>918-78: Medical Consulting</v>
      </c>
    </row>
    <row r="7372" spans="2:2" x14ac:dyDescent="0.25">
      <c r="B7372" t="str">
        <v>918-79: Minority, Women, Veteran and Small Business Consulting</v>
      </c>
    </row>
    <row r="7373" spans="2:2" x14ac:dyDescent="0.25">
      <c r="B7373" t="str">
        <v>918-80: Moving and Relocation Consulting</v>
      </c>
    </row>
    <row r="7374" spans="2:2" x14ac:dyDescent="0.25">
      <c r="B7374" t="str">
        <v>918-81: Natural Disasters, Fire, Flood, Wind, Quakes, Consulting</v>
      </c>
    </row>
    <row r="7375" spans="2:2" x14ac:dyDescent="0.25">
      <c r="B7375" t="str">
        <v>918-82: Scientific and Technical Consulting</v>
      </c>
    </row>
    <row r="7376" spans="2:2" x14ac:dyDescent="0.25">
      <c r="B7376" t="str">
        <v>918-83: Organizational Development Consulting</v>
      </c>
    </row>
    <row r="7377" spans="2:2" x14ac:dyDescent="0.25">
      <c r="B7377" t="str">
        <v>918-84: Parking Consulting</v>
      </c>
    </row>
    <row r="7378" spans="2:2" x14ac:dyDescent="0.25">
      <c r="B7378" t="str">
        <v>918-85: Personnel and Employment Consulting, Human Resources (Inactive, please see commodity code 918-65 effective January 1, 2016)</v>
      </c>
    </row>
    <row r="7379" spans="2:2" x14ac:dyDescent="0.25">
      <c r="B7379" t="str">
        <v>918-86: Public Art Consulting</v>
      </c>
    </row>
    <row r="7380" spans="2:2" x14ac:dyDescent="0.25">
      <c r="B7380" t="str">
        <v>918-87: Procurement Consulting, Including Specification Development and Contract Consulting</v>
      </c>
    </row>
    <row r="7381" spans="2:2" x14ac:dyDescent="0.25">
      <c r="B7381" t="str">
        <v>918-88: Quality Assurance and Control Consulting</v>
      </c>
    </row>
    <row r="7382" spans="2:2" x14ac:dyDescent="0.25">
      <c r="B7382" t="str">
        <v>918-89: Real Estate and Land Consulting, Including Land Survey Consulting and Land Developers</v>
      </c>
    </row>
    <row r="7383" spans="2:2" x14ac:dyDescent="0.25">
      <c r="B7383" t="str">
        <v>918-90: *Strategic Planning and Consulting</v>
      </c>
    </row>
    <row r="7384" spans="2:2" x14ac:dyDescent="0.25">
      <c r="B7384" t="str">
        <v>918-91: Roofing Consulting</v>
      </c>
    </row>
    <row r="7385" spans="2:2" x14ac:dyDescent="0.25">
      <c r="B7385" t="str">
        <v>918-92: Urban Planning Consulting</v>
      </c>
    </row>
    <row r="7386" spans="2:2" x14ac:dyDescent="0.25">
      <c r="B7386" t="str">
        <v>918-93: *Security and Safety Consulting</v>
      </c>
    </row>
    <row r="7387" spans="2:2" x14ac:dyDescent="0.25">
      <c r="B7387" t="str">
        <v>918-94: Traffic Consulting</v>
      </c>
    </row>
    <row r="7388" spans="2:2" x14ac:dyDescent="0.25">
      <c r="B7388" t="str">
        <v>918-95: *Telecommunications Consulting</v>
      </c>
    </row>
    <row r="7389" spans="2:2" x14ac:dyDescent="0.25">
      <c r="B7389" t="str">
        <v>918-96: Transportation Consulting</v>
      </c>
    </row>
    <row r="7390" spans="2:2" x14ac:dyDescent="0.25">
      <c r="B7390" t="str">
        <v>918-97: Utilities: Gas, Water, Electric Consulting</v>
      </c>
    </row>
    <row r="7391" spans="2:2" x14ac:dyDescent="0.25">
      <c r="B7391" t="str">
        <v>920-02: *Access Services, Data</v>
      </c>
    </row>
    <row r="7392" spans="2:2" x14ac:dyDescent="0.25">
      <c r="B7392" t="str">
        <v>920-03: *Application Service Provider (ASP), Web Based Hosted</v>
      </c>
    </row>
    <row r="7393" spans="2:2" x14ac:dyDescent="0.25">
      <c r="B7393" t="str">
        <v>920-04: *Applications Software, Main Frame Server Systems</v>
      </c>
    </row>
    <row r="7394" spans="2:2" x14ac:dyDescent="0.25">
      <c r="B7394" t="str">
        <v>920-05: *Application, Infrastructure, Hosting, Data Hosting and Cloud Computing Services, Vendor Hosted and Internally Hosted</v>
      </c>
    </row>
    <row r="7395" spans="2:2" x14ac:dyDescent="0.25">
      <c r="B7395" t="str">
        <v>920-07: *Applications Software for Microcomputer Systems: Business, Mathematical and Statistical, Medical, Scientific, etc.</v>
      </c>
    </row>
    <row r="7396" spans="2:2" x14ac:dyDescent="0.25">
      <c r="B7396" t="str">
        <v>920-13: *Advanced Authentication System Software Services, Including Maintenance and Repair</v>
      </c>
    </row>
    <row r="7397" spans="2:2" x14ac:dyDescent="0.25">
      <c r="B7397" t="str">
        <v>920-14: *Applications Software, Mainframes and Servers</v>
      </c>
    </row>
    <row r="7398" spans="2:2" x14ac:dyDescent="0.25">
      <c r="B7398" t="str">
        <v>920-15: *Assessment and Profiling Services of Software</v>
      </c>
    </row>
    <row r="7399" spans="2:2" x14ac:dyDescent="0.25">
      <c r="B7399" t="str">
        <v>920-16: *Biometric Authentication System Software Services, Including Maintenance and Repair</v>
      </c>
    </row>
    <row r="7400" spans="2:2" x14ac:dyDescent="0.25">
      <c r="B7400" t="str">
        <v>920-17: *Electronic Forms Services</v>
      </c>
    </row>
    <row r="7401" spans="2:2" x14ac:dyDescent="0.25">
      <c r="B7401" t="str">
        <v>920-18: *Computer Aided Design (CAD) Services</v>
      </c>
    </row>
    <row r="7402" spans="2:2" x14ac:dyDescent="0.25">
      <c r="B7402" t="str">
        <v>920-19: *Computer Digitizing Services</v>
      </c>
    </row>
    <row r="7403" spans="2:2" x14ac:dyDescent="0.25">
      <c r="B7403" t="str">
        <v>920-20: *Computer Output to Microfilm/Microfiche  (COM) Processing Services</v>
      </c>
    </row>
    <row r="7404" spans="2:2" x14ac:dyDescent="0.25">
      <c r="B7404" t="str">
        <v>920-21: *Data Entry Services</v>
      </c>
    </row>
    <row r="7405" spans="2:2" x14ac:dyDescent="0.25">
      <c r="B7405" t="str">
        <v>920-22: *Data Preparation and Processing Services, Including Bates Coding</v>
      </c>
    </row>
    <row r="7406" spans="2:2" x14ac:dyDescent="0.25">
      <c r="B7406" t="str">
        <v>920-23: *Data Recovery Services</v>
      </c>
    </row>
    <row r="7407" spans="2:2" x14ac:dyDescent="0.25">
      <c r="B7407" t="str">
        <v>920-24: *Data Conversion Services</v>
      </c>
    </row>
    <row r="7408" spans="2:2" x14ac:dyDescent="0.25">
      <c r="B7408" t="str">
        <v>920-25: *Diskette, CD Rom, DVD, Blu-ray, and Tape Duplicating Services</v>
      </c>
    </row>
    <row r="7409" spans="2:2" x14ac:dyDescent="0.25">
      <c r="B7409" t="str">
        <v>920-26: *Desktop Publishing Services</v>
      </c>
    </row>
    <row r="7410" spans="2:2" x14ac:dyDescent="0.25">
      <c r="B7410" t="str">
        <v>920-27: *Ecommerce Software Development Services</v>
      </c>
    </row>
    <row r="7411" spans="2:2" x14ac:dyDescent="0.25">
      <c r="B7411" t="str">
        <v>920-28: *Emergency Back-up, Disaster Recovery Services and Facilities for Data Processing</v>
      </c>
    </row>
    <row r="7412" spans="2:2" x14ac:dyDescent="0.25">
      <c r="B7412" t="str">
        <v>920-29: *Facilities Management Services, Computer</v>
      </c>
    </row>
    <row r="7413" spans="2:2" x14ac:dyDescent="0.25">
      <c r="B7413" t="str">
        <v>920-30: *Image Processing and Conversion Services</v>
      </c>
    </row>
    <row r="7414" spans="2:2" x14ac:dyDescent="0.25">
      <c r="B7414" t="str">
        <v>920-31: *Installation of Computers, Peripherals, and Related Equipment (Including Software)</v>
      </c>
    </row>
    <row r="7415" spans="2:2" x14ac:dyDescent="0.25">
      <c r="B7415" t="str">
        <v>920-32: *Intelligent Transportation System (ITS) Software, Including Design, Development, and Maintenance Services</v>
      </c>
    </row>
    <row r="7416" spans="2:2" x14ac:dyDescent="0.25">
      <c r="B7416" t="str">
        <v>920-33: *Mapping and Geographical Information Systems (GIS) Services, Digitized, Cartography (See 962-52 for Standard Mapping Services)</v>
      </c>
    </row>
    <row r="7417" spans="2:2" x14ac:dyDescent="0.25">
      <c r="B7417" t="str">
        <v>920-34: *Media Conversion Services</v>
      </c>
    </row>
    <row r="7418" spans="2:2" x14ac:dyDescent="0.25">
      <c r="B7418" t="str">
        <v>920-35: *Modification of Existing Equipment, Including Cost of Parts</v>
      </c>
    </row>
    <row r="7419" spans="2:2" x14ac:dyDescent="0.25">
      <c r="B7419" t="str">
        <v>920-37: *Networking Services, Including Installation, Security, and Maintenance</v>
      </c>
    </row>
    <row r="7420" spans="2:2" x14ac:dyDescent="0.25">
      <c r="B7420" t="str">
        <v>920-38: *Optical Scanning Services</v>
      </c>
    </row>
    <row r="7421" spans="2:2" x14ac:dyDescent="0.25">
      <c r="B7421" t="str">
        <v>920-39: *Processing System Services, Data (Not Otherwise Classified)</v>
      </c>
    </row>
    <row r="7422" spans="2:2" x14ac:dyDescent="0.25">
      <c r="B7422" t="str">
        <v>920-40: *Programming Services, Computer, Including Mobile Device Applications</v>
      </c>
    </row>
    <row r="7423" spans="2:2" x14ac:dyDescent="0.25">
      <c r="B7423" t="str">
        <v>920-41: *Retrieval Services, Information</v>
      </c>
    </row>
    <row r="7424" spans="2:2" x14ac:dyDescent="0.25">
      <c r="B7424" t="str">
        <v>920-42: *Recertification and Rehabilitation of Magnetic Media, Disk Packs, Tapes, etc.</v>
      </c>
    </row>
    <row r="7425" spans="2:2" x14ac:dyDescent="0.25">
      <c r="B7425" t="str">
        <v>920-43: *Recharging and Remanufacturing of Printer and Fax Cartridges</v>
      </c>
    </row>
    <row r="7426" spans="2:2" x14ac:dyDescent="0.25">
      <c r="B7426" t="str">
        <v>920-44: *Risk Management for Software Development</v>
      </c>
    </row>
    <row r="7427" spans="2:2" x14ac:dyDescent="0.25">
      <c r="B7427" t="str">
        <v>920-45: *Software Maintenance and Support Services and Updates and Data Hosting Services</v>
      </c>
    </row>
    <row r="7428" spans="2:2" x14ac:dyDescent="0.25">
      <c r="B7428" t="str">
        <v>920-46: *Software Updating and Upgrading Services</v>
      </c>
    </row>
    <row r="7429" spans="2:2" x14ac:dyDescent="0.25">
      <c r="B7429" t="str">
        <v>920-47: *Support Services, Computer, Includes Computer Warranties</v>
      </c>
    </row>
    <row r="7430" spans="2:2" x14ac:dyDescent="0.25">
      <c r="B7430" t="str">
        <v>920-48: *Storage Services, Data Media</v>
      </c>
    </row>
    <row r="7431" spans="2:2" x14ac:dyDescent="0.25">
      <c r="B7431" t="str">
        <v>920-49: *Systems and Executive Software, Mainframe and Servers</v>
      </c>
    </row>
    <row r="7432" spans="2:2" x14ac:dyDescent="0.25">
      <c r="B7432" t="str">
        <v>920-50: *Shredding Services, Computer Components and Peripherals</v>
      </c>
    </row>
    <row r="7433" spans="2:2" x14ac:dyDescent="0.25">
      <c r="B7433" t="str">
        <v>920-51: *Redaction, De-identification Services, Automated</v>
      </c>
    </row>
    <row r="7434" spans="2:2" x14ac:dyDescent="0.25">
      <c r="B7434" t="str">
        <v>920-56: *Systems and Executive Software, Microcomputer</v>
      </c>
    </row>
    <row r="7435" spans="2:2" x14ac:dyDescent="0.25">
      <c r="B7435" t="str">
        <v>920-63: *Systems and Executive Software, Mainframe and Servers</v>
      </c>
    </row>
    <row r="7436" spans="2:2" x14ac:dyDescent="0.25">
      <c r="B7436" t="str">
        <v>920-64: *System Implementation and Engineering Services</v>
      </c>
    </row>
    <row r="7437" spans="2:2" x14ac:dyDescent="0.25">
      <c r="B7437" t="str">
        <v>920-65: *System Requirements Quality Assurance Review</v>
      </c>
    </row>
    <row r="7438" spans="2:2" x14ac:dyDescent="0.25">
      <c r="B7438" t="str">
        <v>920-66: *System, Network, Database, DBA Administration Services</v>
      </c>
    </row>
    <row r="7439" spans="2:2" x14ac:dyDescent="0.25">
      <c r="B7439" t="str">
        <v>920-75: *Technical Writing and Documentation, IT Services</v>
      </c>
    </row>
    <row r="7440" spans="2:2" x14ac:dyDescent="0.25">
      <c r="B7440" t="str">
        <v>920-76: *Testing of Systems Infrastructure, Components or Software, IT Services</v>
      </c>
    </row>
    <row r="7441" spans="2:2" x14ac:dyDescent="0.25">
      <c r="B7441" t="str">
        <v>920-77: *Teleprocessing Via Proprietary Data Bases</v>
      </c>
    </row>
    <row r="7442" spans="2:2" x14ac:dyDescent="0.25">
      <c r="B7442" t="str">
        <v>920-84: *Teleprocessing, Business, Timesharing</v>
      </c>
    </row>
    <row r="7443" spans="2:2" x14ac:dyDescent="0.25">
      <c r="B7443" t="str">
        <v>920-90: *Teleprocessing, Scientific, Industrial, Medical, etc., Timesharing</v>
      </c>
    </row>
    <row r="7444" spans="2:2" x14ac:dyDescent="0.25">
      <c r="B7444" t="str">
        <v>920-91: *Training, Computer Based, Software Supported</v>
      </c>
    </row>
    <row r="7445" spans="2:2" x14ac:dyDescent="0.25">
      <c r="B7445" t="str">
        <v>920-94: *Word Processing Software, Mainframe and Servers</v>
      </c>
    </row>
    <row r="7446" spans="2:2" x14ac:dyDescent="0.25">
      <c r="B7446" t="str">
        <v>920-95: *Word Processing Software, Microcomputer</v>
      </c>
    </row>
    <row r="7447" spans="2:2" x14ac:dyDescent="0.25">
      <c r="B7447" t="str">
        <v>920-96: *Word Processing Software, Minicomputer</v>
      </c>
    </row>
    <row r="7448" spans="2:2" x14ac:dyDescent="0.25">
      <c r="B7448" t="str">
        <v>924-05: Advisory Services, Educational</v>
      </c>
    </row>
    <row r="7449" spans="2:2" x14ac:dyDescent="0.25">
      <c r="B7449" t="str">
        <v>924-16: Course Development Services, Instructional and Training</v>
      </c>
    </row>
    <row r="7450" spans="2:2" x14ac:dyDescent="0.25">
      <c r="B7450" t="str">
        <v>924-18: Educational Services, Alternative</v>
      </c>
    </row>
    <row r="7451" spans="2:2" x14ac:dyDescent="0.25">
      <c r="B7451" t="str">
        <v>924-19: Educational Research Services</v>
      </c>
    </row>
    <row r="7452" spans="2:2" x14ac:dyDescent="0.25">
      <c r="B7452" t="str">
        <v>924-20: Examination and Testing Services</v>
      </c>
    </row>
    <row r="7453" spans="2:2" x14ac:dyDescent="0.25">
      <c r="B7453" t="str">
        <v>924-25: For Credit Classes, Seminars, Workshops, etc.</v>
      </c>
    </row>
    <row r="7454" spans="2:2" x14ac:dyDescent="0.25">
      <c r="B7454" t="str">
        <v>924-35: In-Service Training, Employees</v>
      </c>
    </row>
    <row r="7455" spans="2:2" x14ac:dyDescent="0.25">
      <c r="B7455" t="str">
        <v>924-40: *Instructor-led, Classroom Training, Technical</v>
      </c>
    </row>
    <row r="7456" spans="2:2" x14ac:dyDescent="0.25">
      <c r="B7456" t="str">
        <v>924-41: Instructor-led, Classroom Training, Non-Technical</v>
      </c>
    </row>
    <row r="7457" spans="2:2" x14ac:dyDescent="0.25">
      <c r="B7457" t="str">
        <v>924-42: Instructors, Classes for the Public</v>
      </c>
    </row>
    <row r="7458" spans="2:2" x14ac:dyDescent="0.25">
      <c r="B7458" t="str">
        <v>924-60: Not-For-Credit Classes, Seminars, Workshops, etc.</v>
      </c>
    </row>
    <row r="7459" spans="2:2" x14ac:dyDescent="0.25">
      <c r="B7459" t="str">
        <v>924-64: Partnering Workshop Facilitation Services</v>
      </c>
    </row>
    <row r="7460" spans="2:2" x14ac:dyDescent="0.25">
      <c r="B7460" t="str">
        <v>924-71: School Operation and Management Services</v>
      </c>
    </row>
    <row r="7461" spans="2:2" x14ac:dyDescent="0.25">
      <c r="B7461" t="str">
        <v>924-74: *Special Education Services</v>
      </c>
    </row>
    <row r="7462" spans="2:2" x14ac:dyDescent="0.25">
      <c r="B7462" t="str">
        <v>924-75: Special Education Consultant</v>
      </c>
    </row>
    <row r="7463" spans="2:2" x14ac:dyDescent="0.25">
      <c r="B7463" t="str">
        <v>924-76: Student Activities Services</v>
      </c>
    </row>
    <row r="7464" spans="2:2" x14ac:dyDescent="0.25">
      <c r="B7464" t="str">
        <v>924-77: Teacher Certification Services</v>
      </c>
    </row>
    <row r="7465" spans="2:2" x14ac:dyDescent="0.25">
      <c r="B7465" t="str">
        <v>924-78: Teaching and Instruction Services: Elementary and Secondary Education, Higher Education and Adult Education</v>
      </c>
    </row>
    <row r="7466" spans="2:2" x14ac:dyDescent="0.25">
      <c r="B7466" t="str">
        <v>924-80: Tutoring Services</v>
      </c>
    </row>
    <row r="7467" spans="2:2" x14ac:dyDescent="0.25">
      <c r="B7467" t="str">
        <v>924-86: Vocational Training, All Types, Including Vocational Rehabilitation and Technical Education</v>
      </c>
    </row>
    <row r="7468" spans="2:2" x14ac:dyDescent="0.25">
      <c r="B7468" t="str">
        <v>925-03: Aeronautical and Aerospace Engineering</v>
      </c>
    </row>
    <row r="7469" spans="2:2" x14ac:dyDescent="0.25">
      <c r="B7469" t="str">
        <v>925-04: Agricultural Engineering</v>
      </c>
    </row>
    <row r="7470" spans="2:2" x14ac:dyDescent="0.25">
      <c r="B7470" t="str">
        <v>925-07: Air Conditioning ,Heating and Ventilating Engineering</v>
      </c>
    </row>
    <row r="7471" spans="2:2" x14ac:dyDescent="0.25">
      <c r="B7471" t="str">
        <v>925-08: Airports, Lighting, Fueling, Navaids Engineering</v>
      </c>
    </row>
    <row r="7472" spans="2:2" x14ac:dyDescent="0.25">
      <c r="B7472" t="str">
        <v>925-11: Biomedical Engineering</v>
      </c>
    </row>
    <row r="7473" spans="2:2" x14ac:dyDescent="0.25">
      <c r="B7473" t="str">
        <v>925-13: Bridge Engineering</v>
      </c>
    </row>
    <row r="7474" spans="2:2" x14ac:dyDescent="0.25">
      <c r="B7474" t="str">
        <v>925-15: Chemical Processing and Storage Engineering</v>
      </c>
    </row>
    <row r="7475" spans="2:2" x14ac:dyDescent="0.25">
      <c r="B7475" t="str">
        <v>925-17: Civil Engineering</v>
      </c>
    </row>
    <row r="7476" spans="2:2" x14ac:dyDescent="0.25">
      <c r="B7476" t="str">
        <v>925-19: Concrete Engineering</v>
      </c>
    </row>
    <row r="7477" spans="2:2" x14ac:dyDescent="0.25">
      <c r="B7477" t="str">
        <v>925-20: Cold Storage, Refrigeration, Fast Freeze Engineering</v>
      </c>
    </row>
    <row r="7478" spans="2:2" x14ac:dyDescent="0.25">
      <c r="B7478" t="str">
        <v>925-21: Corrosion Control; Cathodic Protection; Electrolysis Engineering</v>
      </c>
    </row>
    <row r="7479" spans="2:2" x14ac:dyDescent="0.25">
      <c r="B7479" t="str">
        <v>925-22: Control Systems Engineering</v>
      </c>
    </row>
    <row r="7480" spans="2:2" x14ac:dyDescent="0.25">
      <c r="B7480" t="str">
        <v>925-23: Dam Engineering</v>
      </c>
    </row>
    <row r="7481" spans="2:2" x14ac:dyDescent="0.25">
      <c r="B7481" t="str">
        <v>925-24: Desalinization, Process and Facilities Engineering</v>
      </c>
    </row>
    <row r="7482" spans="2:2" x14ac:dyDescent="0.25">
      <c r="B7482" t="str">
        <v>925-28: Drainage Engineering</v>
      </c>
    </row>
    <row r="7483" spans="2:2" x14ac:dyDescent="0.25">
      <c r="B7483" t="str">
        <v>925-29: Electric Utility Protection and Control Engineering</v>
      </c>
    </row>
    <row r="7484" spans="2:2" x14ac:dyDescent="0.25">
      <c r="B7484" t="str">
        <v>925-30: Earthquake-Seismic Engineering</v>
      </c>
    </row>
    <row r="7485" spans="2:2" x14ac:dyDescent="0.25">
      <c r="B7485" t="str">
        <v>925-31: Electrical Engineering, Including Cogeneration Design Services</v>
      </c>
    </row>
    <row r="7486" spans="2:2" x14ac:dyDescent="0.25">
      <c r="B7486" t="str">
        <v>925-32: Electronic Engineering</v>
      </c>
    </row>
    <row r="7487" spans="2:2" x14ac:dyDescent="0.25">
      <c r="B7487" t="str">
        <v>925-33: Engineer Services, Professional (Inactive, effective January 1, 2016)</v>
      </c>
    </row>
    <row r="7488" spans="2:2" x14ac:dyDescent="0.25">
      <c r="B7488" t="str">
        <v>925-34: Energy Management Engineering</v>
      </c>
    </row>
    <row r="7489" spans="2:2" x14ac:dyDescent="0.25">
      <c r="B7489" t="str">
        <v>925-35: Environmental Engineering</v>
      </c>
    </row>
    <row r="7490" spans="2:2" x14ac:dyDescent="0.25">
      <c r="B7490" t="str">
        <v>925-36: Engineering Services (Not Otherwise Classified)</v>
      </c>
    </row>
    <row r="7491" spans="2:2" x14ac:dyDescent="0.25">
      <c r="B7491" t="str">
        <v>925-37: Facilities Design Engineering</v>
      </c>
    </row>
    <row r="7492" spans="2:2" x14ac:dyDescent="0.25">
      <c r="B7492" t="str">
        <v>925-38: Field Engineering</v>
      </c>
    </row>
    <row r="7493" spans="2:2" x14ac:dyDescent="0.25">
      <c r="B7493" t="str">
        <v>925-39: Fire Protection Engineering</v>
      </c>
    </row>
    <row r="7494" spans="2:2" x14ac:dyDescent="0.25">
      <c r="B7494" t="str">
        <v>925-40: Fisheries; Fish Ladders Engineering</v>
      </c>
    </row>
    <row r="7495" spans="2:2" x14ac:dyDescent="0.25">
      <c r="B7495" t="str">
        <v>925-41: Forensic Engineering</v>
      </c>
    </row>
    <row r="7496" spans="2:2" x14ac:dyDescent="0.25">
      <c r="B7496" t="str">
        <v>925-42: Foundation Engineering</v>
      </c>
    </row>
    <row r="7497" spans="2:2" x14ac:dyDescent="0.25">
      <c r="B7497" t="str">
        <v>925-43: Gas Systems, Propane, Natural, etc. Engineering</v>
      </c>
    </row>
    <row r="7498" spans="2:2" x14ac:dyDescent="0.25">
      <c r="B7498" t="str">
        <v>925-44: General Construction: Management, Scheduling, Cost Estimation Engineering</v>
      </c>
    </row>
    <row r="7499" spans="2:2" x14ac:dyDescent="0.25">
      <c r="B7499" t="str">
        <v>925-45: Geological Engineering</v>
      </c>
    </row>
    <row r="7500" spans="2:2" x14ac:dyDescent="0.25">
      <c r="B7500" t="str">
        <v>925-46: Geotechnical Engineering</v>
      </c>
    </row>
    <row r="7501" spans="2:2" x14ac:dyDescent="0.25">
      <c r="B7501" t="str">
        <v>925-48: Harbors, Jetties. Piers, Docks, Marinas, Ship Terminal Facilities Engineering</v>
      </c>
    </row>
    <row r="7502" spans="2:2" x14ac:dyDescent="0.25">
      <c r="B7502" t="str">
        <v>925-49: Highways, Streets, Airport Pay-Parking Lots Engineering</v>
      </c>
    </row>
    <row r="7503" spans="2:2" x14ac:dyDescent="0.25">
      <c r="B7503" t="str">
        <v>925-50: Hydroelectric Engineering</v>
      </c>
    </row>
    <row r="7504" spans="2:2" x14ac:dyDescent="0.25">
      <c r="B7504" t="str">
        <v>925-51: Hazardous Waste Engineering Services, Including Remedial Investigations and Feasibility Studies for Waste Sites</v>
      </c>
    </row>
    <row r="7505" spans="2:2" x14ac:dyDescent="0.25">
      <c r="B7505" t="str">
        <v>925-53: Industrial Engineering</v>
      </c>
    </row>
    <row r="7506" spans="2:2" x14ac:dyDescent="0.25">
      <c r="B7506" t="str">
        <v>925-55: Inspecting, General Engineering</v>
      </c>
    </row>
    <row r="7507" spans="2:2" x14ac:dyDescent="0.25">
      <c r="B7507" t="str">
        <v>925-56: Inspecting, Structural Engineering</v>
      </c>
    </row>
    <row r="7508" spans="2:2" x14ac:dyDescent="0.25">
      <c r="B7508" t="str">
        <v>925-57: Instrumentation Engineering</v>
      </c>
    </row>
    <row r="7509" spans="2:2" x14ac:dyDescent="0.25">
      <c r="B7509" t="str">
        <v>925-58: Irrigation; Drainage; Flood Control Engineering</v>
      </c>
    </row>
    <row r="7510" spans="2:2" x14ac:dyDescent="0.25">
      <c r="B7510" t="str">
        <v>925-61: Land Development and Planning Engineering</v>
      </c>
    </row>
    <row r="7511" spans="2:2" x14ac:dyDescent="0.25">
      <c r="B7511" t="str">
        <v>925-65: Machine Design Engineering</v>
      </c>
    </row>
    <row r="7512" spans="2:2" x14ac:dyDescent="0.25">
      <c r="B7512" t="str">
        <v>925-66: Manufacturing Engineering</v>
      </c>
    </row>
    <row r="7513" spans="2:2" x14ac:dyDescent="0.25">
      <c r="B7513" t="str">
        <v>925-67: Mechanical Engineering</v>
      </c>
    </row>
    <row r="7514" spans="2:2" x14ac:dyDescent="0.25">
      <c r="B7514" t="str">
        <v>925-68: Metallurgical Engineering</v>
      </c>
    </row>
    <row r="7515" spans="2:2" x14ac:dyDescent="0.25">
      <c r="B7515" t="str">
        <v>925-69: Mining and Mineralogy Engineering</v>
      </c>
    </row>
    <row r="7516" spans="2:2" x14ac:dyDescent="0.25">
      <c r="B7516" t="str">
        <v>925-70: Municipal Engineering</v>
      </c>
    </row>
    <row r="7517" spans="2:2" x14ac:dyDescent="0.25">
      <c r="B7517" t="str">
        <v>925-72: Nuclear Engineering</v>
      </c>
    </row>
    <row r="7518" spans="2:2" x14ac:dyDescent="0.25">
      <c r="B7518" t="str">
        <v>925-73: Ocean Engineering</v>
      </c>
    </row>
    <row r="7519" spans="2:2" x14ac:dyDescent="0.25">
      <c r="B7519" t="str">
        <v>925-74: Petroleum and Fuel Storage and Distribution Engineering</v>
      </c>
    </row>
    <row r="7520" spans="2:2" x14ac:dyDescent="0.25">
      <c r="B7520" t="str">
        <v>925-77: Pollution Control Engineering</v>
      </c>
    </row>
    <row r="7521" spans="2:2" x14ac:dyDescent="0.25">
      <c r="B7521" t="str">
        <v>925-78: Power Generation, Transmission, Distribution Engineering</v>
      </c>
    </row>
    <row r="7522" spans="2:2" x14ac:dyDescent="0.25">
      <c r="B7522" t="str">
        <v>925-79: Railroad; Rapid Transit; Monorail Engineering</v>
      </c>
    </row>
    <row r="7523" spans="2:2" x14ac:dyDescent="0.25">
      <c r="B7523" t="str">
        <v>925-80: Rate Engineering</v>
      </c>
    </row>
    <row r="7524" spans="2:2" x14ac:dyDescent="0.25">
      <c r="B7524" t="str">
        <v>925-81: Roofing Engineering</v>
      </c>
    </row>
    <row r="7525" spans="2:2" x14ac:dyDescent="0.25">
      <c r="B7525" t="str">
        <v>925-83: Sanitary Engineering</v>
      </c>
    </row>
    <row r="7526" spans="2:2" x14ac:dyDescent="0.25">
      <c r="B7526" t="str">
        <v>925-84: Security Systems; Intruder and Smoke Detection Engineering</v>
      </c>
    </row>
    <row r="7527" spans="2:2" x14ac:dyDescent="0.25">
      <c r="B7527" t="str">
        <v>925-86: Surveyor Services, Land</v>
      </c>
    </row>
    <row r="7528" spans="2:2" x14ac:dyDescent="0.25">
      <c r="B7528" t="str">
        <v>925-87: Sewage Collection, Treatment, and Disposal Engineering</v>
      </c>
    </row>
    <row r="7529" spans="2:2" x14ac:dyDescent="0.25">
      <c r="B7529" t="str">
        <v>925-88: Structural Engineering</v>
      </c>
    </row>
    <row r="7530" spans="2:2" x14ac:dyDescent="0.25">
      <c r="B7530" t="str">
        <v>925-89: *Telephone Systems Engineering</v>
      </c>
    </row>
    <row r="7531" spans="2:2" x14ac:dyDescent="0.25">
      <c r="B7531" t="str">
        <v>925-91: Video and Audio Design Engineering</v>
      </c>
    </row>
    <row r="7532" spans="2:2" x14ac:dyDescent="0.25">
      <c r="B7532" t="str">
        <v>925-92: Value Engineering and Value Analysis, Professional</v>
      </c>
    </row>
    <row r="7533" spans="2:2" x14ac:dyDescent="0.25">
      <c r="B7533" t="str">
        <v>925-93: Traffic and Transportation Engineering</v>
      </c>
    </row>
    <row r="7534" spans="2:2" x14ac:dyDescent="0.25">
      <c r="B7534" t="str">
        <v>925-94: Tunnels and Subways Engineering</v>
      </c>
    </row>
    <row r="7535" spans="2:2" x14ac:dyDescent="0.25">
      <c r="B7535" t="str">
        <v>925-95: Utilities, Gas, Steam, Electric Engineering</v>
      </c>
    </row>
    <row r="7536" spans="2:2" x14ac:dyDescent="0.25">
      <c r="B7536" t="str">
        <v>925-96: Waste Water Treatment Engineering</v>
      </c>
    </row>
    <row r="7537" spans="2:2" x14ac:dyDescent="0.25">
      <c r="B7537" t="str">
        <v>925-97: Water Supply, Treatment, and Distribution Engineering</v>
      </c>
    </row>
    <row r="7538" spans="2:2" x14ac:dyDescent="0.25">
      <c r="B7538" t="str">
        <v>926-14: Air Pollution Control Services, Including Data Collection Research and Development, etc.</v>
      </c>
    </row>
    <row r="7539" spans="2:2" x14ac:dyDescent="0.25">
      <c r="B7539" t="str">
        <v>926-15: Air Quality Monitoring Services</v>
      </c>
    </row>
    <row r="7540" spans="2:2" x14ac:dyDescent="0.25">
      <c r="B7540" t="str">
        <v>926-23: Auditing Services, Environmental</v>
      </c>
    </row>
    <row r="7541" spans="2:2" x14ac:dyDescent="0.25">
      <c r="B7541" t="str">
        <v>926-25: Carbon Offsets</v>
      </c>
    </row>
    <row r="7542" spans="2:2" x14ac:dyDescent="0.25">
      <c r="B7542" t="str">
        <v>926-29: Contaminated Groundwater Services, Including Discharge Pipe Installation</v>
      </c>
    </row>
    <row r="7543" spans="2:2" x14ac:dyDescent="0.25">
      <c r="B7543" t="str">
        <v>926-30: Contaminated Soil Services</v>
      </c>
    </row>
    <row r="7544" spans="2:2" x14ac:dyDescent="0.25">
      <c r="B7544" t="str">
        <v>926-40: Ecological Services</v>
      </c>
    </row>
    <row r="7545" spans="2:2" x14ac:dyDescent="0.25">
      <c r="B7545" t="str">
        <v>926-41: Ecosystems Development, Management and Protection Services</v>
      </c>
    </row>
    <row r="7546" spans="2:2" x14ac:dyDescent="0.25">
      <c r="B7546" t="str">
        <v>926-42: Environmental Services (Not Otherwise Classified)</v>
      </c>
    </row>
    <row r="7547" spans="2:2" x14ac:dyDescent="0.25">
      <c r="B7547" t="str">
        <v>926-43: Gas Analysis Services</v>
      </c>
    </row>
    <row r="7548" spans="2:2" x14ac:dyDescent="0.25">
      <c r="B7548" t="str">
        <v>926-45: Hazardous Material and Waste Services, Including Emergency Response and Nuclear Wastes</v>
      </c>
    </row>
    <row r="7549" spans="2:2" x14ac:dyDescent="0.25">
      <c r="B7549" t="str">
        <v>926-49: Hydraulic Push Probe, Geoprobe Services</v>
      </c>
    </row>
    <row r="7550" spans="2:2" x14ac:dyDescent="0.25">
      <c r="B7550" t="str">
        <v>926-52: Impact Studies, Environmental</v>
      </c>
    </row>
    <row r="7551" spans="2:2" x14ac:dyDescent="0.25">
      <c r="B7551" t="str">
        <v>926-53: Industrial Hygiene Testing Services</v>
      </c>
    </row>
    <row r="7552" spans="2:2" x14ac:dyDescent="0.25">
      <c r="B7552" t="str">
        <v>926-54: Investigation Services, Pollution</v>
      </c>
    </row>
    <row r="7553" spans="2:2" x14ac:dyDescent="0.25">
      <c r="B7553" t="str">
        <v>926-55: LEAD ABATEMENT PROJECT DESIGNER</v>
      </c>
    </row>
    <row r="7554" spans="2:2" x14ac:dyDescent="0.25">
      <c r="B7554" t="str">
        <v>926-56: LEAD ABATEMENT SUPERVISOR</v>
      </c>
    </row>
    <row r="7555" spans="2:2" x14ac:dyDescent="0.25">
      <c r="B7555" t="str">
        <v>926-57: LEAD ABATEMENT WORKER</v>
      </c>
    </row>
    <row r="7556" spans="2:2" x14ac:dyDescent="0.25">
      <c r="B7556" t="str">
        <v>926-58: Lead and Asbestos Inspection Services</v>
      </c>
    </row>
    <row r="7557" spans="2:2" x14ac:dyDescent="0.25">
      <c r="B7557" t="str">
        <v>926-59: RISK ASSESSOR</v>
      </c>
    </row>
    <row r="7558" spans="2:2" x14ac:dyDescent="0.25">
      <c r="B7558" t="str">
        <v>926-62: Noise Testing Services</v>
      </c>
    </row>
    <row r="7559" spans="2:2" x14ac:dyDescent="0.25">
      <c r="B7559" t="str">
        <v>926-65: Oil and Petroleum Spill Services, Including Removal of Used Petroleum Products</v>
      </c>
    </row>
    <row r="7560" spans="2:2" x14ac:dyDescent="0.25">
      <c r="B7560" t="str">
        <v>926-66: Oil and Water Separator Inspection and Testing Services</v>
      </c>
    </row>
    <row r="7561" spans="2:2" x14ac:dyDescent="0.25">
      <c r="B7561" t="str">
        <v>926-70: Permitting Services, Environmental</v>
      </c>
    </row>
    <row r="7562" spans="2:2" x14ac:dyDescent="0.25">
      <c r="B7562" t="str">
        <v>926-72: Planning and Advisory Services, Environmental</v>
      </c>
    </row>
    <row r="7563" spans="2:2" x14ac:dyDescent="0.25">
      <c r="B7563" t="str">
        <v>926-75: Radiation Dosimeter Services</v>
      </c>
    </row>
    <row r="7564" spans="2:2" x14ac:dyDescent="0.25">
      <c r="B7564" t="str">
        <v>926-76: Radioactive Waste Disposal Services</v>
      </c>
    </row>
    <row r="7565" spans="2:2" x14ac:dyDescent="0.25">
      <c r="B7565" t="str">
        <v>926-77: Recycling Services</v>
      </c>
    </row>
    <row r="7566" spans="2:2" x14ac:dyDescent="0.25">
      <c r="B7566" t="str">
        <v>926-78: Remediation Services, Environmental, Including Rehabilitation Services Hazardous Waste and Mold Remediation</v>
      </c>
    </row>
    <row r="7567" spans="2:2" x14ac:dyDescent="0.25">
      <c r="B7567" t="str">
        <v>926-79: Recovery, Recycling, and Reclamation of Refrigerants</v>
      </c>
    </row>
    <row r="7568" spans="2:2" x14ac:dyDescent="0.25">
      <c r="B7568" t="str">
        <v>926-81: Sanitizing and Disinfecting Services</v>
      </c>
    </row>
    <row r="7569" spans="2:2" x14ac:dyDescent="0.25">
      <c r="B7569" t="str">
        <v>926-82: Safety Services, Environmental</v>
      </c>
    </row>
    <row r="7570" spans="2:2" x14ac:dyDescent="0.25">
      <c r="B7570" t="str">
        <v>926-83: Site Assessment, Environmental</v>
      </c>
    </row>
    <row r="7571" spans="2:2" x14ac:dyDescent="0.25">
      <c r="B7571" t="str">
        <v>926-84: Soil Pollution Services</v>
      </c>
    </row>
    <row r="7572" spans="2:2" x14ac:dyDescent="0.25">
      <c r="B7572" t="str">
        <v>926-85: Soil, Soil Vapor and Groundwater Sampling and Analysis, Including Disposal</v>
      </c>
    </row>
    <row r="7573" spans="2:2" x14ac:dyDescent="0.25">
      <c r="B7573" t="str">
        <v>926-88: Storm Water Discharge Testing Services</v>
      </c>
    </row>
    <row r="7574" spans="2:2" x14ac:dyDescent="0.25">
      <c r="B7574" t="str">
        <v>926-90: Subsurface Testing, Environmental</v>
      </c>
    </row>
    <row r="7575" spans="2:2" x14ac:dyDescent="0.25">
      <c r="B7575" t="str">
        <v>926-91: Tank Testing and Disposal Services, Storage, Including Underground Types</v>
      </c>
    </row>
    <row r="7576" spans="2:2" x14ac:dyDescent="0.25">
      <c r="B7576" t="str">
        <v>926-92: WASTEWATER FACILITY ODOR MONITORING</v>
      </c>
    </row>
    <row r="7577" spans="2:2" x14ac:dyDescent="0.25">
      <c r="B7577" t="str">
        <v>926-93: Testing and Monitoring Services, Air, Gas, and Water</v>
      </c>
    </row>
    <row r="7578" spans="2:2" x14ac:dyDescent="0.25">
      <c r="B7578" t="str">
        <v>926-94: Water Pollution Services</v>
      </c>
    </row>
    <row r="7579" spans="2:2" x14ac:dyDescent="0.25">
      <c r="B7579" t="str">
        <v>926-95: Water and Wastewater Conservation Services</v>
      </c>
    </row>
    <row r="7580" spans="2:2" x14ac:dyDescent="0.25">
      <c r="B7580" t="str">
        <v>926-96: Wetland Delineations, Including Assessments</v>
      </c>
    </row>
    <row r="7581" spans="2:2" x14ac:dyDescent="0.25">
      <c r="B7581" t="str">
        <v>928-04: Accessories Maintenance and Repair, (Not Otherwise Classified)</v>
      </c>
    </row>
    <row r="7582" spans="2:2" x14ac:dyDescent="0.25">
      <c r="B7582" t="str">
        <v>928-10: Alignment and Wheel Balancing, Including Front-End Repair</v>
      </c>
    </row>
    <row r="7583" spans="2:2" x14ac:dyDescent="0.25">
      <c r="B7583" t="str">
        <v>928-12: Ambulance and Rescue Vehicles Maintenance and Repair Services, Including Major Components and Accessory Items</v>
      </c>
    </row>
    <row r="7584" spans="2:2" x14ac:dyDescent="0.25">
      <c r="B7584" t="str">
        <v>928-15: Automobile and Other Passenger Vehicles Maintenance and Repair (Not Otherwise Classified)</v>
      </c>
    </row>
    <row r="7585" spans="2:2" x14ac:dyDescent="0.25">
      <c r="B7585" t="str">
        <v>928-19: Body and Frame Work, Including Undercoating</v>
      </c>
    </row>
    <row r="7586" spans="2:2" x14ac:dyDescent="0.25">
      <c r="B7586" t="str">
        <v>928-23: Brake Maintenance and Repair</v>
      </c>
    </row>
    <row r="7587" spans="2:2" x14ac:dyDescent="0.25">
      <c r="B7587" t="str">
        <v>928-24: Buses, School and Mass Transit Maintenance and Repair</v>
      </c>
    </row>
    <row r="7588" spans="2:2" x14ac:dyDescent="0.25">
      <c r="B7588" t="str">
        <v>928-25: Charging Station Services</v>
      </c>
    </row>
    <row r="7589" spans="2:2" x14ac:dyDescent="0.25">
      <c r="B7589" t="str">
        <v>928-27: *Communications Systems, Vehicle Maintenance and Repair, Including Installation and Removal Services</v>
      </c>
    </row>
    <row r="7590" spans="2:2" x14ac:dyDescent="0.25">
      <c r="B7590" t="str">
        <v>928-29: Conversion of Gasoline Fuel Systems to Alternative Fuel Systems Including Maintenance and Repair Services</v>
      </c>
    </row>
    <row r="7591" spans="2:2" x14ac:dyDescent="0.25">
      <c r="B7591" t="str">
        <v>928-30: Cooling, Heating, and Ventilating System, A/C System, Hoses, Water Pump, Radiator, Heater and Accessories, Ventilation, etc. Maintenance and Repair</v>
      </c>
    </row>
    <row r="7592" spans="2:2" x14ac:dyDescent="0.25">
      <c r="B7592" t="str">
        <v>928-33: Customizing Services, Vehicle, Including Armoring of Vehicles, Handicapped and Van Conversions, etc.</v>
      </c>
    </row>
    <row r="7593" spans="2:2" x14ac:dyDescent="0.25">
      <c r="B7593" t="str">
        <v>928-35: Drive Train, Clutch Assembly, Flywheel, etc. Maintenance and Repair</v>
      </c>
    </row>
    <row r="7594" spans="2:2" x14ac:dyDescent="0.25">
      <c r="B7594" t="str">
        <v>928-38: Electrical, Alternator and Generator, Battery, Ignition System, Lights, etc. Maintenance and Repair</v>
      </c>
    </row>
    <row r="7595" spans="2:2" x14ac:dyDescent="0.25">
      <c r="B7595" t="str">
        <v>928-40: Exhaust System Maintenance and Repair</v>
      </c>
    </row>
    <row r="7596" spans="2:2" x14ac:dyDescent="0.25">
      <c r="B7596" t="str">
        <v>928-43: Fuel Site Maintenance and Repair</v>
      </c>
    </row>
    <row r="7597" spans="2:2" x14ac:dyDescent="0.25">
      <c r="B7597" t="str">
        <v>928-44: Fuel System Maintenance and Repair</v>
      </c>
    </row>
    <row r="7598" spans="2:2" x14ac:dyDescent="0.25">
      <c r="B7598" t="str">
        <v>928-45: Fueling Services, Mobile, Vehicle</v>
      </c>
    </row>
    <row r="7599" spans="2:2" x14ac:dyDescent="0.25">
      <c r="B7599" t="str">
        <v>928-46: Glass Replacement and Repair Services, Windshield and Window, Automotive, Including Window Tinting Services</v>
      </c>
    </row>
    <row r="7600" spans="2:2" x14ac:dyDescent="0.25">
      <c r="B7600" t="str">
        <v>928-47: General Maintenance and Repair, Vehicle (Not Otherwise Classified), Including Oil Changes, Lubrication, Guaranteed Maintenance Programs, etc. (See 928-88 for Tune-Ups)</v>
      </c>
    </row>
    <row r="7601" spans="2:2" x14ac:dyDescent="0.25">
      <c r="B7601" t="str">
        <v>928-49: Hydraulics Pump, Hydraulic Motor, Valves, Gauges, etc. Maintenance and Repair</v>
      </c>
    </row>
    <row r="7602" spans="2:2" x14ac:dyDescent="0.25">
      <c r="B7602" t="str">
        <v>928-51: License Identification System, Vehicle Maintenance and Repair</v>
      </c>
    </row>
    <row r="7603" spans="2:2" x14ac:dyDescent="0.25">
      <c r="B7603" t="str">
        <v>928-54: Machine Shop Services, Automotive Type (See 929-48 for Industrial Type)</v>
      </c>
    </row>
    <row r="7604" spans="2:2" x14ac:dyDescent="0.25">
      <c r="B7604" t="str">
        <v>928-55: Motor Homes and Recreational Vehicles, Maintenance and Repair</v>
      </c>
    </row>
    <row r="7605" spans="2:2" x14ac:dyDescent="0.25">
      <c r="B7605" t="str">
        <v>928-56: Oil Collection Services, Waste</v>
      </c>
    </row>
    <row r="7606" spans="2:2" x14ac:dyDescent="0.25">
      <c r="B7606" t="str">
        <v>928-57: Painting, Vehicle</v>
      </c>
    </row>
    <row r="7607" spans="2:2" x14ac:dyDescent="0.25">
      <c r="B7607" t="str">
        <v>928-58: Parts Washing Services</v>
      </c>
    </row>
    <row r="7608" spans="2:2" x14ac:dyDescent="0.25">
      <c r="B7608" t="str">
        <v>928-60: Power Plant, Engine, Belts, Heads, Intake, Rebuilding, etc. Maintenance and Repair</v>
      </c>
    </row>
    <row r="7609" spans="2:2" x14ac:dyDescent="0.25">
      <c r="B7609" t="str">
        <v>928-64: Reconditioning and Refurbishing Vehicles</v>
      </c>
    </row>
    <row r="7610" spans="2:2" x14ac:dyDescent="0.25">
      <c r="B7610" t="str">
        <v>928-65: Retrofitting Vehicles to Reduce Emissions and Improve Air Quality, Complete Service Including Parts Where Necessary to Meet Specifications</v>
      </c>
    </row>
    <row r="7611" spans="2:2" x14ac:dyDescent="0.25">
      <c r="B7611" t="str">
        <v>928-67: *Road Services, Vehicle, Including Mobile Repair Services</v>
      </c>
    </row>
    <row r="7612" spans="2:2" x14ac:dyDescent="0.25">
      <c r="B7612" t="str">
        <v>928-76: Suspension, Axles, Springs, Steering, etc., Maintenance and Repair</v>
      </c>
    </row>
    <row r="7613" spans="2:2" x14ac:dyDescent="0.25">
      <c r="B7613" t="str">
        <v>928-82: Tire and Tube Mounting, Repair, Retreading, and Rotation, Including Tire Foam Filling Services</v>
      </c>
    </row>
    <row r="7614" spans="2:2" x14ac:dyDescent="0.25">
      <c r="B7614" t="str">
        <v>928-84: Trailer Maintenance and Repair (Not Otherwise Classified)</v>
      </c>
    </row>
    <row r="7615" spans="2:2" x14ac:dyDescent="0.25">
      <c r="B7615" t="str">
        <v>928-85: Transmission, Main, Transfer Case, Chain and Final Drives Maintenance and Repair</v>
      </c>
    </row>
    <row r="7616" spans="2:2" x14ac:dyDescent="0.25">
      <c r="B7616" t="str">
        <v>928-86: Truck and Van Maintenance and Repair (Not Otherwise Classified)</v>
      </c>
    </row>
    <row r="7617" spans="2:2" x14ac:dyDescent="0.25">
      <c r="B7617" t="str">
        <v>928-87: Truck Maintenance and Repair, Heavy</v>
      </c>
    </row>
    <row r="7618" spans="2:2" x14ac:dyDescent="0.25">
      <c r="B7618" t="str">
        <v>928-88: Tune-ups</v>
      </c>
    </row>
    <row r="7619" spans="2:2" x14ac:dyDescent="0.25">
      <c r="B7619" t="str">
        <v>928-91: Upholstery Maintenance and Repair</v>
      </c>
    </row>
    <row r="7620" spans="2:2" x14ac:dyDescent="0.25">
      <c r="B7620" t="str">
        <v>928-92: Vehicle Inspection and Testing Services, Emissions, etc.</v>
      </c>
    </row>
    <row r="7621" spans="2:2" x14ac:dyDescent="0.25">
      <c r="B7621" t="str">
        <v>928-93: Washing, Waxing, Polishing, Steam Cleaning, Disinfecting, Decal Removal, etc.</v>
      </c>
    </row>
    <row r="7622" spans="2:2" x14ac:dyDescent="0.25">
      <c r="B7622" t="str">
        <v>928-94: Wheel Maintenance and Repair</v>
      </c>
    </row>
    <row r="7623" spans="2:2" x14ac:dyDescent="0.25">
      <c r="B7623" t="str">
        <v>928-95: Welding Services, Automotive Transportation</v>
      </c>
    </row>
    <row r="7624" spans="2:2" x14ac:dyDescent="0.25">
      <c r="B7624" t="str">
        <v>929-04: Agricultural Implements, Parts and Accessories Maintenance and Repair</v>
      </c>
    </row>
    <row r="7625" spans="2:2" x14ac:dyDescent="0.25">
      <c r="B7625" t="str">
        <v>929-12: Asphalt Distributors, Levelers, Mixers, etc. Maintenance and Repair</v>
      </c>
    </row>
    <row r="7626" spans="2:2" x14ac:dyDescent="0.25">
      <c r="B7626" t="str">
        <v>929-13: Asphalt Heaters Maintenance and Repair</v>
      </c>
    </row>
    <row r="7627" spans="2:2" x14ac:dyDescent="0.25">
      <c r="B7627" t="str">
        <v>929-14: Asphalt Pavers Maintenance and Repair</v>
      </c>
    </row>
    <row r="7628" spans="2:2" x14ac:dyDescent="0.25">
      <c r="B7628" t="str">
        <v>929-15: Asphalt Scarifiers, Milling Machines, Scrapers, etc. Maintenance and Repair</v>
      </c>
    </row>
    <row r="7629" spans="2:2" x14ac:dyDescent="0.25">
      <c r="B7629" t="str">
        <v>929-17: Automotive Shop Equipment Maintenance and Repair</v>
      </c>
    </row>
    <row r="7630" spans="2:2" x14ac:dyDescent="0.25">
      <c r="B7630" t="str">
        <v>929-24: Car Wash Equipment Maintenance and Repair</v>
      </c>
    </row>
    <row r="7631" spans="2:2" x14ac:dyDescent="0.25">
      <c r="B7631" t="str">
        <v>929-29: Concrete Equipment: Buckets, Screeding Machines, Curbers, Finishers, etc. Maintenance and Repair</v>
      </c>
    </row>
    <row r="7632" spans="2:2" x14ac:dyDescent="0.25">
      <c r="B7632" t="str">
        <v>929-30: Concrete Mixers Maintenance and Repair</v>
      </c>
    </row>
    <row r="7633" spans="2:2" x14ac:dyDescent="0.25">
      <c r="B7633" t="str">
        <v>929-31: Construction Equipment Maintenance and Repair (Not Otherwise Classified)</v>
      </c>
    </row>
    <row r="7634" spans="2:2" x14ac:dyDescent="0.25">
      <c r="B7634" t="str">
        <v>929-32: Concrete and Asphalt Equipment Maintenance and Repair, (Not Otherwise Classified</v>
      </c>
    </row>
    <row r="7635" spans="2:2" x14ac:dyDescent="0.25">
      <c r="B7635" t="str">
        <v>929-33: Cranes: Backhoe, Dragline, Clamshell, etc. Maintenance and Repair</v>
      </c>
    </row>
    <row r="7636" spans="2:2" x14ac:dyDescent="0.25">
      <c r="B7636" t="str">
        <v>929-35: Earth Handling, Grading, Moving, and Packing Equipment Maintenance and Repair</v>
      </c>
    </row>
    <row r="7637" spans="2:2" x14ac:dyDescent="0.25">
      <c r="B7637" t="str">
        <v>929-41: Engines And Motors, Industrial, Maintenance and Repair</v>
      </c>
    </row>
    <row r="7638" spans="2:2" x14ac:dyDescent="0.25">
      <c r="B7638" t="str">
        <v>929-43: Hydraulics, Pump, Hydraulic Motor, Valves, Gauges, etc. Maintenance and Repair</v>
      </c>
    </row>
    <row r="7639" spans="2:2" x14ac:dyDescent="0.25">
      <c r="B7639" t="str">
        <v>929-44: Hydraulic Tools Maintenance and Repair</v>
      </c>
    </row>
    <row r="7640" spans="2:2" x14ac:dyDescent="0.25">
      <c r="B7640" t="str">
        <v>929-47: Lifts and Hoists Maintenance and Repair</v>
      </c>
    </row>
    <row r="7641" spans="2:2" x14ac:dyDescent="0.25">
      <c r="B7641" t="str">
        <v>929-48: Machine Shop and Fabricating Services, Industrial (See 928-54 for Automotive Type)</v>
      </c>
    </row>
    <row r="7642" spans="2:2" x14ac:dyDescent="0.25">
      <c r="B7642" t="str">
        <v>929-50: Machinery and Heavy Hardware, Not Lawn Equipment, Maintenance and Repair</v>
      </c>
    </row>
    <row r="7643" spans="2:2" x14ac:dyDescent="0.25">
      <c r="B7643" t="str">
        <v>929-58: Material Handling Equipment Maintenance and Repair</v>
      </c>
    </row>
    <row r="7644" spans="2:2" x14ac:dyDescent="0.25">
      <c r="B7644" t="str">
        <v>929-60: Motor and Engines, Small Gasoline Maintenance and Repair</v>
      </c>
    </row>
    <row r="7645" spans="2:2" x14ac:dyDescent="0.25">
      <c r="B7645" t="str">
        <v>929-61: Motor Rewinding and Repairing, Electric</v>
      </c>
    </row>
    <row r="7646" spans="2:2" x14ac:dyDescent="0.25">
      <c r="B7646" t="str">
        <v>929-62: Motorcycles, Bicycles, Motor Scooters, and Truckster, Including Golf Carts, Maintenance and Repair</v>
      </c>
    </row>
    <row r="7647" spans="2:2" x14ac:dyDescent="0.25">
      <c r="B7647" t="str">
        <v>929-63: Oil Field Equipment Maintenance and Repair</v>
      </c>
    </row>
    <row r="7648" spans="2:2" x14ac:dyDescent="0.25">
      <c r="B7648" t="str">
        <v>929-64: Pneumatic Tools Maintenance and Repair</v>
      </c>
    </row>
    <row r="7649" spans="2:2" x14ac:dyDescent="0.25">
      <c r="B7649" t="str">
        <v>929-65: Refuse and Garbage Burning Equipment Maintenance and Repair</v>
      </c>
    </row>
    <row r="7650" spans="2:2" x14ac:dyDescent="0.25">
      <c r="B7650" t="str">
        <v>929-66: Refuse and Garbage Collection/Dumping Equipment Maintenance and Repair</v>
      </c>
    </row>
    <row r="7651" spans="2:2" x14ac:dyDescent="0.25">
      <c r="B7651" t="str">
        <v>929-67: Painting Services, Road and Heavy Industrial Equipment</v>
      </c>
    </row>
    <row r="7652" spans="2:2" x14ac:dyDescent="0.25">
      <c r="B7652" t="str">
        <v>929-68: Road and Highway Equipment Maintenance and Repair, (Not Otherwise Classified)</v>
      </c>
    </row>
    <row r="7653" spans="2:2" x14ac:dyDescent="0.25">
      <c r="B7653" t="str">
        <v>929-69: Scales, Including Weigh-In-Motion Type (See 938-79 for Hospital, Laboratory and Testing Types), Maintenance and Repair</v>
      </c>
    </row>
    <row r="7654" spans="2:2" x14ac:dyDescent="0.25">
      <c r="B7654" t="str">
        <v>929-70: Snow Plow and Blower Maintenance and Repair</v>
      </c>
    </row>
    <row r="7655" spans="2:2" x14ac:dyDescent="0.25">
      <c r="B7655" t="str">
        <v>929-71: Snow Melter Maintenance and Repair</v>
      </c>
    </row>
    <row r="7656" spans="2:2" x14ac:dyDescent="0.25">
      <c r="B7656" t="str">
        <v>929-74: Tanks: Mobile, Portable, Stationary, Storage, etc., Including Relining Maintenance and Repair</v>
      </c>
    </row>
    <row r="7657" spans="2:2" x14ac:dyDescent="0.25">
      <c r="B7657" t="str">
        <v>929-75: Taxiway and Runway Maintenance and Testing Equipment Maintenance and Repair</v>
      </c>
    </row>
    <row r="7658" spans="2:2" x14ac:dyDescent="0.25">
      <c r="B7658" t="str">
        <v>929-76: Spreaders, Salt and Sand, Maintenance and Repair</v>
      </c>
    </row>
    <row r="7659" spans="2:2" x14ac:dyDescent="0.25">
      <c r="B7659" t="str">
        <v>929-79: Sweepers, Street, Maintenance and Repair</v>
      </c>
    </row>
    <row r="7660" spans="2:2" x14ac:dyDescent="0.25">
      <c r="B7660" t="str">
        <v>929-85: Tractors, Industrial: Bulldozers, Crawlers, Wheel Type, Maintenance and Repair</v>
      </c>
    </row>
    <row r="7661" spans="2:2" x14ac:dyDescent="0.25">
      <c r="B7661" t="str">
        <v>929-95: Welding Services, Agricultural, Heavy Industrial and Similar Equipment (Not Otherwise Classified)</v>
      </c>
    </row>
    <row r="7662" spans="2:2" x14ac:dyDescent="0.25">
      <c r="B7662" t="str">
        <v>931-05: Amusement Park Ride Equipment Maintenance and Repair</v>
      </c>
    </row>
    <row r="7663" spans="2:2" x14ac:dyDescent="0.25">
      <c r="B7663" t="str">
        <v>931-07: Appliances and Equipment, Household, Not Laundry or HVAC, Maintenance and Repair</v>
      </c>
    </row>
    <row r="7664" spans="2:2" x14ac:dyDescent="0.25">
      <c r="B7664" t="str">
        <v>931-11: Athletic and Sporting Goods Equipment and Accessories, Shoulder Pads, etc., Maintenance and Repair</v>
      </c>
    </row>
    <row r="7665" spans="2:2" x14ac:dyDescent="0.25">
      <c r="B7665" t="str">
        <v>931-16: Bakery Equipment Maintenance and Repair</v>
      </c>
    </row>
    <row r="7666" spans="2:2" x14ac:dyDescent="0.25">
      <c r="B7666" t="str">
        <v>931-19: Barber and Beauty Shop Equipment Maintenance and Repair</v>
      </c>
    </row>
    <row r="7667" spans="2:2" x14ac:dyDescent="0.25">
      <c r="B7667" t="str">
        <v>931-21: Bedding, All Types, Maintenance and Repair</v>
      </c>
    </row>
    <row r="7668" spans="2:2" x14ac:dyDescent="0.25">
      <c r="B7668" t="str">
        <v>931-23: Butcher Shop and Meat Processing Equipment Maintenance and Repair</v>
      </c>
    </row>
    <row r="7669" spans="2:2" x14ac:dyDescent="0.25">
      <c r="B7669" t="str">
        <v>931-30: Cafeteria and Kitchen Equipment, Commercial, Maintenance and Repair</v>
      </c>
    </row>
    <row r="7670" spans="2:2" x14ac:dyDescent="0.25">
      <c r="B7670" t="str">
        <v>931-32: Camping and Outdoor Equipment Maintenance and Repair</v>
      </c>
    </row>
    <row r="7671" spans="2:2" x14ac:dyDescent="0.25">
      <c r="B7671" t="str">
        <v>931-36: Dairy Equipment Maintenance and Repair</v>
      </c>
    </row>
    <row r="7672" spans="2:2" x14ac:dyDescent="0.25">
      <c r="B7672" t="str">
        <v>931-40: Food Processing and Canning Equipment Maintenance and Repair</v>
      </c>
    </row>
    <row r="7673" spans="2:2" x14ac:dyDescent="0.25">
      <c r="B7673" t="str">
        <v>931-43: Furnishings, All Kinds, Maintenance and Repair</v>
      </c>
    </row>
    <row r="7674" spans="2:2" x14ac:dyDescent="0.25">
      <c r="B7674" t="str">
        <v>931-44: Furniture, Not Office, Maintenance and Repair Including Refinishing and Reupholstering</v>
      </c>
    </row>
    <row r="7675" spans="2:2" x14ac:dyDescent="0.25">
      <c r="B7675" t="str">
        <v>931-45: Furniture Installation and Reconfiguration Services, Including Systems Furniture</v>
      </c>
    </row>
    <row r="7676" spans="2:2" x14ac:dyDescent="0.25">
      <c r="B7676" t="str">
        <v>931-46: Furniture, Office, Maintenance and Repair, Including Refinishing and Reupholstering</v>
      </c>
    </row>
    <row r="7677" spans="2:2" x14ac:dyDescent="0.25">
      <c r="B7677" t="str">
        <v>931-53: Lighting Fixtures Maintenance and Repair</v>
      </c>
    </row>
    <row r="7678" spans="2:2" x14ac:dyDescent="0.25">
      <c r="B7678" t="str">
        <v>931-58: Musical Instruments Maintenance and Repair, Including Piano Tuning</v>
      </c>
    </row>
    <row r="7679" spans="2:2" x14ac:dyDescent="0.25">
      <c r="B7679" t="str">
        <v>931-65: Park, Playground, and Swimming Pool Equipment Maintenance and Repair</v>
      </c>
    </row>
    <row r="7680" spans="2:2" x14ac:dyDescent="0.25">
      <c r="B7680" t="str">
        <v>931-72: Sewing Room and Textile Machinery Maintenance and Repair</v>
      </c>
    </row>
    <row r="7681" spans="2:2" x14ac:dyDescent="0.25">
      <c r="B7681" t="str">
        <v>931-75: Skating Rink Equipment, Roller and Ice, Maintenance and Repair</v>
      </c>
    </row>
    <row r="7682" spans="2:2" x14ac:dyDescent="0.25">
      <c r="B7682" t="str">
        <v>931-88: Vending Machine Maintenance, Repair, Installation or Removal, Including Lottery Vending Machines</v>
      </c>
    </row>
    <row r="7683" spans="2:2" x14ac:dyDescent="0.25">
      <c r="B7683" t="str">
        <v>934-14: Broom, Brush, and Mop Manufacturing Equipment Maintenance and Repair</v>
      </c>
    </row>
    <row r="7684" spans="2:2" x14ac:dyDescent="0.25">
      <c r="B7684" t="str">
        <v>934-29: Floor Maintenance Machines, Floor Covering Equipment Maintenance and Repair</v>
      </c>
    </row>
    <row r="7685" spans="2:2" x14ac:dyDescent="0.25">
      <c r="B7685" t="str">
        <v>934-37: Irrigation Systems Installation, Maintenance and Repair</v>
      </c>
    </row>
    <row r="7686" spans="2:2" x14ac:dyDescent="0.25">
      <c r="B7686" t="str">
        <v>934-39: Janitorial Equipment Maintenance and Repair</v>
      </c>
    </row>
    <row r="7687" spans="2:2" x14ac:dyDescent="0.25">
      <c r="B7687" t="str">
        <v>934-42: Laundry and Dry Cleaning Equipment, Commercial, Maintenance and Repair</v>
      </c>
    </row>
    <row r="7688" spans="2:2" x14ac:dyDescent="0.25">
      <c r="B7688" t="str">
        <v>934-43: Laundry Equipment, Household Maintenance and Repair</v>
      </c>
    </row>
    <row r="7689" spans="2:2" x14ac:dyDescent="0.25">
      <c r="B7689" t="str">
        <v>934-46: Lawn Equipment Maintenance and Repair</v>
      </c>
    </row>
    <row r="7690" spans="2:2" x14ac:dyDescent="0.25">
      <c r="B7690" t="str">
        <v>934-58: Painting Equipment Maintenance and Repair</v>
      </c>
    </row>
    <row r="7691" spans="2:2" x14ac:dyDescent="0.25">
      <c r="B7691" t="str">
        <v>934-62: Pipe and Pipe Fittings Maintenance and Repair</v>
      </c>
    </row>
    <row r="7692" spans="2:2" x14ac:dyDescent="0.25">
      <c r="B7692" t="str">
        <v>934-64: Plumbing Equipment and Fixtures Maintenance and Repair</v>
      </c>
    </row>
    <row r="7693" spans="2:2" x14ac:dyDescent="0.25">
      <c r="B7693" t="str">
        <v>934-77: Spraying Equipment Maintenance and Repair</v>
      </c>
    </row>
    <row r="7694" spans="2:2" x14ac:dyDescent="0.25">
      <c r="B7694" t="str">
        <v>934-84: Toilets, Portable, Maintenance and Repair, Including Servicing</v>
      </c>
    </row>
    <row r="7695" spans="2:2" x14ac:dyDescent="0.25">
      <c r="B7695" t="str">
        <v>936-06: Awards, Trophies, Collectibles, etc. Maintenance and Repair</v>
      </c>
    </row>
    <row r="7696" spans="2:2" x14ac:dyDescent="0.25">
      <c r="B7696" t="str">
        <v>936-07: Atomic and Nuclear Energy Machines and Equipment Maintenance and Repair</v>
      </c>
    </row>
    <row r="7697" spans="2:2" x14ac:dyDescent="0.25">
      <c r="B7697" t="str">
        <v>936-08: Air Compressors and Accessories Maintenance and Repair</v>
      </c>
    </row>
    <row r="7698" spans="2:2" x14ac:dyDescent="0.25">
      <c r="B7698" t="str">
        <v>936-09: *Alarm Equipment, Fire, etc. Maintenance and Repair</v>
      </c>
    </row>
    <row r="7699" spans="2:2" x14ac:dyDescent="0.25">
      <c r="B7699" t="str">
        <v>936-10: Bank Machines and Equipment, Including ATM Machines, Maintenance and Repair</v>
      </c>
    </row>
    <row r="7700" spans="2:2" x14ac:dyDescent="0.25">
      <c r="B7700" t="str">
        <v>936-11: Bird Cage and Aquarium Maintenance and Repair</v>
      </c>
    </row>
    <row r="7701" spans="2:2" x14ac:dyDescent="0.25">
      <c r="B7701" t="str">
        <v>936-14: Buildings and Structure Maintenance and Repair (portable, Modular, Fabricated, Pre-fabricated, Etc.)</v>
      </c>
    </row>
    <row r="7702" spans="2:2" x14ac:dyDescent="0.25">
      <c r="B7702" t="str">
        <v>936-18: Clothing, Including Uniforms, Maintenance and Repair</v>
      </c>
    </row>
    <row r="7703" spans="2:2" x14ac:dyDescent="0.25">
      <c r="B7703" t="str">
        <v>936-19: Containers: Barrels, Drums, etc., Maintenance and Repair</v>
      </c>
    </row>
    <row r="7704" spans="2:2" x14ac:dyDescent="0.25">
      <c r="B7704" t="str">
        <v>936-20: Cemetery Maintenance Services</v>
      </c>
    </row>
    <row r="7705" spans="2:2" x14ac:dyDescent="0.25">
      <c r="B7705" t="str">
        <v>936-21: Craft Equipment, All Types, Maintenance and Repair</v>
      </c>
    </row>
    <row r="7706" spans="2:2" x14ac:dyDescent="0.25">
      <c r="B7706" t="str">
        <v>936-22: Diving and Scuba Equipment Maintenance and Repair</v>
      </c>
    </row>
    <row r="7707" spans="2:2" x14ac:dyDescent="0.25">
      <c r="B7707" t="str">
        <v>936-23: Door Automatic Operator Installation, Maintenance and Repair</v>
      </c>
    </row>
    <row r="7708" spans="2:2" x14ac:dyDescent="0.25">
      <c r="B7708" t="str">
        <v>936-25: Electrical Equipment, Except Cable and Wires, and Lighting Fixtures Maintenance and Repair</v>
      </c>
    </row>
    <row r="7709" spans="2:2" x14ac:dyDescent="0.25">
      <c r="B7709" t="str">
        <v>936-27: *Emergency Warning Systems, Including Civil Defense and Natural Disaster Equipment Maintenance and Repair</v>
      </c>
    </row>
    <row r="7710" spans="2:2" x14ac:dyDescent="0.25">
      <c r="B7710" t="str">
        <v>936-28: Energy Collecting Equipment and Accessories Maintenance and Repair</v>
      </c>
    </row>
    <row r="7711" spans="2:2" x14ac:dyDescent="0.25">
      <c r="B7711" t="str">
        <v>936-29: Facility Energy Management Systems Maintenance and Repair</v>
      </c>
    </row>
    <row r="7712" spans="2:2" x14ac:dyDescent="0.25">
      <c r="B7712" t="str">
        <v>936-30: Fare Collection Equipment Maintenance and Repair</v>
      </c>
    </row>
    <row r="7713" spans="2:2" x14ac:dyDescent="0.25">
      <c r="B7713" t="str">
        <v>936-31: Foundry Equipment Maintenance and Repair</v>
      </c>
    </row>
    <row r="7714" spans="2:2" x14ac:dyDescent="0.25">
      <c r="B7714" t="str">
        <v>936-32: Fire Fighting Equipment Maintenance and Repair</v>
      </c>
    </row>
    <row r="7715" spans="2:2" x14ac:dyDescent="0.25">
      <c r="B7715" t="str">
        <v>936-33: *Fire Protection Equipment and Systems Including Fire Hydrants, Fire Sprinkler Systems, Smoke Detectors, Jaws of Life, Fire Protection Material Treatment, Firestop and Fire Barriers, etc. Inspection, Maintenance and Repair</v>
      </c>
    </row>
    <row r="7716" spans="2:2" x14ac:dyDescent="0.25">
      <c r="B7716" t="str">
        <v>936-34: Fire Extinguisher Maintenance, Including Recharging and Repair</v>
      </c>
    </row>
    <row r="7717" spans="2:2" x14ac:dyDescent="0.25">
      <c r="B7717" t="str">
        <v>936-35: Foundry Machine Shop Work</v>
      </c>
    </row>
    <row r="7718" spans="2:2" x14ac:dyDescent="0.25">
      <c r="B7718" t="str">
        <v>936-36: Furniture, School, Including Student Lockers, Maintenance and Repair, Including Refinishing and Reupholster</v>
      </c>
    </row>
    <row r="7719" spans="2:2" x14ac:dyDescent="0.25">
      <c r="B7719" t="str">
        <v>936-37: Gates, Electric, Card Reader, etc. Maintenance and Repair</v>
      </c>
    </row>
    <row r="7720" spans="2:2" x14ac:dyDescent="0.25">
      <c r="B7720" t="str">
        <v>936-38: Glass and Glazing Equipment Maintenance and Repair</v>
      </c>
    </row>
    <row r="7721" spans="2:2" x14ac:dyDescent="0.25">
      <c r="B7721" t="str">
        <v>936-39: Generators, Portable and Stationary, Including Parts and Accessories Maintenance and Repair</v>
      </c>
    </row>
    <row r="7722" spans="2:2" x14ac:dyDescent="0.25">
      <c r="B7722" t="str">
        <v>936-40: Hand Tools, Powered, All Kinds, Including Electrical and Hydraulic Maintenance and Repair</v>
      </c>
    </row>
    <row r="7723" spans="2:2" x14ac:dyDescent="0.25">
      <c r="B7723" t="str">
        <v>936-41: Hand Tools, Non-Powered, All Kinds, Maintenance and Repair</v>
      </c>
    </row>
    <row r="7724" spans="2:2" x14ac:dyDescent="0.25">
      <c r="B7724" t="str">
        <v>936-42: Gunsmith Services</v>
      </c>
    </row>
    <row r="7725" spans="2:2" x14ac:dyDescent="0.25">
      <c r="B7725" t="str">
        <v>936-43: *Hardware, Shelf Hardware, and Allied Items Maintenance and Repair</v>
      </c>
    </row>
    <row r="7726" spans="2:2" x14ac:dyDescent="0.25">
      <c r="B7726" t="str">
        <v>936-45: Hearing Devices, Aids, Auditory Training Equipment, etc.</v>
      </c>
    </row>
    <row r="7727" spans="2:2" x14ac:dyDescent="0.25">
      <c r="B7727" t="str">
        <v>936-48: Industrial Equipment, Not Construction and Repair, or HVAC Maintenance and Repair</v>
      </c>
    </row>
    <row r="7728" spans="2:2" x14ac:dyDescent="0.25">
      <c r="B7728" t="str">
        <v>936-49: *Intelligent Transportation Systems Equipment Maintenance and Repair</v>
      </c>
    </row>
    <row r="7729" spans="2:2" x14ac:dyDescent="0.25">
      <c r="B7729" t="str">
        <v>936-50: Jewelry, Badges, Nameplates, etc. Maintenance and Repair</v>
      </c>
    </row>
    <row r="7730" spans="2:2" x14ac:dyDescent="0.25">
      <c r="B7730" t="str">
        <v>936-51: Leather Working Equipment Maintenance and Repair</v>
      </c>
    </row>
    <row r="7731" spans="2:2" x14ac:dyDescent="0.25">
      <c r="B7731" t="str">
        <v>936-52: Luggage, Handbags, Purses Maintenance and Repair</v>
      </c>
    </row>
    <row r="7732" spans="2:2" x14ac:dyDescent="0.25">
      <c r="B7732" t="str">
        <v>936-53: Parking Equipment Maintenance and Repair (See 936-37 for Parking Gates)</v>
      </c>
    </row>
    <row r="7733" spans="2:2" x14ac:dyDescent="0.25">
      <c r="B7733" t="str">
        <v>936-54: Pipeline Equipment Maintenance and Repair</v>
      </c>
    </row>
    <row r="7734" spans="2:2" x14ac:dyDescent="0.25">
      <c r="B7734" t="str">
        <v>936-55: Plastics Forming and Molding Equipment Maintenance and Repair</v>
      </c>
    </row>
    <row r="7735" spans="2:2" x14ac:dyDescent="0.25">
      <c r="B7735" t="str">
        <v>936-57: Police Equipment Maintenance and Repair</v>
      </c>
    </row>
    <row r="7736" spans="2:2" x14ac:dyDescent="0.25">
      <c r="B7736" t="str">
        <v>936-58: Poultry Equipment Maintenance and Repair</v>
      </c>
    </row>
    <row r="7737" spans="2:2" x14ac:dyDescent="0.25">
      <c r="B7737" t="str">
        <v>936-59: Polygraph Equipment Maintenance and Repair</v>
      </c>
    </row>
    <row r="7738" spans="2:2" x14ac:dyDescent="0.25">
      <c r="B7738" t="str">
        <v>936-60: Printing Plant and Bindery Equipment, Including Graphic Arts Equipment, Maintenance and Repair</v>
      </c>
    </row>
    <row r="7739" spans="2:2" x14ac:dyDescent="0.25">
      <c r="B7739" t="str">
        <v>936-61: Power Supply Backup (UPS) Equipment Maintenance and Repair</v>
      </c>
    </row>
    <row r="7740" spans="2:2" x14ac:dyDescent="0.25">
      <c r="B7740" t="str">
        <v>936-62: Pumps and Pump Accessories Maintenance and Repair</v>
      </c>
    </row>
    <row r="7741" spans="2:2" x14ac:dyDescent="0.25">
      <c r="B7741" t="str">
        <v>936-63: Pumps, Vertical, Maintenance and Repair</v>
      </c>
    </row>
    <row r="7742" spans="2:2" x14ac:dyDescent="0.25">
      <c r="B7742" t="str">
        <v>936-64: Purification and Filtering Devices Maintenance and Repair</v>
      </c>
    </row>
    <row r="7743" spans="2:2" x14ac:dyDescent="0.25">
      <c r="B7743" t="str">
        <v>936-67: Refrigeration Equipment Maintenance and Repair</v>
      </c>
    </row>
    <row r="7744" spans="2:2" x14ac:dyDescent="0.25">
      <c r="B7744" t="str">
        <v>936-69: Rifle Range Equipment Maintenance and Repair</v>
      </c>
    </row>
    <row r="7745" spans="2:2" x14ac:dyDescent="0.25">
      <c r="B7745" t="str">
        <v>936-70: Roofing Equipment and Machinery Maintenance and Repair</v>
      </c>
    </row>
    <row r="7746" spans="2:2" x14ac:dyDescent="0.25">
      <c r="B7746" t="str">
        <v>936-71: Scaffolding Maintenance and Repair</v>
      </c>
    </row>
    <row r="7747" spans="2:2" x14ac:dyDescent="0.25">
      <c r="B7747" t="str">
        <v>936-72: School Equipment Maintenance and Repair, Including Resurfacing Slate Blackboards</v>
      </c>
    </row>
    <row r="7748" spans="2:2" x14ac:dyDescent="0.25">
      <c r="B7748" t="str">
        <v>936-73: *Security and Access Systems Maintenance and Repair</v>
      </c>
    </row>
    <row r="7749" spans="2:2" x14ac:dyDescent="0.25">
      <c r="B7749" t="str">
        <v>936-74: Signs, Message Centers, Scoreboards, etc., Including Sign Making Equipment, Maintenance and Repair (See 968-81 for Traffic Sign Maintenance)</v>
      </c>
    </row>
    <row r="7750" spans="2:2" x14ac:dyDescent="0.25">
      <c r="B7750" t="str">
        <v>936-75: Stockman Equipment and Tools Maintenance and Repair</v>
      </c>
    </row>
    <row r="7751" spans="2:2" x14ac:dyDescent="0.25">
      <c r="B7751" t="str">
        <v>936-76: Stone, Rock, and Ceramic Equipment Maintenance and Repair</v>
      </c>
    </row>
    <row r="7752" spans="2:2" x14ac:dyDescent="0.25">
      <c r="B7752" t="str">
        <v>936-77: Substation High Voltage, Electrical Maintenance and Repair</v>
      </c>
    </row>
    <row r="7753" spans="2:2" x14ac:dyDescent="0.25">
      <c r="B7753" t="str">
        <v>936-78: Tarpaulins, Tents, and Canvas Items, Maintenance and Repair</v>
      </c>
    </row>
    <row r="7754" spans="2:2" x14ac:dyDescent="0.25">
      <c r="B7754" t="str">
        <v>936-79: Storage Equipment Maintenance and Repair</v>
      </c>
    </row>
    <row r="7755" spans="2:2" x14ac:dyDescent="0.25">
      <c r="B7755" t="str">
        <v>936-80: Theatrical Equipment Maintenance and Repair</v>
      </c>
    </row>
    <row r="7756" spans="2:2" x14ac:dyDescent="0.25">
      <c r="B7756" t="str">
        <v>936-82: Tools, Electric Maintenance and Repair</v>
      </c>
    </row>
    <row r="7757" spans="2:2" x14ac:dyDescent="0.25">
      <c r="B7757" t="str">
        <v>936-83: Toll Collection Equipment Maintenance and Repair</v>
      </c>
    </row>
    <row r="7758" spans="2:2" x14ac:dyDescent="0.25">
      <c r="B7758" t="str">
        <v>936-84: Towers, Radio/Radar, etc., Maintenance and Repair, Including Painting</v>
      </c>
    </row>
    <row r="7759" spans="2:2" x14ac:dyDescent="0.25">
      <c r="B7759" t="str">
        <v>936-85: Traffic Counting Devices, Maintenance and Repair</v>
      </c>
    </row>
    <row r="7760" spans="2:2" x14ac:dyDescent="0.25">
      <c r="B7760" t="str">
        <v>936-86: Traffic Control Devices, Maintenance and Repair</v>
      </c>
    </row>
    <row r="7761" spans="2:2" x14ac:dyDescent="0.25">
      <c r="B7761" t="str">
        <v>936-87: Transformer, High Voltage Maintenance and Repair</v>
      </c>
    </row>
    <row r="7762" spans="2:2" x14ac:dyDescent="0.25">
      <c r="B7762" t="str">
        <v>936-88: Upholstery and Drapery Maintenance and Repair, Including Cleaning</v>
      </c>
    </row>
    <row r="7763" spans="2:2" x14ac:dyDescent="0.25">
      <c r="B7763" t="str">
        <v>936-89: Venetian Blinds Maintenance and Repair, Including Cleaning Services</v>
      </c>
    </row>
    <row r="7764" spans="2:2" x14ac:dyDescent="0.25">
      <c r="B7764" t="str">
        <v>936-90: *Voting Machine Maintenance and Repair</v>
      </c>
    </row>
    <row r="7765" spans="2:2" x14ac:dyDescent="0.25">
      <c r="B7765" t="str">
        <v>936-91: Water Supply and Sewage Treatment Equipment Maintenance and Repair</v>
      </c>
    </row>
    <row r="7766" spans="2:2" x14ac:dyDescent="0.25">
      <c r="B7766" t="str">
        <v>936-92: Wagering and Gambling Equipment Maintenance and Repair</v>
      </c>
    </row>
    <row r="7767" spans="2:2" x14ac:dyDescent="0.25">
      <c r="B7767" t="str">
        <v>936-93: Weapon Maintenance and Repair</v>
      </c>
    </row>
    <row r="7768" spans="2:2" x14ac:dyDescent="0.25">
      <c r="B7768" t="str">
        <v>936-94: Weather Forecasting Equipment Maintenance and Repair</v>
      </c>
    </row>
    <row r="7769" spans="2:2" x14ac:dyDescent="0.25">
      <c r="B7769" t="str">
        <v>936-95: Welding Equipment Maintenance and Repair</v>
      </c>
    </row>
    <row r="7770" spans="2:2" x14ac:dyDescent="0.25">
      <c r="B7770" t="str">
        <v>938-17: Controlling, Indicating, and Recording Instruments and Supplies Maintenance and Repair</v>
      </c>
    </row>
    <row r="7771" spans="2:2" x14ac:dyDescent="0.25">
      <c r="B7771" t="str">
        <v>938-18: CPR Equipment, Including CPR Manikins, Maintenance and Repair</v>
      </c>
    </row>
    <row r="7772" spans="2:2" x14ac:dyDescent="0.25">
      <c r="B7772" t="str">
        <v>938-24: Dental Equipment Maintenance and Repair</v>
      </c>
    </row>
    <row r="7773" spans="2:2" x14ac:dyDescent="0.25">
      <c r="B7773" t="str">
        <v>938-31: Engineering and Surveying Equipment, Drawing Instruments, etc., Including Photogrammetry Equipment Maintenance and Repair</v>
      </c>
    </row>
    <row r="7774" spans="2:2" x14ac:dyDescent="0.25">
      <c r="B7774" t="str">
        <v>938-38: First Aid and Safety Equipment, Except Nuclear and Welding, Maintenance and Repair</v>
      </c>
    </row>
    <row r="7775" spans="2:2" x14ac:dyDescent="0.25">
      <c r="B7775" t="str">
        <v>938-41: Forensic Equipment Maintenance and Repair</v>
      </c>
    </row>
    <row r="7776" spans="2:2" x14ac:dyDescent="0.25">
      <c r="B7776" t="str">
        <v>938-45: Furniture, Hospital, Specialized, Maintenance and Repair, Including Refinishing and Reupholstering</v>
      </c>
    </row>
    <row r="7777" spans="2:2" x14ac:dyDescent="0.25">
      <c r="B7777" t="str">
        <v>938-46: Furniture, Laboratory, Specialized, Maintenance and Repair, Including Refinishing and Reupholstering</v>
      </c>
    </row>
    <row r="7778" spans="2:2" x14ac:dyDescent="0.25">
      <c r="B7778" t="str">
        <v>938-50: Gas Equipment, Hospital, Laboratory, and Welding Maintenance and Repair</v>
      </c>
    </row>
    <row r="7779" spans="2:2" x14ac:dyDescent="0.25">
      <c r="B7779" t="str">
        <v>938-56: Hospital and Medical Equipment, General, Maintenance and Repair</v>
      </c>
    </row>
    <row r="7780" spans="2:2" x14ac:dyDescent="0.25">
      <c r="B7780" t="str">
        <v>938-57: Hospital and Medical Equipment, Invalid, Maintenance and Repair</v>
      </c>
    </row>
    <row r="7781" spans="2:2" x14ac:dyDescent="0.25">
      <c r="B7781" t="str">
        <v>938-59: Instrument, Measuring, Observing and Testing Maintenance and Repair</v>
      </c>
    </row>
    <row r="7782" spans="2:2" x14ac:dyDescent="0.25">
      <c r="B7782" t="str">
        <v>938-62: Laboratory Equipment and Accessories, General and Analytical Research Use, Nuclear, Optical, Physical Maintenance and Repair</v>
      </c>
    </row>
    <row r="7783" spans="2:2" x14ac:dyDescent="0.25">
      <c r="B7783" t="str">
        <v>938-63: Laboratory Equipment and Accessories: Specialized, Biochemistry, Biology, Chemistry, etc., Maintenance and Repair</v>
      </c>
    </row>
    <row r="7784" spans="2:2" x14ac:dyDescent="0.25">
      <c r="B7784" t="str">
        <v>938-74: Optical Equipment Maintenance and Repair</v>
      </c>
    </row>
    <row r="7785" spans="2:2" x14ac:dyDescent="0.25">
      <c r="B7785" t="str">
        <v>938-76: Pollution Control Equipment Maintenance and Repair</v>
      </c>
    </row>
    <row r="7786" spans="2:2" x14ac:dyDescent="0.25">
      <c r="B7786" t="str">
        <v>938-78: Respiratory Equipment, Including Air Tanks, Breathers, Masks, etc., Maintenance and Repair</v>
      </c>
    </row>
    <row r="7787" spans="2:2" x14ac:dyDescent="0.25">
      <c r="B7787" t="str">
        <v>938-79: Scales and Weighing Apparatus, Hospital, Laboratory and Testing Types Only, Maintenance and Repair</v>
      </c>
    </row>
    <row r="7788" spans="2:2" x14ac:dyDescent="0.25">
      <c r="B7788" t="str">
        <v>938-81: Scientific Equipment Maintenance and Repair</v>
      </c>
    </row>
    <row r="7789" spans="2:2" x14ac:dyDescent="0.25">
      <c r="B7789" t="str">
        <v>938-82: Semiconductor Devices and Components Maintenance and Repair</v>
      </c>
    </row>
    <row r="7790" spans="2:2" x14ac:dyDescent="0.25">
      <c r="B7790" t="str">
        <v>938-85: Testing and Training Apparatus, Instruments and Machines, Maintenance and Repair</v>
      </c>
    </row>
    <row r="7791" spans="2:2" x14ac:dyDescent="0.25">
      <c r="B7791" t="str">
        <v>938-90: Veterinary Equipment and Accessories, Including Cages and Kennels, Maintenance and Repair</v>
      </c>
    </row>
    <row r="7792" spans="2:2" x14ac:dyDescent="0.25">
      <c r="B7792" t="str">
        <v>938-95: X-Ray Equipment Maintenance and Repair</v>
      </c>
    </row>
    <row r="7793" spans="2:2" x14ac:dyDescent="0.25">
      <c r="B7793" t="str">
        <v>939-06: *Audio-Visual Equipment Maintenance and Repair</v>
      </c>
    </row>
    <row r="7794" spans="2:2" x14ac:dyDescent="0.25">
      <c r="B7794" t="str">
        <v>939-15: Calculating Machine, Not Computer, Maintenance and Repair</v>
      </c>
    </row>
    <row r="7795" spans="2:2" x14ac:dyDescent="0.25">
      <c r="B7795" t="str">
        <v>939-18: Clocks, Timers, Watches, and Jewelers' and Watchmakers' Tools and Equipment, Including Programming Timers, etc., Maintenance and Repair</v>
      </c>
    </row>
    <row r="7796" spans="2:2" x14ac:dyDescent="0.25">
      <c r="B7796" t="str">
        <v>939-21: *Computers, Data Processing Equipment and Accessories, Not Word Processing Equipment, Maintenance and Repair</v>
      </c>
    </row>
    <row r="7797" spans="2:2" x14ac:dyDescent="0.25">
      <c r="B7797" t="str">
        <v>939-24: Coolers, Drinking Water, Maintenance and Repair</v>
      </c>
    </row>
    <row r="7798" spans="2:2" x14ac:dyDescent="0.25">
      <c r="B7798" t="str">
        <v>939-27: *Copy Machine Maintenance and Repair</v>
      </c>
    </row>
    <row r="7799" spans="2:2" x14ac:dyDescent="0.25">
      <c r="B7799" t="str">
        <v>939-35: Dictating Machine Maintenance and Repair</v>
      </c>
    </row>
    <row r="7800" spans="2:2" x14ac:dyDescent="0.25">
      <c r="B7800" t="str">
        <v>939-37: Electronic Equipment Maintenance and Repair</v>
      </c>
    </row>
    <row r="7801" spans="2:2" x14ac:dyDescent="0.25">
      <c r="B7801" t="str">
        <v>939-38: Energy Systems, Solar, Installation Services</v>
      </c>
    </row>
    <row r="7802" spans="2:2" x14ac:dyDescent="0.25">
      <c r="B7802" t="str">
        <v>939-42: *Intercom Equipment Maintenance and Repair</v>
      </c>
    </row>
    <row r="7803" spans="2:2" x14ac:dyDescent="0.25">
      <c r="B7803" t="str">
        <v>939-48: Library Machines and Supplies, Maintenance and Repair</v>
      </c>
    </row>
    <row r="7804" spans="2:2" x14ac:dyDescent="0.25">
      <c r="B7804" t="str">
        <v>939-52: Mailing Machines and Equipment Maintenance and Repair</v>
      </c>
    </row>
    <row r="7805" spans="2:2" x14ac:dyDescent="0.25">
      <c r="B7805" t="str">
        <v>939-54: Microfilm and Microfiche Equipment Maintenance and Repair</v>
      </c>
    </row>
    <row r="7806" spans="2:2" x14ac:dyDescent="0.25">
      <c r="B7806" t="str">
        <v>939-55: *Multi-Function Office Machine Maintenance and Repair</v>
      </c>
    </row>
    <row r="7807" spans="2:2" x14ac:dyDescent="0.25">
      <c r="B7807" t="str">
        <v>939-59: Office Equipment, Filing Systems, etc., Maintenance and Repair</v>
      </c>
    </row>
    <row r="7808" spans="2:2" x14ac:dyDescent="0.25">
      <c r="B7808" t="str">
        <v>939-60: Office Machines and Mechanical Aids, Small, Maintenance and Repair</v>
      </c>
    </row>
    <row r="7809" spans="2:2" x14ac:dyDescent="0.25">
      <c r="B7809" t="str">
        <v>939-66: Photographic Equipment, Not Including Graphic Arts, Microfilm, and X-Ray, Maintenance and Repair</v>
      </c>
    </row>
    <row r="7810" spans="2:2" x14ac:dyDescent="0.25">
      <c r="B7810" t="str">
        <v>939-72: *Radio, Telecommunications, Telephone Equipment, Including 911 Systems and Facsimile Transceivers, Maintenance and Repair</v>
      </c>
    </row>
    <row r="7811" spans="2:2" x14ac:dyDescent="0.25">
      <c r="B7811" t="str">
        <v>939-73: Radio, Television, and Electronic Testing, Measuring, and Analyzing Equipment Maintenance and Repair</v>
      </c>
    </row>
    <row r="7812" spans="2:2" x14ac:dyDescent="0.25">
      <c r="B7812" t="str">
        <v>939-76: *Satellite Systems Maintenance and Repair</v>
      </c>
    </row>
    <row r="7813" spans="2:2" x14ac:dyDescent="0.25">
      <c r="B7813" t="str">
        <v>939-77: Sound Equipment, Including Microphones, Speakers, Recording Equipment, etc., Installation, Maintenance and Repair</v>
      </c>
    </row>
    <row r="7814" spans="2:2" x14ac:dyDescent="0.25">
      <c r="B7814" t="str">
        <v>939-84: *Television Equipment and Accessories, Including Video and Closed Circuit Equipment, Maintenance and Repair</v>
      </c>
    </row>
    <row r="7815" spans="2:2" x14ac:dyDescent="0.25">
      <c r="B7815" t="str">
        <v>939-87: Typewriters, Including Braille Writers, Maintenance and Repair</v>
      </c>
    </row>
    <row r="7816" spans="2:2" x14ac:dyDescent="0.25">
      <c r="B7816" t="str">
        <v>939-91: Visual Education Equipment Maintenance and Repair</v>
      </c>
    </row>
    <row r="7817" spans="2:2" x14ac:dyDescent="0.25">
      <c r="B7817" t="str">
        <v>939-94: Word Processing Equipment Maintenance and Repair</v>
      </c>
    </row>
    <row r="7818" spans="2:2" x14ac:dyDescent="0.25">
      <c r="B7818" t="str">
        <v>940-25: Cargo Transport Services, Rail</v>
      </c>
    </row>
    <row r="7819" spans="2:2" x14ac:dyDescent="0.25">
      <c r="B7819" t="str">
        <v>940-29: Construction, Elevated Transit Station, Including Rehabilitation, Maintenance and Repair</v>
      </c>
    </row>
    <row r="7820" spans="2:2" x14ac:dyDescent="0.25">
      <c r="B7820" t="str">
        <v>940-31: Construction, Rail Station and Shop, Including Rehabilitation, Maintenance and Repair</v>
      </c>
    </row>
    <row r="7821" spans="2:2" x14ac:dyDescent="0.25">
      <c r="B7821" t="str">
        <v>940-33: Construction, Subway and Subway Station, Including Rehabilitation, Maintenance and Repair</v>
      </c>
    </row>
    <row r="7822" spans="2:2" x14ac:dyDescent="0.25">
      <c r="B7822" t="str">
        <v>940-34: Construction, Transit Facility, Other, Including Rehabilitation, Maintenance and Repair)</v>
      </c>
    </row>
    <row r="7823" spans="2:2" x14ac:dyDescent="0.25">
      <c r="B7823" t="str">
        <v>940-50: Passenger Transportation Services, Railroad</v>
      </c>
    </row>
    <row r="7824" spans="2:2" x14ac:dyDescent="0.25">
      <c r="B7824" t="str">
        <v>940-54: Power Supply Installation, Electric</v>
      </c>
    </row>
    <row r="7825" spans="2:2" x14ac:dyDescent="0.25">
      <c r="B7825" t="str">
        <v>940-55: Power Supply, Electric, Maintenance and Repair</v>
      </c>
    </row>
    <row r="7826" spans="2:2" x14ac:dyDescent="0.25">
      <c r="B7826" t="str">
        <v>940-61: Rail Car Maintenance and Repair</v>
      </c>
    </row>
    <row r="7827" spans="2:2" x14ac:dyDescent="0.25">
      <c r="B7827" t="str">
        <v>940-63: Rail Grinding</v>
      </c>
    </row>
    <row r="7828" spans="2:2" x14ac:dyDescent="0.25">
      <c r="B7828" t="str">
        <v>940-65: Railroad Construction at Street Intersection, Including Maintenance and Repair</v>
      </c>
    </row>
    <row r="7829" spans="2:2" x14ac:dyDescent="0.25">
      <c r="B7829" t="str">
        <v>940-67: Railroad Switching and Terminal Services</v>
      </c>
    </row>
    <row r="7830" spans="2:2" x14ac:dyDescent="0.25">
      <c r="B7830" t="str">
        <v>940-75: Signal System Installation</v>
      </c>
    </row>
    <row r="7831" spans="2:2" x14ac:dyDescent="0.25">
      <c r="B7831" t="str">
        <v>940-76: Signal System Maintenance and Repair</v>
      </c>
    </row>
    <row r="7832" spans="2:2" x14ac:dyDescent="0.25">
      <c r="B7832" t="str">
        <v>940-85: Tower Construction</v>
      </c>
    </row>
    <row r="7833" spans="2:2" x14ac:dyDescent="0.25">
      <c r="B7833" t="str">
        <v>940-86: Tower Maintenance and Repair</v>
      </c>
    </row>
    <row r="7834" spans="2:2" x14ac:dyDescent="0.25">
      <c r="B7834" t="str">
        <v>940-88: Track Construction and Inspection</v>
      </c>
    </row>
    <row r="7835" spans="2:2" x14ac:dyDescent="0.25">
      <c r="B7835" t="str">
        <v>940-89: Track Maintenance and Repair</v>
      </c>
    </row>
    <row r="7836" spans="2:2" x14ac:dyDescent="0.25">
      <c r="B7836" t="str">
        <v>940-90: Tram Construction and Maintenance Services</v>
      </c>
    </row>
    <row r="7837" spans="2:2" x14ac:dyDescent="0.25">
      <c r="B7837" t="str">
        <v>940-92: Weed and Brush Control Services</v>
      </c>
    </row>
    <row r="7838" spans="2:2" x14ac:dyDescent="0.25">
      <c r="B7838" t="str">
        <v>941-16: Babbiting Services, Industrial Bearing</v>
      </c>
    </row>
    <row r="7839" spans="2:2" x14ac:dyDescent="0.25">
      <c r="B7839" t="str">
        <v>941-21: Blade Maintenance and Repair, Electric Power Generator</v>
      </c>
    </row>
    <row r="7840" spans="2:2" x14ac:dyDescent="0.25">
      <c r="B7840" t="str">
        <v>941-25: Boiler Maintenance and Repair, Steam, Including Testing Services, (See 941-56 for Hydrostatic Testing)</v>
      </c>
    </row>
    <row r="7841" spans="2:2" x14ac:dyDescent="0.25">
      <c r="B7841" t="str">
        <v>941-27: Burner Maintenance and Repair</v>
      </c>
    </row>
    <row r="7842" spans="2:2" x14ac:dyDescent="0.25">
      <c r="B7842" t="str">
        <v>941-30: Cathodic Protection Services</v>
      </c>
    </row>
    <row r="7843" spans="2:2" x14ac:dyDescent="0.25">
      <c r="B7843" t="str">
        <v>941-34: Circuit Breaker Services, Air</v>
      </c>
    </row>
    <row r="7844" spans="2:2" x14ac:dyDescent="0.25">
      <c r="B7844" t="str">
        <v>941-39: Digital and Analog Testing Equipment Maintenance and Repair</v>
      </c>
    </row>
    <row r="7845" spans="2:2" x14ac:dyDescent="0.25">
      <c r="B7845" t="str">
        <v>941-45: Gas Chromatagh Systems Maintenance and Repair</v>
      </c>
    </row>
    <row r="7846" spans="2:2" x14ac:dyDescent="0.25">
      <c r="B7846" t="str">
        <v>941-51: Heat Exchanger Maintenance and Repair</v>
      </c>
    </row>
    <row r="7847" spans="2:2" x14ac:dyDescent="0.25">
      <c r="B7847" t="str">
        <v>941-52: Heating, Steam, Equipment Maintenance and Repair</v>
      </c>
    </row>
    <row r="7848" spans="2:2" x14ac:dyDescent="0.25">
      <c r="B7848" t="str">
        <v>941-55: HVAC Systems, Power Plant, Maintenance and Repair</v>
      </c>
    </row>
    <row r="7849" spans="2:2" x14ac:dyDescent="0.25">
      <c r="B7849" t="str">
        <v>941-56: Hydrostatic Testing Services, Boiler</v>
      </c>
    </row>
    <row r="7850" spans="2:2" x14ac:dyDescent="0.25">
      <c r="B7850" t="str">
        <v>941-59: Inspection and Examination Services, Non-Destructive, Ultrasonic Testing, Dye Penetrant Testing, Radiography, etc.</v>
      </c>
    </row>
    <row r="7851" spans="2:2" x14ac:dyDescent="0.25">
      <c r="B7851" t="str">
        <v>941-63: Monitoring Services, Power Generation</v>
      </c>
    </row>
    <row r="7852" spans="2:2" x14ac:dyDescent="0.25">
      <c r="B7852" t="str">
        <v>941-64: Motors, Vertical, Maintenance and Repair</v>
      </c>
    </row>
    <row r="7853" spans="2:2" x14ac:dyDescent="0.25">
      <c r="B7853" t="str">
        <v>941-69: Pipeline Pressure Flushing Services</v>
      </c>
    </row>
    <row r="7854" spans="2:2" x14ac:dyDescent="0.25">
      <c r="B7854" t="str">
        <v>941-72: Power Generating and Transmitting Control System Maintenance and Repair Services</v>
      </c>
    </row>
    <row r="7855" spans="2:2" x14ac:dyDescent="0.25">
      <c r="B7855" t="str">
        <v>941-73: Power Plant Equipment Maintenance and Repair (Not Otherwise Classified)</v>
      </c>
    </row>
    <row r="7856" spans="2:2" x14ac:dyDescent="0.25">
      <c r="B7856" t="str">
        <v>941-77: Refractory Services</v>
      </c>
    </row>
    <row r="7857" spans="2:2" x14ac:dyDescent="0.25">
      <c r="B7857" t="str">
        <v>941-82: Teflon Coating and Lining Services</v>
      </c>
    </row>
    <row r="7858" spans="2:2" x14ac:dyDescent="0.25">
      <c r="B7858" t="str">
        <v>941-85: Tube Pressure Testing Services</v>
      </c>
    </row>
    <row r="7859" spans="2:2" x14ac:dyDescent="0.25">
      <c r="B7859" t="str">
        <v>941-87: Turbines, Gas, Maintenance and Repair</v>
      </c>
    </row>
    <row r="7860" spans="2:2" x14ac:dyDescent="0.25">
      <c r="B7860" t="str">
        <v>941-88: Turbines, Steam, Maintenance and Repair</v>
      </c>
    </row>
    <row r="7861" spans="2:2" x14ac:dyDescent="0.25">
      <c r="B7861" t="str">
        <v>941-91: Valves, Control, Fuel Modulation, etc., Maintenance and Repair</v>
      </c>
    </row>
    <row r="7862" spans="2:2" x14ac:dyDescent="0.25">
      <c r="B7862" t="str">
        <v>944-19: Animal Farming and Ranching Services</v>
      </c>
    </row>
    <row r="7863" spans="2:2" x14ac:dyDescent="0.25">
      <c r="B7863" t="str">
        <v>944-26: Bean and Pea Farming</v>
      </c>
    </row>
    <row r="7864" spans="2:2" x14ac:dyDescent="0.25">
      <c r="B7864" t="str">
        <v>944-31: Citrus Fruit Farming</v>
      </c>
    </row>
    <row r="7865" spans="2:2" x14ac:dyDescent="0.25">
      <c r="B7865" t="str">
        <v>944-34: Corn Farming</v>
      </c>
    </row>
    <row r="7866" spans="2:2" x14ac:dyDescent="0.25">
      <c r="B7866" t="str">
        <v>944-36: Cotton Farming</v>
      </c>
    </row>
    <row r="7867" spans="2:2" x14ac:dyDescent="0.25">
      <c r="B7867" t="str">
        <v>944-38: Crop Farming (Not Otherwise Classified)</v>
      </c>
    </row>
    <row r="7868" spans="2:2" x14ac:dyDescent="0.25">
      <c r="B7868" t="str">
        <v>944-42: Fruit and Tree Nut Farming, Not Citrus</v>
      </c>
    </row>
    <row r="7869" spans="2:2" x14ac:dyDescent="0.25">
      <c r="B7869" t="str">
        <v>944-45: Grain Farming (Not Otherwise Classified)</v>
      </c>
    </row>
    <row r="7870" spans="2:2" x14ac:dyDescent="0.25">
      <c r="B7870" t="str">
        <v>944-48: Hay Farming</v>
      </c>
    </row>
    <row r="7871" spans="2:2" x14ac:dyDescent="0.25">
      <c r="B7871" t="str">
        <v>944-54: Miscellaneous Farming Services</v>
      </c>
    </row>
    <row r="7872" spans="2:2" x14ac:dyDescent="0.25">
      <c r="B7872" t="str">
        <v>944-57: Oilseed and Grain Farming</v>
      </c>
    </row>
    <row r="7873" spans="2:2" x14ac:dyDescent="0.25">
      <c r="B7873" t="str">
        <v>944-60: Peanut Farming</v>
      </c>
    </row>
    <row r="7874" spans="2:2" x14ac:dyDescent="0.25">
      <c r="B7874" t="str">
        <v>944-64: Potato Farming</v>
      </c>
    </row>
    <row r="7875" spans="2:2" x14ac:dyDescent="0.25">
      <c r="B7875" t="str">
        <v>944-67: Poultry Farming</v>
      </c>
    </row>
    <row r="7876" spans="2:2" x14ac:dyDescent="0.25">
      <c r="B7876" t="str">
        <v>944-71: Ranching Services (Not Otherwise Classified)</v>
      </c>
    </row>
    <row r="7877" spans="2:2" x14ac:dyDescent="0.25">
      <c r="B7877" t="str">
        <v>944-72: Rice Farming</v>
      </c>
    </row>
    <row r="7878" spans="2:2" x14ac:dyDescent="0.25">
      <c r="B7878" t="str">
        <v>944-76: Soybean Farming</v>
      </c>
    </row>
    <row r="7879" spans="2:2" x14ac:dyDescent="0.25">
      <c r="B7879" t="str">
        <v>944-79: Sugarcane Farming</v>
      </c>
    </row>
    <row r="7880" spans="2:2" x14ac:dyDescent="0.25">
      <c r="B7880" t="str">
        <v>944-85: Tobacco Farming</v>
      </c>
    </row>
    <row r="7881" spans="2:2" x14ac:dyDescent="0.25">
      <c r="B7881" t="str">
        <v>944-89: Vegetable and Melon Farming</v>
      </c>
    </row>
    <row r="7882" spans="2:2" x14ac:dyDescent="0.25">
      <c r="B7882" t="str">
        <v>944-93: Wheat Farming</v>
      </c>
    </row>
    <row r="7883" spans="2:2" x14ac:dyDescent="0.25">
      <c r="B7883" t="str">
        <v>945-14: Aquaculture: Cultivation of Fish and Shellfish</v>
      </c>
    </row>
    <row r="7884" spans="2:2" x14ac:dyDescent="0.25">
      <c r="B7884" t="str">
        <v>945-31: Commercial Fishing Services for Finfish</v>
      </c>
    </row>
    <row r="7885" spans="2:2" x14ac:dyDescent="0.25">
      <c r="B7885" t="str">
        <v>945-32: Commercial Fishing Services for Shellfish</v>
      </c>
    </row>
    <row r="7886" spans="2:2" x14ac:dyDescent="0.25">
      <c r="B7886" t="str">
        <v>945-33: Commercial Fishing Services for Misc. Marine Products</v>
      </c>
    </row>
    <row r="7887" spans="2:2" x14ac:dyDescent="0.25">
      <c r="B7887" t="str">
        <v>945-42: Fish and Marine Life Hatching and Processing Services</v>
      </c>
    </row>
    <row r="7888" spans="2:2" x14ac:dyDescent="0.25">
      <c r="B7888" t="str">
        <v>945-45: Game Propagation Services</v>
      </c>
    </row>
    <row r="7889" spans="2:2" x14ac:dyDescent="0.25">
      <c r="B7889" t="str">
        <v>945-49: Guide Service: Hunting, Trapping, Fishing</v>
      </c>
    </row>
    <row r="7890" spans="2:2" x14ac:dyDescent="0.25">
      <c r="B7890" t="str">
        <v>945-55: Maintenance and Repair, Fishing Equipment</v>
      </c>
    </row>
    <row r="7891" spans="2:2" x14ac:dyDescent="0.25">
      <c r="B7891" t="str">
        <v>945-56: Maintenance and Repair, Hunting Equipment</v>
      </c>
    </row>
    <row r="7892" spans="2:2" x14ac:dyDescent="0.25">
      <c r="B7892" t="str">
        <v>945-57: Maintenance and Repair, Trapping Equipment</v>
      </c>
    </row>
    <row r="7893" spans="2:2" x14ac:dyDescent="0.25">
      <c r="B7893" t="str">
        <v>945-63: Processing Services, Wild Game: Fowl, Deer, Elk, etc.</v>
      </c>
    </row>
    <row r="7894" spans="2:2" x14ac:dyDescent="0.25">
      <c r="B7894" t="str">
        <v>945-80: Taxidermy Services</v>
      </c>
    </row>
    <row r="7895" spans="2:2" x14ac:dyDescent="0.25">
      <c r="B7895" t="str">
        <v>945-85: Trawling Services</v>
      </c>
    </row>
    <row r="7896" spans="2:2" x14ac:dyDescent="0.25">
      <c r="B7896" t="str">
        <v>945-92: Whaling Services</v>
      </c>
    </row>
    <row r="7897" spans="2:2" x14ac:dyDescent="0.25">
      <c r="B7897" t="str">
        <v>946-10: Accounting and Billing Services, Including Payroll Services, 3rd Party Reimbursement for Medicare, Medicaid, Private Insurance, etc.</v>
      </c>
    </row>
    <row r="7898" spans="2:2" x14ac:dyDescent="0.25">
      <c r="B7898" t="str">
        <v>946-11: Accounting Services (Not Otherwise Classified)</v>
      </c>
    </row>
    <row r="7899" spans="2:2" x14ac:dyDescent="0.25">
      <c r="B7899" t="str">
        <v>946-12: Actuarial Services</v>
      </c>
    </row>
    <row r="7900" spans="2:2" x14ac:dyDescent="0.25">
      <c r="B7900" t="str">
        <v>946-14: Appraisal Services, Antique, Art, etc.</v>
      </c>
    </row>
    <row r="7901" spans="2:2" x14ac:dyDescent="0.25">
      <c r="B7901" t="str">
        <v>946-15: Appraisal Services, Real Estate</v>
      </c>
    </row>
    <row r="7902" spans="2:2" x14ac:dyDescent="0.25">
      <c r="B7902" t="str">
        <v>946-16: Appraisal Services (Not Otherwise Classified)</v>
      </c>
    </row>
    <row r="7903" spans="2:2" x14ac:dyDescent="0.25">
      <c r="B7903" t="str">
        <v>946-17: Appraisal Services, Art</v>
      </c>
    </row>
    <row r="7904" spans="2:2" x14ac:dyDescent="0.25">
      <c r="B7904" t="str">
        <v>946-20: Audit Services</v>
      </c>
    </row>
    <row r="7905" spans="2:2" x14ac:dyDescent="0.25">
      <c r="B7905" t="str">
        <v>946-22: Automatic Teller Machine (ATM) Services</v>
      </c>
    </row>
    <row r="7906" spans="2:2" x14ac:dyDescent="0.25">
      <c r="B7906" t="str">
        <v>946-25: Banking Services</v>
      </c>
    </row>
    <row r="7907" spans="2:2" x14ac:dyDescent="0.25">
      <c r="B7907" t="str">
        <v>946-29: Cash Management Service, Including Budgeting Services</v>
      </c>
    </row>
    <row r="7908" spans="2:2" x14ac:dyDescent="0.25">
      <c r="B7908" t="str">
        <v>946-30: Cash/Securities and Bonding Services</v>
      </c>
    </row>
    <row r="7909" spans="2:2" x14ac:dyDescent="0.25">
      <c r="B7909" t="str">
        <v>946-31: Certified Public Accountant (CPA) Services</v>
      </c>
    </row>
    <row r="7910" spans="2:2" x14ac:dyDescent="0.25">
      <c r="B7910" t="str">
        <v>946-33: Collection Services, Financial Debt</v>
      </c>
    </row>
    <row r="7911" spans="2:2" x14ac:dyDescent="0.25">
      <c r="B7911" t="str">
        <v>946-35: Credit Card, Charge Card Services</v>
      </c>
    </row>
    <row r="7912" spans="2:2" x14ac:dyDescent="0.25">
      <c r="B7912" t="str">
        <v>946-36: Credit Investigation and Reporting</v>
      </c>
    </row>
    <row r="7913" spans="2:2" x14ac:dyDescent="0.25">
      <c r="B7913" t="str">
        <v>946-38: Custom Brokerage Services, Including Stocks and Bonds</v>
      </c>
    </row>
    <row r="7914" spans="2:2" x14ac:dyDescent="0.25">
      <c r="B7914" t="str">
        <v>946-45: Employee Benefit Funds</v>
      </c>
    </row>
    <row r="7915" spans="2:2" x14ac:dyDescent="0.25">
      <c r="B7915" t="str">
        <v>946-46: Escrow and Title Services</v>
      </c>
    </row>
    <row r="7916" spans="2:2" x14ac:dyDescent="0.25">
      <c r="B7916" t="str">
        <v>946-48: Financial Advisor</v>
      </c>
    </row>
    <row r="7917" spans="2:2" x14ac:dyDescent="0.25">
      <c r="B7917" t="str">
        <v>946-49: Financial Services (Not Otherwise Classified)</v>
      </c>
    </row>
    <row r="7918" spans="2:2" x14ac:dyDescent="0.25">
      <c r="B7918" t="str">
        <v>946-50: Fund Raising Services</v>
      </c>
    </row>
    <row r="7919" spans="2:2" x14ac:dyDescent="0.25">
      <c r="B7919" t="str">
        <v>946-52: Grant Writing Services</v>
      </c>
    </row>
    <row r="7920" spans="2:2" x14ac:dyDescent="0.25">
      <c r="B7920" t="str">
        <v>946-54: *Installment and Lease Purchase Financing</v>
      </c>
    </row>
    <row r="7921" spans="2:2" x14ac:dyDescent="0.25">
      <c r="B7921" t="str">
        <v>946-55: Inventory Services</v>
      </c>
    </row>
    <row r="7922" spans="2:2" x14ac:dyDescent="0.25">
      <c r="B7922" t="str">
        <v>946-56: Investment Management Services</v>
      </c>
    </row>
    <row r="7923" spans="2:2" x14ac:dyDescent="0.25">
      <c r="B7923" t="str">
        <v>946-60: Loan Administration</v>
      </c>
    </row>
    <row r="7924" spans="2:2" x14ac:dyDescent="0.25">
      <c r="B7924" t="str">
        <v>946-64: Mortgage Banking Services</v>
      </c>
    </row>
    <row r="7925" spans="2:2" x14ac:dyDescent="0.25">
      <c r="B7925" t="str">
        <v>946-66: Monetary Systems, Including Analysis, Liquidity, Policy, etc.</v>
      </c>
    </row>
    <row r="7926" spans="2:2" x14ac:dyDescent="0.25">
      <c r="B7926" t="str">
        <v>946-67: Notary Public Services</v>
      </c>
    </row>
    <row r="7927" spans="2:2" x14ac:dyDescent="0.25">
      <c r="B7927" t="str">
        <v>946-70: Payment Card Services</v>
      </c>
    </row>
    <row r="7928" spans="2:2" x14ac:dyDescent="0.25">
      <c r="B7928" t="str">
        <v>946-72: Retirement Planning Services</v>
      </c>
    </row>
    <row r="7929" spans="2:2" x14ac:dyDescent="0.25">
      <c r="B7929" t="str">
        <v>946-75: Securities and Commodities Market Services, Including Direct or Indirect Purchases, Sales and Transitions of Equities, Fixed Income, Options and Derivatives</v>
      </c>
    </row>
    <row r="7930" spans="2:2" x14ac:dyDescent="0.25">
      <c r="B7930" t="str">
        <v>946-76: Smartcards, Limited and Standard Use Proximity Integrated Circuit Card (LU-PICC AND PICC)</v>
      </c>
    </row>
    <row r="7931" spans="2:2" x14ac:dyDescent="0.25">
      <c r="B7931" t="str">
        <v>946-77: Statistical Services</v>
      </c>
    </row>
    <row r="7932" spans="2:2" x14ac:dyDescent="0.25">
      <c r="B7932" t="str">
        <v>946-82: Tax Services, Including Tax Preparation, Advisory Services, etc.</v>
      </c>
    </row>
    <row r="7933" spans="2:2" x14ac:dyDescent="0.25">
      <c r="B7933" t="str">
        <v>946-85: Trusts, Estates and Agency Accounts</v>
      </c>
    </row>
    <row r="7934" spans="2:2" x14ac:dyDescent="0.25">
      <c r="B7934" t="str">
        <v>947-32: Conservation Services, Forest</v>
      </c>
    </row>
    <row r="7935" spans="2:2" x14ac:dyDescent="0.25">
      <c r="B7935" t="str">
        <v>947-41: Firefighting Services, Forestry</v>
      </c>
    </row>
    <row r="7936" spans="2:2" x14ac:dyDescent="0.25">
      <c r="B7936" t="str">
        <v>947-43: Forest Nursery and Gathering Services</v>
      </c>
    </row>
    <row r="7937" spans="2:2" x14ac:dyDescent="0.25">
      <c r="B7937" t="str">
        <v>947-45: Forestry Economic and Marketing Services, Including Forestry Resources Services</v>
      </c>
    </row>
    <row r="7938" spans="2:2" x14ac:dyDescent="0.25">
      <c r="B7938" t="str">
        <v>947-52: Harvesting Services, Forest</v>
      </c>
    </row>
    <row r="7939" spans="2:2" x14ac:dyDescent="0.25">
      <c r="B7939" t="str">
        <v>947-56: Logging Services</v>
      </c>
    </row>
    <row r="7940" spans="2:2" x14ac:dyDescent="0.25">
      <c r="B7940" t="str">
        <v>947-62: Maintenance and Repair, Forestry Equipment</v>
      </c>
    </row>
    <row r="7941" spans="2:2" x14ac:dyDescent="0.25">
      <c r="B7941" t="str">
        <v>947-74: Raking Services, Pine Straw</v>
      </c>
    </row>
    <row r="7942" spans="2:2" x14ac:dyDescent="0.25">
      <c r="B7942" t="str">
        <v>947-81: Timber Production Services</v>
      </c>
    </row>
    <row r="7943" spans="2:2" x14ac:dyDescent="0.25">
      <c r="B7943" t="str">
        <v>947-84: Tree Farm Operation and Management Services</v>
      </c>
    </row>
    <row r="7944" spans="2:2" x14ac:dyDescent="0.25">
      <c r="B7944" t="str">
        <v>948-07: Administration Services, Health</v>
      </c>
    </row>
    <row r="7945" spans="2:2" x14ac:dyDescent="0.25">
      <c r="B7945" t="str">
        <v>948-12: Ambulance Services, Non-emergency (See 990-37 for Emergency Ambulance Services)</v>
      </c>
    </row>
    <row r="7946" spans="2:2" x14ac:dyDescent="0.25">
      <c r="B7946" t="str">
        <v>948-15: Audiology Services, Including Hearing Aid Services</v>
      </c>
    </row>
    <row r="7947" spans="2:2" x14ac:dyDescent="0.25">
      <c r="B7947" t="str">
        <v>948-26: Cytology Screening Services</v>
      </c>
    </row>
    <row r="7948" spans="2:2" x14ac:dyDescent="0.25">
      <c r="B7948" t="str">
        <v>948-27: Dental Laboratory Services</v>
      </c>
    </row>
    <row r="7949" spans="2:2" x14ac:dyDescent="0.25">
      <c r="B7949" t="str">
        <v>948-28: Dental Services</v>
      </c>
    </row>
    <row r="7950" spans="2:2" x14ac:dyDescent="0.25">
      <c r="B7950" t="str">
        <v>948-29: Dental Prosthetic Manufacturing Services</v>
      </c>
    </row>
    <row r="7951" spans="2:2" x14ac:dyDescent="0.25">
      <c r="B7951" t="str">
        <v>948-32: Dietician Services</v>
      </c>
    </row>
    <row r="7952" spans="2:2" x14ac:dyDescent="0.25">
      <c r="B7952" t="str">
        <v>948-33: Disease Prevention and Control Services, Non-Contagious (See 948-92 for Vaccination Services)</v>
      </c>
    </row>
    <row r="7953" spans="2:2" x14ac:dyDescent="0.25">
      <c r="B7953" t="str">
        <v>948-34: Disease Prevention and Control Services, Contagious (See 948-92 for Vaccination Services)</v>
      </c>
    </row>
    <row r="7954" spans="2:2" x14ac:dyDescent="0.25">
      <c r="B7954" t="str">
        <v>948-36: Exercise Program Services (Inactive, please see commodity code 948-73 effective January 1, 2016)</v>
      </c>
    </row>
    <row r="7955" spans="2:2" x14ac:dyDescent="0.25">
      <c r="B7955" t="str">
        <v>948-37: Experimental Medical Services</v>
      </c>
    </row>
    <row r="7956" spans="2:2" x14ac:dyDescent="0.25">
      <c r="B7956" t="str">
        <v>948-43: Health Information Services</v>
      </c>
    </row>
    <row r="7957" spans="2:2" x14ac:dyDescent="0.25">
      <c r="B7957" t="str">
        <v>948-44: Health Physics Services</v>
      </c>
    </row>
    <row r="7958" spans="2:2" x14ac:dyDescent="0.25">
      <c r="B7958" t="str">
        <v>948-45: Home Health Care Services</v>
      </c>
    </row>
    <row r="7959" spans="2:2" x14ac:dyDescent="0.25">
      <c r="B7959" t="str">
        <v>948-46: Hospital Services, Inpatient and Outpatient</v>
      </c>
    </row>
    <row r="7960" spans="2:2" x14ac:dyDescent="0.25">
      <c r="B7960" t="str">
        <v>948-47: Health Care Center Services</v>
      </c>
    </row>
    <row r="7961" spans="2:2" x14ac:dyDescent="0.25">
      <c r="B7961" t="str">
        <v>948-48: Health Care Services (Not Otherwise Classified)</v>
      </c>
    </row>
    <row r="7962" spans="2:2" x14ac:dyDescent="0.25">
      <c r="B7962" t="str">
        <v>948-49: Hygiene Services, Industrial</v>
      </c>
    </row>
    <row r="7963" spans="2:2" x14ac:dyDescent="0.25">
      <c r="B7963" t="str">
        <v>948-51: Imaging and Diagnostic Services</v>
      </c>
    </row>
    <row r="7964" spans="2:2" x14ac:dyDescent="0.25">
      <c r="B7964" t="str">
        <v>948-52: Infant Mortality Reduction Initiative</v>
      </c>
    </row>
    <row r="7965" spans="2:2" x14ac:dyDescent="0.25">
      <c r="B7965" t="str">
        <v>948-53: Laser Light and Electro Stimulation Services, Including Acupuncture Services</v>
      </c>
    </row>
    <row r="7966" spans="2:2" x14ac:dyDescent="0.25">
      <c r="B7966" t="str">
        <v>948-54: Massage Services</v>
      </c>
    </row>
    <row r="7967" spans="2:2" x14ac:dyDescent="0.25">
      <c r="B7967" t="str">
        <v>948-55: Medical and Laboratory Services, Non-Physician</v>
      </c>
    </row>
    <row r="7968" spans="2:2" x14ac:dyDescent="0.25">
      <c r="B7968" t="str">
        <v>948-57: MEDICAL SERVICES, SURGICAL</v>
      </c>
    </row>
    <row r="7969" spans="2:2" x14ac:dyDescent="0.25">
      <c r="B7969" t="str">
        <v>948-64: Nursing Services</v>
      </c>
    </row>
    <row r="7970" spans="2:2" x14ac:dyDescent="0.25">
      <c r="B7970" t="str">
        <v>948-65: Nursing Home Services</v>
      </c>
    </row>
    <row r="7971" spans="2:2" x14ac:dyDescent="0.25">
      <c r="B7971" t="str">
        <v>948-68: Optician and Optometrical Services. Non-Physician</v>
      </c>
    </row>
    <row r="7972" spans="2:2" x14ac:dyDescent="0.25">
      <c r="B7972" t="str">
        <v>948-71: Physician Credentialing Services</v>
      </c>
    </row>
    <row r="7973" spans="2:2" x14ac:dyDescent="0.25">
      <c r="B7973" t="str">
        <v>948-72: Pharmaceutical Services</v>
      </c>
    </row>
    <row r="7974" spans="2:2" x14ac:dyDescent="0.25">
      <c r="B7974" t="str">
        <v>948-73: Physical Fitness Programs</v>
      </c>
    </row>
    <row r="7975" spans="2:2" x14ac:dyDescent="0.25">
      <c r="B7975" t="str">
        <v>948-74: Professional Medical Services: Physicians, Pharmacists, and All Specialties</v>
      </c>
    </row>
    <row r="7976" spans="2:2" x14ac:dyDescent="0.25">
      <c r="B7976" t="str">
        <v>948-75: Prosthetic Manufacturing Services, Other Than Dental</v>
      </c>
    </row>
    <row r="7977" spans="2:2" x14ac:dyDescent="0.25">
      <c r="B7977" t="str">
        <v>948-76: Psychologists, Psychological and Psychiatric Services, Including Behavioral Management Services</v>
      </c>
    </row>
    <row r="7978" spans="2:2" x14ac:dyDescent="0.25">
      <c r="B7978" t="str">
        <v>948-80: Radiation Control and Leak Detection Services</v>
      </c>
    </row>
    <row r="7979" spans="2:2" x14ac:dyDescent="0.25">
      <c r="B7979" t="str">
        <v>948-81: Radiation Therapy Treatment Services</v>
      </c>
    </row>
    <row r="7980" spans="2:2" x14ac:dyDescent="0.25">
      <c r="B7980" t="str">
        <v>948-82: Research and Science Services, Medical</v>
      </c>
    </row>
    <row r="7981" spans="2:2" x14ac:dyDescent="0.25">
      <c r="B7981" t="str">
        <v>948-84: Sanitizing and Disinfecting Services, Health Related Services</v>
      </c>
    </row>
    <row r="7982" spans="2:2" x14ac:dyDescent="0.25">
      <c r="B7982" t="str">
        <v>948-85: Sanitary Napkin Disposal Services</v>
      </c>
    </row>
    <row r="7983" spans="2:2" x14ac:dyDescent="0.25">
      <c r="B7983" t="str">
        <v>948-86: Therapy and Rehabilitation Services</v>
      </c>
    </row>
    <row r="7984" spans="2:2" x14ac:dyDescent="0.25">
      <c r="B7984" t="str">
        <v>948-87: *Telemedical Professional Services</v>
      </c>
    </row>
    <row r="7985" spans="2:2" x14ac:dyDescent="0.25">
      <c r="B7985" t="str">
        <v>948-92: Vaccination Program Services</v>
      </c>
    </row>
    <row r="7986" spans="2:2" x14ac:dyDescent="0.25">
      <c r="B7986" t="str">
        <v>948-93: Waste Disposal Services, Medical</v>
      </c>
    </row>
    <row r="7987" spans="2:2" x14ac:dyDescent="0.25">
      <c r="B7987" t="str">
        <v>948-97: X-Ray Services (Incl. Dental)</v>
      </c>
    </row>
    <row r="7988" spans="2:2" x14ac:dyDescent="0.25">
      <c r="B7988" t="str">
        <v>949-02: Arbitrage</v>
      </c>
    </row>
    <row r="7989" spans="2:2" x14ac:dyDescent="0.25">
      <c r="B7989" t="str">
        <v>949-03: Assets-Doctoral Fees, University Funded</v>
      </c>
    </row>
    <row r="7990" spans="2:2" x14ac:dyDescent="0.25">
      <c r="B7990" t="str">
        <v>949-04: Assets-Doctoral Tuition, University Funded</v>
      </c>
    </row>
    <row r="7991" spans="2:2" x14ac:dyDescent="0.25">
      <c r="B7991" t="str">
        <v>949-05: Assets-Masters Fees, University Funded</v>
      </c>
    </row>
    <row r="7992" spans="2:2" x14ac:dyDescent="0.25">
      <c r="B7992" t="str">
        <v>949-06: Assets-Masters Tuition, University Funded</v>
      </c>
    </row>
    <row r="7993" spans="2:2" x14ac:dyDescent="0.25">
      <c r="B7993" t="str">
        <v>949-10: Bad Debt Expense, C and G Private and Other</v>
      </c>
    </row>
    <row r="7994" spans="2:2" x14ac:dyDescent="0.25">
      <c r="B7994" t="str">
        <v>949-11: Bad Debt Expense, Fees</v>
      </c>
    </row>
    <row r="7995" spans="2:2" x14ac:dyDescent="0.25">
      <c r="B7995" t="str">
        <v>949-12: Bad Debt Expense, Gift and Pledges</v>
      </c>
    </row>
    <row r="7996" spans="2:2" x14ac:dyDescent="0.25">
      <c r="B7996" t="str">
        <v>949-13: Bad Debt Expense, Other Sales</v>
      </c>
    </row>
    <row r="7997" spans="2:2" x14ac:dyDescent="0.25">
      <c r="B7997" t="str">
        <v>949-14: Bad Debt Expense, Professional Fees</v>
      </c>
    </row>
    <row r="7998" spans="2:2" x14ac:dyDescent="0.25">
      <c r="B7998" t="str">
        <v>949-15: Bad Debt Expense, Tuition</v>
      </c>
    </row>
    <row r="7999" spans="2:2" x14ac:dyDescent="0.25">
      <c r="B7999" t="str">
        <v>949-18: Defeasance of State Bonds</v>
      </c>
    </row>
    <row r="8000" spans="2:2" x14ac:dyDescent="0.25">
      <c r="B8000" t="str">
        <v>949-19: Development Fee</v>
      </c>
    </row>
    <row r="8001" spans="2:2" x14ac:dyDescent="0.25">
      <c r="B8001" t="str">
        <v>949-20: Development Fee Return</v>
      </c>
    </row>
    <row r="8002" spans="2:2" x14ac:dyDescent="0.25">
      <c r="B8002" t="str">
        <v>949-21: Dormitory Charges for Students</v>
      </c>
    </row>
    <row r="8003" spans="2:2" x14ac:dyDescent="0.25">
      <c r="B8003" t="str">
        <v>949-25: Financial and Accounting Services, Bonds</v>
      </c>
    </row>
    <row r="8004" spans="2:2" x14ac:dyDescent="0.25">
      <c r="B8004" t="str">
        <v>949-26: Financial and Accounting Services, Notes and Loans</v>
      </c>
    </row>
    <row r="8005" spans="2:2" x14ac:dyDescent="0.25">
      <c r="B8005" t="str">
        <v>949-27: Fines and Penalties</v>
      </c>
    </row>
    <row r="8006" spans="2:2" x14ac:dyDescent="0.25">
      <c r="B8006" t="str">
        <v>949-29: Increase and Decrease in Self Insured Liability</v>
      </c>
    </row>
    <row r="8007" spans="2:2" x14ac:dyDescent="0.25">
      <c r="B8007" t="str">
        <v>949-30: Inter-Agency Contracts and Transactions</v>
      </c>
    </row>
    <row r="8008" spans="2:2" x14ac:dyDescent="0.25">
      <c r="B8008" t="str">
        <v>949-31: Interest, Other</v>
      </c>
    </row>
    <row r="8009" spans="2:2" x14ac:dyDescent="0.25">
      <c r="B8009" t="str">
        <v>949-32: Interest on Other, Notes and Loans</v>
      </c>
    </row>
    <row r="8010" spans="2:2" x14ac:dyDescent="0.25">
      <c r="B8010" t="str">
        <v>949-33: Interest on State Bonds</v>
      </c>
    </row>
    <row r="8011" spans="2:2" x14ac:dyDescent="0.25">
      <c r="B8011" t="str">
        <v>949-34: Interest on State Notes and Loans</v>
      </c>
    </row>
    <row r="8012" spans="2:2" x14ac:dyDescent="0.25">
      <c r="B8012" t="str">
        <v>949-35: Inventory Adjustment, Resale Items</v>
      </c>
    </row>
    <row r="8013" spans="2:2" x14ac:dyDescent="0.25">
      <c r="B8013" t="str">
        <v>949-36: Investment Fees</v>
      </c>
    </row>
    <row r="8014" spans="2:2" x14ac:dyDescent="0.25">
      <c r="B8014" t="str">
        <v>949-38: Loan Repayment to Other State Agencies</v>
      </c>
    </row>
    <row r="8015" spans="2:2" x14ac:dyDescent="0.25">
      <c r="B8015" t="str">
        <v>949-42: Named Recipient Deposit</v>
      </c>
    </row>
    <row r="8016" spans="2:2" x14ac:dyDescent="0.25">
      <c r="B8016" t="str">
        <v>949-43: Named Recipient Scholarship Expense</v>
      </c>
    </row>
    <row r="8017" spans="2:2" x14ac:dyDescent="0.25">
      <c r="B8017" t="str">
        <v>949-45: Other Expenses, Local Only</v>
      </c>
    </row>
    <row r="8018" spans="2:2" x14ac:dyDescent="0.25">
      <c r="B8018" t="str">
        <v>949-46: Other Intangible Assets-Term &gt;$100K</v>
      </c>
    </row>
    <row r="8019" spans="2:2" x14ac:dyDescent="0.25">
      <c r="B8019" t="str">
        <v>949-48: Penalty on Late Payment to Vendor</v>
      </c>
    </row>
    <row r="8020" spans="2:2" x14ac:dyDescent="0.25">
      <c r="B8020" t="str">
        <v>949-49: Principal on Other Indebtedness</v>
      </c>
    </row>
    <row r="8021" spans="2:2" x14ac:dyDescent="0.25">
      <c r="B8021" t="str">
        <v>949-50: Principal on Other Notes and Loans</v>
      </c>
    </row>
    <row r="8022" spans="2:2" x14ac:dyDescent="0.25">
      <c r="B8022" t="str">
        <v>949-51: Principal on State Bonds</v>
      </c>
    </row>
    <row r="8023" spans="2:2" x14ac:dyDescent="0.25">
      <c r="B8023" t="str">
        <v>949-52: Principal on State Notes and Loans</v>
      </c>
    </row>
    <row r="8024" spans="2:2" x14ac:dyDescent="0.25">
      <c r="B8024" t="str">
        <v>949-53: Procard Expense to be Allocated</v>
      </c>
    </row>
    <row r="8025" spans="2:2" x14ac:dyDescent="0.25">
      <c r="B8025" t="str">
        <v>949-60: Return of Loan Funds, Financial Aid Only</v>
      </c>
    </row>
    <row r="8026" spans="2:2" x14ac:dyDescent="0.25">
      <c r="B8026" t="str">
        <v>949-61: Royalty Distribution Services</v>
      </c>
    </row>
    <row r="8027" spans="2:2" x14ac:dyDescent="0.25">
      <c r="B8027" t="str">
        <v>949-65: Scholar Loan</v>
      </c>
    </row>
    <row r="8028" spans="2:2" x14ac:dyDescent="0.25">
      <c r="B8028" t="str">
        <v>949-66: Scholarship Discounts</v>
      </c>
    </row>
    <row r="8029" spans="2:2" x14ac:dyDescent="0.25">
      <c r="B8029" t="str">
        <v>949-67: Scholarships, Graduate</v>
      </c>
    </row>
    <row r="8030" spans="2:2" x14ac:dyDescent="0.25">
      <c r="B8030" t="str">
        <v>949-68: Scholarships, Post Doctoral</v>
      </c>
    </row>
    <row r="8031" spans="2:2" x14ac:dyDescent="0.25">
      <c r="B8031" t="str">
        <v>949-69: Scholarships, Undergraduate</v>
      </c>
    </row>
    <row r="8032" spans="2:2" x14ac:dyDescent="0.25">
      <c r="B8032" t="str">
        <v>949-70: Self Insured Program, Authorization Fee</v>
      </c>
    </row>
    <row r="8033" spans="2:2" x14ac:dyDescent="0.25">
      <c r="B8033" t="str">
        <v>949-71: Self Insured Program, Administrative COBRA</v>
      </c>
    </row>
    <row r="8034" spans="2:2" x14ac:dyDescent="0.25">
      <c r="B8034" t="str">
        <v>949-72: Self Insured Program, Administrative Fee</v>
      </c>
    </row>
    <row r="8035" spans="2:2" x14ac:dyDescent="0.25">
      <c r="B8035" t="str">
        <v>949-73: Self Insured Program, Auto Plan</v>
      </c>
    </row>
    <row r="8036" spans="2:2" x14ac:dyDescent="0.25">
      <c r="B8036" t="str">
        <v>949-74: Self Insured Program, Dental</v>
      </c>
    </row>
    <row r="8037" spans="2:2" x14ac:dyDescent="0.25">
      <c r="B8037" t="str">
        <v>949-75: Self Insured Program, Disease Management</v>
      </c>
    </row>
    <row r="8038" spans="2:2" x14ac:dyDescent="0.25">
      <c r="B8038" t="str">
        <v>949-76: Self Insured Program, Medical</v>
      </c>
    </row>
    <row r="8039" spans="2:2" x14ac:dyDescent="0.25">
      <c r="B8039" t="str">
        <v>949-77: Self Insured Program, Prescription Drug</v>
      </c>
    </row>
    <row r="8040" spans="2:2" x14ac:dyDescent="0.25">
      <c r="B8040" t="str">
        <v>949-78: Self Insured Property Claims Paid</v>
      </c>
    </row>
    <row r="8041" spans="2:2" x14ac:dyDescent="0.25">
      <c r="B8041" t="str">
        <v>949-79: Service Charges, Bonds</v>
      </c>
    </row>
    <row r="8042" spans="2:2" x14ac:dyDescent="0.25">
      <c r="B8042" t="str">
        <v>949-80: Service Charges, Notes and Loans</v>
      </c>
    </row>
    <row r="8043" spans="2:2" x14ac:dyDescent="0.25">
      <c r="B8043" t="str">
        <v>949-81: Stipends for Sponsored Research, Teacher</v>
      </c>
    </row>
    <row r="8044" spans="2:2" x14ac:dyDescent="0.25">
      <c r="B8044" t="str">
        <v>949-82: Stop Loss Insurance</v>
      </c>
    </row>
    <row r="8045" spans="2:2" x14ac:dyDescent="0.25">
      <c r="B8045" t="str">
        <v>949-85: Teacher Tuition and Fees, Federal and Non-Professional</v>
      </c>
    </row>
    <row r="8046" spans="2:2" x14ac:dyDescent="0.25">
      <c r="B8046" t="str">
        <v>949-86: Teacher Tuition and Fees, Private for Professors</v>
      </c>
    </row>
    <row r="8047" spans="2:2" x14ac:dyDescent="0.25">
      <c r="B8047" t="str">
        <v>949-87: Travel and Other Part Expense, Teacher</v>
      </c>
    </row>
    <row r="8048" spans="2:2" x14ac:dyDescent="0.25">
      <c r="B8048" t="str">
        <v>949-88: Tuition and Fee Remissions and Exemptions</v>
      </c>
    </row>
    <row r="8049" spans="2:2" x14ac:dyDescent="0.25">
      <c r="B8049" t="str">
        <v>949-89: Tuition Rebates</v>
      </c>
    </row>
    <row r="8050" spans="2:2" x14ac:dyDescent="0.25">
      <c r="B8050" t="str">
        <v>949-90: Unemployment Compensation Claims</v>
      </c>
    </row>
    <row r="8051" spans="2:2" x14ac:dyDescent="0.25">
      <c r="B8051" t="str">
        <v>949-91: Visa Processing Fees</v>
      </c>
    </row>
    <row r="8052" spans="2:2" x14ac:dyDescent="0.25">
      <c r="B8052" t="str">
        <v>949-92: Worker's Comp., Employee Mileage, Lodging and Other</v>
      </c>
    </row>
    <row r="8053" spans="2:2" x14ac:dyDescent="0.25">
      <c r="B8053" t="str">
        <v>949-93: Worker's Comp., Indemnity Claims</v>
      </c>
    </row>
    <row r="8054" spans="2:2" x14ac:dyDescent="0.25">
      <c r="B8054" t="str">
        <v>949-94: Worker's Comp., Medical Services</v>
      </c>
    </row>
    <row r="8055" spans="2:2" x14ac:dyDescent="0.25">
      <c r="B8055" t="str">
        <v>949-95: Worker's Comp., Other Contracted Services</v>
      </c>
    </row>
    <row r="8056" spans="2:2" x14ac:dyDescent="0.25">
      <c r="B8056" t="str">
        <v>950-01: Administrative Cost Recovery.</v>
      </c>
    </row>
    <row r="8057" spans="2:2" x14ac:dyDescent="0.25">
      <c r="B8057" t="str">
        <v>950-10: Grants, Cities</v>
      </c>
    </row>
    <row r="8058" spans="2:2" x14ac:dyDescent="0.25">
      <c r="B8058" t="str">
        <v>950-11: Grants, Cities, Indirect Cost</v>
      </c>
    </row>
    <row r="8059" spans="2:2" x14ac:dyDescent="0.25">
      <c r="B8059" t="str">
        <v>950-12: Grants, Community Service Projects, IDC</v>
      </c>
    </row>
    <row r="8060" spans="2:2" x14ac:dyDescent="0.25">
      <c r="B8060" t="str">
        <v>950-13: Grants, Community Service Programs</v>
      </c>
    </row>
    <row r="8061" spans="2:2" x14ac:dyDescent="0.25">
      <c r="B8061" t="str">
        <v>950-14: Grants, Conferences and Seminars</v>
      </c>
    </row>
    <row r="8062" spans="2:2" x14ac:dyDescent="0.25">
      <c r="B8062" t="str">
        <v>950-15: Grants, Counties</v>
      </c>
    </row>
    <row r="8063" spans="2:2" x14ac:dyDescent="0.25">
      <c r="B8063" t="str">
        <v>950-16: Grants, Counties, IDC, HIGHER EDUCATION</v>
      </c>
    </row>
    <row r="8064" spans="2:2" x14ac:dyDescent="0.25">
      <c r="B8064" t="str">
        <v>950-20: Grants, Individuals</v>
      </c>
    </row>
    <row r="8065" spans="2:2" x14ac:dyDescent="0.25">
      <c r="B8065" t="str">
        <v>950-21: Grants, Individuals, IDC</v>
      </c>
    </row>
    <row r="8066" spans="2:2" x14ac:dyDescent="0.25">
      <c r="B8066" t="str">
        <v>950-23: Grants, Junior Colleges</v>
      </c>
    </row>
    <row r="8067" spans="2:2" x14ac:dyDescent="0.25">
      <c r="B8067" t="str">
        <v>950-24: Grants, Junior Colleges, IDC</v>
      </c>
    </row>
    <row r="8068" spans="2:2" x14ac:dyDescent="0.25">
      <c r="B8068" t="str">
        <v>950-40: Grants, Other Political Subdivisions, IDC</v>
      </c>
    </row>
    <row r="8069" spans="2:2" x14ac:dyDescent="0.25">
      <c r="B8069" t="str">
        <v>950-41: Grants, Other Political Subdivisions</v>
      </c>
    </row>
    <row r="8070" spans="2:2" x14ac:dyDescent="0.25">
      <c r="B8070" t="str">
        <v>950-50: Grants, Senior Colleges and Universities</v>
      </c>
    </row>
    <row r="8071" spans="2:2" x14ac:dyDescent="0.25">
      <c r="B8071" t="str">
        <v>950-51: Grants, Senior Colleges and Universities, IDC</v>
      </c>
    </row>
    <row r="8072" spans="2:2" x14ac:dyDescent="0.25">
      <c r="B8072" t="str">
        <v>950-52: Grants, Student Tuition and Fees, No IDC</v>
      </c>
    </row>
    <row r="8073" spans="2:2" x14ac:dyDescent="0.25">
      <c r="B8073" t="str">
        <v>950-53: Grants, Student Stipends on SPR</v>
      </c>
    </row>
    <row r="8074" spans="2:2" x14ac:dyDescent="0.25">
      <c r="B8074" t="str">
        <v>950-54: Grants, Student Tuition and Fees</v>
      </c>
    </row>
    <row r="8075" spans="2:2" x14ac:dyDescent="0.25">
      <c r="B8075" t="str">
        <v>950-56: Grants, Travel and Other Related Expenses</v>
      </c>
    </row>
    <row r="8076" spans="2:2" x14ac:dyDescent="0.25">
      <c r="B8076" t="str">
        <v>950-60: Subawards, Federal, Other First $25,000</v>
      </c>
    </row>
    <row r="8077" spans="2:2" x14ac:dyDescent="0.25">
      <c r="B8077" t="str">
        <v>950-61: Subawards, Federal, State, First $25,000</v>
      </c>
    </row>
    <row r="8078" spans="2:2" x14ac:dyDescent="0.25">
      <c r="B8078" t="str">
        <v>950-62: Subawards, Federal, First $25.000</v>
      </c>
    </row>
    <row r="8079" spans="2:2" x14ac:dyDescent="0.25">
      <c r="B8079" t="str">
        <v>950-63: Subawards, State, First $25,000</v>
      </c>
    </row>
    <row r="8080" spans="2:2" x14ac:dyDescent="0.25">
      <c r="B8080" t="str">
        <v>950-64: Subawards, Other Srcs-Oth Ents-First $25.000</v>
      </c>
    </row>
    <row r="8081" spans="2:2" x14ac:dyDescent="0.25">
      <c r="B8081" t="str">
        <v>950-65: Subs Fed Other After First $25,000</v>
      </c>
    </row>
    <row r="8082" spans="2:2" x14ac:dyDescent="0.25">
      <c r="B8082" t="str">
        <v>950-66: Subs Other Feds, Other After First $25,000</v>
      </c>
    </row>
    <row r="8083" spans="2:2" x14ac:dyDescent="0.25">
      <c r="B8083" t="str">
        <v>950-67: Subs-Fed-State, After First $25,000</v>
      </c>
    </row>
    <row r="8084" spans="2:2" x14ac:dyDescent="0.25">
      <c r="B8084" t="str">
        <v>950-68: Subs-Fed, After First $25,000</v>
      </c>
    </row>
    <row r="8085" spans="2:2" x14ac:dyDescent="0.25">
      <c r="B8085" t="str">
        <v>950-69: Subs-Other, After First $25,000</v>
      </c>
    </row>
    <row r="8086" spans="2:2" x14ac:dyDescent="0.25">
      <c r="B8086" t="str">
        <v>950-70: Subs-Other, First $25,000</v>
      </c>
    </row>
    <row r="8087" spans="2:2" x14ac:dyDescent="0.25">
      <c r="B8087" t="str">
        <v>950-73: Subs-State, State after first $25,000</v>
      </c>
    </row>
    <row r="8088" spans="2:2" x14ac:dyDescent="0.25">
      <c r="B8088" t="str">
        <v>950-74: Subs-State, State first $25,000</v>
      </c>
    </row>
    <row r="8089" spans="2:2" x14ac:dyDescent="0.25">
      <c r="B8089" t="str">
        <v>950-75: Subs-State, After First $25,000</v>
      </c>
    </row>
    <row r="8090" spans="2:2" x14ac:dyDescent="0.25">
      <c r="B8090" t="str">
        <v>950-78: SWCAP Reimbursement to GR</v>
      </c>
    </row>
    <row r="8091" spans="2:2" x14ac:dyDescent="0.25">
      <c r="B8091" t="str">
        <v>951-01: Administrative Allowance, Higher Education</v>
      </c>
    </row>
    <row r="8092" spans="2:2" x14ac:dyDescent="0.25">
      <c r="B8092" t="str">
        <v>951-02: Auxiliary Administrative Cost</v>
      </c>
    </row>
    <row r="8093" spans="2:2" x14ac:dyDescent="0.25">
      <c r="B8093" t="str">
        <v>951-05: Employee Comp Training, Tuition</v>
      </c>
    </row>
    <row r="8094" spans="2:2" x14ac:dyDescent="0.25">
      <c r="B8094" t="str">
        <v>951-06: Employment Contract Payout (SAGO only)</v>
      </c>
    </row>
    <row r="8095" spans="2:2" x14ac:dyDescent="0.25">
      <c r="B8095" t="str">
        <v>951-07: Facilities and Other Improvements, Drives, Parking Lots, Paths, Trails</v>
      </c>
    </row>
    <row r="8096" spans="2:2" x14ac:dyDescent="0.25">
      <c r="B8096" t="str">
        <v>951-08: Facilities and Other Improvements, Fences</v>
      </c>
    </row>
    <row r="8097" spans="2:2" x14ac:dyDescent="0.25">
      <c r="B8097" t="str">
        <v>951-09: Facilities and Other Improvements</v>
      </c>
    </row>
    <row r="8098" spans="2:2" x14ac:dyDescent="0.25">
      <c r="B8098" t="str">
        <v>951-10: Facilities and Other Improvements, Sports Facilities</v>
      </c>
    </row>
    <row r="8099" spans="2:2" x14ac:dyDescent="0.25">
      <c r="B8099" t="str">
        <v>951-11: Filing Fees, Documents</v>
      </c>
    </row>
    <row r="8100" spans="2:2" x14ac:dyDescent="0.25">
      <c r="B8100" t="str">
        <v>951-12: Game Guarantee Expense</v>
      </c>
    </row>
    <row r="8101" spans="2:2" x14ac:dyDescent="0.25">
      <c r="B8101" t="str">
        <v>951-13: Infrastructure, Preservation Costs</v>
      </c>
    </row>
    <row r="8102" spans="2:2" x14ac:dyDescent="0.25">
      <c r="B8102" t="str">
        <v>951-14: Infrastructure, Telecommunications</v>
      </c>
    </row>
    <row r="8103" spans="2:2" x14ac:dyDescent="0.25">
      <c r="B8103" t="str">
        <v>951-15: Infrastructure and Infrastructure Improvements</v>
      </c>
    </row>
    <row r="8104" spans="2:2" x14ac:dyDescent="0.25">
      <c r="B8104" t="str">
        <v>951-16: Infrastructure Support</v>
      </c>
    </row>
    <row r="8105" spans="2:2" x14ac:dyDescent="0.25">
      <c r="B8105" t="str">
        <v>951-17: Inter Divisional Services</v>
      </c>
    </row>
    <row r="8106" spans="2:2" x14ac:dyDescent="0.25">
      <c r="B8106" t="str">
        <v>951-20: Items for Resale, Books</v>
      </c>
    </row>
    <row r="8107" spans="2:2" x14ac:dyDescent="0.25">
      <c r="B8107" t="str">
        <v>951-21: Items for Resale, Rebates</v>
      </c>
    </row>
    <row r="8108" spans="2:2" x14ac:dyDescent="0.25">
      <c r="B8108" t="str">
        <v>951-22: Items Purchased for Resale</v>
      </c>
    </row>
    <row r="8109" spans="2:2" x14ac:dyDescent="0.25">
      <c r="B8109" t="str">
        <v>951-23: Items Purchased for Resale, Exempt</v>
      </c>
    </row>
    <row r="8110" spans="2:2" x14ac:dyDescent="0.25">
      <c r="B8110" t="str">
        <v>951-25: Land Improvements</v>
      </c>
    </row>
    <row r="8111" spans="2:2" x14ac:dyDescent="0.25">
      <c r="B8111" t="str">
        <v>951-26: Leasehold Improvements</v>
      </c>
    </row>
    <row r="8112" spans="2:2" x14ac:dyDescent="0.25">
      <c r="B8112" t="str">
        <v>951-30: Materials Resold to Department, Physical Plant Only</v>
      </c>
    </row>
    <row r="8113" spans="2:2" x14ac:dyDescent="0.25">
      <c r="B8113" t="str">
        <v>951-32: Net Change in Pollution Rem Oblig</v>
      </c>
    </row>
    <row r="8114" spans="2:2" x14ac:dyDescent="0.25">
      <c r="B8114" t="str">
        <v>951-38: Proving Grounds Services</v>
      </c>
    </row>
    <row r="8115" spans="2:2" x14ac:dyDescent="0.25">
      <c r="B8115" t="str">
        <v>951-40: Raw Materials Purchased</v>
      </c>
    </row>
    <row r="8116" spans="2:2" x14ac:dyDescent="0.25">
      <c r="B8116" t="str">
        <v>951-41: Raw Materials Purchased, Exempt</v>
      </c>
    </row>
    <row r="8117" spans="2:2" x14ac:dyDescent="0.25">
      <c r="B8117" t="str">
        <v>951-42: Recreational Facility Fee</v>
      </c>
    </row>
    <row r="8118" spans="2:2" x14ac:dyDescent="0.25">
      <c r="B8118" t="str">
        <v>951-43: Residents</v>
      </c>
    </row>
    <row r="8119" spans="2:2" x14ac:dyDescent="0.25">
      <c r="B8119" t="str">
        <v>951-45: Service Charges</v>
      </c>
    </row>
    <row r="8120" spans="2:2" x14ac:dyDescent="0.25">
      <c r="B8120" t="str">
        <v>951-46: Student Organization Finance Center, Clothing</v>
      </c>
    </row>
    <row r="8121" spans="2:2" x14ac:dyDescent="0.25">
      <c r="B8121" t="str">
        <v>951-48: Student Organization Finance Center, Other Expenses</v>
      </c>
    </row>
    <row r="8122" spans="2:2" x14ac:dyDescent="0.25">
      <c r="B8122" t="str">
        <v>951-49: Student Organization Finance Center, Rent</v>
      </c>
    </row>
    <row r="8123" spans="2:2" x14ac:dyDescent="0.25">
      <c r="B8123" t="str">
        <v>951-50: Subs-State-State-After First $25,000</v>
      </c>
    </row>
    <row r="8124" spans="2:2" x14ac:dyDescent="0.25">
      <c r="B8124" t="str">
        <v>951-51: Subs-State-State-First $25,000</v>
      </c>
    </row>
    <row r="8125" spans="2:2" x14ac:dyDescent="0.25">
      <c r="B8125" t="str">
        <v>951-60: TIPS Services</v>
      </c>
    </row>
    <row r="8126" spans="2:2" x14ac:dyDescent="0.25">
      <c r="B8126" t="str">
        <v>952-01: Adoption Services</v>
      </c>
    </row>
    <row r="8127" spans="2:2" x14ac:dyDescent="0.25">
      <c r="B8127" t="str">
        <v>952-05: Alcohol and Drug Detoxification, Including Rehabilitation)</v>
      </c>
    </row>
    <row r="8128" spans="2:2" x14ac:dyDescent="0.25">
      <c r="B8128" t="str">
        <v>952-06: Alcohol and Drug Prevention</v>
      </c>
    </row>
    <row r="8129" spans="2:2" x14ac:dyDescent="0.25">
      <c r="B8129" t="str">
        <v>952-07: Alcohol and Drug Testing Services</v>
      </c>
    </row>
    <row r="8130" spans="2:2" x14ac:dyDescent="0.25">
      <c r="B8130" t="str">
        <v>952-08: Assisted Living Services</v>
      </c>
    </row>
    <row r="8131" spans="2:2" x14ac:dyDescent="0.25">
      <c r="B8131" t="str">
        <v>952-09: Autopsy and Other Coroner Type Services</v>
      </c>
    </row>
    <row r="8132" spans="2:2" x14ac:dyDescent="0.25">
      <c r="B8132" t="str">
        <v>952-10: Barber and Beautician Services</v>
      </c>
    </row>
    <row r="8133" spans="2:2" x14ac:dyDescent="0.25">
      <c r="B8133" t="str">
        <v>952-11: Babysitting or Nanny Services</v>
      </c>
    </row>
    <row r="8134" spans="2:2" x14ac:dyDescent="0.25">
      <c r="B8134" t="str">
        <v>952-12: Bioethical Services</v>
      </c>
    </row>
    <row r="8135" spans="2:2" x14ac:dyDescent="0.25">
      <c r="B8135" t="str">
        <v>952-13: Big Brother, Big Sister, and Similar Type Program Services</v>
      </c>
    </row>
    <row r="8136" spans="2:2" x14ac:dyDescent="0.25">
      <c r="B8136" t="str">
        <v>952-14: Cemetery Services, Including Operation, Management, and Maintenance</v>
      </c>
    </row>
    <row r="8137" spans="2:2" x14ac:dyDescent="0.25">
      <c r="B8137" t="str">
        <v>952-15: Case Management</v>
      </c>
    </row>
    <row r="8138" spans="2:2" x14ac:dyDescent="0.25">
      <c r="B8138" t="str">
        <v>952-16: Chaplain and Minister Services</v>
      </c>
    </row>
    <row r="8139" spans="2:2" x14ac:dyDescent="0.25">
      <c r="B8139" t="str">
        <v>952-17: Child Abuse: Identification, Treatment, and Prevention, Including Sexual Abuse</v>
      </c>
    </row>
    <row r="8140" spans="2:2" x14ac:dyDescent="0.25">
      <c r="B8140" t="str">
        <v>952-18: Child Care Services, Including  Food Programs</v>
      </c>
    </row>
    <row r="8141" spans="2:2" x14ac:dyDescent="0.25">
      <c r="B8141" t="str">
        <v>952-19: Community Garden Program</v>
      </c>
    </row>
    <row r="8142" spans="2:2" x14ac:dyDescent="0.25">
      <c r="B8142" t="str">
        <v>952-20: Correctional Services</v>
      </c>
    </row>
    <row r="8143" spans="2:2" x14ac:dyDescent="0.25">
      <c r="B8143" t="str">
        <v>952-21: Counseling Services</v>
      </c>
    </row>
    <row r="8144" spans="2:2" x14ac:dyDescent="0.25">
      <c r="B8144" t="str">
        <v>952-22: Community Service Campaigns, Anti-Litter Programs, Bicycle Share Programs etc.</v>
      </c>
    </row>
    <row r="8145" spans="2:2" x14ac:dyDescent="0.25">
      <c r="B8145" t="str">
        <v>952-23: Court Intervention Services</v>
      </c>
    </row>
    <row r="8146" spans="2:2" x14ac:dyDescent="0.25">
      <c r="B8146" t="str">
        <v>952-24: Cultural Administration and Promotion Services</v>
      </c>
    </row>
    <row r="8147" spans="2:2" x14ac:dyDescent="0.25">
      <c r="B8147" t="str">
        <v>952-25: Day Care, Preschool</v>
      </c>
    </row>
    <row r="8148" spans="2:2" x14ac:dyDescent="0.25">
      <c r="B8148" t="str">
        <v>952-26: Day Care, Adult</v>
      </c>
    </row>
    <row r="8149" spans="2:2" x14ac:dyDescent="0.25">
      <c r="B8149" t="str">
        <v>952-28: Day Care Training Consortium</v>
      </c>
    </row>
    <row r="8150" spans="2:2" x14ac:dyDescent="0.25">
      <c r="B8150" t="str">
        <v xml:space="preserve">952-29: Dating and Escort Services                                                                                                                                                                                                                                </v>
      </c>
    </row>
    <row r="8151" spans="2:2" x14ac:dyDescent="0.25">
      <c r="B8151" t="str">
        <v>952-30: Delivered Meals</v>
      </c>
    </row>
    <row r="8152" spans="2:2" x14ac:dyDescent="0.25">
      <c r="B8152" t="str">
        <v>952-31: Discrimination Investigation</v>
      </c>
    </row>
    <row r="8153" spans="2:2" x14ac:dyDescent="0.25">
      <c r="B8153" t="str">
        <v>952-32: Domicile Services</v>
      </c>
    </row>
    <row r="8154" spans="2:2" x14ac:dyDescent="0.25">
      <c r="B8154" t="str">
        <v>952-35: Elder Abuse Prevention Services</v>
      </c>
    </row>
    <row r="8155" spans="2:2" x14ac:dyDescent="0.25">
      <c r="B8155" t="str">
        <v>952-36: Emergency Food Services</v>
      </c>
    </row>
    <row r="8156" spans="2:2" x14ac:dyDescent="0.25">
      <c r="B8156" t="str">
        <v>952-37: Emergency Shelter Services</v>
      </c>
    </row>
    <row r="8157" spans="2:2" x14ac:dyDescent="0.25">
      <c r="B8157" t="str">
        <v>952-38: Employee Assistance Programs, Including Unemployment Compensation Administration Services and Try-out Employment</v>
      </c>
    </row>
    <row r="8158" spans="2:2" x14ac:dyDescent="0.25">
      <c r="B8158" t="str">
        <v>952-39: Employment Generating Activities</v>
      </c>
    </row>
    <row r="8159" spans="2:2" x14ac:dyDescent="0.25">
      <c r="B8159" t="str">
        <v>952-40: Elderly Assistance Services</v>
      </c>
    </row>
    <row r="8160" spans="2:2" x14ac:dyDescent="0.25">
      <c r="B8160" t="str">
        <v>952-41: Face and Body Beauty Treatment Services</v>
      </c>
    </row>
    <row r="8161" spans="2:2" x14ac:dyDescent="0.25">
      <c r="B8161" t="str">
        <v>952-42: Family Planning</v>
      </c>
    </row>
    <row r="8162" spans="2:2" x14ac:dyDescent="0.25">
      <c r="B8162" t="str">
        <v>952-43: Family and Social Services, Including Shopping and Buying Services</v>
      </c>
    </row>
    <row r="8163" spans="2:2" x14ac:dyDescent="0.25">
      <c r="B8163" t="str">
        <v>952-44: Fire Fighting and Prevention Services, Buildings, Homes, etc., (See 990-43 for Oil and Gas Well Fires)</v>
      </c>
    </row>
    <row r="8164" spans="2:2" x14ac:dyDescent="0.25">
      <c r="B8164" t="str">
        <v>952-45: Food Stamps and Coupons</v>
      </c>
    </row>
    <row r="8165" spans="2:2" x14ac:dyDescent="0.25">
      <c r="B8165" t="str">
        <v>952-47: Foster Care Services</v>
      </c>
    </row>
    <row r="8166" spans="2:2" x14ac:dyDescent="0.25">
      <c r="B8166" t="str">
        <v>952-48: Genetic Parentage Testing Services (DNA)</v>
      </c>
    </row>
    <row r="8167" spans="2:2" x14ac:dyDescent="0.25">
      <c r="B8167" t="str">
        <v>952-49: Housing Services</v>
      </c>
    </row>
    <row r="8168" spans="2:2" x14ac:dyDescent="0.25">
      <c r="B8168" t="str">
        <v>952-51: Head Start Program</v>
      </c>
    </row>
    <row r="8169" spans="2:2" x14ac:dyDescent="0.25">
      <c r="B8169" t="str">
        <v>952-53: Home Management</v>
      </c>
    </row>
    <row r="8170" spans="2:2" x14ac:dyDescent="0.25">
      <c r="B8170" t="str">
        <v>952-54: Homemaker Services</v>
      </c>
    </row>
    <row r="8171" spans="2:2" x14ac:dyDescent="0.25">
      <c r="B8171" t="str">
        <v>952-55: Homelessness Prevention Services</v>
      </c>
    </row>
    <row r="8172" spans="2:2" x14ac:dyDescent="0.25">
      <c r="B8172" t="str">
        <v>952-56: Housekeeping Services</v>
      </c>
    </row>
    <row r="8173" spans="2:2" x14ac:dyDescent="0.25">
      <c r="B8173" t="str">
        <v>952-57: Human Population Census Services</v>
      </c>
    </row>
    <row r="8174" spans="2:2" x14ac:dyDescent="0.25">
      <c r="B8174" t="str">
        <v>952-58: Human Resources Development Services</v>
      </c>
    </row>
    <row r="8175" spans="2:2" x14ac:dyDescent="0.25">
      <c r="B8175" t="str">
        <v>952-59: Human Services (Not Otherwise Classified)</v>
      </c>
    </row>
    <row r="8176" spans="2:2" x14ac:dyDescent="0.25">
      <c r="B8176" t="str">
        <v>952-60: Job Search Workshop</v>
      </c>
    </row>
    <row r="8177" spans="2:2" x14ac:dyDescent="0.25">
      <c r="B8177" t="str">
        <v>952-61: Law Enforcement, Community Relations Services, Including Victim Notification Services</v>
      </c>
    </row>
    <row r="8178" spans="2:2" x14ac:dyDescent="0.25">
      <c r="B8178" t="str">
        <v>952-62: Mental Health Services: Vocational, Residential, Etc.</v>
      </c>
    </row>
    <row r="8179" spans="2:2" x14ac:dyDescent="0.25">
      <c r="B8179" t="str">
        <v>952-64: Mortuary and Funeral Services, Including Crematory Services</v>
      </c>
    </row>
    <row r="8180" spans="2:2" x14ac:dyDescent="0.25">
      <c r="B8180" t="str">
        <v>952-65: Musical Awareness Services</v>
      </c>
    </row>
    <row r="8181" spans="2:2" x14ac:dyDescent="0.25">
      <c r="B8181" t="str">
        <v>952-67: Parenting Intervention Services</v>
      </c>
    </row>
    <row r="8182" spans="2:2" x14ac:dyDescent="0.25">
      <c r="B8182" t="str">
        <v>952-68: Personal Care Services</v>
      </c>
    </row>
    <row r="8183" spans="2:2" x14ac:dyDescent="0.25">
      <c r="B8183" t="str">
        <v>952-71: Rape and Sexual Assault Prevention Services</v>
      </c>
    </row>
    <row r="8184" spans="2:2" x14ac:dyDescent="0.25">
      <c r="B8184" t="str">
        <v>952-72: Reading Services for the Blind</v>
      </c>
    </row>
    <row r="8185" spans="2:2" x14ac:dyDescent="0.25">
      <c r="B8185" t="str">
        <v>952-74: Referral Services</v>
      </c>
    </row>
    <row r="8186" spans="2:2" x14ac:dyDescent="0.25">
      <c r="B8186" t="str">
        <v>952-75: Refugee Assistance Services</v>
      </c>
    </row>
    <row r="8187" spans="2:2" x14ac:dyDescent="0.25">
      <c r="B8187" t="str">
        <v>952-76: Respite Care Services</v>
      </c>
    </row>
    <row r="8188" spans="2:2" x14ac:dyDescent="0.25">
      <c r="B8188" t="str">
        <v>952-77: *Research and Evaluation, Human Services, Including Productivity Audits</v>
      </c>
    </row>
    <row r="8189" spans="2:2" x14ac:dyDescent="0.25">
      <c r="B8189" t="str">
        <v>952-78: Safe Housing</v>
      </c>
    </row>
    <row r="8190" spans="2:2" x14ac:dyDescent="0.25">
      <c r="B8190" t="str">
        <v>952-80: Senior Aides Program</v>
      </c>
    </row>
    <row r="8191" spans="2:2" x14ac:dyDescent="0.25">
      <c r="B8191" t="str">
        <v>952-81: Community Redevelopment Services</v>
      </c>
    </row>
    <row r="8192" spans="2:2" x14ac:dyDescent="0.25">
      <c r="B8192" t="str">
        <v>952-82: SUICIDE PREVENTION SERVICES</v>
      </c>
    </row>
    <row r="8193" spans="2:2" x14ac:dyDescent="0.25">
      <c r="B8193" t="str">
        <v>952-83: Youth Program Services</v>
      </c>
    </row>
    <row r="8194" spans="2:2" x14ac:dyDescent="0.25">
      <c r="B8194" t="str">
        <v>952-84: Supplemental Food Services</v>
      </c>
    </row>
    <row r="8195" spans="2:2" x14ac:dyDescent="0.25">
      <c r="B8195" t="str">
        <v>952-85: Support Services</v>
      </c>
    </row>
    <row r="8196" spans="2:2" x14ac:dyDescent="0.25">
      <c r="B8196" t="str">
        <v>952-88: Teenage Pregnancy Services</v>
      </c>
    </row>
    <row r="8197" spans="2:2" x14ac:dyDescent="0.25">
      <c r="B8197" t="str">
        <v>952-90: *Training and Instruction Services, Clients, Not Staff</v>
      </c>
    </row>
    <row r="8198" spans="2:2" x14ac:dyDescent="0.25">
      <c r="B8198" t="str">
        <v>952-91: Transitional Domicile Services</v>
      </c>
    </row>
    <row r="8199" spans="2:2" x14ac:dyDescent="0.25">
      <c r="B8199" t="str">
        <v>952-92: Transitional Living Services</v>
      </c>
    </row>
    <row r="8200" spans="2:2" x14ac:dyDescent="0.25">
      <c r="B8200" t="str">
        <v>952-93: Try-out Employment Services</v>
      </c>
    </row>
    <row r="8201" spans="2:2" x14ac:dyDescent="0.25">
      <c r="B8201" t="str">
        <v>952-94: Transportation Services: Elderly, Handicapped, Incapacitated, Prisoners, Juries, Students. Etc.</v>
      </c>
    </row>
    <row r="8202" spans="2:2" x14ac:dyDescent="0.25">
      <c r="B8202" t="str">
        <v>952-95: Youth Care Services</v>
      </c>
    </row>
    <row r="8203" spans="2:2" x14ac:dyDescent="0.25">
      <c r="B8203" t="str">
        <v>952-96: Urban and Regional Development Services</v>
      </c>
    </row>
    <row r="8204" spans="2:2" x14ac:dyDescent="0.25">
      <c r="B8204" t="str">
        <v>953-06: Accident Insurance</v>
      </c>
    </row>
    <row r="8205" spans="2:2" x14ac:dyDescent="0.25">
      <c r="B8205" t="str">
        <v>953-13: Aviation Insurance</v>
      </c>
    </row>
    <row r="8206" spans="2:2" x14ac:dyDescent="0.25">
      <c r="B8206" t="str">
        <v>953-22: Boiler Insurance</v>
      </c>
    </row>
    <row r="8207" spans="2:2" x14ac:dyDescent="0.25">
      <c r="B8207" t="str">
        <v>953-27: Claims Processing</v>
      </c>
    </row>
    <row r="8208" spans="2:2" x14ac:dyDescent="0.25">
      <c r="B8208" t="str">
        <v>953-30: Collision Insurance, Automotive</v>
      </c>
    </row>
    <row r="8209" spans="2:2" x14ac:dyDescent="0.25">
      <c r="B8209" t="str">
        <v>953-33: Comprehensive Insurance, Automotive</v>
      </c>
    </row>
    <row r="8210" spans="2:2" x14ac:dyDescent="0.25">
      <c r="B8210" t="str">
        <v>953-34: Crime Insurance</v>
      </c>
    </row>
    <row r="8211" spans="2:2" x14ac:dyDescent="0.25">
      <c r="B8211" t="str">
        <v>953-37: Disability Insurance</v>
      </c>
    </row>
    <row r="8212" spans="2:2" x14ac:dyDescent="0.25">
      <c r="B8212" t="str">
        <v>953-41: Fidelity and Surety Insurance</v>
      </c>
    </row>
    <row r="8213" spans="2:2" x14ac:dyDescent="0.25">
      <c r="B8213" t="str">
        <v>953-43: Fire Insurance</v>
      </c>
    </row>
    <row r="8214" spans="2:2" x14ac:dyDescent="0.25">
      <c r="B8214" t="str">
        <v>953-45: Flood Insurance</v>
      </c>
    </row>
    <row r="8215" spans="2:2" x14ac:dyDescent="0.25">
      <c r="B8215" t="str">
        <v>953-48: Health and Hospitalization Insurance, Including Dental and Visual Insurance</v>
      </c>
    </row>
    <row r="8216" spans="2:2" x14ac:dyDescent="0.25">
      <c r="B8216" t="str">
        <v>953-51: Inland Marine Insurance</v>
      </c>
    </row>
    <row r="8217" spans="2:2" x14ac:dyDescent="0.25">
      <c r="B8217" t="str">
        <v>953-52: Insurance and Insurance Services (Not Otherwise Classified)</v>
      </c>
    </row>
    <row r="8218" spans="2:2" x14ac:dyDescent="0.25">
      <c r="B8218" t="str">
        <v>953-53: Investigation Services</v>
      </c>
    </row>
    <row r="8219" spans="2:2" x14ac:dyDescent="0.25">
      <c r="B8219" t="str">
        <v>953-54: Liability Insurance, Automotive</v>
      </c>
    </row>
    <row r="8220" spans="2:2" x14ac:dyDescent="0.25">
      <c r="B8220" t="str">
        <v>953-56: Liability Insurance, General</v>
      </c>
    </row>
    <row r="8221" spans="2:2" x14ac:dyDescent="0.25">
      <c r="B8221" t="str">
        <v>953-58: Liability Insurance, Professional</v>
      </c>
    </row>
    <row r="8222" spans="2:2" x14ac:dyDescent="0.25">
      <c r="B8222" t="str">
        <v>953-60: Liability Insurance, Public Official and Government</v>
      </c>
    </row>
    <row r="8223" spans="2:2" x14ac:dyDescent="0.25">
      <c r="B8223" t="str">
        <v>953-63: Life Insurance</v>
      </c>
    </row>
    <row r="8224" spans="2:2" x14ac:dyDescent="0.25">
      <c r="B8224" t="str">
        <v>953-66: Malpractice Insurance, General</v>
      </c>
    </row>
    <row r="8225" spans="2:2" x14ac:dyDescent="0.25">
      <c r="B8225" t="str">
        <v>953-68: Malpractice Insurance, Legal</v>
      </c>
    </row>
    <row r="8226" spans="2:2" x14ac:dyDescent="0.25">
      <c r="B8226" t="str">
        <v>953-70: Malpractice Insurance, Medical</v>
      </c>
    </row>
    <row r="8227" spans="2:2" x14ac:dyDescent="0.25">
      <c r="B8227" t="str">
        <v>953-77: Property and Casualty Insurance</v>
      </c>
    </row>
    <row r="8228" spans="2:2" x14ac:dyDescent="0.25">
      <c r="B8228" t="str">
        <v>953-78: Receiver Services, Special Deputy, Insurance</v>
      </c>
    </row>
    <row r="8229" spans="2:2" x14ac:dyDescent="0.25">
      <c r="B8229" t="str">
        <v>953-79: Reinsurance Services</v>
      </c>
    </row>
    <row r="8230" spans="2:2" x14ac:dyDescent="0.25">
      <c r="B8230" t="str">
        <v>953-80: Retirement Benefit Plan Insurance</v>
      </c>
    </row>
    <row r="8231" spans="2:2" x14ac:dyDescent="0.25">
      <c r="B8231" t="str">
        <v>953-83: Sports Insurance</v>
      </c>
    </row>
    <row r="8232" spans="2:2" x14ac:dyDescent="0.25">
      <c r="B8232" t="str">
        <v>953-87: Title Insurance</v>
      </c>
    </row>
    <row r="8233" spans="2:2" x14ac:dyDescent="0.25">
      <c r="B8233" t="str">
        <v>953-91: Unemployment Insurance</v>
      </c>
    </row>
    <row r="8234" spans="2:2" x14ac:dyDescent="0.25">
      <c r="B8234" t="str">
        <v>953-92: Worker's Compensation</v>
      </c>
    </row>
    <row r="8235" spans="2:2" x14ac:dyDescent="0.25">
      <c r="B8235" t="str">
        <v>954-03: Cloth Towel Service</v>
      </c>
    </row>
    <row r="8236" spans="2:2" x14ac:dyDescent="0.25">
      <c r="B8236" t="str">
        <v>954-04: Laundry Services, Clothing, Hats and Uniforms</v>
      </c>
    </row>
    <row r="8237" spans="2:2" x14ac:dyDescent="0.25">
      <c r="B8237" t="str">
        <v>954-05: Laundry and Linen Service, (Not Otherwise Classified)</v>
      </c>
    </row>
    <row r="8238" spans="2:2" x14ac:dyDescent="0.25">
      <c r="B8238" t="str">
        <v>954-10: Mop Cleaning Service</v>
      </c>
    </row>
    <row r="8239" spans="2:2" x14ac:dyDescent="0.25">
      <c r="B8239" t="str">
        <v>954-20: Dry Cleaning Service</v>
      </c>
    </row>
    <row r="8240" spans="2:2" x14ac:dyDescent="0.25">
      <c r="B8240" t="str">
        <v>954-70: Shop Towels, Shop Aprons, Floor Mats, etc. Cleaning Services</v>
      </c>
    </row>
    <row r="8241" spans="2:2" x14ac:dyDescent="0.25">
      <c r="B8241" t="str">
        <v>956-05: *Business Research Services</v>
      </c>
    </row>
    <row r="8242" spans="2:2" x14ac:dyDescent="0.25">
      <c r="B8242" t="str">
        <v>956-10: Cataloging Services</v>
      </c>
    </row>
    <row r="8243" spans="2:2" x14ac:dyDescent="0.25">
      <c r="B8243" t="str">
        <v>956-30: Historical Studies and Services</v>
      </c>
    </row>
    <row r="8244" spans="2:2" x14ac:dyDescent="0.25">
      <c r="B8244" t="str">
        <v>956-35: *Internet Database Subscriptions</v>
      </c>
    </row>
    <row r="8245" spans="2:2" x14ac:dyDescent="0.25">
      <c r="B8245" t="str">
        <v>956-38: Library Services, (Not Otherwise Classified)</v>
      </c>
    </row>
    <row r="8246" spans="2:2" x14ac:dyDescent="0.25">
      <c r="B8246" t="str">
        <v>956-40: Magazine Subscriptions</v>
      </c>
    </row>
    <row r="8247" spans="2:2" x14ac:dyDescent="0.25">
      <c r="B8247" t="str">
        <v>956-45: Microfilm Subscriptions</v>
      </c>
    </row>
    <row r="8248" spans="2:2" x14ac:dyDescent="0.25">
      <c r="B8248" t="str">
        <v>956-49: Newsletter Subscriptions</v>
      </c>
    </row>
    <row r="8249" spans="2:2" x14ac:dyDescent="0.25">
      <c r="B8249" t="str">
        <v>956-50: Newspaper Subscriptions</v>
      </c>
    </row>
    <row r="8250" spans="2:2" x14ac:dyDescent="0.25">
      <c r="B8250" t="str">
        <v>956-58: Professional Document and Publication Subscriptions: Legal, Medical, etc.</v>
      </c>
    </row>
    <row r="8251" spans="2:2" x14ac:dyDescent="0.25">
      <c r="B8251" t="str">
        <v>956-60: Professional Journal Subscriptions</v>
      </c>
    </row>
    <row r="8252" spans="2:2" x14ac:dyDescent="0.25">
      <c r="B8252" t="str">
        <v>956-70: Research Services, Other Than Business</v>
      </c>
    </row>
    <row r="8253" spans="2:2" x14ac:dyDescent="0.25">
      <c r="B8253" t="str">
        <v>956-75: Scientific Research Services</v>
      </c>
    </row>
    <row r="8254" spans="2:2" x14ac:dyDescent="0.25">
      <c r="B8254" t="str">
        <v>956-80: Talking Books, Cassettes, etc.</v>
      </c>
    </row>
    <row r="8255" spans="2:2" x14ac:dyDescent="0.25">
      <c r="B8255" t="str">
        <v>956-85: Training Material Subscriptions</v>
      </c>
    </row>
    <row r="8256" spans="2:2" x14ac:dyDescent="0.25">
      <c r="B8256" t="str">
        <v>958-02: Agricultural Management Services (Not Otherwise Classified)</v>
      </c>
    </row>
    <row r="8257" spans="2:2" x14ac:dyDescent="0.25">
      <c r="B8257" t="str">
        <v>958-03: Airport Management Services</v>
      </c>
    </row>
    <row r="8258" spans="2:2" x14ac:dyDescent="0.25">
      <c r="B8258" t="str">
        <v>958-05: *Asset Management Services</v>
      </c>
    </row>
    <row r="8259" spans="2:2" x14ac:dyDescent="0.25">
      <c r="B8259" t="str">
        <v>958-11: Wastewater Mud Treatment Services</v>
      </c>
    </row>
    <row r="8260" spans="2:2" x14ac:dyDescent="0.25">
      <c r="B8260" t="str">
        <v>958-12: Bio-Solids Management Services</v>
      </c>
    </row>
    <row r="8261" spans="2:2" x14ac:dyDescent="0.25">
      <c r="B8261" t="str">
        <v>958-13: Bookstore Management Services</v>
      </c>
    </row>
    <row r="8262" spans="2:2" x14ac:dyDescent="0.25">
      <c r="B8262" t="str">
        <v>958-14: Border Security Management and Operation Services</v>
      </c>
    </row>
    <row r="8263" spans="2:2" x14ac:dyDescent="0.25">
      <c r="B8263" t="str">
        <v>958-15: Building and Facilities Management Services</v>
      </c>
    </row>
    <row r="8264" spans="2:2" x14ac:dyDescent="0.25">
      <c r="B8264" t="str">
        <v>958-16: Business Management Services</v>
      </c>
    </row>
    <row r="8265" spans="2:2" x14ac:dyDescent="0.25">
      <c r="B8265" t="str">
        <v>958-20: Cemetery Management Services</v>
      </c>
    </row>
    <row r="8266" spans="2:2" x14ac:dyDescent="0.25">
      <c r="B8266" t="str">
        <v>958-22: Child Care Center Management and Operation Services</v>
      </c>
    </row>
    <row r="8267" spans="2:2" x14ac:dyDescent="0.25">
      <c r="B8267" t="str">
        <v>958-23: *Computer Management Services</v>
      </c>
    </row>
    <row r="8268" spans="2:2" x14ac:dyDescent="0.25">
      <c r="B8268" t="str">
        <v>958-25: Conservation/Resource Management Services</v>
      </c>
    </row>
    <row r="8269" spans="2:2" x14ac:dyDescent="0.25">
      <c r="B8269" t="str">
        <v>958-26: Construction Management Services</v>
      </c>
    </row>
    <row r="8270" spans="2:2" x14ac:dyDescent="0.25">
      <c r="B8270" t="str">
        <v>958-28: Corrections Management Services</v>
      </c>
    </row>
    <row r="8271" spans="2:2" x14ac:dyDescent="0.25">
      <c r="B8271" t="str">
        <v>958-30: Crop Management Services, Including Production, Protection, etc.</v>
      </c>
    </row>
    <row r="8272" spans="2:2" x14ac:dyDescent="0.25">
      <c r="B8272" t="str">
        <v>958-36: Exhibition/Exposition Management Services</v>
      </c>
    </row>
    <row r="8273" spans="2:2" x14ac:dyDescent="0.25">
      <c r="B8273" t="str">
        <v>958-38: Farm Management Services, Including Dairy, Pasture and Range Management</v>
      </c>
    </row>
    <row r="8274" spans="2:2" x14ac:dyDescent="0.25">
      <c r="B8274" t="str">
        <v>958-39: Financial Management Services</v>
      </c>
    </row>
    <row r="8275" spans="2:2" x14ac:dyDescent="0.25">
      <c r="B8275" t="str">
        <v>958-40: Fishery Management Services, Including Data Collection, Research and Experimentation, Resources Protection, etc.</v>
      </c>
    </row>
    <row r="8276" spans="2:2" x14ac:dyDescent="0.25">
      <c r="B8276" t="str">
        <v>958-41: *Fleet Management Services</v>
      </c>
    </row>
    <row r="8277" spans="2:2" x14ac:dyDescent="0.25">
      <c r="B8277" t="str">
        <v>958-44: Food Management Services, Including Hygiene, Contamination, Preservation, Research, etc.</v>
      </c>
    </row>
    <row r="8278" spans="2:2" x14ac:dyDescent="0.25">
      <c r="B8278" t="str">
        <v>958-45: Forestry Management Services, Including Inventory, Monitoring, Extension, Pest Control, etc.</v>
      </c>
    </row>
    <row r="8279" spans="2:2" x14ac:dyDescent="0.25">
      <c r="B8279" t="str">
        <v>958-47: Freight Management Services</v>
      </c>
    </row>
    <row r="8280" spans="2:2" x14ac:dyDescent="0.25">
      <c r="B8280" t="str">
        <v>958-50: *Fuel Management Services</v>
      </c>
    </row>
    <row r="8281" spans="2:2" x14ac:dyDescent="0.25">
      <c r="B8281" t="str">
        <v>958-56: Health Care Management Services, Including Managed Care Services</v>
      </c>
    </row>
    <row r="8282" spans="2:2" x14ac:dyDescent="0.25">
      <c r="B8282" t="str">
        <v>958-57: Housekeeping Management Services</v>
      </c>
    </row>
    <row r="8283" spans="2:2" x14ac:dyDescent="0.25">
      <c r="B8283" t="str">
        <v>958-58: Hospital Management Services</v>
      </c>
    </row>
    <row r="8284" spans="2:2" x14ac:dyDescent="0.25">
      <c r="B8284" t="str">
        <v>958-59: Industrial Management Services</v>
      </c>
    </row>
    <row r="8285" spans="2:2" x14ac:dyDescent="0.25">
      <c r="B8285" t="str">
        <v>958-60: Incentive Management Program Services, Safety, etc.</v>
      </c>
    </row>
    <row r="8286" spans="2:2" x14ac:dyDescent="0.25">
      <c r="B8286" t="str">
        <v>958-61: Insurance and Risk Management Services</v>
      </c>
    </row>
    <row r="8287" spans="2:2" x14ac:dyDescent="0.25">
      <c r="B8287" t="str">
        <v>958-62: Irrigation System Management Services</v>
      </c>
    </row>
    <row r="8288" spans="2:2" x14ac:dyDescent="0.25">
      <c r="B8288" t="str">
        <v>958-63: Janitorial Management Services</v>
      </c>
    </row>
    <row r="8289" spans="2:2" x14ac:dyDescent="0.25">
      <c r="B8289" t="str">
        <v>958-64: Laundry Management Services</v>
      </c>
    </row>
    <row r="8290" spans="2:2" x14ac:dyDescent="0.25">
      <c r="B8290" t="str">
        <v>958-65: Livestock Management and Industry Services</v>
      </c>
    </row>
    <row r="8291" spans="2:2" x14ac:dyDescent="0.25">
      <c r="B8291" t="str">
        <v>958-66: Lottery Management Services</v>
      </c>
    </row>
    <row r="8292" spans="2:2" x14ac:dyDescent="0.25">
      <c r="B8292" t="str">
        <v>958-67: Mental Health Management Services, Including Operations, Facilities Maintenance, Nursing, Food Service, etc. 24/7</v>
      </c>
    </row>
    <row r="8293" spans="2:2" x14ac:dyDescent="0.25">
      <c r="B8293" t="str">
        <v>958-68: *Support Services, Management</v>
      </c>
    </row>
    <row r="8294" spans="2:2" x14ac:dyDescent="0.25">
      <c r="B8294" t="str">
        <v>958-69: Lakes, Rivers, and Other Waterways Management</v>
      </c>
    </row>
    <row r="8295" spans="2:2" x14ac:dyDescent="0.25">
      <c r="B8295" t="str">
        <v>958-70: *Outsourcing Services for Management, Operation, Purchasing, etc.</v>
      </c>
    </row>
    <row r="8296" spans="2:2" x14ac:dyDescent="0.25">
      <c r="B8296" t="str">
        <v>958-71: Orchard and Vineyard Management Services</v>
      </c>
    </row>
    <row r="8297" spans="2:2" x14ac:dyDescent="0.25">
      <c r="B8297" t="str">
        <v>958-72: Parking Management Services, Including Operations, Admissions, and Supervision</v>
      </c>
    </row>
    <row r="8298" spans="2:2" x14ac:dyDescent="0.25">
      <c r="B8298" t="str">
        <v>958-74: *Human Resources Management Services</v>
      </c>
    </row>
    <row r="8299" spans="2:2" x14ac:dyDescent="0.25">
      <c r="B8299" t="str">
        <v>958-76: Pipeline Management Services</v>
      </c>
    </row>
    <row r="8300" spans="2:2" x14ac:dyDescent="0.25">
      <c r="B8300" t="str">
        <v>958-77: *Project Management Services</v>
      </c>
    </row>
    <row r="8301" spans="2:2" x14ac:dyDescent="0.25">
      <c r="B8301" t="str">
        <v>958-78: Property Management Services</v>
      </c>
    </row>
    <row r="8302" spans="2:2" x14ac:dyDescent="0.25">
      <c r="B8302" t="str">
        <v>958-81: Racing Management Services</v>
      </c>
    </row>
    <row r="8303" spans="2:2" x14ac:dyDescent="0.25">
      <c r="B8303" t="str">
        <v>958-82: *Records Management Services, Including Document Management Services and Technology Integration</v>
      </c>
    </row>
    <row r="8304" spans="2:2" x14ac:dyDescent="0.25">
      <c r="B8304" t="str">
        <v>958-83: Real Estate Management Services, Including Listing, Sales And Broker Services</v>
      </c>
    </row>
    <row r="8305" spans="2:2" x14ac:dyDescent="0.25">
      <c r="B8305" t="str">
        <v>958-84: *Social Media Management Services</v>
      </c>
    </row>
    <row r="8306" spans="2:2" x14ac:dyDescent="0.25">
      <c r="B8306" t="str">
        <v>958-85: Soil and Land Management Services, Including Testing, Protection, Preparation, Planning, etc.</v>
      </c>
    </row>
    <row r="8307" spans="2:2" x14ac:dyDescent="0.25">
      <c r="B8307" t="str">
        <v>958-86: Storage/Impound Lot Management Services</v>
      </c>
    </row>
    <row r="8308" spans="2:2" x14ac:dyDescent="0.25">
      <c r="B8308" t="str">
        <v>958-87: Storage Tank Management Services</v>
      </c>
    </row>
    <row r="8309" spans="2:2" x14ac:dyDescent="0.25">
      <c r="B8309" t="str">
        <v>958-88: Supply Chain Management Services</v>
      </c>
    </row>
    <row r="8310" spans="2:2" x14ac:dyDescent="0.25">
      <c r="B8310" t="str">
        <v>958-89: *Telecommunications Management Services</v>
      </c>
    </row>
    <row r="8311" spans="2:2" x14ac:dyDescent="0.25">
      <c r="B8311" t="str">
        <v>958-90: Traffic Safety Program Management Services</v>
      </c>
    </row>
    <row r="8312" spans="2:2" x14ac:dyDescent="0.25">
      <c r="B8312" t="str">
        <v>958-91: Transit Management Services</v>
      </c>
    </row>
    <row r="8313" spans="2:2" x14ac:dyDescent="0.25">
      <c r="B8313" t="str">
        <v>958-92: Travel Management Services</v>
      </c>
    </row>
    <row r="8314" spans="2:2" x14ac:dyDescent="0.25">
      <c r="B8314" t="str">
        <v>958-93: Toll Management and Operations Services</v>
      </c>
    </row>
    <row r="8315" spans="2:2" x14ac:dyDescent="0.25">
      <c r="B8315" t="str">
        <v>958-94: Warehouse Management Services</v>
      </c>
    </row>
    <row r="8316" spans="2:2" x14ac:dyDescent="0.25">
      <c r="B8316" t="str">
        <v>958-95: Utility Management Services</v>
      </c>
    </row>
    <row r="8317" spans="2:2" x14ac:dyDescent="0.25">
      <c r="B8317" t="str">
        <v>958-96: Waste Management Services</v>
      </c>
    </row>
    <row r="8318" spans="2:2" x14ac:dyDescent="0.25">
      <c r="B8318" t="str">
        <v>958-97: Wildlife and Fish Management Services, Including Endangered Species and Wildlife Census</v>
      </c>
    </row>
    <row r="8319" spans="2:2" x14ac:dyDescent="0.25">
      <c r="B8319" t="str">
        <v>959-17: Aquatic Planting and Harvesting Services</v>
      </c>
    </row>
    <row r="8320" spans="2:2" x14ac:dyDescent="0.25">
      <c r="B8320" t="str">
        <v>959-22: Barge Maintenance and Repair</v>
      </c>
    </row>
    <row r="8321" spans="2:2" x14ac:dyDescent="0.25">
      <c r="B8321" t="str">
        <v>959-24: Boats and Motors Maintenance and Repair</v>
      </c>
    </row>
    <row r="8322" spans="2:2" x14ac:dyDescent="0.25">
      <c r="B8322" t="str">
        <v>959-26: Breakwater Construction, Maintenance, and Repair</v>
      </c>
    </row>
    <row r="8323" spans="2:2" x14ac:dyDescent="0.25">
      <c r="B8323" t="str">
        <v>959-29: Buoys and Light Services Including Lighthouses, etc., Maintenance and Repair</v>
      </c>
    </row>
    <row r="8324" spans="2:2" x14ac:dyDescent="0.25">
      <c r="B8324" t="str">
        <v>959-30: Cargo Handling Services, Marine</v>
      </c>
    </row>
    <row r="8325" spans="2:2" x14ac:dyDescent="0.25">
      <c r="B8325" t="str">
        <v>959-31: Cargo Transport Services, Marine:  Air-Ocean, Ocean-Rail, Ocean-Truck Intermodal Cargo Services</v>
      </c>
    </row>
    <row r="8326" spans="2:2" x14ac:dyDescent="0.25">
      <c r="B8326" t="str">
        <v>959-34: Construction Services: Boats, Barges, Ferries, Ships, etc.</v>
      </c>
    </row>
    <row r="8327" spans="2:2" x14ac:dyDescent="0.25">
      <c r="B8327" t="str">
        <v>959-35: Construction Services, General Marine</v>
      </c>
    </row>
    <row r="8328" spans="2:2" x14ac:dyDescent="0.25">
      <c r="B8328" t="str">
        <v>959-36: Crane Maintenance and Repair, Marine</v>
      </c>
    </row>
    <row r="8329" spans="2:2" x14ac:dyDescent="0.25">
      <c r="B8329" t="str">
        <v>959-39: Dam and Levee Construction, Maintenance, Management and Repair</v>
      </c>
    </row>
    <row r="8330" spans="2:2" x14ac:dyDescent="0.25">
      <c r="B8330" t="str">
        <v>959-42: Docking and Stevedoring Services</v>
      </c>
    </row>
    <row r="8331" spans="2:2" x14ac:dyDescent="0.25">
      <c r="B8331" t="str">
        <v>959-43: Drawbridge Operations Services</v>
      </c>
    </row>
    <row r="8332" spans="2:2" x14ac:dyDescent="0.25">
      <c r="B8332" t="str">
        <v>959-44: Electronic and Communication Equipment Services, Including Installation, Maintenance and Repair</v>
      </c>
    </row>
    <row r="8333" spans="2:2" x14ac:dyDescent="0.25">
      <c r="B8333" t="str">
        <v>959-46: Ferry Maintenance and Repair</v>
      </c>
    </row>
    <row r="8334" spans="2:2" x14ac:dyDescent="0.25">
      <c r="B8334" t="str">
        <v>959-50: Marina Services</v>
      </c>
    </row>
    <row r="8335" spans="2:2" x14ac:dyDescent="0.25">
      <c r="B8335" t="str">
        <v>959-51: Marine Equipment Maintenance and Repair, (Not Otherwise Classified)</v>
      </c>
    </row>
    <row r="8336" spans="2:2" x14ac:dyDescent="0.25">
      <c r="B8336" t="str">
        <v>959-52: Marine Life Services</v>
      </c>
    </row>
    <row r="8337" spans="2:2" x14ac:dyDescent="0.25">
      <c r="B8337" t="str">
        <v>959-53: Marine Survey Services: Sonar Radar, Location/Recovery of Sunken Objects, etc.</v>
      </c>
    </row>
    <row r="8338" spans="2:2" x14ac:dyDescent="0.25">
      <c r="B8338" t="str">
        <v>959-56: Passenger Transportation Services, Ship and Ferry, Including Water Taxis</v>
      </c>
    </row>
    <row r="8339" spans="2:2" x14ac:dyDescent="0.25">
      <c r="B8339" t="str">
        <v>959-59: Port and Harbor Operation Services</v>
      </c>
    </row>
    <row r="8340" spans="2:2" x14ac:dyDescent="0.25">
      <c r="B8340" t="str">
        <v>959-64: Reef Services, Artificial</v>
      </c>
    </row>
    <row r="8341" spans="2:2" x14ac:dyDescent="0.25">
      <c r="B8341" t="str">
        <v>959-65: Reef Construction Services Including Maintenance and Repair</v>
      </c>
    </row>
    <row r="8342" spans="2:2" x14ac:dyDescent="0.25">
      <c r="B8342" t="str">
        <v>959-66: Reservoir Maintenance and Management Services</v>
      </c>
    </row>
    <row r="8343" spans="2:2" x14ac:dyDescent="0.25">
      <c r="B8343" t="str">
        <v>959-72: Seeding Services, Clam and Oyster Bed</v>
      </c>
    </row>
    <row r="8344" spans="2:2" x14ac:dyDescent="0.25">
      <c r="B8344" t="str">
        <v>959-73: Ship Maintenance and Repair</v>
      </c>
    </row>
    <row r="8345" spans="2:2" x14ac:dyDescent="0.25">
      <c r="B8345" t="str">
        <v>959-76: Storage, Lifting, and Launching of Boats</v>
      </c>
    </row>
    <row r="8346" spans="2:2" x14ac:dyDescent="0.25">
      <c r="B8346" t="str">
        <v>959-77: Sunken Vessel Services, Raising, etc.</v>
      </c>
    </row>
    <row r="8347" spans="2:2" x14ac:dyDescent="0.25">
      <c r="B8347" t="str">
        <v>959-83: Touring Transportation, Marine</v>
      </c>
    </row>
    <row r="8348" spans="2:2" x14ac:dyDescent="0.25">
      <c r="B8348" t="str">
        <v>959-84: Towing Services, Marine</v>
      </c>
    </row>
    <row r="8349" spans="2:2" x14ac:dyDescent="0.25">
      <c r="B8349" t="str">
        <v>959-90: Waterfront Construction Services: Piers, Docks, Decking, etc., Including Maintenance and Repair</v>
      </c>
    </row>
    <row r="8350" spans="2:2" x14ac:dyDescent="0.25">
      <c r="B8350" t="str">
        <v>961-01: Archeological Services, Other than Consulting</v>
      </c>
    </row>
    <row r="8351" spans="2:2" x14ac:dyDescent="0.25">
      <c r="B8351" t="str">
        <v>961-02: Administrative Services, All Kinds</v>
      </c>
    </row>
    <row r="8352" spans="2:2" x14ac:dyDescent="0.25">
      <c r="B8352" t="str">
        <v>961-03: Agricultural Services, Including Environmental</v>
      </c>
    </row>
    <row r="8353" spans="2:2" x14ac:dyDescent="0.25">
      <c r="B8353" t="str">
        <v>961-04: Artists: Digital, CAD,  Disk Jockey, cultural designs and visual designs</v>
      </c>
    </row>
    <row r="8354" spans="2:2" x14ac:dyDescent="0.25">
      <c r="B8354" t="str">
        <v>961-05: Arbitration, Mediation, and Alternative Dispute Resolution Services</v>
      </c>
    </row>
    <row r="8355" spans="2:2" x14ac:dyDescent="0.25">
      <c r="B8355" t="str">
        <v>961-06: Beef, Pork, and Other Meat Processing Services (See 961-59 for Poultry Processing and 962-75 for Seafood Processing) (Inactive, please see commodity code 961-38 effective January 1, 2016)</v>
      </c>
    </row>
    <row r="8356" spans="2:2" x14ac:dyDescent="0.25">
      <c r="B8356" t="str">
        <v>961-07: Beverage Processing Services All Types</v>
      </c>
    </row>
    <row r="8357" spans="2:2" x14ac:dyDescent="0.25">
      <c r="B8357" t="str">
        <v>961-09: Building Permit Services</v>
      </c>
    </row>
    <row r="8358" spans="2:2" x14ac:dyDescent="0.25">
      <c r="B8358" t="str">
        <v>961-10: Business Plan Development Services  (Inactive, please see commodity code 918-21 effective January 1, 2016)</v>
      </c>
    </row>
    <row r="8359" spans="2:2" x14ac:dyDescent="0.25">
      <c r="B8359" t="str">
        <v>961-11: Chartering Services, Other than services included in 961-13 (Inactive, effective January 1, 2016)</v>
      </c>
    </row>
    <row r="8360" spans="2:2" x14ac:dyDescent="0.25">
      <c r="B8360" t="str">
        <v>961-12: Codification of Government Codes, Including Code Conversion and Code Maintenance Services</v>
      </c>
    </row>
    <row r="8361" spans="2:2" x14ac:dyDescent="0.25">
      <c r="B8361" t="str">
        <v>961-13: Chartering Services for Aircraft, Boats, Buses, School Buses, and other Transportation</v>
      </c>
    </row>
    <row r="8362" spans="2:2" x14ac:dyDescent="0.25">
      <c r="B8362" t="str">
        <v>961-14: Commissioning of Facilities Service, Functional and Prefunctional (Inactive, effective January 1, 2016)</v>
      </c>
    </row>
    <row r="8363" spans="2:2" x14ac:dyDescent="0.25">
      <c r="B8363" t="str">
        <v>961-15: Concessions, Catering, Vending: Mobile and Stationary (See Class 905 for Airport Concessions)</v>
      </c>
    </row>
    <row r="8364" spans="2:2" x14ac:dyDescent="0.25">
      <c r="B8364" t="str">
        <v>961-16: Claims Processing Services</v>
      </c>
    </row>
    <row r="8365" spans="2:2" x14ac:dyDescent="0.25">
      <c r="B8365" t="str">
        <v>961-17: *Interpreter Services - Electronically Assisted - Foreign Language, Hearing Impaired, etc., (See Item 46 For Interpreter Services - Not Electronically Assisted)</v>
      </c>
    </row>
    <row r="8366" spans="2:2" x14ac:dyDescent="0.25">
      <c r="B8366" t="str">
        <v>961-18: Refinishing and Resurfacing Services, Concrete, Swimming Pools, Driveways, Patios, etc.</v>
      </c>
    </row>
    <row r="8367" spans="2:2" x14ac:dyDescent="0.25">
      <c r="B8367" t="str">
        <v>961-19: Food Trucks and Mobile Catering Carts</v>
      </c>
    </row>
    <row r="8368" spans="2:2" x14ac:dyDescent="0.25">
      <c r="B8368" t="str">
        <v>961-20: Customer Service Evaluation Services</v>
      </c>
    </row>
    <row r="8369" spans="2:2" x14ac:dyDescent="0.25">
      <c r="B8369" t="str">
        <v>961-21: Cost Estimating</v>
      </c>
    </row>
    <row r="8370" spans="2:2" x14ac:dyDescent="0.25">
      <c r="B8370" t="str">
        <v>961-22: Costume Design and Creation Services  (Inactive, please see commodity code 961-73 effective January 1, 2016)</v>
      </c>
    </row>
    <row r="8371" spans="2:2" x14ac:dyDescent="0.25">
      <c r="B8371" t="str">
        <v>961-23: Cryogenic Treatment Services for Metals, Plastics, and Glass</v>
      </c>
    </row>
    <row r="8372" spans="2:2" x14ac:dyDescent="0.25">
      <c r="B8372" t="str">
        <v>961-24: Court Reporting Services, Including Electronic</v>
      </c>
    </row>
    <row r="8373" spans="2:2" x14ac:dyDescent="0.25">
      <c r="B8373" t="str">
        <v>961-25: Dairy Products Processing Services  (Inactive, please see commodity code 961-38 effective January 1, 2016)</v>
      </c>
    </row>
    <row r="8374" spans="2:2" x14ac:dyDescent="0.25">
      <c r="B8374" t="str">
        <v>961-26: Material Handling Services: Crating and Packing Services for Transportation</v>
      </c>
    </row>
    <row r="8375" spans="2:2" x14ac:dyDescent="0.25">
      <c r="B8375" t="str">
        <v>961-27: Decontamination Services, Including Hazardous Material Decontamination</v>
      </c>
    </row>
    <row r="8376" spans="2:2" x14ac:dyDescent="0.25">
      <c r="B8376" t="str">
        <v>961-28: Economic Development, Domestic and Foreign</v>
      </c>
    </row>
    <row r="8377" spans="2:2" x14ac:dyDescent="0.25">
      <c r="B8377" t="str">
        <v>961-29: Economic Impact Studies  (Inactive, please see commodity code 918-49 effective January 1, 2016)</v>
      </c>
    </row>
    <row r="8378" spans="2:2" x14ac:dyDescent="0.25">
      <c r="B8378" t="str">
        <v>961-30: Employment Agency and Search Firm Service, Including Background Investigations and Drug Testing for Employment</v>
      </c>
    </row>
    <row r="8379" spans="2:2" x14ac:dyDescent="0.25">
      <c r="B8379" t="str">
        <v>961-31: Energy Comprehensive Performance Services, Complete Conservation Program (Inactive, please see commodity code 918-41 effective January 1, 2016)</v>
      </c>
    </row>
    <row r="8380" spans="2:2" x14ac:dyDescent="0.25">
      <c r="B8380" t="str">
        <v>961-32: Environmental Impact Studies  (Inactive, please see commodity code 918-43 effective January 1, 2016)</v>
      </c>
    </row>
    <row r="8381" spans="2:2" x14ac:dyDescent="0.25">
      <c r="B8381" t="str">
        <v>961-33: Geese Control Services  (Inactive, please see commodity code 962-06 effective January 1, 2016)</v>
      </c>
    </row>
    <row r="8382" spans="2:2" x14ac:dyDescent="0.25">
      <c r="B8382" t="str">
        <v>961-34: Escort Services, Public Safety</v>
      </c>
    </row>
    <row r="8383" spans="2:2" x14ac:dyDescent="0.25">
      <c r="B8383" t="str">
        <v>961-35: Lock Box, Caging Services</v>
      </c>
    </row>
    <row r="8384" spans="2:2" x14ac:dyDescent="0.25">
      <c r="B8384" t="str">
        <v>961-36: Food Administrative Services, Including Policy, Standards, Evaluation, etc. (Inactive, please see commodity code 958-44 effective January 1, 2016)</v>
      </c>
    </row>
    <row r="8385" spans="2:2" x14ac:dyDescent="0.25">
      <c r="B8385" t="str">
        <v>961-37: Fruit and Vegetable Processing Services  (Inactive, please see commodity code 961-18 effective January 1, 2016)</v>
      </c>
    </row>
    <row r="8386" spans="2:2" x14ac:dyDescent="0.25">
      <c r="B8386" t="str">
        <v>961-38: Food Preparation Services, Including Food Canning Services</v>
      </c>
    </row>
    <row r="8387" spans="2:2" x14ac:dyDescent="0.25">
      <c r="B8387" t="str">
        <v>961-39: Floral Designing and Arranging Services</v>
      </c>
    </row>
    <row r="8388" spans="2:2" x14ac:dyDescent="0.25">
      <c r="B8388" t="str">
        <v>961-40: Forensic Services</v>
      </c>
    </row>
    <row r="8389" spans="2:2" x14ac:dyDescent="0.25">
      <c r="B8389" t="str">
        <v>961-41: *Global Positioning Systems (GPS) Surveying Services (Inactive, please see commodity code 961-64 effective January 1, 2016)</v>
      </c>
    </row>
    <row r="8390" spans="2:2" x14ac:dyDescent="0.25">
      <c r="B8390" t="str">
        <v>961-42: Grains, Sugar, Oils and Fats Processing Services (Inactive, please see commodity code 961-18 effective January 1, 2016)</v>
      </c>
    </row>
    <row r="8391" spans="2:2" x14ac:dyDescent="0.25">
      <c r="B8391" t="str">
        <v>961-43: Hydrological and Oceanography Services</v>
      </c>
    </row>
    <row r="8392" spans="2:2" x14ac:dyDescent="0.25">
      <c r="B8392" t="str">
        <v>961-44: Industrial Development and Planning Services</v>
      </c>
    </row>
    <row r="8393" spans="2:2" x14ac:dyDescent="0.25">
      <c r="B8393" t="str">
        <v>961-45: Inspection and Certification Services</v>
      </c>
    </row>
    <row r="8394" spans="2:2" x14ac:dyDescent="0.25">
      <c r="B8394" t="str">
        <v>961-46: *Interpreter Services for Foreign Language</v>
      </c>
    </row>
    <row r="8395" spans="2:2" x14ac:dyDescent="0.25">
      <c r="B8395" t="str">
        <v>961-47: Law Enforcement Services, Including Process Server Services</v>
      </c>
    </row>
    <row r="8396" spans="2:2" x14ac:dyDescent="0.25">
      <c r="B8396" t="str">
        <v>961-48: Laboratory and Field Testing Services, Including Hazardous Waste, (Not Otherwise Classified)</v>
      </c>
    </row>
    <row r="8397" spans="2:2" x14ac:dyDescent="0.25">
      <c r="B8397" t="str">
        <v>961-49: Legal Services, Attorneys</v>
      </c>
    </row>
    <row r="8398" spans="2:2" x14ac:dyDescent="0.25">
      <c r="B8398" t="str">
        <v>961-50: Legal Services Including Depositions and Expert Witness Testimony</v>
      </c>
    </row>
    <row r="8399" spans="2:2" x14ac:dyDescent="0.25">
      <c r="B8399" t="str">
        <v>961-51: Lobby Services</v>
      </c>
    </row>
    <row r="8400" spans="2:2" x14ac:dyDescent="0.25">
      <c r="B8400" t="str">
        <v>961-52: Laboratory Services which Monitor the Equipment that uses Lubricating Oil or Grease</v>
      </c>
    </row>
    <row r="8401" spans="2:2" x14ac:dyDescent="0.25">
      <c r="B8401" t="str">
        <v>961-53: *Marketing Service, Including Distribution, Public Opinion Surveys, Research, Sales Promotions, etc.</v>
      </c>
    </row>
    <row r="8402" spans="2:2" x14ac:dyDescent="0.25">
      <c r="B8402" t="str">
        <v>961-54: Milling Services: Asphalt, Grain, Cottonseed, Vegetable, Wood, etc.</v>
      </c>
    </row>
    <row r="8403" spans="2:2" x14ac:dyDescent="0.25">
      <c r="B8403" t="str">
        <v>961-55: Mining and Quarrying Services</v>
      </c>
    </row>
    <row r="8404" spans="2:2" x14ac:dyDescent="0.25">
      <c r="B8404" t="str">
        <v>961-56: *Program and Project Development and Management Services (Inactive, please see commodity code 958-77 effective January 1, 2016)</v>
      </c>
    </row>
    <row r="8405" spans="2:2" x14ac:dyDescent="0.25">
      <c r="B8405" t="str">
        <v>961-57: Musical Production Services (Inactive, please see commodity code 915-09 effective January 1, 2016)</v>
      </c>
    </row>
    <row r="8406" spans="2:2" x14ac:dyDescent="0.25">
      <c r="B8406" t="str">
        <v>961-58: Negotiation Services</v>
      </c>
    </row>
    <row r="8407" spans="2:2" x14ac:dyDescent="0.25">
      <c r="B8407" t="str">
        <v>961-59: Poultry Hatching and Processing Services  (Inactive, please see commodity code 961-38 effective January 1, 2016)</v>
      </c>
    </row>
    <row r="8408" spans="2:2" x14ac:dyDescent="0.25">
      <c r="B8408" t="str">
        <v>961-60: Public Opinion Surveys  (Inactive, please see commodity code 961-53 effective January 1, 2016)</v>
      </c>
    </row>
    <row r="8409" spans="2:2" x14ac:dyDescent="0.25">
      <c r="B8409" t="str">
        <v>961-61: Public Speaking Services</v>
      </c>
    </row>
    <row r="8410" spans="2:2" x14ac:dyDescent="0.25">
      <c r="B8410" t="str">
        <v>961-62: Human Resource Services</v>
      </c>
    </row>
    <row r="8411" spans="2:2" x14ac:dyDescent="0.25">
      <c r="B8411" t="str">
        <v>961-63: Relocation Services for Personnel  (Inactive, please see commodity code 962-56 effective January 1, 2016)</v>
      </c>
    </row>
    <row r="8412" spans="2:2" x14ac:dyDescent="0.25">
      <c r="B8412" t="str">
        <v>961-64: *Satellite Global Positioning System Information Services (GPS), Including Surveying Services</v>
      </c>
    </row>
    <row r="8413" spans="2:2" x14ac:dyDescent="0.25">
      <c r="B8413" t="str">
        <v>961-65: Scanning and Testing for Electrical Hot-Spots, etc.</v>
      </c>
    </row>
    <row r="8414" spans="2:2" x14ac:dyDescent="0.25">
      <c r="B8414" t="str">
        <v>961-66: Sign Making and Painting Services</v>
      </c>
    </row>
    <row r="8415" spans="2:2" x14ac:dyDescent="0.25">
      <c r="B8415" t="str">
        <v>961-67: Sign Language Services for the Hearing Impaired  (Inactive, please see commodity code 961-46 effective January 1, 2016)</v>
      </c>
    </row>
    <row r="8416" spans="2:2" x14ac:dyDescent="0.25">
      <c r="B8416" t="str">
        <v>961-68: Sports Professionals Services, Including Sports and Recreational Programs, Referee and Umpire Services, Athletic Training</v>
      </c>
    </row>
    <row r="8417" spans="2:2" x14ac:dyDescent="0.25">
      <c r="B8417" t="str">
        <v>961-69: *Reverse Auction Services (Inactive, please see commodity code 962-09 effective January 1, 2016)</v>
      </c>
    </row>
    <row r="8418" spans="2:2" x14ac:dyDescent="0.25">
      <c r="B8418" t="str">
        <v>961-70: Sugar Refining Services (Inactive, please see commodity code 961-38 effective January 1, 2016)</v>
      </c>
    </row>
    <row r="8419" spans="2:2" x14ac:dyDescent="0.25">
      <c r="B8419" t="str">
        <v>961-71: Talent Agency Services</v>
      </c>
    </row>
    <row r="8420" spans="2:2" x14ac:dyDescent="0.25">
      <c r="B8420" t="str">
        <v>961-72: Transcription Services: Academic, Braille, Legal, Medical, Electronic Duplication, etc.</v>
      </c>
    </row>
    <row r="8421" spans="2:2" x14ac:dyDescent="0.25">
      <c r="B8421" t="str">
        <v>961-73: Theatrical Services, Including Costume Design and Creation, Production, Scenery Design, Stage, etc.</v>
      </c>
    </row>
    <row r="8422" spans="2:2" x14ac:dyDescent="0.25">
      <c r="B8422" t="str">
        <v>961-74: Scientist Services: Geology, Geophysics, etc.</v>
      </c>
    </row>
    <row r="8423" spans="2:2" x14ac:dyDescent="0.25">
      <c r="B8423" t="str">
        <v>961-75: Translation Services, All Languages</v>
      </c>
    </row>
    <row r="8424" spans="2:2" x14ac:dyDescent="0.25">
      <c r="B8424" t="str">
        <v>961-76: *Telemetry Services  (Inactive, please see commodity code 948-55 effective January 1, 2016)</v>
      </c>
    </row>
    <row r="8425" spans="2:2" x14ac:dyDescent="0.25">
      <c r="B8425" t="str">
        <v>961-77: Treatment Services, Material, Anticorrosion, Fire Protection, Waterproofing, etc.</v>
      </c>
    </row>
    <row r="8426" spans="2:2" x14ac:dyDescent="0.25">
      <c r="B8426" t="str">
        <v>961-78: Travel Agency Services (Inactive, please see commodity code 958-92 effective January 1, 2016)</v>
      </c>
    </row>
    <row r="8427" spans="2:2" x14ac:dyDescent="0.25">
      <c r="B8427" t="str">
        <v>961-79: Trade Services, Facilitation, Information, Marketing, Promotion, Trade Agents and Brokers, etc.(Inactive, please see commodity code 918-21 effective January 1, 2016)</v>
      </c>
    </row>
    <row r="8428" spans="2:2" x14ac:dyDescent="0.25">
      <c r="B8428" t="str">
        <v>961-80: Tour Guide Services</v>
      </c>
    </row>
    <row r="8429" spans="2:2" x14ac:dyDescent="0.25">
      <c r="B8429" t="str">
        <v>961-81: Submarine Services, Including Unmanned Type</v>
      </c>
    </row>
    <row r="8430" spans="2:2" x14ac:dyDescent="0.25">
      <c r="B8430" t="str">
        <v>961-82: Transportation Services (Not Otherwise Classified) (Inactive, please see commodity code 962-86 effective January 1, 2016)</v>
      </c>
    </row>
    <row r="8431" spans="2:2" x14ac:dyDescent="0.25">
      <c r="B8431" t="str">
        <v>961-83: Utility Services, Electric</v>
      </c>
    </row>
    <row r="8432" spans="2:2" x14ac:dyDescent="0.25">
      <c r="B8432" t="str">
        <v>961-84: Utility Services, Gas</v>
      </c>
    </row>
    <row r="8433" spans="2:2" x14ac:dyDescent="0.25">
      <c r="B8433" t="str">
        <v>961-85: Utility Services, Water</v>
      </c>
    </row>
    <row r="8434" spans="2:2" x14ac:dyDescent="0.25">
      <c r="B8434" t="str">
        <v>961-86: Veterinary Services</v>
      </c>
    </row>
    <row r="8435" spans="2:2" x14ac:dyDescent="0.25">
      <c r="B8435" t="str">
        <v>961-87: Volunteer Services</v>
      </c>
    </row>
    <row r="8436" spans="2:2" x14ac:dyDescent="0.25">
      <c r="B8436" t="str">
        <v>961-88: Weather Forecasting Services</v>
      </c>
    </row>
    <row r="8437" spans="2:2" x14ac:dyDescent="0.25">
      <c r="B8437" t="str">
        <v>961-89: Weatherization Audit Services</v>
      </c>
    </row>
    <row r="8438" spans="2:2" x14ac:dyDescent="0.25">
      <c r="B8438" t="str">
        <v>961-90: Writing Services, All Kinds, Including Resumes, Calligrapher and Engrosser Services</v>
      </c>
    </row>
    <row r="8439" spans="2:2" x14ac:dyDescent="0.25">
      <c r="B8439" t="str">
        <v>961-91: Water and Petroleum Pipeline Services</v>
      </c>
    </row>
    <row r="8440" spans="2:2" x14ac:dyDescent="0.25">
      <c r="B8440" t="str">
        <v>961-92: *Interpreter Services for American Sign Language and other forms of sign language for deaf/hard of hearing whose first language is sign language</v>
      </c>
    </row>
    <row r="8441" spans="2:2" x14ac:dyDescent="0.25">
      <c r="B8441" t="str">
        <v>961-93: *Communication Access Realtime Translation (CART) as further explained here in the ADA Requirements for Effective Communication and Closed Captioning for Broadcast Television/Webcasts</v>
      </c>
    </row>
    <row r="8442" spans="2:2" x14ac:dyDescent="0.25">
      <c r="B8442" t="str">
        <v>961-94: Zoning, Land Use Studies</v>
      </c>
    </row>
    <row r="8443" spans="2:2" x14ac:dyDescent="0.25">
      <c r="B8443" t="str">
        <v>961-95: Modeling Services, Live</v>
      </c>
    </row>
    <row r="8444" spans="2:2" x14ac:dyDescent="0.25">
      <c r="B8444" t="str">
        <v>961-96: Non-Professional Services (Not Otherwise Classified)</v>
      </c>
    </row>
    <row r="8445" spans="2:2" x14ac:dyDescent="0.25">
      <c r="B8445" t="str">
        <v>961-97: Yarn, Thread, and Related Notions Processing Services (Inactive, effective January 1, 2016)</v>
      </c>
    </row>
    <row r="8446" spans="2:2" x14ac:dyDescent="0.25">
      <c r="B8446" t="str">
        <v>962-03: Actor and Thespian Services (Inactive, please see commodity code 962-05 effective January 1, 2016)</v>
      </c>
    </row>
    <row r="8447" spans="2:2" x14ac:dyDescent="0.25">
      <c r="B8447" t="str">
        <v>962-04: Air Freshener Services (Inactive, effective January 1, 2016)</v>
      </c>
    </row>
    <row r="8448" spans="2:2" x14ac:dyDescent="0.25">
      <c r="B8448" t="str">
        <v>962-05: Amusement and Entertainment Services, Including Performing Arts Professionals and DJ Services</v>
      </c>
    </row>
    <row r="8449" spans="2:2" x14ac:dyDescent="0.25">
      <c r="B8449" t="str">
        <v>962-06: Animal Care, Animal Control, Animal Health, Animal Shelter, Animal Trapping, Animal Production (Breeding), Animal Training Services, etc., Including Pet Services, All Types</v>
      </c>
    </row>
    <row r="8450" spans="2:2" x14ac:dyDescent="0.25">
      <c r="B8450" t="str">
        <v>962-07: Arts Services, Cultural, Design, Visual, etc.(Inactive, please see commodity code 961-04 effective January 1, 2016)</v>
      </c>
    </row>
    <row r="8451" spans="2:2" x14ac:dyDescent="0.25">
      <c r="B8451" t="str">
        <v>962-08: Athletic Training (Inactive, please see commodity code 961-68 effective January 1, 2016)</v>
      </c>
    </row>
    <row r="8452" spans="2:2" x14ac:dyDescent="0.25">
      <c r="B8452" t="str">
        <v>962-09: Auctioneering Services, Including On-line and Reverse Auctions</v>
      </c>
    </row>
    <row r="8453" spans="2:2" x14ac:dyDescent="0.25">
      <c r="B8453" t="str">
        <v>962-10: Animal Trapping Services (Inactive, please see commodity code 962-06 effective January 1, 2016)</v>
      </c>
    </row>
    <row r="8454" spans="2:2" x14ac:dyDescent="0.25">
      <c r="B8454" t="str">
        <v>962-11: Ballistic Testing</v>
      </c>
    </row>
    <row r="8455" spans="2:2" x14ac:dyDescent="0.25">
      <c r="B8455" t="str">
        <v>962-12: Vehicle Sharing (Bike, Car, Scooter, etc) and Related Services</v>
      </c>
    </row>
    <row r="8456" spans="2:2" x14ac:dyDescent="0.25">
      <c r="B8456" t="str">
        <v>962-13: Hospitality Services (Inactive, please see commodity code 961-15 effective January 1, 2016)</v>
      </c>
    </row>
    <row r="8457" spans="2:2" x14ac:dyDescent="0.25">
      <c r="B8457" t="str">
        <v>962-14: Blue Printing Services: Blue Prints, Blue Line, Large Engineering</v>
      </c>
    </row>
    <row r="8458" spans="2:2" x14ac:dyDescent="0.25">
      <c r="B8458" t="str">
        <v>962-15: Bomb and Other Explosives Detection Services</v>
      </c>
    </row>
    <row r="8459" spans="2:2" x14ac:dyDescent="0.25">
      <c r="B8459" t="str">
        <v>962-16: Bus Transportation Services, School (Inactive, please see commodity code 961-13 effective January 1, 2016)</v>
      </c>
    </row>
    <row r="8460" spans="2:2" x14ac:dyDescent="0.25">
      <c r="B8460" t="str">
        <v>962-17: Bus, Taxi, Limousines and Van Transportation Services, Including Operations, Management, and Terminal Services (Inactive, please see commodity code 961-13 effective January 1, 2016)</v>
      </c>
    </row>
    <row r="8461" spans="2:2" x14ac:dyDescent="0.25">
      <c r="B8461" t="str">
        <v>962-18: *Cable Construction, Installation and Maintenance, Fiber Optic, Communication, Computer, etc.</v>
      </c>
    </row>
    <row r="8462" spans="2:2" x14ac:dyDescent="0.25">
      <c r="B8462" t="str">
        <v>962-19: Cafeteria and Restaurant Services</v>
      </c>
    </row>
    <row r="8463" spans="2:2" x14ac:dyDescent="0.25">
      <c r="B8463" t="str">
        <v>962-20: Cesspool Cleaning and Maintenance (Inactive, please see commodity code 910-63 effective January 1, 2016)</v>
      </c>
    </row>
    <row r="8464" spans="2:2" x14ac:dyDescent="0.25">
      <c r="B8464" t="str">
        <v>962-21: Cleaning Services, Steam and Pressure</v>
      </c>
    </row>
    <row r="8465" spans="2:2" x14ac:dyDescent="0.25">
      <c r="B8465" t="str">
        <v>962-22: Chemical Laboratory Services</v>
      </c>
    </row>
    <row r="8466" spans="2:2" x14ac:dyDescent="0.25">
      <c r="B8466" t="str">
        <v>962-23: Chemical Treatment of Boiler and Tower Water</v>
      </c>
    </row>
    <row r="8467" spans="2:2" x14ac:dyDescent="0.25">
      <c r="B8467" t="str">
        <v>962-24: Courier/Delivery Services, Including Air Courier Services)</v>
      </c>
    </row>
    <row r="8468" spans="2:2" x14ac:dyDescent="0.25">
      <c r="B8468" t="str">
        <v>962-25: Disposal and Removal, Dead Animals</v>
      </c>
    </row>
    <row r="8469" spans="2:2" x14ac:dyDescent="0.25">
      <c r="B8469" t="str">
        <v>962-26: Diving Services</v>
      </c>
    </row>
    <row r="8470" spans="2:2" x14ac:dyDescent="0.25">
      <c r="B8470" t="str">
        <v>962-27: Document Shredding Services</v>
      </c>
    </row>
    <row r="8471" spans="2:2" x14ac:dyDescent="0.25">
      <c r="B8471" t="str">
        <v>962-28: Dump Site Services, Resource Recovery</v>
      </c>
    </row>
    <row r="8472" spans="2:2" x14ac:dyDescent="0.25">
      <c r="B8472" t="str">
        <v>962-29: Distribution and Collection of Waste Food for Animals</v>
      </c>
    </row>
    <row r="8473" spans="2:2" x14ac:dyDescent="0.25">
      <c r="B8473" t="str">
        <v>962-30: Export/Import Services</v>
      </c>
    </row>
    <row r="8474" spans="2:2" x14ac:dyDescent="0.25">
      <c r="B8474" t="str">
        <v>962-31: Electrostatic Painting Services</v>
      </c>
    </row>
    <row r="8475" spans="2:2" x14ac:dyDescent="0.25">
      <c r="B8475" t="str">
        <v>962-32: Etching and Stained Glass Services</v>
      </c>
    </row>
    <row r="8476" spans="2:2" x14ac:dyDescent="0.25">
      <c r="B8476" t="str">
        <v>962-33: Engraving Services</v>
      </c>
    </row>
    <row r="8477" spans="2:2" x14ac:dyDescent="0.25">
      <c r="B8477" t="str">
        <v>962-34: Event Planning Services  (Inactive, please see commodity code 962-60 effective January 1, 2016)</v>
      </c>
    </row>
    <row r="8478" spans="2:2" x14ac:dyDescent="0.25">
      <c r="B8478" t="str">
        <v>962-35: Framing Services, Picture</v>
      </c>
    </row>
    <row r="8479" spans="2:2" x14ac:dyDescent="0.25">
      <c r="B8479" t="str">
        <v>962-36: Fireworks Display and Carnival Services</v>
      </c>
    </row>
    <row r="8480" spans="2:2" x14ac:dyDescent="0.25">
      <c r="B8480" t="str">
        <v>962-37: Flagpole Services</v>
      </c>
    </row>
    <row r="8481" spans="2:2" x14ac:dyDescent="0.25">
      <c r="B8481" t="str">
        <v>962-38: Galvanizing, Hot and Cold Dip; Plating Services</v>
      </c>
    </row>
    <row r="8482" spans="2:2" x14ac:dyDescent="0.25">
      <c r="B8482" t="str">
        <v>962-39: Hauling Services</v>
      </c>
    </row>
    <row r="8483" spans="2:2" x14ac:dyDescent="0.25">
      <c r="B8483" t="str">
        <v>962-40: Food Distribution Services</v>
      </c>
    </row>
    <row r="8484" spans="2:2" x14ac:dyDescent="0.25">
      <c r="B8484" t="str">
        <v>962-41: Heat Treating and Tracing Services, Including Induction and Refractory Dryout</v>
      </c>
    </row>
    <row r="8485" spans="2:2" x14ac:dyDescent="0.25">
      <c r="B8485" t="str">
        <v>962-42: Heating and Related Services, Induction (Inactive, please see commodity code 962-41 effective January 1, 2016)</v>
      </c>
    </row>
    <row r="8486" spans="2:2" x14ac:dyDescent="0.25">
      <c r="B8486" t="str">
        <v>962-43: Hose Testing Services, Fire, Water, etc.</v>
      </c>
    </row>
    <row r="8487" spans="2:2" x14ac:dyDescent="0.25">
      <c r="B8487" t="str">
        <v>962-44: Hat Renovation and Reblocking Services, Including Hat Cleaning Service (Inactive, please see commodity code 954-04 effective January 1, 2016)</v>
      </c>
    </row>
    <row r="8488" spans="2:2" x14ac:dyDescent="0.25">
      <c r="B8488" t="str">
        <v>962-45: Industrial Services, Electroplating, etc., (Not Otherwise Classified)</v>
      </c>
    </row>
    <row r="8489" spans="2:2" x14ac:dyDescent="0.25">
      <c r="B8489" t="str">
        <v>962-46: Installation and Removal Services (Not Otherwise Classified)</v>
      </c>
    </row>
    <row r="8490" spans="2:2" x14ac:dyDescent="0.25">
      <c r="B8490" t="str">
        <v>962-47: Hoisting and Lifting Services (Inactive, effective January 1, 2016)</v>
      </c>
    </row>
    <row r="8491" spans="2:2" x14ac:dyDescent="0.25">
      <c r="B8491" t="str">
        <v>962-48: Interior Design (Inactive, please see commodity code 906-52 effective January 1, 2016)</v>
      </c>
    </row>
    <row r="8492" spans="2:2" x14ac:dyDescent="0.25">
      <c r="B8492" t="str">
        <v>962-49: Leather Tanning and Finishing Services</v>
      </c>
    </row>
    <row r="8493" spans="2:2" x14ac:dyDescent="0.25">
      <c r="B8493" t="str">
        <v>962-50: Leak Detection Services: Gas, Water, Chemical</v>
      </c>
    </row>
    <row r="8494" spans="2:2" x14ac:dyDescent="0.25">
      <c r="B8494" t="str">
        <v>962-51: Laminating Services</v>
      </c>
    </row>
    <row r="8495" spans="2:2" x14ac:dyDescent="0.25">
      <c r="B8495" t="str">
        <v>962-52: Mapping and Geographical Information Systems (GIS) Services, Including Cartography and Surveying Services, Not Aerial, (See 920-33 for Digitized Mapping Services and 905-10 for Aerial Mapping and Survey Services)</v>
      </c>
    </row>
    <row r="8496" spans="2:2" x14ac:dyDescent="0.25">
      <c r="B8496" t="str">
        <v>962-53: Marking and Stenciling Services</v>
      </c>
    </row>
    <row r="8497" spans="2:2" x14ac:dyDescent="0.25">
      <c r="B8497" t="str">
        <v>962-54: Mattress and Bedspring Renovation and Repair</v>
      </c>
    </row>
    <row r="8498" spans="2:2" x14ac:dyDescent="0.25">
      <c r="B8498" t="str">
        <v>962-55: Metal Coating Services: Thermal Spray, High Velocity Oxy-Fuel (H.V.O.F.), Powder Coating</v>
      </c>
    </row>
    <row r="8499" spans="2:2" x14ac:dyDescent="0.25">
      <c r="B8499" t="str">
        <v>962-56: Moving and Relocation Services</v>
      </c>
    </row>
    <row r="8500" spans="2:2" x14ac:dyDescent="0.25">
      <c r="B8500" t="str">
        <v>962-57: Moving: House, Portable Building, etc.</v>
      </c>
    </row>
    <row r="8501" spans="2:2" x14ac:dyDescent="0.25">
      <c r="B8501" t="str">
        <v>962-58: Professional Services (Not Otherwise Classified)</v>
      </c>
    </row>
    <row r="8502" spans="2:2" x14ac:dyDescent="0.25">
      <c r="B8502" t="str">
        <v>962-59: Processing Services, Food (Not Otherwise Classified in Classes 961 or 962) (Inactive, please see commodity code 961-38 effective January 1, 2016)</v>
      </c>
    </row>
    <row r="8503" spans="2:2" x14ac:dyDescent="0.25">
      <c r="B8503" t="str">
        <v>962-60: Party, Holiday, and Event Decorating and Planning Services</v>
      </c>
    </row>
    <row r="8504" spans="2:2" x14ac:dyDescent="0.25">
      <c r="B8504" t="str">
        <v>962-61: Petroleum Production, Refining, Transmission, and Distribution Services for Oil and Gas Wells, (Including Drilling, Exploration, Extraction, Project Management, etc.</v>
      </c>
    </row>
    <row r="8505" spans="2:2" x14ac:dyDescent="0.25">
      <c r="B8505" t="str">
        <v>962-62: Pneumatic Tube, Maintenance and Repair</v>
      </c>
    </row>
    <row r="8506" spans="2:2" x14ac:dyDescent="0.25">
      <c r="B8506" t="str">
        <v>962-63: Piano Tuning and Repair Services (Inactive, please see commodity code 931-58 effective January 1, 2016)</v>
      </c>
    </row>
    <row r="8507" spans="2:2" x14ac:dyDescent="0.25">
      <c r="B8507" t="str">
        <v>962-64: Packaging and Wrapping Services, Including Shrink Wrapping (Inactive, please see commodity code 961-26 effective January 1, 2016)</v>
      </c>
    </row>
    <row r="8508" spans="2:2" x14ac:dyDescent="0.25">
      <c r="B8508" t="str">
        <v>962-65: Protection Services, Not Including Buildings (Inactive, please see commodity code 990-46 effective January 1, 2016)</v>
      </c>
    </row>
    <row r="8509" spans="2:2" x14ac:dyDescent="0.25">
      <c r="B8509" t="str">
        <v>962-66: Petroleum Refining Services (Inactive, please see commodity code 962-61 effective January 1, 2016)</v>
      </c>
    </row>
    <row r="8510" spans="2:2" x14ac:dyDescent="0.25">
      <c r="B8510" t="str">
        <v>962-67: Purification Services for Contaminated Petroleum Products (Inactive, please see commodity code 962-61 effective January 1, 2016)</v>
      </c>
    </row>
    <row r="8511" spans="2:2" x14ac:dyDescent="0.25">
      <c r="B8511" t="str">
        <v>962-68: Removal of Wood, Wood Chips, Bark, etc.</v>
      </c>
    </row>
    <row r="8512" spans="2:2" x14ac:dyDescent="0.25">
      <c r="B8512" t="str">
        <v>962-69: *Personnel Services, Temporary</v>
      </c>
    </row>
    <row r="8513" spans="2:2" x14ac:dyDescent="0.25">
      <c r="B8513" t="str">
        <v>962-70: Removal and Pickup of Dead Bodies</v>
      </c>
    </row>
    <row r="8514" spans="2:2" x14ac:dyDescent="0.25">
      <c r="B8514" t="str">
        <v>962-71: Religious Services</v>
      </c>
    </row>
    <row r="8515" spans="2:2" x14ac:dyDescent="0.25">
      <c r="B8515" t="str">
        <v>962-72: Restoration and Preservation Services: Antiques, Costumes, Paintings, and Other Objects</v>
      </c>
    </row>
    <row r="8516" spans="2:2" x14ac:dyDescent="0.25">
      <c r="B8516" t="str">
        <v>962-73: Restoration and Reclamation Services: Land and Other Properties</v>
      </c>
    </row>
    <row r="8517" spans="2:2" x14ac:dyDescent="0.25">
      <c r="B8517" t="str">
        <v>962-74: Ribbons, Re-Inking (Inactive, effective January 1, 2016)</v>
      </c>
    </row>
    <row r="8518" spans="2:2" x14ac:dyDescent="0.25">
      <c r="B8518" t="str">
        <v>962-75: Seafood Processing Services (Inactive, please see commodity code 961-38 effective January 1, 2016)</v>
      </c>
    </row>
    <row r="8519" spans="2:2" x14ac:dyDescent="0.25">
      <c r="B8519" t="str">
        <v>962-76: Seating and Meeting Services, Public</v>
      </c>
    </row>
    <row r="8520" spans="2:2" x14ac:dyDescent="0.25">
      <c r="B8520" t="str">
        <v>962-77: Screenings and Grit Removal Services</v>
      </c>
    </row>
    <row r="8521" spans="2:2" x14ac:dyDescent="0.25">
      <c r="B8521" t="str">
        <v>962-78: Sewing, Embroidery, Embossing, and Alteration Services</v>
      </c>
    </row>
    <row r="8522" spans="2:2" x14ac:dyDescent="0.25">
      <c r="B8522" t="str">
        <v>962-79: Sign Making Services  (Inactive, please see commodity code 961-66 effective January 1, 2016)</v>
      </c>
    </row>
    <row r="8523" spans="2:2" x14ac:dyDescent="0.25">
      <c r="B8523" t="str">
        <v>962-80: Shoe and Boot Repairs, Including Maintenance and Shining</v>
      </c>
    </row>
    <row r="8524" spans="2:2" x14ac:dyDescent="0.25">
      <c r="B8524" t="str">
        <v>962-81: Steeplejack Services</v>
      </c>
    </row>
    <row r="8525" spans="2:2" x14ac:dyDescent="0.25">
      <c r="B8525" t="str">
        <v>962-82: Silver Recovery Services (Inactive, effective January 1, 2016)</v>
      </c>
    </row>
    <row r="8526" spans="2:2" x14ac:dyDescent="0.25">
      <c r="B8526" t="str">
        <v>962-83: Stack Work Services (Inactive, effective January 1, 2016)</v>
      </c>
    </row>
    <row r="8527" spans="2:2" x14ac:dyDescent="0.25">
      <c r="B8527" t="str">
        <v>962-84: Tire Shredding, Disposal and Recycling Services</v>
      </c>
    </row>
    <row r="8528" spans="2:2" x14ac:dyDescent="0.25">
      <c r="B8528" t="str">
        <v>962-85: Tinting And Coating Services, Glass, Automobile and Building</v>
      </c>
    </row>
    <row r="8529" spans="2:2" x14ac:dyDescent="0.25">
      <c r="B8529" t="str">
        <v>962-86: Transportation of Goods, Shipping and Handling, and Other Freight Services</v>
      </c>
    </row>
    <row r="8530" spans="2:2" x14ac:dyDescent="0.25">
      <c r="B8530" t="str">
        <v>962-87: Travel, Local, Provided by Third Party</v>
      </c>
    </row>
    <row r="8531" spans="2:2" x14ac:dyDescent="0.25">
      <c r="B8531" t="str">
        <v>962-88: Travel, Non-Local, Provided by Third Party</v>
      </c>
    </row>
    <row r="8532" spans="2:2" x14ac:dyDescent="0.25">
      <c r="B8532" t="str">
        <v>962-89: Vehicle Transporting Services  (Inactive, please see commodity code 962-86 effective January 1, 2016)</v>
      </c>
    </row>
    <row r="8533" spans="2:2" x14ac:dyDescent="0.25">
      <c r="B8533" t="str">
        <v>962-90: Upholstering Services (See Class 928 for Vehicle)</v>
      </c>
    </row>
    <row r="8534" spans="2:2" x14ac:dyDescent="0.25">
      <c r="B8534" t="str">
        <v>962-91: Utility Locator Service, Underground</v>
      </c>
    </row>
    <row r="8535" spans="2:2" x14ac:dyDescent="0.25">
      <c r="B8535" t="str">
        <v>962-92: Video Scanning of Sewers, Water Wells, etc., Electronic</v>
      </c>
    </row>
    <row r="8536" spans="2:2" x14ac:dyDescent="0.25">
      <c r="B8536" t="str">
        <v>962-93: Vehicle Registration Services</v>
      </c>
    </row>
    <row r="8537" spans="2:2" x14ac:dyDescent="0.25">
      <c r="B8537" t="str">
        <v>962-94: Water Services, Bottled and Bulk Delivery, Tanker Services</v>
      </c>
    </row>
    <row r="8538" spans="2:2" x14ac:dyDescent="0.25">
      <c r="B8538" t="str">
        <v>962-95: Warehousing and Storage Services, Not Storage Space Rental, Including Farm Product Storage in Silos and Grain Elevators</v>
      </c>
    </row>
    <row r="8539" spans="2:2" x14ac:dyDescent="0.25">
      <c r="B8539" t="str">
        <v>962-96: Well Services, Including Oil, Gas, and Water): Drilling, Plugging, Consulting, Maintenance, Repair, etc.</v>
      </c>
    </row>
    <row r="8540" spans="2:2" x14ac:dyDescent="0.25">
      <c r="B8540" t="str">
        <v>962-97: Weighing and Loading Services (Inactive, please see commodity code 96286 effective January 1, 2016)</v>
      </c>
    </row>
    <row r="8541" spans="2:2" x14ac:dyDescent="0.25">
      <c r="B8541" t="str">
        <v>963-16: Accreditation Fees</v>
      </c>
    </row>
    <row r="8542" spans="2:2" x14ac:dyDescent="0.25">
      <c r="B8542" t="str">
        <v>963-20: Associations</v>
      </c>
    </row>
    <row r="8543" spans="2:2" x14ac:dyDescent="0.25">
      <c r="B8543" t="str">
        <v>963-22: Allowances, Stipends, All Types</v>
      </c>
    </row>
    <row r="8544" spans="2:2" x14ac:dyDescent="0.25">
      <c r="B8544" t="str">
        <v>963-24: Bonds, Notary</v>
      </c>
    </row>
    <row r="8545" spans="2:2" x14ac:dyDescent="0.25">
      <c r="B8545" t="str">
        <v>963-30: Contribution and Donations</v>
      </c>
    </row>
    <row r="8546" spans="2:2" x14ac:dyDescent="0.25">
      <c r="B8546" t="str">
        <v>963-35: Fees, Bank</v>
      </c>
    </row>
    <row r="8547" spans="2:2" x14ac:dyDescent="0.25">
      <c r="B8547" t="str">
        <v>963-37: Fees, Conference/Convention</v>
      </c>
    </row>
    <row r="8548" spans="2:2" x14ac:dyDescent="0.25">
      <c r="B8548" t="str">
        <v>963-38: Fees, Credit Card</v>
      </c>
    </row>
    <row r="8549" spans="2:2" x14ac:dyDescent="0.25">
      <c r="B8549" t="str">
        <v>963-39: Fees (Not Otherwise Classified)</v>
      </c>
    </row>
    <row r="8550" spans="2:2" x14ac:dyDescent="0.25">
      <c r="B8550" t="str">
        <v>963-40: Fees, Symposium</v>
      </c>
    </row>
    <row r="8551" spans="2:2" x14ac:dyDescent="0.25">
      <c r="B8551" t="str">
        <v>963-41: Fees, Tournament</v>
      </c>
    </row>
    <row r="8552" spans="2:2" x14ac:dyDescent="0.25">
      <c r="B8552" t="str">
        <v>963-42: Incentives, Rebates and Refunds</v>
      </c>
    </row>
    <row r="8553" spans="2:2" x14ac:dyDescent="0.25">
      <c r="B8553" t="str">
        <v>963-43: Intergovernmental and Inter-Agency Contracts</v>
      </c>
    </row>
    <row r="8554" spans="2:2" x14ac:dyDescent="0.25">
      <c r="B8554" t="str">
        <v>963-45: Licensing Fees</v>
      </c>
    </row>
    <row r="8555" spans="2:2" x14ac:dyDescent="0.25">
      <c r="B8555" t="str">
        <v>963-47: Meals</v>
      </c>
    </row>
    <row r="8556" spans="2:2" x14ac:dyDescent="0.25">
      <c r="B8556" t="str">
        <v>963-48: Membership Dues</v>
      </c>
    </row>
    <row r="8557" spans="2:2" x14ac:dyDescent="0.25">
      <c r="B8557" t="str">
        <v>963-53: Payments and Fees to Sub-Recipients</v>
      </c>
    </row>
    <row r="8558" spans="2:2" x14ac:dyDescent="0.25">
      <c r="B8558" t="str">
        <v>963-55: Permits (Not Otherwise Classified)</v>
      </c>
    </row>
    <row r="8559" spans="2:2" x14ac:dyDescent="0.25">
      <c r="B8559" t="str">
        <v>963-57: Postage Related Purchases, Including Postage Stamps, Pre-Sort 1st Class Inscriptions, Postage by Phone for Meters, etc.</v>
      </c>
    </row>
    <row r="8560" spans="2:2" x14ac:dyDescent="0.25">
      <c r="B8560" t="str">
        <v>963-64: Registration Fees, (Not Otherwise Classified)</v>
      </c>
    </row>
    <row r="8561" spans="2:2" x14ac:dyDescent="0.25">
      <c r="B8561" t="str">
        <v>963-75: Scholarships</v>
      </c>
    </row>
    <row r="8562" spans="2:2" x14ac:dyDescent="0.25">
      <c r="B8562" t="str">
        <v>963-77: Sponsorships, All Types</v>
      </c>
    </row>
    <row r="8563" spans="2:2" x14ac:dyDescent="0.25">
      <c r="B8563" t="str">
        <v>963-79: Surcharges, Fuel Surcharges and Taxes</v>
      </c>
    </row>
    <row r="8564" spans="2:2" x14ac:dyDescent="0.25">
      <c r="B8564" t="str">
        <v>963-85: Toll and Bridge Fees</v>
      </c>
    </row>
    <row r="8565" spans="2:2" x14ac:dyDescent="0.25">
      <c r="B8565" t="str">
        <v>963-87: Tours (Inactive, please see commodity code 962-88 effective January 1, 2016)</v>
      </c>
    </row>
    <row r="8566" spans="2:2" x14ac:dyDescent="0.25">
      <c r="B8566" t="str">
        <v>963-88: Tuitions</v>
      </c>
    </row>
    <row r="8567" spans="2:2" x14ac:dyDescent="0.25">
      <c r="B8567" t="str">
        <v>963-91: Warranties</v>
      </c>
    </row>
    <row r="8568" spans="2:2" x14ac:dyDescent="0.25">
      <c r="B8568" t="str">
        <v>965-10: Alterations, Printing</v>
      </c>
    </row>
    <row r="8569" spans="2:2" x14ac:dyDescent="0.25">
      <c r="B8569" t="str">
        <v>965-15: Artwork, Camera Ready</v>
      </c>
    </row>
    <row r="8570" spans="2:2" x14ac:dyDescent="0.25">
      <c r="B8570" t="str">
        <v>965-30: Desk Top Publishing Services</v>
      </c>
    </row>
    <row r="8571" spans="2:2" x14ac:dyDescent="0.25">
      <c r="B8571" t="str">
        <v>965-39: Etchings, Copper</v>
      </c>
    </row>
    <row r="8572" spans="2:2" x14ac:dyDescent="0.25">
      <c r="B8572" t="str">
        <v>965-42: Etchings, Zinc, Ben Day Type</v>
      </c>
    </row>
    <row r="8573" spans="2:2" x14ac:dyDescent="0.25">
      <c r="B8573" t="str">
        <v>965-43: Etchings, Zinc or Magnesium Alloy</v>
      </c>
    </row>
    <row r="8574" spans="2:2" x14ac:dyDescent="0.25">
      <c r="B8574" t="str">
        <v>965-46: Graphic Design Services for Printing</v>
      </c>
    </row>
    <row r="8575" spans="2:2" x14ac:dyDescent="0.25">
      <c r="B8575" t="str">
        <v>965-51: Mat Preparation, Stereotype</v>
      </c>
    </row>
    <row r="8576" spans="2:2" x14ac:dyDescent="0.25">
      <c r="B8576" t="str">
        <v>965-54: Negative and Plate Preparation for Offset Printing</v>
      </c>
    </row>
    <row r="8577" spans="2:2" x14ac:dyDescent="0.25">
      <c r="B8577" t="str">
        <v>965-57: Plate Preparation, Color Process</v>
      </c>
    </row>
    <row r="8578" spans="2:2" x14ac:dyDescent="0.25">
      <c r="B8578" t="str">
        <v>965-58: Plate Preparation, Color, Flat Zinc, Magnesium Alloy, or Plastic</v>
      </c>
    </row>
    <row r="8579" spans="2:2" x14ac:dyDescent="0.25">
      <c r="B8579" t="str">
        <v>965-60: Plate Preparation, Copper, Halftone</v>
      </c>
    </row>
    <row r="8580" spans="2:2" x14ac:dyDescent="0.25">
      <c r="B8580" t="str">
        <v>965-62: Plate Preparation, Zinc or Magnesium Alloy, Combination and Halftone and Line</v>
      </c>
    </row>
    <row r="8581" spans="2:2" x14ac:dyDescent="0.25">
      <c r="B8581" t="str">
        <v>965-64: Plate Preparation, Zinc, Halftone</v>
      </c>
    </row>
    <row r="8582" spans="2:2" x14ac:dyDescent="0.25">
      <c r="B8582" t="str">
        <v>965-70: Pre-Press: Color Separations, Composite Film, Stripping, Chromolin or Match-Print Proof, etc.</v>
      </c>
    </row>
    <row r="8583" spans="2:2" x14ac:dyDescent="0.25">
      <c r="B8583" t="str">
        <v>966-03: Bar Code Printing</v>
      </c>
    </row>
    <row r="8584" spans="2:2" x14ac:dyDescent="0.25">
      <c r="B8584" t="str">
        <v>966-05: Bumper Stickers Printing</v>
      </c>
    </row>
    <row r="8585" spans="2:2" x14ac:dyDescent="0.25">
      <c r="B8585" t="str">
        <v>966-07: Business Cards Printing</v>
      </c>
    </row>
    <row r="8586" spans="2:2" x14ac:dyDescent="0.25">
      <c r="B8586" t="str">
        <v>966-11: Card Printing: Tab, Post, Form, etc.</v>
      </c>
    </row>
    <row r="8587" spans="2:2" x14ac:dyDescent="0.25">
      <c r="B8587" t="str">
        <v>966-13: Check Printing</v>
      </c>
    </row>
    <row r="8588" spans="2:2" x14ac:dyDescent="0.25">
      <c r="B8588" t="str">
        <v>966-16: Continuous Form Printing</v>
      </c>
    </row>
    <row r="8589" spans="2:2" x14ac:dyDescent="0.25">
      <c r="B8589" t="str">
        <v>966-18: Copying Service, Reproduction</v>
      </c>
    </row>
    <row r="8590" spans="2:2" x14ac:dyDescent="0.25">
      <c r="B8590" t="str">
        <v>966-22: Decal Printing</v>
      </c>
    </row>
    <row r="8591" spans="2:2" x14ac:dyDescent="0.25">
      <c r="B8591" t="str">
        <v>966-25: *Digital Printing</v>
      </c>
    </row>
    <row r="8592" spans="2:2" x14ac:dyDescent="0.25">
      <c r="B8592" t="str">
        <v>966-27: Electrostatic Printing Services</v>
      </c>
    </row>
    <row r="8593" spans="2:2" x14ac:dyDescent="0.25">
      <c r="B8593" t="str">
        <v>966-28: Engraved and Embossed Awards, Bonds, Certificates, Diplomas, Stationery, etc.</v>
      </c>
    </row>
    <row r="8594" spans="2:2" x14ac:dyDescent="0.25">
      <c r="B8594" t="str">
        <v>966-31: Envelope and Mailer Printing</v>
      </c>
    </row>
    <row r="8595" spans="2:2" x14ac:dyDescent="0.25">
      <c r="B8595" t="str">
        <v>966-36: Forms Printing, Not Continuous</v>
      </c>
    </row>
    <row r="8596" spans="2:2" x14ac:dyDescent="0.25">
      <c r="B8596" t="str">
        <v>966-42: Imprinting Services</v>
      </c>
    </row>
    <row r="8597" spans="2:2" x14ac:dyDescent="0.25">
      <c r="B8597" t="str">
        <v>966-46: Intaglio Printing (e.g., The Process by Which U.S. Currency is Printed): Birth Certificates, Car Titles, etc.</v>
      </c>
    </row>
    <row r="8598" spans="2:2" x14ac:dyDescent="0.25">
      <c r="B8598" t="str">
        <v>966-51: Letterhead Printing</v>
      </c>
    </row>
    <row r="8599" spans="2:2" x14ac:dyDescent="0.25">
      <c r="B8599" t="str">
        <v>966-52: Licenses and Back Tags Printing Services (Hunting, Fishing, etc.)</v>
      </c>
    </row>
    <row r="8600" spans="2:2" x14ac:dyDescent="0.25">
      <c r="B8600" t="str">
        <v>966-55: Numbering Services, Printing</v>
      </c>
    </row>
    <row r="8601" spans="2:2" x14ac:dyDescent="0.25">
      <c r="B8601" t="str">
        <v>966-57: Offset Printing, General, Small Press Work (Quan. up to 25,000), One or More Colors, No 4 Color Processes or Large Solids or Close Registration; up to 11 x 17 In.: Brochures, Newsletters, Covers, Posters, etc.</v>
      </c>
    </row>
    <row r="8602" spans="2:2" x14ac:dyDescent="0.25">
      <c r="B8602" t="str">
        <v>966-58: Offset Printing, General, Large Press Work (Quan. up to 100,000); One or More Colors, No 4 Color Processes or Close Registration Required, Finished Sizes May Exceed 11 x 17 In., May Have Large Solids</v>
      </c>
    </row>
    <row r="8603" spans="2:2" x14ac:dyDescent="0.25">
      <c r="B8603" t="str">
        <v>966-59: Offset Printing, General, Large Production Runs on Large or Web Press (Quan. Over 100,000), One or More Colors, No 4 Color Processes or Close Registration Required, May Exceed 11 x 17 In. and Have Large Solids</v>
      </c>
    </row>
    <row r="8604" spans="2:2" x14ac:dyDescent="0.25">
      <c r="B8604" t="str">
        <v>966-60: Offset Printing, Large Production Runs (Quan. up to 100,000); 4 Color Process or Close Registration Required: Color Brochures, Maps, etc.</v>
      </c>
    </row>
    <row r="8605" spans="2:2" x14ac:dyDescent="0.25">
      <c r="B8605" t="str">
        <v>966-61: Offset Printing, Large Production Runs (Quan. Over 100,000); 4 Color Process or Close Registration Required: Color Brochures, Maps, etc.</v>
      </c>
    </row>
    <row r="8606" spans="2:2" x14ac:dyDescent="0.25">
      <c r="B8606" t="str">
        <v>966-62: Offset Printing, Booklets, Saddle Stitch Binding (Quan. Under 100,000): Books and Magazines</v>
      </c>
    </row>
    <row r="8607" spans="2:2" x14ac:dyDescent="0.25">
      <c r="B8607" t="str">
        <v>966-63: Offset Printing, Booklets, Saddle Stitch Binding (Quantities up to 100,000; 4 Color Process or Tight Registration Required): Books, Magazines, etc.</v>
      </c>
    </row>
    <row r="8608" spans="2:2" x14ac:dyDescent="0.25">
      <c r="B8608" t="str">
        <v>966-64: Offset Printing, Booklets, Saddle Stitch Binding (Quantities over 100,000): Books and Magazines</v>
      </c>
    </row>
    <row r="8609" spans="2:2" x14ac:dyDescent="0.25">
      <c r="B8609" t="str">
        <v>966-65: Offset Printing, Books, Perfect Bound (Quan. up to 10,000); 4 Color Process Acceptable: College Catalogues, Telephone Books, etc.</v>
      </c>
    </row>
    <row r="8610" spans="2:2" x14ac:dyDescent="0.25">
      <c r="B8610" t="str">
        <v>966-66: Offset Printing, Books, Perfect Bound (Quan. Over 10,000); 4 Color Process Acceptable</v>
      </c>
    </row>
    <row r="8611" spans="2:2" x14ac:dyDescent="0.25">
      <c r="B8611" t="str">
        <v>966-67: Offset Printing, Custom Bound, Hardback, Leather, etc.: Books</v>
      </c>
    </row>
    <row r="8612" spans="2:2" x14ac:dyDescent="0.25">
      <c r="B8612" t="str">
        <v>966-68: Offset Printing, General, Large Press Work (Quan. up to 100,000); One or More Colors, Close Registration Required, No 4-Color Processes, Finished Sizes May Exceed 8-1/2 x 11 in., Newsletters, etc.</v>
      </c>
    </row>
    <row r="8613" spans="2:2" x14ac:dyDescent="0.25">
      <c r="B8613" t="str">
        <v>966-69: Offset Printing, General, Large Press Work (Quan. up to 100,000); One or More Colors, Close Registration Required, No 4-Color Processes, Finished Sizes May Exceed 11 x 17 in., May Have Large Solids</v>
      </c>
    </row>
    <row r="8614" spans="2:2" x14ac:dyDescent="0.25">
      <c r="B8614" t="str">
        <v>966-70: Optical Scanning Form Printing</v>
      </c>
    </row>
    <row r="8615" spans="2:2" x14ac:dyDescent="0.25">
      <c r="B8615" t="str">
        <v>966-71: Paper Cutting, Drilling, Folding, Punching, Shredding, Trimming, etc.</v>
      </c>
    </row>
    <row r="8616" spans="2:2" x14ac:dyDescent="0.25">
      <c r="B8616" t="str">
        <v>966-72: Printing of Annotated Laws, Rules, and Changes from the Legislature, Courts, etc. (Copyrighted)</v>
      </c>
    </row>
    <row r="8617" spans="2:2" x14ac:dyDescent="0.25">
      <c r="B8617" t="str">
        <v>966-73: Publications Printed on Newsprint or Ground wood Paper Stock (Quan. up to 100,000)</v>
      </c>
    </row>
    <row r="8618" spans="2:2" x14ac:dyDescent="0.25">
      <c r="B8618" t="str">
        <v>966-74: Publications Printed on Newsprint or Ground wood Paper Stock (Quan. Over 100,000)</v>
      </c>
    </row>
    <row r="8619" spans="2:2" x14ac:dyDescent="0.25">
      <c r="B8619" t="str">
        <v>966-75: Printing on Recycled Stock</v>
      </c>
    </row>
    <row r="8620" spans="2:2" x14ac:dyDescent="0.25">
      <c r="B8620" t="str">
        <v>966-76: Print-On-Demand Printing Services, Including Print and Distribute Services</v>
      </c>
    </row>
    <row r="8621" spans="2:2" x14ac:dyDescent="0.25">
      <c r="B8621" t="str">
        <v>966-78: Receipt and Voucher Book Printing</v>
      </c>
    </row>
    <row r="8622" spans="2:2" x14ac:dyDescent="0.25">
      <c r="B8622" t="str">
        <v>966-81: Security Paper, Custom Printed (Quan. Over 100,000)</v>
      </c>
    </row>
    <row r="8623" spans="2:2" x14ac:dyDescent="0.25">
      <c r="B8623" t="str">
        <v>966-84: Silk Screen Printing</v>
      </c>
    </row>
    <row r="8624" spans="2:2" x14ac:dyDescent="0.25">
      <c r="B8624" t="str">
        <v>966-85: Snap-Out Form Printing (See 395-70,80 for Continuous Shelf Items)</v>
      </c>
    </row>
    <row r="8625" spans="2:2" x14ac:dyDescent="0.25">
      <c r="B8625" t="str">
        <v>966-86: Specialty Printing: Die Cutting, Laser, Plastic, Thermography, etc., Folders, Invitations, Tabs, Binders, Banners, Banner Displays, etc.</v>
      </c>
    </row>
    <row r="8626" spans="2:2" x14ac:dyDescent="0.25">
      <c r="B8626" t="str">
        <v>966-89: Tickets, Special Labels and Tapes, Printed, Not Continuous, Prescription Drugs, etc., Pressure Sensitive or Dry Gummed Adhesion Flats, Rolls, Tablets, etc.</v>
      </c>
    </row>
    <row r="8627" spans="2:2" x14ac:dyDescent="0.25">
      <c r="B8627" t="str">
        <v>966-90: Tickets, Special Tags, Labels, Printed: Continuous, Gang or Single</v>
      </c>
    </row>
    <row r="8628" spans="2:2" x14ac:dyDescent="0.25">
      <c r="B8628" t="str">
        <v>966-92: Typesetting, Hot Type, Linotype</v>
      </c>
    </row>
    <row r="8629" spans="2:2" x14ac:dyDescent="0.25">
      <c r="B8629" t="str">
        <v>966-93: Typesetting, Laser</v>
      </c>
    </row>
    <row r="8630" spans="2:2" x14ac:dyDescent="0.25">
      <c r="B8630" t="str">
        <v>966-94: Typesetting, Photocomposition, Cold Type</v>
      </c>
    </row>
    <row r="8631" spans="2:2" x14ac:dyDescent="0.25">
      <c r="B8631" t="str">
        <v>966-95: Typesetting with Modem Capability</v>
      </c>
    </row>
    <row r="8632" spans="2:2" x14ac:dyDescent="0.25">
      <c r="B8632" t="str">
        <v>967-01: Athletic, Sporting, Recreational, Fishing, Hunting, and Camping Equipment Manufacturing Services</v>
      </c>
    </row>
    <row r="8633" spans="2:2" x14ac:dyDescent="0.25">
      <c r="B8633" t="str">
        <v>967-02: Air Conditioning, Heating, and Ventilating Equipment (HVAC) Manufacturing Services</v>
      </c>
    </row>
    <row r="8634" spans="2:2" x14ac:dyDescent="0.25">
      <c r="B8634" t="str">
        <v>967-03: Animal Food Manufacturing Services</v>
      </c>
    </row>
    <row r="8635" spans="2:2" x14ac:dyDescent="0.25">
      <c r="B8635" t="str">
        <v>967-04: Abrasives Manufacturing Services</v>
      </c>
    </row>
    <row r="8636" spans="2:2" x14ac:dyDescent="0.25">
      <c r="B8636" t="str">
        <v>967-12: Aggregate, Concrete or Stone Products: Clay, Refractory Materials and Tile Products, Manufacturing Services</v>
      </c>
    </row>
    <row r="8637" spans="2:2" x14ac:dyDescent="0.25">
      <c r="B8637" t="str">
        <v>967-16: Asbestos Products, Manufacturing Services</v>
      </c>
    </row>
    <row r="8638" spans="2:2" x14ac:dyDescent="0.25">
      <c r="B8638" t="str">
        <v>967-17: Assembly Line Services</v>
      </c>
    </row>
    <row r="8639" spans="2:2" x14ac:dyDescent="0.25">
      <c r="B8639" t="str">
        <v>967-18: Asphalt and Saturated Materials Manufacturing Services</v>
      </c>
    </row>
    <row r="8640" spans="2:2" x14ac:dyDescent="0.25">
      <c r="B8640" t="str">
        <v>967-19: Automotive Equipment and Supply Manufacturing Services</v>
      </c>
    </row>
    <row r="8641" spans="2:2" x14ac:dyDescent="0.25">
      <c r="B8641" t="str">
        <v>967-24: Building Equipment and Supply Manufacturing Services</v>
      </c>
    </row>
    <row r="8642" spans="2:2" x14ac:dyDescent="0.25">
      <c r="B8642" t="str">
        <v>967-27: *Computer Hardware Manufacturing Services</v>
      </c>
    </row>
    <row r="8643" spans="2:2" x14ac:dyDescent="0.25">
      <c r="B8643" t="str">
        <v>967-28: *Computer Software Manufacturing Services</v>
      </c>
    </row>
    <row r="8644" spans="2:2" x14ac:dyDescent="0.25">
      <c r="B8644" t="str">
        <v>967-29: Container Manufacturing Services: Boxes, Bottles, Bags, Cans, Pouches, etc.</v>
      </c>
    </row>
    <row r="8645" spans="2:2" x14ac:dyDescent="0.25">
      <c r="B8645" t="str">
        <v>967-30: Cement, Lime, Plaster or Stucco Products, Manufacturing Services</v>
      </c>
    </row>
    <row r="8646" spans="2:2" x14ac:dyDescent="0.25">
      <c r="B8646" t="str">
        <v>967-31: Classroom and Educational Furnishings and Equipment, Manufacturing Services</v>
      </c>
    </row>
    <row r="8647" spans="2:2" x14ac:dyDescent="0.25">
      <c r="B8647" t="str">
        <v>967-32: Chemical Products, Including Biochemical, Petrochemical, etc.</v>
      </c>
    </row>
    <row r="8648" spans="2:2" x14ac:dyDescent="0.25">
      <c r="B8648" t="str">
        <v>967-33: China, Earthenware or Pottery Products, Manufacturing Services</v>
      </c>
    </row>
    <row r="8649" spans="2:2" x14ac:dyDescent="0.25">
      <c r="B8649" t="str">
        <v>967-34: Clothing, Apparel and Accessory Manufacturing Services</v>
      </c>
    </row>
    <row r="8650" spans="2:2" x14ac:dyDescent="0.25">
      <c r="B8650" t="str">
        <v>967-35: *Communications Equipment Manufacturing Services</v>
      </c>
    </row>
    <row r="8651" spans="2:2" x14ac:dyDescent="0.25">
      <c r="B8651" t="str">
        <v>967-36: Drilling Equipment and Supply Manufacturing Services</v>
      </c>
    </row>
    <row r="8652" spans="2:2" x14ac:dyDescent="0.25">
      <c r="B8652" t="str">
        <v>967-37: *Electrical and Electronic Products, Manufacturing Services</v>
      </c>
    </row>
    <row r="8653" spans="2:2" x14ac:dyDescent="0.25">
      <c r="B8653" t="str">
        <v>967-38: Food Manufacturing Services, Including Beverages</v>
      </c>
    </row>
    <row r="8654" spans="2:2" x14ac:dyDescent="0.25">
      <c r="B8654" t="str">
        <v>967-39: Fabric Manufacturing Services</v>
      </c>
    </row>
    <row r="8655" spans="2:2" x14ac:dyDescent="0.25">
      <c r="B8655" t="str">
        <v>967-40: Fertilizer and Soil Conditioner Products, Manufacturing Services</v>
      </c>
    </row>
    <row r="8656" spans="2:2" x14ac:dyDescent="0.25">
      <c r="B8656" t="str">
        <v>967-41: Fiber Products, Manufacturing Services</v>
      </c>
    </row>
    <row r="8657" spans="2:2" x14ac:dyDescent="0.25">
      <c r="B8657" t="str">
        <v>967-42: Furniture and Furnishings Manufacturing and Production Services</v>
      </c>
    </row>
    <row r="8658" spans="2:2" x14ac:dyDescent="0.25">
      <c r="B8658" t="str">
        <v>967-43: Glass Products, Manufacturing Services</v>
      </c>
    </row>
    <row r="8659" spans="2:2" x14ac:dyDescent="0.25">
      <c r="B8659" t="str">
        <v>967-44: Hardware Manufacturing Services</v>
      </c>
    </row>
    <row r="8660" spans="2:2" x14ac:dyDescent="0.25">
      <c r="B8660" t="str">
        <v>967-45: Janitorial Products Manufacturing Services</v>
      </c>
    </row>
    <row r="8661" spans="2:2" x14ac:dyDescent="0.25">
      <c r="B8661" t="str">
        <v>967-47: Leather Manufacturing Services</v>
      </c>
    </row>
    <row r="8662" spans="2:2" x14ac:dyDescent="0.25">
      <c r="B8662" t="str">
        <v>967-48: Machinery, All Types</v>
      </c>
    </row>
    <row r="8663" spans="2:2" x14ac:dyDescent="0.25">
      <c r="B8663" t="str">
        <v>967-49: Metals and Metal Products, Manufacturing Services</v>
      </c>
    </row>
    <row r="8664" spans="2:2" x14ac:dyDescent="0.25">
      <c r="B8664" t="str">
        <v>967-50: Manufacturing Services (Not Otherwise Classified)</v>
      </c>
    </row>
    <row r="8665" spans="2:2" x14ac:dyDescent="0.25">
      <c r="B8665" t="str">
        <v>967-51: Nursery Products and Accessories, Manufacturing Services</v>
      </c>
    </row>
    <row r="8666" spans="2:2" x14ac:dyDescent="0.25">
      <c r="B8666" t="str">
        <v>967-53: Office Equipment and Supply Manufacturing Services</v>
      </c>
    </row>
    <row r="8667" spans="2:2" x14ac:dyDescent="0.25">
      <c r="B8667" t="str">
        <v>967-54: Paper and Pulp Products, Manufacturing Services</v>
      </c>
    </row>
    <row r="8668" spans="2:2" x14ac:dyDescent="0.25">
      <c r="B8668" t="str">
        <v>967-55: Paint, Varnish, Lacquer and Related Products Production Services</v>
      </c>
    </row>
    <row r="8669" spans="2:2" x14ac:dyDescent="0.25">
      <c r="B8669" t="str">
        <v>967-56: Petroleum Products Manufacturing Services (Including Coal, etc.)</v>
      </c>
    </row>
    <row r="8670" spans="2:2" x14ac:dyDescent="0.25">
      <c r="B8670" t="str">
        <v>967-57: Pharmaceutical and Medical Equipment and Products Manufacturing Services</v>
      </c>
    </row>
    <row r="8671" spans="2:2" x14ac:dyDescent="0.25">
      <c r="B8671" t="str">
        <v>967-59: Plastics and Plastic Products, Including Fiberglass, Poly, etc., Manufacturing Services</v>
      </c>
    </row>
    <row r="8672" spans="2:2" x14ac:dyDescent="0.25">
      <c r="B8672" t="str">
        <v>967-60: Plumbing Equipment, Pipe, Fittings and Fixtures Manufacturing Services</v>
      </c>
    </row>
    <row r="8673" spans="2:2" x14ac:dyDescent="0.25">
      <c r="B8673" t="str">
        <v>967-61: *Precision Instruments, Including Scientific, Measuring, Photographic, Optical, Laboratory, etc.</v>
      </c>
    </row>
    <row r="8674" spans="2:2" x14ac:dyDescent="0.25">
      <c r="B8674" t="str">
        <v>967-62: Prefabricated and Manufactured Buildings or Homes Manufacturing Services</v>
      </c>
    </row>
    <row r="8675" spans="2:2" x14ac:dyDescent="0.25">
      <c r="B8675" t="str">
        <v>967-63: Production Planning and Control</v>
      </c>
    </row>
    <row r="8676" spans="2:2" x14ac:dyDescent="0.25">
      <c r="B8676" t="str">
        <v>967-67: Remanufacturing Services (Not Otherwise Classified)</v>
      </c>
    </row>
    <row r="8677" spans="2:2" x14ac:dyDescent="0.25">
      <c r="B8677" t="str">
        <v>967-72: Rubber and Rubber Products, Manufacturing Services</v>
      </c>
    </row>
    <row r="8678" spans="2:2" x14ac:dyDescent="0.25">
      <c r="B8678" t="str">
        <v>967-74: Safety and Security Equipment Manufacturing Services</v>
      </c>
    </row>
    <row r="8679" spans="2:2" x14ac:dyDescent="0.25">
      <c r="B8679" t="str">
        <v>967-75: Semiconductor and Related Equipment Manufacturing Services</v>
      </c>
    </row>
    <row r="8680" spans="2:2" x14ac:dyDescent="0.25">
      <c r="B8680" t="str">
        <v>967-76: Shoe, Boot and Footwear Manufacturing Services, All Kinds</v>
      </c>
    </row>
    <row r="8681" spans="2:2" x14ac:dyDescent="0.25">
      <c r="B8681" t="str">
        <v>967-83: Tobacco Manufacturing and Processing Services</v>
      </c>
    </row>
    <row r="8682" spans="2:2" x14ac:dyDescent="0.25">
      <c r="B8682" t="str">
        <v>967-84: Transport Equipment</v>
      </c>
    </row>
    <row r="8683" spans="2:2" x14ac:dyDescent="0.25">
      <c r="B8683" t="str">
        <v>967-85: Tool Manufacturing Services</v>
      </c>
    </row>
    <row r="8684" spans="2:2" x14ac:dyDescent="0.25">
      <c r="B8684" t="str">
        <v>967-91: Warehouse and Storage Equipment Manufacturing Services</v>
      </c>
    </row>
    <row r="8685" spans="2:2" x14ac:dyDescent="0.25">
      <c r="B8685" t="str">
        <v>967-92: Well Equipment and Supply Manufacturing Services, Oil, Gas, Water, etc.</v>
      </c>
    </row>
    <row r="8686" spans="2:2" x14ac:dyDescent="0.25">
      <c r="B8686" t="str">
        <v>967-93: Wood and Wood Products, Manufacturing Services</v>
      </c>
    </row>
    <row r="8687" spans="2:2" x14ac:dyDescent="0.25">
      <c r="B8687" t="str">
        <v>968-18: Back Flow Preventer Testing Services</v>
      </c>
    </row>
    <row r="8688" spans="2:2" x14ac:dyDescent="0.25">
      <c r="B8688" t="str">
        <v>968-24: Corrosion Analysis Services</v>
      </c>
    </row>
    <row r="8689" spans="2:2" x14ac:dyDescent="0.25">
      <c r="B8689" t="str">
        <v>968-25: Corrosion Control Services</v>
      </c>
    </row>
    <row r="8690" spans="2:2" x14ac:dyDescent="0.25">
      <c r="B8690" t="str">
        <v>968-26: Crushing, Screening, etc. All types New or Recycled Aggregate, Brick or Stone Products Including Road Materials</v>
      </c>
    </row>
    <row r="8691" spans="2:2" x14ac:dyDescent="0.25">
      <c r="B8691" t="str">
        <v>968-33: Ditch Maintenance</v>
      </c>
    </row>
    <row r="8692" spans="2:2" x14ac:dyDescent="0.25">
      <c r="B8692" t="str">
        <v>968-34: Dredging Services</v>
      </c>
    </row>
    <row r="8693" spans="2:2" x14ac:dyDescent="0.25">
      <c r="B8693" t="str">
        <v>968-36: Dust Control Watering</v>
      </c>
    </row>
    <row r="8694" spans="2:2" x14ac:dyDescent="0.25">
      <c r="B8694" t="str">
        <v>968-40: Foundry Services</v>
      </c>
    </row>
    <row r="8695" spans="2:2" x14ac:dyDescent="0.25">
      <c r="B8695" t="str">
        <v>968-44: Graffiti Removal Services</v>
      </c>
    </row>
    <row r="8696" spans="2:2" x14ac:dyDescent="0.25">
      <c r="B8696" t="str">
        <v>968-46: Incinerator Services, Including Ash Vacuuming</v>
      </c>
    </row>
    <row r="8697" spans="2:2" x14ac:dyDescent="0.25">
      <c r="B8697" t="str">
        <v>968-47: Inspection Services, Construction Type</v>
      </c>
    </row>
    <row r="8698" spans="2:2" x14ac:dyDescent="0.25">
      <c r="B8698" t="str">
        <v>968-48: Inspection Services, Electrical Instrumentation and Control</v>
      </c>
    </row>
    <row r="8699" spans="2:2" x14ac:dyDescent="0.25">
      <c r="B8699" t="str">
        <v>968-50: Leaf, Bush, Tree Limb Collection</v>
      </c>
    </row>
    <row r="8700" spans="2:2" x14ac:dyDescent="0.25">
      <c r="B8700" t="str">
        <v>968-58: *Meter Reading Services</v>
      </c>
    </row>
    <row r="8701" spans="2:2" x14ac:dyDescent="0.25">
      <c r="B8701" t="str">
        <v>968-59: Property Boundary Line Maintenance and Blue stake Services</v>
      </c>
    </row>
    <row r="8702" spans="2:2" x14ac:dyDescent="0.25">
      <c r="B8702" t="str">
        <v>968-60: Parking Meter Services, Including Collection, Installation, and Removal</v>
      </c>
    </row>
    <row r="8703" spans="2:2" x14ac:dyDescent="0.25">
      <c r="B8703" t="str">
        <v>968-61: Pavement Marking Services, Including Removal of Markings</v>
      </c>
    </row>
    <row r="8704" spans="2:2" x14ac:dyDescent="0.25">
      <c r="B8704" t="str">
        <v>968-62: Pavement Data Collection Services</v>
      </c>
    </row>
    <row r="8705" spans="2:2" x14ac:dyDescent="0.25">
      <c r="B8705" t="str">
        <v>968-63: Relocation and or Removal Services for Utility Works</v>
      </c>
    </row>
    <row r="8706" spans="2:2" x14ac:dyDescent="0.25">
      <c r="B8706" t="str">
        <v>968-64: Response and Recovery Services, Roadway Incident</v>
      </c>
    </row>
    <row r="8707" spans="2:2" x14ac:dyDescent="0.25">
      <c r="B8707" t="str">
        <v>968-66: Right of Way Services, Including Title, Relocation, Condemnation, etc.</v>
      </c>
    </row>
    <row r="8708" spans="2:2" x14ac:dyDescent="0.25">
      <c r="B8708" t="str">
        <v>968-67: Sandblasting Services (See 910-83 for Sandblasting of Buildings)</v>
      </c>
    </row>
    <row r="8709" spans="2:2" x14ac:dyDescent="0.25">
      <c r="B8709" t="str">
        <v>968-71: Solid or Liquid Waste Disposal, Including Management Services. (See 926-45 for Hazardous Waste Disposal)</v>
      </c>
    </row>
    <row r="8710" spans="2:2" x14ac:dyDescent="0.25">
      <c r="B8710" t="str">
        <v>968-72: Snow and Ice Removal Services</v>
      </c>
    </row>
    <row r="8711" spans="2:2" x14ac:dyDescent="0.25">
      <c r="B8711" t="str">
        <v>968-73: Storm Drain Cleaning, Repair, and Sludge Removal Services</v>
      </c>
    </row>
    <row r="8712" spans="2:2" x14ac:dyDescent="0.25">
      <c r="B8712" t="str">
        <v>968-74: Street Sweeping Services</v>
      </c>
    </row>
    <row r="8713" spans="2:2" x14ac:dyDescent="0.25">
      <c r="B8713" t="str">
        <v>968-75: Streetscaping Services (Inactive, effective January 1, 2016)</v>
      </c>
    </row>
    <row r="8714" spans="2:2" x14ac:dyDescent="0.25">
      <c r="B8714" t="str">
        <v>968-76: Street Light Maintenance and Repair</v>
      </c>
    </row>
    <row r="8715" spans="2:2" x14ac:dyDescent="0.25">
      <c r="B8715" t="str">
        <v>968-77: Traffic Safety Services</v>
      </c>
    </row>
    <row r="8716" spans="2:2" x14ac:dyDescent="0.25">
      <c r="B8716" t="str">
        <v>968-78: Tank Installation, Removal, Disposal, and Related Services, Including Septic and Underground Type</v>
      </c>
    </row>
    <row r="8717" spans="2:2" x14ac:dyDescent="0.25">
      <c r="B8717" t="str">
        <v>968-79: Telephone, Utility, Light Pole Installation, and Relocation Service</v>
      </c>
    </row>
    <row r="8718" spans="2:2" x14ac:dyDescent="0.25">
      <c r="B8718" t="str">
        <v>968-80: Traffic Sign Installation and Removal Services</v>
      </c>
    </row>
    <row r="8719" spans="2:2" x14ac:dyDescent="0.25">
      <c r="B8719" t="str">
        <v>968-81: Traffic Sign Maintenance and Repair</v>
      </c>
    </row>
    <row r="8720" spans="2:2" x14ac:dyDescent="0.25">
      <c r="B8720" t="str">
        <v>968-82: Traffic Signal Installation</v>
      </c>
    </row>
    <row r="8721" spans="2:2" x14ac:dyDescent="0.25">
      <c r="B8721" t="str">
        <v>968-83: Traffic Signal Maintenance and Repair</v>
      </c>
    </row>
    <row r="8722" spans="2:2" x14ac:dyDescent="0.25">
      <c r="B8722" t="str">
        <v>968-84: Traffic Control Services, Including Placement and Removal of Control Devices</v>
      </c>
    </row>
    <row r="8723" spans="2:2" x14ac:dyDescent="0.25">
      <c r="B8723" t="str">
        <v>968-85: Traffic Counting Services</v>
      </c>
    </row>
    <row r="8724" spans="2:2" x14ac:dyDescent="0.25">
      <c r="B8724" t="str">
        <v>968-87: Roadside Assistance; flat tire, dead battery, out of fuel type situations</v>
      </c>
    </row>
    <row r="8725" spans="2:2" x14ac:dyDescent="0.25">
      <c r="B8725" t="str">
        <v>968-88: Tree and Shrub Removal Services</v>
      </c>
    </row>
    <row r="8726" spans="2:2" x14ac:dyDescent="0.25">
      <c r="B8726" t="str">
        <v>968-89: *Traffic Studies and Analysis Services</v>
      </c>
    </row>
    <row r="8727" spans="2:2" x14ac:dyDescent="0.25">
      <c r="B8727" t="str">
        <v>968-90: Vehicle Towing and Storage</v>
      </c>
    </row>
    <row r="8728" spans="2:2" x14ac:dyDescent="0.25">
      <c r="B8728" t="str">
        <v>968-91: Water Supply Analysis, Infrastructure Analysis, Water Quality Analysis, and Long Term Planning</v>
      </c>
    </row>
    <row r="8729" spans="2:2" x14ac:dyDescent="0.25">
      <c r="B8729" t="str">
        <v>968-92: Water Supply Plant Operating and Monitoring System Services, Including Water Resources Development and Water Quality Management Services</v>
      </c>
    </row>
    <row r="8730" spans="2:2" x14ac:dyDescent="0.25">
      <c r="B8730" t="str">
        <v>968-93: Well Pointing Services, Dewatering</v>
      </c>
    </row>
    <row r="8731" spans="2:2" x14ac:dyDescent="0.25">
      <c r="B8731" t="str">
        <v>968-94: Waterproofing Systems and Repair</v>
      </c>
    </row>
    <row r="8732" spans="2:2" x14ac:dyDescent="0.25">
      <c r="B8732" t="str">
        <v>968-95: Wastewater Treatment Plant, Operations, and Testing</v>
      </c>
    </row>
    <row r="8733" spans="2:2" x14ac:dyDescent="0.25">
      <c r="B8733" t="str">
        <v>968-96: Water and Wastewater Treatment Services</v>
      </c>
    </row>
    <row r="8734" spans="2:2" x14ac:dyDescent="0.25">
      <c r="B8734" t="str">
        <v>968-97: Wrecking and Removal Services</v>
      </c>
    </row>
    <row r="8735" spans="2:2" x14ac:dyDescent="0.25">
      <c r="B8735" t="str">
        <v>969-10: Computer Programing Services, CIS</v>
      </c>
    </row>
    <row r="8736" spans="2:2" x14ac:dyDescent="0.25">
      <c r="B8736" t="str">
        <v>969-18: Judgments, Extraordinary Items</v>
      </c>
    </row>
    <row r="8737" spans="2:2" x14ac:dyDescent="0.25">
      <c r="B8737" t="str">
        <v>969-19: Judgments, Special Items</v>
      </c>
    </row>
    <row r="8738" spans="2:2" x14ac:dyDescent="0.25">
      <c r="B8738" t="str">
        <v>969-20: Judgments and Settlements, Attorney Fees</v>
      </c>
    </row>
    <row r="8739" spans="2:2" x14ac:dyDescent="0.25">
      <c r="B8739" t="str">
        <v>969-21: Judgments and Settlements, Claimant</v>
      </c>
    </row>
    <row r="8740" spans="2:2" x14ac:dyDescent="0.25">
      <c r="B8740" t="str">
        <v>969-22: Judgments and Settlements, Claimant &amp; Attorney</v>
      </c>
    </row>
    <row r="8741" spans="2:2" x14ac:dyDescent="0.25">
      <c r="B8741" t="str">
        <v>969-23: Judgments and Settlements (SAGO), HIGHER EDUCATION</v>
      </c>
    </row>
    <row r="8742" spans="2:2" x14ac:dyDescent="0.25">
      <c r="B8742" t="str">
        <v>969-24: Judgments and Settlements, Other Legal Expenses</v>
      </c>
    </row>
    <row r="8743" spans="2:2" x14ac:dyDescent="0.25">
      <c r="B8743" t="str">
        <v>969-39: Professional Services/Contract Sponsorships</v>
      </c>
    </row>
    <row r="8744" spans="2:2" x14ac:dyDescent="0.25">
      <c r="B8744" t="str">
        <v>969-40: Other Services Contracts, Power Plant</v>
      </c>
    </row>
    <row r="8745" spans="2:2" x14ac:dyDescent="0.25">
      <c r="B8745" t="str">
        <v>969-41: Patent, Legal Expenses</v>
      </c>
    </row>
    <row r="8746" spans="2:2" x14ac:dyDescent="0.25">
      <c r="B8746" t="str">
        <v>969-42: Professional Services, Physical Plant only</v>
      </c>
    </row>
    <row r="8747" spans="2:2" x14ac:dyDescent="0.25">
      <c r="B8747" t="str">
        <v>969-43: Professional Services w/receipts (not 1099)</v>
      </c>
    </row>
    <row r="8748" spans="2:2" x14ac:dyDescent="0.25">
      <c r="B8748" t="str">
        <v>969-44: Professional Services, Subcontractor and Contractor &gt;$25,000</v>
      </c>
    </row>
    <row r="8749" spans="2:2" x14ac:dyDescent="0.25">
      <c r="B8749" t="str">
        <v>969-95: Witness Fees and Allowances (Crime and Administrative Process)</v>
      </c>
    </row>
    <row r="8750" spans="2:2" x14ac:dyDescent="0.25">
      <c r="B8750" t="str">
        <v>971-02: Athletic Facility Rental or Lease</v>
      </c>
    </row>
    <row r="8751" spans="2:2" x14ac:dyDescent="0.25">
      <c r="B8751" t="str">
        <v>971-04: Boat Dock and Marina Space, Rental or Lease</v>
      </c>
    </row>
    <row r="8752" spans="2:2" x14ac:dyDescent="0.25">
      <c r="B8752" t="str">
        <v>971-05: Booth, Convention and Exhibit, Rental or Lease</v>
      </c>
    </row>
    <row r="8753" spans="2:2" x14ac:dyDescent="0.25">
      <c r="B8753" t="str">
        <v>971-08: Building, Fabricated, Pre-Fabricated or Pre-Manufactured, Rental or Lease</v>
      </c>
    </row>
    <row r="8754" spans="2:2" x14ac:dyDescent="0.25">
      <c r="B8754" t="str">
        <v>971-12: Camping and Wilderness Facility Rental or Lease</v>
      </c>
    </row>
    <row r="8755" spans="2:2" x14ac:dyDescent="0.25">
      <c r="B8755" t="str">
        <v>971-26: Hangar Facilities for Aircraft, Rental or Lease</v>
      </c>
    </row>
    <row r="8756" spans="2:2" x14ac:dyDescent="0.25">
      <c r="B8756" t="str">
        <v>971-30: Hotel and Motel Accommodations, Including Lodges, Resorts, Bed/Breakfast Inns, etc., Rental or Lease</v>
      </c>
    </row>
    <row r="8757" spans="2:2" x14ac:dyDescent="0.25">
      <c r="B8757" t="str">
        <v>971-34: Laboratory Space Rental or Lease</v>
      </c>
    </row>
    <row r="8758" spans="2:2" x14ac:dyDescent="0.25">
      <c r="B8758" t="str">
        <v>971-35: Land, Rental or Lease</v>
      </c>
    </row>
    <row r="8759" spans="2:2" x14ac:dyDescent="0.25">
      <c r="B8759" t="str">
        <v>971-36: Locker Rental or Lease</v>
      </c>
    </row>
    <row r="8760" spans="2:2" x14ac:dyDescent="0.25">
      <c r="B8760" t="str">
        <v>971-38: Medical and Health Care Office Space Rental or Lease</v>
      </c>
    </row>
    <row r="8761" spans="2:2" x14ac:dyDescent="0.25">
      <c r="B8761" t="str">
        <v>971-39: Mobile Home Rental or Lease</v>
      </c>
    </row>
    <row r="8762" spans="2:2" x14ac:dyDescent="0.25">
      <c r="B8762" t="str">
        <v>971-40: Mobile Office Rental or Lease</v>
      </c>
    </row>
    <row r="8763" spans="2:2" x14ac:dyDescent="0.25">
      <c r="B8763" t="str">
        <v>971-45: Office Space Rental or Lease</v>
      </c>
    </row>
    <row r="8764" spans="2:2" x14ac:dyDescent="0.25">
      <c r="B8764" t="str">
        <v>971-55: Parking Spaces in a Parking Lot or Garage, Rental or Lease</v>
      </c>
    </row>
    <row r="8765" spans="2:2" x14ac:dyDescent="0.25">
      <c r="B8765" t="str">
        <v>971-57: Photographic and Recording Facility Rental or Lease</v>
      </c>
    </row>
    <row r="8766" spans="2:2" x14ac:dyDescent="0.25">
      <c r="B8766" t="str">
        <v>971-63: Real Estate: Land and Improvements</v>
      </c>
    </row>
    <row r="8767" spans="2:2" x14ac:dyDescent="0.25">
      <c r="B8767" t="str">
        <v>971-64: Residential Space Rental or Lease</v>
      </c>
    </row>
    <row r="8768" spans="2:2" x14ac:dyDescent="0.25">
      <c r="B8768" t="str">
        <v>971-65: Room Rental or Lease for Conferences, Seminars, etc.</v>
      </c>
    </row>
    <row r="8769" spans="2:2" x14ac:dyDescent="0.25">
      <c r="B8769" t="str">
        <v>971-68: Safety Deposit Box Rental or Lease</v>
      </c>
    </row>
    <row r="8770" spans="2:2" x14ac:dyDescent="0.25">
      <c r="B8770" t="str">
        <v>971-70: Storage Space Rental or Lease</v>
      </c>
    </row>
    <row r="8771" spans="2:2" x14ac:dyDescent="0.25">
      <c r="B8771" t="str">
        <v>971-82: Toilets, Portable, Rental or Lease</v>
      </c>
    </row>
    <row r="8772" spans="2:2" x14ac:dyDescent="0.25">
      <c r="B8772" t="str">
        <v>971-91: Warehouse Rental or Lease</v>
      </c>
    </row>
    <row r="8773" spans="2:2" x14ac:dyDescent="0.25">
      <c r="B8773" t="str">
        <v>972-10: Chemical Instrumentation Services</v>
      </c>
    </row>
    <row r="8774" spans="2:2" x14ac:dyDescent="0.25">
      <c r="B8774" t="str">
        <v>972-12: DNA Sequencing</v>
      </c>
    </row>
    <row r="8775" spans="2:2" x14ac:dyDescent="0.25">
      <c r="B8775" t="str">
        <v>972-13: Dosimetry Services</v>
      </c>
    </row>
    <row r="8776" spans="2:2" x14ac:dyDescent="0.25">
      <c r="B8776" t="str">
        <v>972-15: Education Research Center Fees</v>
      </c>
    </row>
    <row r="8777" spans="2:2" x14ac:dyDescent="0.25">
      <c r="B8777" t="str">
        <v>972-18: Food Services for Classes</v>
      </c>
    </row>
    <row r="8778" spans="2:2" x14ac:dyDescent="0.25">
      <c r="B8778" t="str">
        <v>972-19: Food Services for Instructors</v>
      </c>
    </row>
    <row r="8779" spans="2:2" x14ac:dyDescent="0.25">
      <c r="B8779" t="str">
        <v>972-22: Housing for Guest Instructors</v>
      </c>
    </row>
    <row r="8780" spans="2:2" x14ac:dyDescent="0.25">
      <c r="B8780" t="str">
        <v>972-25: Lecturers, Higher Education</v>
      </c>
    </row>
    <row r="8781" spans="2:2" x14ac:dyDescent="0.25">
      <c r="B8781" t="str">
        <v>972-26: Living Allowance, Non-Employee</v>
      </c>
    </row>
    <row r="8782" spans="2:2" x14ac:dyDescent="0.25">
      <c r="B8782" t="str">
        <v>972-28: Materials for Conference Expenses</v>
      </c>
    </row>
    <row r="8783" spans="2:2" x14ac:dyDescent="0.25">
      <c r="B8783" t="str">
        <v>972-30: Non-Related Research Services (1099)</v>
      </c>
    </row>
    <row r="8784" spans="2:2" x14ac:dyDescent="0.25">
      <c r="B8784" t="str">
        <v>972-31: Participant Costs, Books</v>
      </c>
    </row>
    <row r="8785" spans="2:2" x14ac:dyDescent="0.25">
      <c r="B8785" t="str">
        <v>972-32: Participant Costs, Conference and Short Class</v>
      </c>
    </row>
    <row r="8786" spans="2:2" x14ac:dyDescent="0.25">
      <c r="B8786" t="str">
        <v>972-33: Participant Costs, Fees</v>
      </c>
    </row>
    <row r="8787" spans="2:2" x14ac:dyDescent="0.25">
      <c r="B8787" t="str">
        <v>972-34: Participant Costs, Foreign Travel</v>
      </c>
    </row>
    <row r="8788" spans="2:2" x14ac:dyDescent="0.25">
      <c r="B8788" t="str">
        <v>972-35: Participant Costs, Materials</v>
      </c>
    </row>
    <row r="8789" spans="2:2" x14ac:dyDescent="0.25">
      <c r="B8789" t="str">
        <v>972-36: Participant Costs, Other</v>
      </c>
    </row>
    <row r="8790" spans="2:2" x14ac:dyDescent="0.25">
      <c r="B8790" t="str">
        <v>972-37: Participant Costs, Room and Board</v>
      </c>
    </row>
    <row r="8791" spans="2:2" x14ac:dyDescent="0.25">
      <c r="B8791" t="str">
        <v>972-38: Participant Costs, Stipends</v>
      </c>
    </row>
    <row r="8792" spans="2:2" x14ac:dyDescent="0.25">
      <c r="B8792" t="str">
        <v>972-39: Participant Costs, Travel</v>
      </c>
    </row>
    <row r="8793" spans="2:2" x14ac:dyDescent="0.25">
      <c r="B8793" t="str">
        <v>972-40: Participant Costs, Travel Out of State</v>
      </c>
    </row>
    <row r="8794" spans="2:2" x14ac:dyDescent="0.25">
      <c r="B8794" t="str">
        <v>972-41: Participant Costs, Tuition</v>
      </c>
    </row>
    <row r="8795" spans="2:2" x14ac:dyDescent="0.25">
      <c r="B8795" t="str">
        <v>972-42: Participant Support Costs, Sponsored</v>
      </c>
    </row>
    <row r="8796" spans="2:2" x14ac:dyDescent="0.25">
      <c r="B8796" t="str">
        <v>972-45: Qatar Children Education Spaces</v>
      </c>
    </row>
    <row r="8797" spans="2:2" x14ac:dyDescent="0.25">
      <c r="B8797" t="str">
        <v>972-47: Regulatory Services</v>
      </c>
    </row>
    <row r="8798" spans="2:2" x14ac:dyDescent="0.25">
      <c r="B8798" t="str">
        <v>972-49: Research Equipment Testing</v>
      </c>
    </row>
    <row r="8799" spans="2:2" x14ac:dyDescent="0.25">
      <c r="B8799" t="str">
        <v>972-50: Services for Conference Expenses</v>
      </c>
    </row>
    <row r="8800" spans="2:2" x14ac:dyDescent="0.25">
      <c r="B8800" t="str">
        <v>972-55: Training, Non-State Employees</v>
      </c>
    </row>
    <row r="8801" spans="2:2" x14ac:dyDescent="0.25">
      <c r="B8801" t="str">
        <v>972-56: Trans Path Research Lab Services</v>
      </c>
    </row>
    <row r="8802" spans="2:2" x14ac:dyDescent="0.25">
      <c r="B8802" t="str">
        <v>972-58: Visiting Speakers</v>
      </c>
    </row>
    <row r="8803" spans="2:2" x14ac:dyDescent="0.25">
      <c r="B8803" t="str">
        <v>975-06: Aerial Device Rental or Lease</v>
      </c>
    </row>
    <row r="8804" spans="2:2" x14ac:dyDescent="0.25">
      <c r="B8804" t="str">
        <v>975-08: Agricultural Tractors, Mowers, Implements and Accessories Rental or Lease</v>
      </c>
    </row>
    <row r="8805" spans="2:2" x14ac:dyDescent="0.25">
      <c r="B8805" t="str">
        <v>975-10: Airport Equipment and Accessories Rental or Lease</v>
      </c>
    </row>
    <row r="8806" spans="2:2" x14ac:dyDescent="0.25">
      <c r="B8806" t="str">
        <v>975-11: Airplanes, Gliders, Helicopters, and Accessories Rental or Lease</v>
      </c>
    </row>
    <row r="8807" spans="2:2" x14ac:dyDescent="0.25">
      <c r="B8807" t="str">
        <v>975-12: Animal Rental or Lease</v>
      </c>
    </row>
    <row r="8808" spans="2:2" x14ac:dyDescent="0.25">
      <c r="B8808" t="str">
        <v>975-13: Asphalt Equipment and Accessory Rental or Lease</v>
      </c>
    </row>
    <row r="8809" spans="2:2" x14ac:dyDescent="0.25">
      <c r="B8809" t="str">
        <v>975-14: Automobiles and Other Passenger Vehicles, Including Emergency Type Rental or Lease</v>
      </c>
    </row>
    <row r="8810" spans="2:2" x14ac:dyDescent="0.25">
      <c r="B8810" t="str">
        <v>975-15: Automotive Shop Equipment Rental or Lease</v>
      </c>
    </row>
    <row r="8811" spans="2:2" x14ac:dyDescent="0.25">
      <c r="B8811" t="str">
        <v>975-16: Automotive Accessories Rental or Lease, Automobiles, Buses, Trucks, Vans, etc.</v>
      </c>
    </row>
    <row r="8812" spans="2:2" x14ac:dyDescent="0.25">
      <c r="B8812" t="str">
        <v>975-21: Boats, Motors, and Marine and Wildlife Equipment and Supplies Rental or Lease</v>
      </c>
    </row>
    <row r="8813" spans="2:2" x14ac:dyDescent="0.25">
      <c r="B8813" t="str">
        <v>975-22: Hot Air Balloons Rental or Lease</v>
      </c>
    </row>
    <row r="8814" spans="2:2" x14ac:dyDescent="0.25">
      <c r="B8814" t="str">
        <v>975-24: Construction Equipment (Not Otherwise Classified) Rental or Lease</v>
      </c>
    </row>
    <row r="8815" spans="2:2" x14ac:dyDescent="0.25">
      <c r="B8815" t="str">
        <v>975-26: Cranes and Buckets Rental or Lease</v>
      </c>
    </row>
    <row r="8816" spans="2:2" x14ac:dyDescent="0.25">
      <c r="B8816" t="str">
        <v>975-29: Concrete Equipment and Accessory Rental or Lease</v>
      </c>
    </row>
    <row r="8817" spans="2:2" x14ac:dyDescent="0.25">
      <c r="B8817" t="str">
        <v>975-34: Earth Moving Equipment, Graders, Dozers, Loaders, etc. Rental or Lease</v>
      </c>
    </row>
    <row r="8818" spans="2:2" x14ac:dyDescent="0.25">
      <c r="B8818" t="str">
        <v>975-35: Equipment With Operator, Rental or Lease</v>
      </c>
    </row>
    <row r="8819" spans="2:2" x14ac:dyDescent="0.25">
      <c r="B8819" t="str">
        <v>975-36: Forestry Equipment Rental or Lease</v>
      </c>
    </row>
    <row r="8820" spans="2:2" x14ac:dyDescent="0.25">
      <c r="B8820" t="str">
        <v>975-37: Garbage/Refuse Equipment, Dumpsters, etc. Rental or Lease</v>
      </c>
    </row>
    <row r="8821" spans="2:2" x14ac:dyDescent="0.25">
      <c r="B8821" t="str">
        <v>975-38: Golf Cart Rental or Lease</v>
      </c>
    </row>
    <row r="8822" spans="2:2" x14ac:dyDescent="0.25">
      <c r="B8822" t="str">
        <v>975-39: Hydraulic Tools and Equipment Rental or Lease</v>
      </c>
    </row>
    <row r="8823" spans="2:2" x14ac:dyDescent="0.25">
      <c r="B8823" t="str">
        <v>975-40: Industrial Equipment Rental or Lease</v>
      </c>
    </row>
    <row r="8824" spans="2:2" x14ac:dyDescent="0.25">
      <c r="B8824" t="str">
        <v>975-42: Machinery and Heavy Hardware Rental or Lease</v>
      </c>
    </row>
    <row r="8825" spans="2:2" x14ac:dyDescent="0.25">
      <c r="B8825" t="str">
        <v>975-44: Mass Transit Bus, School Bus, and Rail Vehicle Rental or Lease</v>
      </c>
    </row>
    <row r="8826" spans="2:2" x14ac:dyDescent="0.25">
      <c r="B8826" t="str">
        <v>975-46: Material Handling Equipment and Allied Item Rental or Lease</v>
      </c>
    </row>
    <row r="8827" spans="2:2" x14ac:dyDescent="0.25">
      <c r="B8827" t="str">
        <v>975-50: Motorcycles, Motor Scooters, and Trucksters Rental or Lease</v>
      </c>
    </row>
    <row r="8828" spans="2:2" x14ac:dyDescent="0.25">
      <c r="B8828" t="str">
        <v>975-54: Pneumatic Tools and Equipment Rental or Lease</v>
      </c>
    </row>
    <row r="8829" spans="2:2" x14ac:dyDescent="0.25">
      <c r="B8829" t="str">
        <v>975-65: Recreational Vehicle Rental or Lease, Including Motor Homes</v>
      </c>
    </row>
    <row r="8830" spans="2:2" x14ac:dyDescent="0.25">
      <c r="B8830" t="str">
        <v>975-66: Road and Highway Equipment Rental or Lease, (Not Otherwise Classified)</v>
      </c>
    </row>
    <row r="8831" spans="2:2" x14ac:dyDescent="0.25">
      <c r="B8831" t="str">
        <v>975-68: Roofing Equipment and Machine Rental or Lease</v>
      </c>
    </row>
    <row r="8832" spans="2:2" x14ac:dyDescent="0.25">
      <c r="B8832" t="str">
        <v>975-75: Snow Plows and Accessory Rental or Lease</v>
      </c>
    </row>
    <row r="8833" spans="2:2" x14ac:dyDescent="0.25">
      <c r="B8833" t="str">
        <v>975-76: Spacecraft and/or Satellite Rental or Lease</v>
      </c>
    </row>
    <row r="8834" spans="2:2" x14ac:dyDescent="0.25">
      <c r="B8834" t="str">
        <v>975-77: Sprinkler Equipment Rental or Lease, Street</v>
      </c>
    </row>
    <row r="8835" spans="2:2" x14ac:dyDescent="0.25">
      <c r="B8835" t="str">
        <v>975-78: Sweepers, Street, Rental or Lease</v>
      </c>
    </row>
    <row r="8836" spans="2:2" x14ac:dyDescent="0.25">
      <c r="B8836" t="str">
        <v>975-81: Tires and Tubes, Rental or Lease</v>
      </c>
    </row>
    <row r="8837" spans="2:2" x14ac:dyDescent="0.25">
      <c r="B8837" t="str">
        <v>975-82: Tracking Equipment, Rental or Lease</v>
      </c>
    </row>
    <row r="8838" spans="2:2" x14ac:dyDescent="0.25">
      <c r="B8838" t="str">
        <v>975-83: Tractors, Industrial and Construction, Rental or Lease</v>
      </c>
    </row>
    <row r="8839" spans="2:2" x14ac:dyDescent="0.25">
      <c r="B8839" t="str">
        <v>975-84: Trailer Rental or Lease</v>
      </c>
    </row>
    <row r="8840" spans="2:2" x14ac:dyDescent="0.25">
      <c r="B8840" t="str">
        <v>975-85: Tram Rental or Lease, Touring, etc.</v>
      </c>
    </row>
    <row r="8841" spans="2:2" x14ac:dyDescent="0.25">
      <c r="B8841" t="str">
        <v>975-86: Truck and Van, Including Fire and Garbage Trucks Rental or Lease</v>
      </c>
    </row>
    <row r="8842" spans="2:2" x14ac:dyDescent="0.25">
      <c r="B8842" t="str">
        <v>975-88: Utility Vehicle Rental or Lease</v>
      </c>
    </row>
    <row r="8843" spans="2:2" x14ac:dyDescent="0.25">
      <c r="B8843" t="str">
        <v>975-93: Wrecker Rental or Lease</v>
      </c>
    </row>
    <row r="8844" spans="2:2" x14ac:dyDescent="0.25">
      <c r="B8844" t="str">
        <v>977-08: Albums, Tapes, Compact Disks, etc. Rental or Lease</v>
      </c>
    </row>
    <row r="8845" spans="2:2" x14ac:dyDescent="0.25">
      <c r="B8845" t="str">
        <v>977-10: Appliances and Equipment, Household, Rental or Lease</v>
      </c>
    </row>
    <row r="8846" spans="2:2" x14ac:dyDescent="0.25">
      <c r="B8846" t="str">
        <v>977-25: Cafeteria, Food Service, and Kitchen Equipment Rental or Lease</v>
      </c>
    </row>
    <row r="8847" spans="2:2" x14ac:dyDescent="0.25">
      <c r="B8847" t="str">
        <v>977-32: Drapery and Curtain Rental or Lease</v>
      </c>
    </row>
    <row r="8848" spans="2:2" x14ac:dyDescent="0.25">
      <c r="B8848" t="str">
        <v>977-35: Entertainment and Hospitality Equipment Rental or Lease</v>
      </c>
    </row>
    <row r="8849" spans="2:2" x14ac:dyDescent="0.25">
      <c r="B8849" t="str">
        <v>977-37: Film, Movie and Video Tape Rental or Lease</v>
      </c>
    </row>
    <row r="8850" spans="2:2" x14ac:dyDescent="0.25">
      <c r="B8850" t="str">
        <v>977-39: Floor Covering and Carpet Equipment Rental or Lease</v>
      </c>
    </row>
    <row r="8851" spans="2:2" x14ac:dyDescent="0.25">
      <c r="B8851" t="str">
        <v>977-41: Furniture, Not Office, Rental or Lease</v>
      </c>
    </row>
    <row r="8852" spans="2:2" x14ac:dyDescent="0.25">
      <c r="B8852" t="str">
        <v>977-42: Furniture, Office, Rental or Lease</v>
      </c>
    </row>
    <row r="8853" spans="2:2" x14ac:dyDescent="0.25">
      <c r="B8853" t="str">
        <v>977-49: Hand Tool Rental or Lease</v>
      </c>
    </row>
    <row r="8854" spans="2:2" x14ac:dyDescent="0.25">
      <c r="B8854" t="str">
        <v>977-51: Hardware, Shelf Hardware, and Allied Items Rental or Lease</v>
      </c>
    </row>
    <row r="8855" spans="2:2" x14ac:dyDescent="0.25">
      <c r="B8855" t="str">
        <v>977-59: Musical Instrument Rental or Lease</v>
      </c>
    </row>
    <row r="8856" spans="2:2" x14ac:dyDescent="0.25">
      <c r="B8856" t="str">
        <v>977-63: Scaffolding and Ladders Rental or Lease</v>
      </c>
    </row>
    <row r="8857" spans="2:2" x14ac:dyDescent="0.25">
      <c r="B8857" t="str">
        <v>977-64: Sewing and Textile Machine Rental or Lease</v>
      </c>
    </row>
    <row r="8858" spans="2:2" x14ac:dyDescent="0.25">
      <c r="B8858" t="str">
        <v>977-73: Toilets and Showers, Portable, Rental or Lease</v>
      </c>
    </row>
    <row r="8859" spans="2:2" x14ac:dyDescent="0.25">
      <c r="B8859" t="str">
        <v>977-85: Vending Machine Rental or Lease</v>
      </c>
    </row>
    <row r="8860" spans="2:2" x14ac:dyDescent="0.25">
      <c r="B8860" t="str">
        <v>977-86: Venetian Blinds, Awnings, and Shades Rental or Lease</v>
      </c>
    </row>
    <row r="8861" spans="2:2" x14ac:dyDescent="0.25">
      <c r="B8861" t="str">
        <v>979-17: Chemical Laboratory Equipment and Supplies Rental or Lease</v>
      </c>
    </row>
    <row r="8862" spans="2:2" x14ac:dyDescent="0.25">
      <c r="B8862" t="str">
        <v>979-20: Controlling, Indicating, and Recording Instrument Rental or Lease</v>
      </c>
    </row>
    <row r="8863" spans="2:2" x14ac:dyDescent="0.25">
      <c r="B8863" t="str">
        <v>979-35: Engineering Equipment and Supplies Rental or Lease</v>
      </c>
    </row>
    <row r="8864" spans="2:2" x14ac:dyDescent="0.25">
      <c r="B8864" t="str">
        <v>979-37: First Aid and Safety Equipment, Including Manikins and Models Rental or Lease</v>
      </c>
    </row>
    <row r="8865" spans="2:2" x14ac:dyDescent="0.25">
      <c r="B8865" t="str">
        <v>979-39: Furniture, Hospital, Specialized, Rental or Lease</v>
      </c>
    </row>
    <row r="8866" spans="2:2" x14ac:dyDescent="0.25">
      <c r="B8866" t="str">
        <v>979-45: Hospital Equipment, General, Rental or Lease</v>
      </c>
    </row>
    <row r="8867" spans="2:2" x14ac:dyDescent="0.25">
      <c r="B8867" t="str">
        <v>979-46: Hospital Equipment, Invalid, Rental or Lease</v>
      </c>
    </row>
    <row r="8868" spans="2:2" x14ac:dyDescent="0.25">
      <c r="B8868" t="str">
        <v>979-47: Hospital Surgical and Operating Equipment Rental or Lease</v>
      </c>
    </row>
    <row r="8869" spans="2:2" x14ac:dyDescent="0.25">
      <c r="B8869" t="str">
        <v>979-52: Laboratory Equipment and Accessory Rental or Lease: General and Analytical Research Use, Nuclear, Optical, Physical</v>
      </c>
    </row>
    <row r="8870" spans="2:2" x14ac:dyDescent="0.25">
      <c r="B8870" t="str">
        <v>979-53: Laboratory Equipment and Accessories, Rental or Lease: Biochemistry, Biology, Environmental Science, etc.</v>
      </c>
    </row>
    <row r="8871" spans="2:2" x14ac:dyDescent="0.25">
      <c r="B8871" t="str">
        <v>979-65: Refrigeration Equipment and Accessory Rental or Lease</v>
      </c>
    </row>
    <row r="8872" spans="2:2" x14ac:dyDescent="0.25">
      <c r="B8872" t="str">
        <v>979-70: Sanitizing and Disinfecting Equipment, Rental or Lease</v>
      </c>
    </row>
    <row r="8873" spans="2:2" x14ac:dyDescent="0.25">
      <c r="B8873" t="str">
        <v>979-72: Scales and Weighing Apparatus Rental or Lease</v>
      </c>
    </row>
    <row r="8874" spans="2:2" x14ac:dyDescent="0.25">
      <c r="B8874" t="str">
        <v>979-81: Testing and Training Apparatus, Instruments, and Machines Rental or Lease</v>
      </c>
    </row>
    <row r="8875" spans="2:2" x14ac:dyDescent="0.25">
      <c r="B8875" t="str">
        <v>979-94: X-Ray Equipment, Medical, Rental or Lease</v>
      </c>
    </row>
    <row r="8876" spans="2:2" x14ac:dyDescent="0.25">
      <c r="B8876" t="str">
        <v>981-11: Air Compressors and Accessories Rental or Lease</v>
      </c>
    </row>
    <row r="8877" spans="2:2" x14ac:dyDescent="0.25">
      <c r="B8877" t="str">
        <v>981-12: Air Conditioning Equipment and Accessories Rental or Lease</v>
      </c>
    </row>
    <row r="8878" spans="2:2" x14ac:dyDescent="0.25">
      <c r="B8878" t="str">
        <v>981-14: Amusement Park Ride Equipment Rental or Lease</v>
      </c>
    </row>
    <row r="8879" spans="2:2" x14ac:dyDescent="0.25">
      <c r="B8879" t="str">
        <v>981-16: Athletic Equipment and Sporting Goods and Accessories Rental or Lease</v>
      </c>
    </row>
    <row r="8880" spans="2:2" x14ac:dyDescent="0.25">
      <c r="B8880" t="str">
        <v>981-20: Book and Publication Rental or Lease</v>
      </c>
    </row>
    <row r="8881" spans="2:2" x14ac:dyDescent="0.25">
      <c r="B8881" t="str">
        <v>981-24: Containers, All Kinds, Including Recycling Collection Containers Rental or Lease</v>
      </c>
    </row>
    <row r="8882" spans="2:2" x14ac:dyDescent="0.25">
      <c r="B8882" t="str">
        <v>981-30: Electrical Equipment and Supply Rental or Lease</v>
      </c>
    </row>
    <row r="8883" spans="2:2" x14ac:dyDescent="0.25">
      <c r="B8883" t="str">
        <v>981-32: Energy Collecting Equipment Rental or Lease: Solar and Wind</v>
      </c>
    </row>
    <row r="8884" spans="2:2" x14ac:dyDescent="0.25">
      <c r="B8884" t="str">
        <v>981-36: Fencing Rental or Lease</v>
      </c>
    </row>
    <row r="8885" spans="2:2" x14ac:dyDescent="0.25">
      <c r="B8885" t="str">
        <v>981-38: Fire Protection Systems and Supplies Rental or Lease</v>
      </c>
    </row>
    <row r="8886" spans="2:2" x14ac:dyDescent="0.25">
      <c r="B8886" t="str">
        <v>981-39: Fishing, Hunting, and Camping Equipment Rental or Lease</v>
      </c>
    </row>
    <row r="8887" spans="2:2" x14ac:dyDescent="0.25">
      <c r="B8887" t="str">
        <v>981-40: Garden, Greenhouse, and Nursery Equipment Rental or Lease</v>
      </c>
    </row>
    <row r="8888" spans="2:2" x14ac:dyDescent="0.25">
      <c r="B8888" t="str">
        <v>981-41: Gas Equipment Rental or Lease</v>
      </c>
    </row>
    <row r="8889" spans="2:2" x14ac:dyDescent="0.25">
      <c r="B8889" t="str">
        <v>981-43: Generator Rental or Lease and Maintenance Services</v>
      </c>
    </row>
    <row r="8890" spans="2:2" x14ac:dyDescent="0.25">
      <c r="B8890" t="str">
        <v>981-46: Guard Dog Rental or Lease</v>
      </c>
    </row>
    <row r="8891" spans="2:2" x14ac:dyDescent="0.25">
      <c r="B8891" t="str">
        <v>981-47: Heating Units, Ventilating Equipment, and Accessories Rental or Lease</v>
      </c>
    </row>
    <row r="8892" spans="2:2" x14ac:dyDescent="0.25">
      <c r="B8892" t="str">
        <v>981-49: Irrigation Systems Rental or Lease (See 975-08 for Farm Type)</v>
      </c>
    </row>
    <row r="8893" spans="2:2" x14ac:dyDescent="0.25">
      <c r="B8893" t="str">
        <v>981-52: Meeting Room Equipment and Accessories, Rental or Lease</v>
      </c>
    </row>
    <row r="8894" spans="2:2" x14ac:dyDescent="0.25">
      <c r="B8894" t="str">
        <v>981-54: Plumbing Equipment Rental or Lease</v>
      </c>
    </row>
    <row r="8895" spans="2:2" x14ac:dyDescent="0.25">
      <c r="B8895" t="str">
        <v>981-56: Police Equipment Supplies Rental or Lease</v>
      </c>
    </row>
    <row r="8896" spans="2:2" x14ac:dyDescent="0.25">
      <c r="B8896" t="str">
        <v>981-57: Pumps and Pump Accessory Rental or Lease</v>
      </c>
    </row>
    <row r="8897" spans="2:2" x14ac:dyDescent="0.25">
      <c r="B8897" t="str">
        <v>981-61: Recreational, Park, Picnic and Playground Equipment and Accessories Rental or Lease</v>
      </c>
    </row>
    <row r="8898" spans="2:2" x14ac:dyDescent="0.25">
      <c r="B8898" t="str">
        <v>981-65: School Equipment and Supplies Rental or Lease</v>
      </c>
    </row>
    <row r="8899" spans="2:2" x14ac:dyDescent="0.25">
      <c r="B8899" t="str">
        <v>981-66: Security and Access Systems, Airport, Library, Hospitals, etc. Rental or Lease</v>
      </c>
    </row>
    <row r="8900" spans="2:2" x14ac:dyDescent="0.25">
      <c r="B8900" t="str">
        <v>981-68: Steam Boilers, Steam Heating, and Power Plant Items Rental or Lease</v>
      </c>
    </row>
    <row r="8901" spans="2:2" x14ac:dyDescent="0.25">
      <c r="B8901" t="str">
        <v>981-69: Storage Tank Rental or Lease</v>
      </c>
    </row>
    <row r="8902" spans="2:2" x14ac:dyDescent="0.25">
      <c r="B8902" t="str">
        <v>981-72: Tents, Tarpaulins and Supplies Rental or Lease</v>
      </c>
    </row>
    <row r="8903" spans="2:2" x14ac:dyDescent="0.25">
      <c r="B8903" t="str">
        <v>981-73: Timepieces Rental or Lease</v>
      </c>
    </row>
    <row r="8904" spans="2:2" x14ac:dyDescent="0.25">
      <c r="B8904" t="str">
        <v>981-74: Theatrical Equipment and Supplies, Including Costumes Rental or Lease</v>
      </c>
    </row>
    <row r="8905" spans="2:2" x14ac:dyDescent="0.25">
      <c r="B8905" t="str">
        <v>981-76: Traffic Control Equipment and Accessories Rental or Lease</v>
      </c>
    </row>
    <row r="8906" spans="2:2" x14ac:dyDescent="0.25">
      <c r="B8906" t="str">
        <v>981-82: Weather Instrument, Equipment, and Accessory, Rental or Lease</v>
      </c>
    </row>
    <row r="8907" spans="2:2" x14ac:dyDescent="0.25">
      <c r="B8907" t="str">
        <v>981-83: Washers, Pressure, All Types Rental or Lease</v>
      </c>
    </row>
    <row r="8908" spans="2:2" x14ac:dyDescent="0.25">
      <c r="B8908" t="str">
        <v>981-84: Water and Sewer Equipment, Including Well Pointing Equipment Rental or Lease</v>
      </c>
    </row>
    <row r="8909" spans="2:2" x14ac:dyDescent="0.25">
      <c r="B8909" t="str">
        <v>981-85: Welding Equipment and Supplies Rental or Lease</v>
      </c>
    </row>
    <row r="8910" spans="2:2" x14ac:dyDescent="0.25">
      <c r="B8910" t="str">
        <v>983-18: Broom, Brush, and Mop Manufacturing Machinery Rental or Lease</v>
      </c>
    </row>
    <row r="8911" spans="2:2" x14ac:dyDescent="0.25">
      <c r="B8911" t="str">
        <v>983-22: Clothing, Including Formal Wear and Diapers Rental or Lease</v>
      </c>
    </row>
    <row r="8912" spans="2:2" x14ac:dyDescent="0.25">
      <c r="B8912" t="str">
        <v>983-34: Floor Maintenance Machine Rental or Lease</v>
      </c>
    </row>
    <row r="8913" spans="2:2" x14ac:dyDescent="0.25">
      <c r="B8913" t="str">
        <v>983-38: Janitorial Equipment Rental or Lease</v>
      </c>
    </row>
    <row r="8914" spans="2:2" x14ac:dyDescent="0.25">
      <c r="B8914" t="str">
        <v>983-45: Laundry and Dry Cleaning Equipment, Commercial, Rental or Lease</v>
      </c>
    </row>
    <row r="8915" spans="2:2" x14ac:dyDescent="0.25">
      <c r="B8915" t="str">
        <v>983-47: Lawn Equipment Rental or Lease</v>
      </c>
    </row>
    <row r="8916" spans="2:2" x14ac:dyDescent="0.25">
      <c r="B8916" t="str">
        <v>983-55: Painting Equipment and Supplies Rental or Lease</v>
      </c>
    </row>
    <row r="8917" spans="2:2" x14ac:dyDescent="0.25">
      <c r="B8917" t="str">
        <v>983-64: Robes, Caps, and Gowns, Choir and Graduation, Rental or Lease</v>
      </c>
    </row>
    <row r="8918" spans="2:2" x14ac:dyDescent="0.25">
      <c r="B8918" t="str">
        <v>983-68: Spraying Equipment Rental or Lease</v>
      </c>
    </row>
    <row r="8919" spans="2:2" x14ac:dyDescent="0.25">
      <c r="B8919" t="str">
        <v>983-77: Textiles, Linens, etc. Including Shop Towels, Rental or Lease</v>
      </c>
    </row>
    <row r="8920" spans="2:2" x14ac:dyDescent="0.25">
      <c r="B8920" t="str">
        <v>983-79: Treated and Dry Mops and Rugs, Including Floor Mats, Rental or Lease</v>
      </c>
    </row>
    <row r="8921" spans="2:2" x14ac:dyDescent="0.25">
      <c r="B8921" t="str">
        <v>983-80: Treated and Dry Sweeping and Dust Cloth Rental or Lease</v>
      </c>
    </row>
    <row r="8922" spans="2:2" x14ac:dyDescent="0.25">
      <c r="B8922" t="str">
        <v>983-86: Uniform Rental or Lease</v>
      </c>
    </row>
    <row r="8923" spans="2:2" x14ac:dyDescent="0.25">
      <c r="B8923" t="str">
        <v>984-12: *Bursters, Decollators, Detachers, etc., Rental or Lease</v>
      </c>
    </row>
    <row r="8924" spans="2:2" x14ac:dyDescent="0.25">
      <c r="B8924" t="str">
        <v>984-19: *Communication Boards, Control Units, Modems, Processors and Protocol Converters, etc., Rental or Lease</v>
      </c>
    </row>
    <row r="8925" spans="2:2" x14ac:dyDescent="0.25">
      <c r="B8925" t="str">
        <v>984-23: *Computers, Microcomputer, Rental or Lease</v>
      </c>
    </row>
    <row r="8926" spans="2:2" x14ac:dyDescent="0.25">
      <c r="B8926" t="str">
        <v>984-24: Computers, Microcomputer, Handheld, Laptop and Notebook, Rental or Lease</v>
      </c>
    </row>
    <row r="8927" spans="2:2" x14ac:dyDescent="0.25">
      <c r="B8927" t="str">
        <v>984-26: *Computers, Mainframe, Rental or Lease</v>
      </c>
    </row>
    <row r="8928" spans="2:2" x14ac:dyDescent="0.25">
      <c r="B8928" t="str">
        <v>984-30: *Computer Accessories (Not Otherwise Classified) Rental or Lease: CRT Holders, Forms Tractors, Wrist Supports, etc.</v>
      </c>
    </row>
    <row r="8929" spans="2:2" x14ac:dyDescent="0.25">
      <c r="B8929" t="str">
        <v>984-34: *Covers and Enclosures, Acoustical and Protective, Computer Equipment Rental or Lease</v>
      </c>
    </row>
    <row r="8930" spans="2:2" x14ac:dyDescent="0.25">
      <c r="B8930" t="str">
        <v>984-39: *Drives, Rental or Lease: CDROM, Hard, Floppy and Tape</v>
      </c>
    </row>
    <row r="8931" spans="2:2" x14ac:dyDescent="0.25">
      <c r="B8931" t="str">
        <v>984-54: *Peripheral Miscellaneous Rental or Lease: Keyboards, Mice, Monitors, etc.</v>
      </c>
    </row>
    <row r="8932" spans="2:2" x14ac:dyDescent="0.25">
      <c r="B8932" t="str">
        <v>984-57: *Power Supplies Rental or Lease: Surge Protectors, UPS, etc.</v>
      </c>
    </row>
    <row r="8933" spans="2:2" x14ac:dyDescent="0.25">
      <c r="B8933" t="str">
        <v>984-60: *Printers and Plotters, Computer, All Types, Rental or Lease</v>
      </c>
    </row>
    <row r="8934" spans="2:2" x14ac:dyDescent="0.25">
      <c r="B8934" t="str">
        <v>984-83: *Scanner and Reader Rental or Lease</v>
      </c>
    </row>
    <row r="8935" spans="2:2" x14ac:dyDescent="0.25">
      <c r="B8935" t="str">
        <v>984-84: Servers, Rental or Lease</v>
      </c>
    </row>
    <row r="8936" spans="2:2" x14ac:dyDescent="0.25">
      <c r="B8936" t="str">
        <v>984-87: *Terminals, CRTs and Remote Job Entry Devices Rental or Lease</v>
      </c>
    </row>
    <row r="8937" spans="2:2" x14ac:dyDescent="0.25">
      <c r="B8937" t="str">
        <v>984-92: *Word Processing Equipment Rental or Lease</v>
      </c>
    </row>
    <row r="8938" spans="2:2" x14ac:dyDescent="0.25">
      <c r="B8938" t="str">
        <v>985-12: Audio and Video Equipment and Accessory Rental or Lease</v>
      </c>
    </row>
    <row r="8939" spans="2:2" x14ac:dyDescent="0.25">
      <c r="B8939" t="str">
        <v>985-23: *Copy Machines, Thermal Type, Rental or Lease</v>
      </c>
    </row>
    <row r="8940" spans="2:2" x14ac:dyDescent="0.25">
      <c r="B8940" t="str">
        <v>985-24: *Copy Machines, Coated or Treated Paper Type, Rental or Lease</v>
      </c>
    </row>
    <row r="8941" spans="2:2" x14ac:dyDescent="0.25">
      <c r="B8941" t="str">
        <v>985-25: *Copy Machines, For use by Engineers, Rental or Lease</v>
      </c>
    </row>
    <row r="8942" spans="2:2" x14ac:dyDescent="0.25">
      <c r="B8942" t="str">
        <v>985-26: *Copy Machine, Plain Paper Type, Including Cost-Per-Copy Type Leases, Rental or Lease</v>
      </c>
    </row>
    <row r="8943" spans="2:2" x14ac:dyDescent="0.25">
      <c r="B8943" t="str">
        <v>985-27: *Copy Machines, Digital and Analog Types, Rental or Lease</v>
      </c>
    </row>
    <row r="8944" spans="2:2" x14ac:dyDescent="0.25">
      <c r="B8944" t="str">
        <v>985-28: Coolers, Drinking Water, Rental or Lease</v>
      </c>
    </row>
    <row r="8945" spans="2:2" x14ac:dyDescent="0.25">
      <c r="B8945" t="str">
        <v>985-30: *Digital Printing and Graphic System, Rental or Lease</v>
      </c>
    </row>
    <row r="8946" spans="2:2" x14ac:dyDescent="0.25">
      <c r="B8946" t="str">
        <v>985-35: *Duplicating Machines, All Types, Rental or Lease</v>
      </c>
    </row>
    <row r="8947" spans="2:2" x14ac:dyDescent="0.25">
      <c r="B8947" t="str">
        <v>985-40: Filing Systems Rental or Lease</v>
      </c>
    </row>
    <row r="8948" spans="2:2" x14ac:dyDescent="0.25">
      <c r="B8948" t="str">
        <v>985-47: Intercom and Other Sound Equipment Rental or Lease</v>
      </c>
    </row>
    <row r="8949" spans="2:2" x14ac:dyDescent="0.25">
      <c r="B8949" t="str">
        <v>985-52: Library Machine Rental or Lease</v>
      </c>
    </row>
    <row r="8950" spans="2:2" x14ac:dyDescent="0.25">
      <c r="B8950" t="str">
        <v>985-54: Mailing Equipment Including Postage Meter Rental or Lease</v>
      </c>
    </row>
    <row r="8951" spans="2:2" x14ac:dyDescent="0.25">
      <c r="B8951" t="str">
        <v>985-55: *Microfiche/Microfilm Equipment and Accessory Rental or Lease</v>
      </c>
    </row>
    <row r="8952" spans="2:2" x14ac:dyDescent="0.25">
      <c r="B8952" t="str">
        <v>985-58: *Office Machines, Multi-Function, Rental or Lease</v>
      </c>
    </row>
    <row r="8953" spans="2:2" x14ac:dyDescent="0.25">
      <c r="B8953" t="str">
        <v>985-59: *Office Machines, Equipment, and Accessories Rental or Lease (Not Otherwise Classified)</v>
      </c>
    </row>
    <row r="8954" spans="2:2" x14ac:dyDescent="0.25">
      <c r="B8954" t="str">
        <v>985-60: Postal Equipment, Rental or Lease, Including Post Office Box Rentals</v>
      </c>
    </row>
    <row r="8955" spans="2:2" x14ac:dyDescent="0.25">
      <c r="B8955" t="str">
        <v>985-61: Photographic and Recording Equipment Rental or Lease</v>
      </c>
    </row>
    <row r="8956" spans="2:2" x14ac:dyDescent="0.25">
      <c r="B8956" t="str">
        <v>985-62: Plants, Nursery Stock, Rental and Leasing Services</v>
      </c>
    </row>
    <row r="8957" spans="2:2" x14ac:dyDescent="0.25">
      <c r="B8957" t="str">
        <v>985-64: *Printing Plant Equipment and Supplies Rental or Lease</v>
      </c>
    </row>
    <row r="8958" spans="2:2" x14ac:dyDescent="0.25">
      <c r="B8958" t="str">
        <v>985-69: *Radio and Telecommunications Equipment and Accessory Rental or Lease, Including Radio Towers and Telephone Poles</v>
      </c>
    </row>
    <row r="8959" spans="2:2" x14ac:dyDescent="0.25">
      <c r="B8959" t="str">
        <v>985-73: Signs, Message Boards and Centers, etc., Rental or Lease</v>
      </c>
    </row>
    <row r="8960" spans="2:2" x14ac:dyDescent="0.25">
      <c r="B8960" t="str">
        <v>985-74: *Software, Computer, Rental or Lease</v>
      </c>
    </row>
    <row r="8961" spans="2:2" x14ac:dyDescent="0.25">
      <c r="B8961" t="str">
        <v>985-76: *Teleconference Systems Rental or Lease</v>
      </c>
    </row>
    <row r="8962" spans="2:2" x14ac:dyDescent="0.25">
      <c r="B8962" t="str">
        <v>985-77: *Telephone Systems and Portable Phones, Including Pagers, Rental or Lease</v>
      </c>
    </row>
    <row r="8963" spans="2:2" x14ac:dyDescent="0.25">
      <c r="B8963" t="str">
        <v>985-78: Television Equipment and Accessories Rental or Lease</v>
      </c>
    </row>
    <row r="8964" spans="2:2" x14ac:dyDescent="0.25">
      <c r="B8964" t="str">
        <v>985-79: Ticket Dispensing and Collection Equipment Rental or Lease</v>
      </c>
    </row>
    <row r="8965" spans="2:2" x14ac:dyDescent="0.25">
      <c r="B8965" t="str">
        <v>985-85: Visual Education Equipment and Supplies Rental or Lease</v>
      </c>
    </row>
    <row r="8966" spans="2:2" x14ac:dyDescent="0.25">
      <c r="B8966" t="str">
        <v>985-86: *Voice Mail Systems Rental or Lease</v>
      </c>
    </row>
    <row r="8967" spans="2:2" x14ac:dyDescent="0.25">
      <c r="B8967" t="str">
        <v>985-87: *Voting Machine Rental or Lease</v>
      </c>
    </row>
    <row r="8968" spans="2:2" x14ac:dyDescent="0.25">
      <c r="B8968" t="str">
        <v>988-02: Arborist Services</v>
      </c>
    </row>
    <row r="8969" spans="2:2" x14ac:dyDescent="0.25">
      <c r="B8969" t="str">
        <v>988-03: Athletic Field Maintenance (Inactive, please see commodity code 909-17 effective January 1, 2016)</v>
      </c>
    </row>
    <row r="8970" spans="2:2" x14ac:dyDescent="0.25">
      <c r="B8970" t="str">
        <v>988-07: Cleaning of Amusement Areas, Exposition Centers, Grounds, Parks, Picnic Areas, Rest Areas, Etc.</v>
      </c>
    </row>
    <row r="8971" spans="2:2" x14ac:dyDescent="0.25">
      <c r="B8971" t="str">
        <v>988-08: Cleaning of Roadside Park, Rest Stop Areas Including Privy Vaults, Septic Tanks and Trash Cans</v>
      </c>
    </row>
    <row r="8972" spans="2:2" x14ac:dyDescent="0.25">
      <c r="B8972" t="str">
        <v>988-14: Erosion Control Services</v>
      </c>
    </row>
    <row r="8973" spans="2:2" x14ac:dyDescent="0.25">
      <c r="B8973" t="str">
        <v>988-15: Fence Installation, Maintenance and Repair</v>
      </c>
    </row>
    <row r="8974" spans="2:2" x14ac:dyDescent="0.25">
      <c r="B8974" t="str">
        <v>988-20: Fire Break Services</v>
      </c>
    </row>
    <row r="8975" spans="2:2" x14ac:dyDescent="0.25">
      <c r="B8975" t="str">
        <v>988-26: Flood Control Services</v>
      </c>
    </row>
    <row r="8976" spans="2:2" x14ac:dyDescent="0.25">
      <c r="B8976" t="str">
        <v>988-27: Flora Protection Services</v>
      </c>
    </row>
    <row r="8977" spans="2:2" x14ac:dyDescent="0.25">
      <c r="B8977" t="str">
        <v>988-31: Golf Course Management and Operation</v>
      </c>
    </row>
    <row r="8978" spans="2:2" x14ac:dyDescent="0.25">
      <c r="B8978" t="str">
        <v>988-32: Grading, Parking Lots, etc., Not Road Building</v>
      </c>
    </row>
    <row r="8979" spans="2:2" x14ac:dyDescent="0.25">
      <c r="B8979" t="str">
        <v>988-36: Grounds and Roadside Maintenance: Mowing, Edging, Plant, Not Tree Trimming, etc.</v>
      </c>
    </row>
    <row r="8980" spans="2:2" x14ac:dyDescent="0.25">
      <c r="B8980" t="str">
        <v>988-38: Hydromulching Services</v>
      </c>
    </row>
    <row r="8981" spans="2:2" x14ac:dyDescent="0.25">
      <c r="B8981" t="str">
        <v>988-40: Ice Production Services for Skating Rinks</v>
      </c>
    </row>
    <row r="8982" spans="2:2" x14ac:dyDescent="0.25">
      <c r="B8982" t="str">
        <v>988-46: Landfill Services</v>
      </c>
    </row>
    <row r="8983" spans="2:2" x14ac:dyDescent="0.25">
      <c r="B8983" t="str">
        <v>988-52: Landscaping, Including Design, Fertilizing, Planting, etc., Not Grounds Maintenance or Tree Trimming Services</v>
      </c>
    </row>
    <row r="8984" spans="2:2" x14ac:dyDescent="0.25">
      <c r="B8984" t="str">
        <v>988-54: Lighting Services for Parks, Athletic Fields, Parking Lots, etc.</v>
      </c>
    </row>
    <row r="8985" spans="2:2" x14ac:dyDescent="0.25">
      <c r="B8985" t="str">
        <v>988-56: Litter Removal Services, Including Beach Cleaning, (See 910-27 For Buildings)</v>
      </c>
    </row>
    <row r="8986" spans="2:2" x14ac:dyDescent="0.25">
      <c r="B8986" t="str">
        <v>988-59: Mulch and Compost Production Services</v>
      </c>
    </row>
    <row r="8987" spans="2:2" x14ac:dyDescent="0.25">
      <c r="B8987" t="str">
        <v>988-63: Park Area Construction and Renovation</v>
      </c>
    </row>
    <row r="8988" spans="2:2" x14ac:dyDescent="0.25">
      <c r="B8988" t="str">
        <v>988-64: Parks Systems Administrative Services</v>
      </c>
    </row>
    <row r="8989" spans="2:2" x14ac:dyDescent="0.25">
      <c r="B8989" t="str">
        <v>988-65: Parks Systems Technical Services</v>
      </c>
    </row>
    <row r="8990" spans="2:2" x14ac:dyDescent="0.25">
      <c r="B8990" t="str">
        <v>988-72: Pest Control, Other Than Buildings, Including Spraying Trees and Shrubs</v>
      </c>
    </row>
    <row r="8991" spans="2:2" x14ac:dyDescent="0.25">
      <c r="B8991" t="str">
        <v>988-73: Playground Equipment Maintenance and Repair, Including Installation and Removal</v>
      </c>
    </row>
    <row r="8992" spans="2:2" x14ac:dyDescent="0.25">
      <c r="B8992" t="str">
        <v>988-75: Roadside Maintenance Services, Including Mowing, etc. (Inactive, please see commodity code 988-36 effective January 1, 2016)</v>
      </c>
    </row>
    <row r="8993" spans="2:2" x14ac:dyDescent="0.25">
      <c r="B8993" t="str">
        <v>988-77: Skating Rink and Ski Trail Maintenance and Repair, Including Resurfacing, Ice</v>
      </c>
    </row>
    <row r="8994" spans="2:2" x14ac:dyDescent="0.25">
      <c r="B8994" t="str">
        <v>988-78: Skating Rink Maintenance and Repair, Including Resurfacing, Roller</v>
      </c>
    </row>
    <row r="8995" spans="2:2" x14ac:dyDescent="0.25">
      <c r="B8995" t="str">
        <v>988-79: Ski Trail Maintenance and Repair (Inactive, please see commodity code 988-77 effective January 1, 2016)</v>
      </c>
    </row>
    <row r="8996" spans="2:2" x14ac:dyDescent="0.25">
      <c r="B8996" t="str">
        <v>988-83: Swimming Pool Management and Operation</v>
      </c>
    </row>
    <row r="8997" spans="2:2" x14ac:dyDescent="0.25">
      <c r="B8997" t="str">
        <v>988-84: Tennis Court Management and Opersations</v>
      </c>
    </row>
    <row r="8998" spans="2:2" x14ac:dyDescent="0.25">
      <c r="B8998" t="str">
        <v>988-87: Tree Trimming and Pruning Services, Utility Lines, Energized</v>
      </c>
    </row>
    <row r="8999" spans="2:2" x14ac:dyDescent="0.25">
      <c r="B8999" t="str">
        <v>988-88: Tree Trimming and Pruning Services</v>
      </c>
    </row>
    <row r="9000" spans="2:2" x14ac:dyDescent="0.25">
      <c r="B9000" t="str">
        <v>988-89: Weed and Vegetation Control, Including Trees, Shrubs and Aquatic Weed Control</v>
      </c>
    </row>
    <row r="9001" spans="2:2" x14ac:dyDescent="0.25">
      <c r="B9001" t="str">
        <v>989-14: Asphalt Sampling and Inspection Services</v>
      </c>
    </row>
    <row r="9002" spans="2:2" x14ac:dyDescent="0.25">
      <c r="B9002" t="str">
        <v>989-24: Chemical Sampling and Preparation Services</v>
      </c>
    </row>
    <row r="9003" spans="2:2" x14ac:dyDescent="0.25">
      <c r="B9003" t="str">
        <v>989-40: Food Sampling and Preparation Services</v>
      </c>
    </row>
    <row r="9004" spans="2:2" x14ac:dyDescent="0.25">
      <c r="B9004" t="str">
        <v>989-45: Grain Sampling and Preparation Services</v>
      </c>
    </row>
    <row r="9005" spans="2:2" x14ac:dyDescent="0.25">
      <c r="B9005" t="str">
        <v>989-52: Metal Sampling and Analysis Services</v>
      </c>
    </row>
    <row r="9006" spans="2:2" x14ac:dyDescent="0.25">
      <c r="B9006" t="str">
        <v>989-54: Oil Well Sampling and Core Sample, Billets, Preparation Services</v>
      </c>
    </row>
    <row r="9007" spans="2:2" x14ac:dyDescent="0.25">
      <c r="B9007" t="str">
        <v>989-75: Soil Sampling and Preparation Services</v>
      </c>
    </row>
    <row r="9008" spans="2:2" x14ac:dyDescent="0.25">
      <c r="B9008" t="str">
        <v>989-91: *Water Sampling and Analysis Services</v>
      </c>
    </row>
    <row r="9009" spans="2:2" x14ac:dyDescent="0.25">
      <c r="B9009" t="str">
        <v>990-05: *Alarm Services</v>
      </c>
    </row>
    <row r="9010" spans="2:2" x14ac:dyDescent="0.25">
      <c r="B9010" t="str">
        <v>990-10: Armored Car Services</v>
      </c>
    </row>
    <row r="9011" spans="2:2" x14ac:dyDescent="0.25">
      <c r="B9011" t="str">
        <v>990-18: Bomb and Explosives Disposal Services</v>
      </c>
    </row>
    <row r="9012" spans="2:2" x14ac:dyDescent="0.25">
      <c r="B9012" t="str">
        <v>990-22: *Card Access Security Services</v>
      </c>
    </row>
    <row r="9013" spans="2:2" x14ac:dyDescent="0.25">
      <c r="B9013" t="str">
        <v>990-25: *Crime Prevention Services</v>
      </c>
    </row>
    <row r="9014" spans="2:2" x14ac:dyDescent="0.25">
      <c r="B9014" t="str">
        <v>990-27: Crossing Guard Services</v>
      </c>
    </row>
    <row r="9015" spans="2:2" x14ac:dyDescent="0.25">
      <c r="B9015" t="str">
        <v>990-28: *Document Recovery Services, Disaster, Including Paper Documents, Film, Tapes etc.</v>
      </c>
    </row>
    <row r="9016" spans="2:2" x14ac:dyDescent="0.25">
      <c r="B9016" t="str">
        <v>990-29: *Disaster Preparedness and Emergency Planning Services</v>
      </c>
    </row>
    <row r="9017" spans="2:2" x14ac:dyDescent="0.25">
      <c r="B9017" t="str">
        <v>990-30: Disaster Relief Services</v>
      </c>
    </row>
    <row r="9018" spans="2:2" x14ac:dyDescent="0.25">
      <c r="B9018" t="str">
        <v>990-31: *Dispatching Services, Including Fire, Police and Medical Services</v>
      </c>
    </row>
    <row r="9019" spans="2:2" x14ac:dyDescent="0.25">
      <c r="B9019" t="str">
        <v>990-32: Driver's License Services</v>
      </c>
    </row>
    <row r="9020" spans="2:2" x14ac:dyDescent="0.25">
      <c r="B9020" t="str">
        <v>990-33: Drug Detection Services, Including Use of Drug Sniffing Dogs</v>
      </c>
    </row>
    <row r="9021" spans="2:2" x14ac:dyDescent="0.25">
      <c r="B9021" t="str">
        <v>990-36: Emergency Facility Support Management</v>
      </c>
    </row>
    <row r="9022" spans="2:2" x14ac:dyDescent="0.25">
      <c r="B9022" t="str">
        <v>990-37: Emergency Medical Services, Including Emergency Ambulance Services, (See 948-12 for Non-emergency Ambulance Services)</v>
      </c>
    </row>
    <row r="9023" spans="2:2" x14ac:dyDescent="0.25">
      <c r="B9023" t="str">
        <v>990-38: *Emergency Personnel Recall Service</v>
      </c>
    </row>
    <row r="9024" spans="2:2" x14ac:dyDescent="0.25">
      <c r="B9024" t="str">
        <v>990-39: *Emergency Systems Monitoring Service, Including Alarms and Operational Readiness Reporting</v>
      </c>
    </row>
    <row r="9025" spans="2:2" x14ac:dyDescent="0.25">
      <c r="B9025" t="str">
        <v>990-41: Fingerprinting Services</v>
      </c>
    </row>
    <row r="9026" spans="2:2" x14ac:dyDescent="0.25">
      <c r="B9026" t="str">
        <v>990-42: *Fire Alarm and Safety Services, Including Installation of Equipment</v>
      </c>
    </row>
    <row r="9027" spans="2:2" x14ac:dyDescent="0.25">
      <c r="B9027" t="str">
        <v>990-43: Fire Fighting Services, Oil and Gas Wells (See 952-44 for other Fire Fighting Services)</v>
      </c>
    </row>
    <row r="9028" spans="2:2" x14ac:dyDescent="0.25">
      <c r="B9028" t="str">
        <v>990-46: Guard and Security Services</v>
      </c>
    </row>
    <row r="9029" spans="2:2" x14ac:dyDescent="0.25">
      <c r="B9029" t="str">
        <v>990-48: *Identity Theft Protection and Data Security Services</v>
      </c>
    </row>
    <row r="9030" spans="2:2" x14ac:dyDescent="0.25">
      <c r="B9030" t="str">
        <v>990-49: *Incident Management Response Services, Including Patient Tracking, Responder Credentialing, Asset and Inventory Management</v>
      </c>
    </row>
    <row r="9031" spans="2:2" x14ac:dyDescent="0.25">
      <c r="B9031" t="str">
        <v>990-50: *Installation of Security and Alarm Equipment</v>
      </c>
    </row>
    <row r="9032" spans="2:2" x14ac:dyDescent="0.25">
      <c r="B9032" t="str">
        <v>990-52: *Investigative Services</v>
      </c>
    </row>
    <row r="9033" spans="2:2" x14ac:dyDescent="0.25">
      <c r="B9033" t="str">
        <v>990-57: *Lie Detection Services</v>
      </c>
    </row>
    <row r="9034" spans="2:2" x14ac:dyDescent="0.25">
      <c r="B9034" t="str">
        <v>990-58: Lifeguard Services</v>
      </c>
    </row>
    <row r="9035" spans="2:2" x14ac:dyDescent="0.25">
      <c r="B9035" t="str">
        <v>990-60: Disaster Site Clean-up and Recovery Services</v>
      </c>
    </row>
    <row r="9036" spans="2:2" x14ac:dyDescent="0.25">
      <c r="B9036" t="str">
        <v>990-67: Patrol Services</v>
      </c>
    </row>
    <row r="9037" spans="2:2" x14ac:dyDescent="0.25">
      <c r="B9037" t="str">
        <v>990-68: Playground Safety Certification Services</v>
      </c>
    </row>
    <row r="9038" spans="2:2" x14ac:dyDescent="0.25">
      <c r="B9038" t="str">
        <v>990-70: *Polygraph Testing Services</v>
      </c>
    </row>
    <row r="9039" spans="2:2" x14ac:dyDescent="0.25">
      <c r="B9039" t="str">
        <v>990-75: Rescue and Search Team Services</v>
      </c>
    </row>
    <row r="9040" spans="2:2" x14ac:dyDescent="0.25">
      <c r="B9040" t="str">
        <v>990-77: Safety Training and Awareness Services, Including Highway Safety, Boating, Seat Belt, CPR and AED Training</v>
      </c>
    </row>
    <row r="9041" spans="2:2" x14ac:dyDescent="0.25">
      <c r="B9041" t="str">
        <v>990-78: Security Services, Hazardous Waste Site</v>
      </c>
    </row>
    <row r="9042" spans="2:2" x14ac:dyDescent="0.25">
      <c r="B9042" t="str">
        <v>990-79: Sanitizing and Disinfecting Services, Security, Fire, Safety and Emergency</v>
      </c>
    </row>
    <row r="9043" spans="2:2" x14ac:dyDescent="0.25">
      <c r="B9043" t="str">
        <v>990-80: *Surveillance Services</v>
      </c>
    </row>
    <row r="9044" spans="2:2" x14ac:dyDescent="0.25">
      <c r="B9044" t="str">
        <v>990-90: X-Ray Film Badge Services</v>
      </c>
    </row>
    <row r="9045" spans="2:2" x14ac:dyDescent="0.25">
      <c r="B9045" t="str">
        <v>992-15: Air Quality Monitoring Equipment Testing and Calibration Services</v>
      </c>
    </row>
    <row r="9046" spans="2:2" x14ac:dyDescent="0.25">
      <c r="B9046" t="str">
        <v>992-19: Automotive and Road Equipment Testing and Calibration Services</v>
      </c>
    </row>
    <row r="9047" spans="2:2" x14ac:dyDescent="0.25">
      <c r="B9047" t="str">
        <v>992-22: Ballistics Testing Services</v>
      </c>
    </row>
    <row r="9048" spans="2:2" x14ac:dyDescent="0.25">
      <c r="B9048" t="str">
        <v>992-26: Biological and Microbiological Testing Services</v>
      </c>
    </row>
    <row r="9049" spans="2:2" x14ac:dyDescent="0.25">
      <c r="B9049" t="str">
        <v>992-31: Chemical Testing Services (See 962-22 For Laboratory Testing)</v>
      </c>
    </row>
    <row r="9050" spans="2:2" x14ac:dyDescent="0.25">
      <c r="B9050" t="str">
        <v>992-34: Concrete Testing Services</v>
      </c>
    </row>
    <row r="9051" spans="2:2" x14ac:dyDescent="0.25">
      <c r="B9051" t="str">
        <v>992-36: Core Sample, Not Concrete, Testing Services</v>
      </c>
    </row>
    <row r="9052" spans="2:2" x14ac:dyDescent="0.25">
      <c r="B9052" t="str">
        <v>992-39: Electrical Systems Testing Services</v>
      </c>
    </row>
    <row r="9053" spans="2:2" x14ac:dyDescent="0.25">
      <c r="B9053" t="str">
        <v>992-40: Electronic and Electrical Cable Testing Services</v>
      </c>
    </row>
    <row r="9054" spans="2:2" x14ac:dyDescent="0.25">
      <c r="B9054" t="str">
        <v>992-45: Gaseous Fuel Tank Testing Services, Vehicular</v>
      </c>
    </row>
    <row r="9055" spans="2:2" x14ac:dyDescent="0.25">
      <c r="B9055" t="str">
        <v>992-47: HVAC System Testing, Balancing and Troubleshooting Services</v>
      </c>
    </row>
    <row r="9056" spans="2:2" x14ac:dyDescent="0.25">
      <c r="B9056" t="str">
        <v>992-49: Light Measurement Equipment Testing and Calibration Services</v>
      </c>
    </row>
    <row r="9057" spans="2:2" x14ac:dyDescent="0.25">
      <c r="B9057" t="str">
        <v>992-53: Medical Equipment Testing and Calibration Services, Not X-Ray</v>
      </c>
    </row>
    <row r="9058" spans="2:2" x14ac:dyDescent="0.25">
      <c r="B9058" t="str">
        <v>992-55: Miscellaneous Testing and Calibration Services</v>
      </c>
    </row>
    <row r="9059" spans="2:2" x14ac:dyDescent="0.25">
      <c r="B9059" t="str">
        <v>992-58: Office Equipment Testing Services</v>
      </c>
    </row>
    <row r="9060" spans="2:2" x14ac:dyDescent="0.25">
      <c r="B9060" t="str">
        <v>992-59: Oil Field Equipment Testing Services</v>
      </c>
    </row>
    <row r="9061" spans="2:2" x14ac:dyDescent="0.25">
      <c r="B9061" t="str">
        <v>992-61: Paint Testing Services</v>
      </c>
    </row>
    <row r="9062" spans="2:2" x14ac:dyDescent="0.25">
      <c r="B9062" t="str">
        <v>992-65: Pressure Testing Services, Fuel Tanks, Pressure Tanks, etc.</v>
      </c>
    </row>
    <row r="9063" spans="2:2" x14ac:dyDescent="0.25">
      <c r="B9063" t="str">
        <v>992-70: Radar Equipment Testing and Calibration Services</v>
      </c>
    </row>
    <row r="9064" spans="2:2" x14ac:dyDescent="0.25">
      <c r="B9064" t="str">
        <v>992-71: Radio Instrument Testing and Calibration Services</v>
      </c>
    </row>
    <row r="9065" spans="2:2" x14ac:dyDescent="0.25">
      <c r="B9065" t="str">
        <v>992-72: Return Merchandising Authorization Testing Services</v>
      </c>
    </row>
    <row r="9066" spans="2:2" x14ac:dyDescent="0.25">
      <c r="B9066" t="str">
        <v>992-75: Safety Equipment Testing and Calibration Services</v>
      </c>
    </row>
    <row r="9067" spans="2:2" x14ac:dyDescent="0.25">
      <c r="B9067" t="str">
        <v>992-77: *Scientific Equipment Testing and Calibration Services</v>
      </c>
    </row>
    <row r="9068" spans="2:2" x14ac:dyDescent="0.25">
      <c r="B9068" t="str">
        <v>992-83: Textile Testing Services</v>
      </c>
    </row>
    <row r="9069" spans="2:2" x14ac:dyDescent="0.25">
      <c r="B9069" t="str">
        <v>992-87: Underground Leak Testing Services</v>
      </c>
    </row>
    <row r="9070" spans="2:2" x14ac:dyDescent="0.25">
      <c r="B9070" t="str">
        <v>992-90: Video Instrument Testing and Calibration Services</v>
      </c>
    </row>
    <row r="9071" spans="2:2" x14ac:dyDescent="0.25">
      <c r="B9071" t="str">
        <v>992-97: X-Ray Equipment Testing and Calibration Services</v>
      </c>
    </row>
    <row r="9072" spans="2:2" x14ac:dyDescent="0.25">
      <c r="B9072" t="str">
        <v>993-10: Travel, Business</v>
      </c>
    </row>
    <row r="9073" spans="2:2" x14ac:dyDescent="0.25">
      <c r="B9073" t="str">
        <v>993-11: Travel, Foreign, Employee</v>
      </c>
    </row>
    <row r="9074" spans="2:2" x14ac:dyDescent="0.25">
      <c r="B9074" t="str">
        <v>993-12: Travel Agency Fees, Foreign Travel</v>
      </c>
    </row>
    <row r="9075" spans="2:2" x14ac:dyDescent="0.25">
      <c r="B9075" t="str">
        <v>993-13: Travel Agency Fees, Prospective Employee</v>
      </c>
    </row>
    <row r="9076" spans="2:2" x14ac:dyDescent="0.25">
      <c r="B9076" t="str">
        <v>993-14: Travel Agency Fees, Students</v>
      </c>
    </row>
    <row r="9077" spans="2:2" x14ac:dyDescent="0.25">
      <c r="B9077" t="str">
        <v>993-16: Travel, Faculty</v>
      </c>
    </row>
    <row r="9078" spans="2:2" x14ac:dyDescent="0.25">
      <c r="B9078" t="str">
        <v>993-20: Travel, Professional Development, Employee</v>
      </c>
    </row>
    <row r="9079" spans="2:2" x14ac:dyDescent="0.25">
      <c r="B9079" t="str">
        <v>993-21: Travel, Prospective State Employee</v>
      </c>
    </row>
    <row r="9080" spans="2:2" x14ac:dyDescent="0.25">
      <c r="B9080" t="str">
        <v>993-22: Travel, Prospective Students, Local</v>
      </c>
    </row>
    <row r="9081" spans="2:2" x14ac:dyDescent="0.25">
      <c r="B9081" t="str">
        <v>993-25: Travel, Students, Including Meals</v>
      </c>
    </row>
    <row r="9082" spans="2:2" x14ac:dyDescent="0.25">
      <c r="B9082" t="str">
        <v>993-30: Travel-In, Actual Expenses Overnight</v>
      </c>
    </row>
    <row r="9083" spans="2:2" x14ac:dyDescent="0.25">
      <c r="B9083" t="str">
        <v>993-31: Travel-In, Apartments and House Rent Expense</v>
      </c>
    </row>
    <row r="9084" spans="2:2" x14ac:dyDescent="0.25">
      <c r="B9084" t="str">
        <v>993-35: Travel-In, Incidental Expenses</v>
      </c>
    </row>
    <row r="9085" spans="2:2" x14ac:dyDescent="0.25">
      <c r="B9085" t="str">
        <v>993-38: Travel-In, Lodging</v>
      </c>
    </row>
    <row r="9086" spans="2:2" x14ac:dyDescent="0.25">
      <c r="B9086" t="str">
        <v>993-39: Travel-In, Lodging, Overage of Allowed Per Diem</v>
      </c>
    </row>
    <row r="9087" spans="2:2" x14ac:dyDescent="0.25">
      <c r="B9087" t="str">
        <v>993-40: Travel-In, Meals</v>
      </c>
    </row>
    <row r="9088" spans="2:2" x14ac:dyDescent="0.25">
      <c r="B9088" t="str">
        <v>993-42: Travel-In, Mileage</v>
      </c>
    </row>
    <row r="9089" spans="2:2" x14ac:dyDescent="0.25">
      <c r="B9089" t="str">
        <v>993-44: Travel-In, Mileage, Aircraft</v>
      </c>
    </row>
    <row r="9090" spans="2:2" x14ac:dyDescent="0.25">
      <c r="B9090" t="str">
        <v>993-45: Travel-In, Parking Fees</v>
      </c>
    </row>
    <row r="9091" spans="2:2" x14ac:dyDescent="0.25">
      <c r="B9091" t="str">
        <v>993-46: Travel-In, Public Transportation, Auto Rental</v>
      </c>
    </row>
    <row r="9092" spans="2:2" x14ac:dyDescent="0.25">
      <c r="B9092" t="str">
        <v>993-47: Travel-In, Public Transportation, Other</v>
      </c>
    </row>
    <row r="9093" spans="2:2" x14ac:dyDescent="0.25">
      <c r="B9093" t="str">
        <v>993-48: Travel-In, University and Agency Transportation Fleet Operations</v>
      </c>
    </row>
    <row r="9094" spans="2:2" x14ac:dyDescent="0.25">
      <c r="B9094" t="str">
        <v>993-49: Travel-In, Travel Agency Fees</v>
      </c>
    </row>
    <row r="9095" spans="2:2" x14ac:dyDescent="0.25">
      <c r="B9095" t="str">
        <v>993-52: Travel-Out, Actual Expenses, Overnight</v>
      </c>
    </row>
    <row r="9096" spans="2:2" x14ac:dyDescent="0.25">
      <c r="B9096" t="str">
        <v>993-53: Travel-Out, Apartment and House Rent Expense</v>
      </c>
    </row>
    <row r="9097" spans="2:2" x14ac:dyDescent="0.25">
      <c r="B9097" t="str">
        <v>993-55: Travel-Out, Incidental Expenses</v>
      </c>
    </row>
    <row r="9098" spans="2:2" x14ac:dyDescent="0.25">
      <c r="B9098" t="str">
        <v>993-56: Travel-Out, Lodging</v>
      </c>
    </row>
    <row r="9099" spans="2:2" x14ac:dyDescent="0.25">
      <c r="B9099" t="str">
        <v>993-57: Travel-Out, Lodging, Overage of Allowed Per Diem</v>
      </c>
    </row>
    <row r="9100" spans="2:2" x14ac:dyDescent="0.25">
      <c r="B9100" t="str">
        <v>993-58: Travel-Out, Meals-Non-Overnight</v>
      </c>
    </row>
    <row r="9101" spans="2:2" x14ac:dyDescent="0.25">
      <c r="B9101" t="str">
        <v>993-59: Travel-Out, Meals</v>
      </c>
    </row>
    <row r="9102" spans="2:2" x14ac:dyDescent="0.25">
      <c r="B9102" t="str">
        <v>993-60: Travel-Out, Mileage</v>
      </c>
    </row>
    <row r="9103" spans="2:2" x14ac:dyDescent="0.25">
      <c r="B9103" t="str">
        <v>993-61: Travel-Out, Mileage, Aircraft</v>
      </c>
    </row>
    <row r="9104" spans="2:2" x14ac:dyDescent="0.25">
      <c r="B9104" t="str">
        <v>993-64: Travel-Out, Parking Fees</v>
      </c>
    </row>
    <row r="9105" spans="2:2" x14ac:dyDescent="0.25">
      <c r="B9105" t="str">
        <v>993-66: Travel-Out, Public Transportation</v>
      </c>
    </row>
    <row r="9106" spans="2:2" x14ac:dyDescent="0.25">
      <c r="B9106" t="str">
        <v>993-67: Travel-Out, Public Transportation, Auto Rental</v>
      </c>
    </row>
    <row r="9107" spans="2:2" x14ac:dyDescent="0.25">
      <c r="B9107" t="str">
        <v>993-68: Travel-Out, Public Transportation, Other</v>
      </c>
    </row>
    <row r="9108" spans="2:2" x14ac:dyDescent="0.25">
      <c r="B9108" t="str">
        <v>993-69: Travel-Out, University and Agency Transportation Fleet Operations</v>
      </c>
    </row>
    <row r="9109" spans="2:2" x14ac:dyDescent="0.25">
      <c r="B9109" t="str">
        <v>993-70: Travel-Out, Travel Agency Fees</v>
      </c>
    </row>
    <row r="9110" spans="2:2" x14ac:dyDescent="0.25">
      <c r="B9110" t="str">
        <v>998-03: Aircraft and Aviation Equipment and Parts, Sale of Surplus and Obsolete Items</v>
      </c>
    </row>
    <row r="9111" spans="2:2" x14ac:dyDescent="0.25">
      <c r="B9111" t="str">
        <v>998-05: Agriculture Equipment and Commodities, Sale of Surplus and Obsolete Items</v>
      </c>
    </row>
    <row r="9112" spans="2:2" x14ac:dyDescent="0.25">
      <c r="B9112" t="str">
        <v>998-06: Ammunition, Explosives, and Weapons, Licensed Dealers Only, Sale of Surplus and Obsolete Items</v>
      </c>
    </row>
    <row r="9113" spans="2:2" x14ac:dyDescent="0.25">
      <c r="B9113" t="str">
        <v>998-07: Animals and Livestock, Sale of Surplus and Obsolete Items</v>
      </c>
    </row>
    <row r="9114" spans="2:2" x14ac:dyDescent="0.25">
      <c r="B9114" t="str">
        <v>998-08: Arts and Crafts, Sale of Surplus and Obsolete Items</v>
      </c>
    </row>
    <row r="9115" spans="2:2" x14ac:dyDescent="0.25">
      <c r="B9115" t="str">
        <v>998-09: Automobile, Truck and Bus Parts and Equipment, Sale of Surplus and Obsolete Items</v>
      </c>
    </row>
    <row r="9116" spans="2:2" x14ac:dyDescent="0.25">
      <c r="B9116" t="str">
        <v>998-10: Bags, All Types, Sale of Surplus and Obsolete Items</v>
      </c>
    </row>
    <row r="9117" spans="2:2" x14ac:dyDescent="0.25">
      <c r="B9117" t="str">
        <v>998-11: Barber and Beauty Shop Equipment, Sale of Surplus and Obsolete Items</v>
      </c>
    </row>
    <row r="9118" spans="2:2" x14ac:dyDescent="0.25">
      <c r="B9118" t="str">
        <v>998-12: Barrels, Drums, Cans, Pails, etc., Sale of Surplus and Obsolete Items</v>
      </c>
    </row>
    <row r="9119" spans="2:2" x14ac:dyDescent="0.25">
      <c r="B9119" t="str">
        <v>998-15: Batteries, All Types, Sale of Surplus and Obsolete Items</v>
      </c>
    </row>
    <row r="9120" spans="2:2" x14ac:dyDescent="0.25">
      <c r="B9120" t="str">
        <v>998-17: Boats and Marine Equipment, Sale of Surplus and Obsolete Items</v>
      </c>
    </row>
    <row r="9121" spans="2:2" x14ac:dyDescent="0.25">
      <c r="B9121" t="str">
        <v>998-18: Books, All Types (Library, School, etc.), Sale of Surplus and Obsolete Items</v>
      </c>
    </row>
    <row r="9122" spans="2:2" x14ac:dyDescent="0.25">
      <c r="B9122" t="str">
        <v>998-19: Builders Supplies, Sale of Surplus and Obsolete Items</v>
      </c>
    </row>
    <row r="9123" spans="2:2" x14ac:dyDescent="0.25">
      <c r="B9123" t="str">
        <v>998-20: Buses, Transit and School, Sale of Surplus and Obsolete Items</v>
      </c>
    </row>
    <row r="9124" spans="2:2" x14ac:dyDescent="0.25">
      <c r="B9124" t="str">
        <v>998-21: Cafeteria and Kitchen Equipment, Including Food Service Equipment), Sale of Surplus and Obsolete Items</v>
      </c>
    </row>
    <row r="9125" spans="2:2" x14ac:dyDescent="0.25">
      <c r="B9125" t="str">
        <v>998-24: Chemicals, All Types, Sale of Surplus and Obsolete Items</v>
      </c>
    </row>
    <row r="9126" spans="2:2" x14ac:dyDescent="0.25">
      <c r="B9126" t="str">
        <v>998-25: Clocks, Watches, Timepieces, All Types, Sale of Surplus and Obsolete Items</v>
      </c>
    </row>
    <row r="9127" spans="2:2" x14ac:dyDescent="0.25">
      <c r="B9127" t="str">
        <v>998-26: Clothing, Sale of Surplus and Obsolete Items</v>
      </c>
    </row>
    <row r="9128" spans="2:2" x14ac:dyDescent="0.25">
      <c r="B9128" t="str">
        <v>998-28: Communication Equipment, Including Radio, Television, Telephone, VCR, Video and Audio Equipment, etc., Sale of Surplus and Obsolete Items</v>
      </c>
    </row>
    <row r="9129" spans="2:2" x14ac:dyDescent="0.25">
      <c r="B9129" t="str">
        <v>998-29: Computers, Parts and Supplies, Sale of Surplus and Obsolete Items</v>
      </c>
    </row>
    <row r="9130" spans="2:2" x14ac:dyDescent="0.25">
      <c r="B9130" t="str">
        <v>998-30: Confiscated and Personal Merchandise, Sale of Surplus and Obsolete Items</v>
      </c>
    </row>
    <row r="9131" spans="2:2" x14ac:dyDescent="0.25">
      <c r="B9131" t="str">
        <v>998-32: Photocopier Machines and Multi-functional Devices, Sale of Surplus and Obsolete Items</v>
      </c>
    </row>
    <row r="9132" spans="2:2" x14ac:dyDescent="0.25">
      <c r="B9132" t="str">
        <v>998-33: Dairy Equipment, Sale of Surplus and Obsolete Items</v>
      </c>
    </row>
    <row r="9133" spans="2:2" x14ac:dyDescent="0.25">
      <c r="B9133" t="str">
        <v>998-35: Drugs, First Aid, Veterinary, Sale of Surplus and Obsolete Items</v>
      </c>
    </row>
    <row r="9134" spans="2:2" x14ac:dyDescent="0.25">
      <c r="B9134" t="str">
        <v>998-36: Equipment, Heavy, Sale of Surplus and Obsolete Items</v>
      </c>
    </row>
    <row r="9135" spans="2:2" x14ac:dyDescent="0.25">
      <c r="B9135" t="str">
        <v>998-37: Electrical Equipment and Supplies, Sale of Surplus and Obsolete Items</v>
      </c>
    </row>
    <row r="9136" spans="2:2" x14ac:dyDescent="0.25">
      <c r="B9136" t="str">
        <v>998-38: Engineering Equipment and Supplies, Including Survey Equipment and Instruments, Sale of Surplus and Obsolete Items</v>
      </c>
    </row>
    <row r="9137" spans="2:2" x14ac:dyDescent="0.25">
      <c r="B9137" t="str">
        <v>998-39: Escalators, Elevators, and Moving Walks, Sale of Surplus and Obsolete Items</v>
      </c>
    </row>
    <row r="9138" spans="2:2" x14ac:dyDescent="0.25">
      <c r="B9138" t="str">
        <v>998-40: Fertilizer, Sale of Surplus and Obsolete Items</v>
      </c>
    </row>
    <row r="9139" spans="2:2" x14ac:dyDescent="0.25">
      <c r="B9139" t="str">
        <v>998-42: Fire and Police Equipment (Not Otherwise Classified), Sale of Surplus and Obsolete Items</v>
      </c>
    </row>
    <row r="9140" spans="2:2" x14ac:dyDescent="0.25">
      <c r="B9140" t="str">
        <v>998-44: Food, Sale of Surplus and Obsolete Items</v>
      </c>
    </row>
    <row r="9141" spans="2:2" x14ac:dyDescent="0.25">
      <c r="B9141" t="str">
        <v>998-46: Furniture, Sale of Surplus and Obsolete Items</v>
      </c>
    </row>
    <row r="9142" spans="2:2" x14ac:dyDescent="0.25">
      <c r="B9142" t="str">
        <v>998-47: Glass, Sale of Surplus and Obsolete Items</v>
      </c>
    </row>
    <row r="9143" spans="2:2" x14ac:dyDescent="0.25">
      <c r="B9143" t="str">
        <v>998-48: Garbage, Sale of Surplus and Obsolete Items</v>
      </c>
    </row>
    <row r="9144" spans="2:2" x14ac:dyDescent="0.25">
      <c r="B9144" t="str">
        <v>998-49: Garbage and Refuse Containers, Sale of Surplus and Obsolete Items</v>
      </c>
    </row>
    <row r="9145" spans="2:2" x14ac:dyDescent="0.25">
      <c r="B9145" t="str">
        <v>998-50: Hardware, Sale of Surplus and Obsolete Items</v>
      </c>
    </row>
    <row r="9146" spans="2:2" x14ac:dyDescent="0.25">
      <c r="B9146" t="str">
        <v>998-52: Heating, Air Conditioning, Ventilating &amp; Refrigeration Equipment, Sale of Surplus and Obsolete Items</v>
      </c>
    </row>
    <row r="9147" spans="2:2" x14ac:dyDescent="0.25">
      <c r="B9147" t="str">
        <v>998-54: Highway Equipment, Tractors, Loaders, Graders, Dozers, etc., Sale of Surplus and Obsolete Items</v>
      </c>
    </row>
    <row r="9148" spans="2:2" x14ac:dyDescent="0.25">
      <c r="B9148" t="str">
        <v>998-57: Laboratory Equipment, Sale of Surplus and Obsolete Items</v>
      </c>
    </row>
    <row r="9149" spans="2:2" x14ac:dyDescent="0.25">
      <c r="B9149" t="str">
        <v>998-59: Laundry Equipment, Sale of Surplus and Obsolete Items</v>
      </c>
    </row>
    <row r="9150" spans="2:2" x14ac:dyDescent="0.25">
      <c r="B9150" t="str">
        <v>998-60: Library Equipment, Sale of Surplus and Obsolete Items</v>
      </c>
    </row>
    <row r="9151" spans="2:2" x14ac:dyDescent="0.25">
      <c r="B9151" t="str">
        <v>998-63: Lumber and Pilings, Sale of Surplus and Obsolete Items</v>
      </c>
    </row>
    <row r="9152" spans="2:2" x14ac:dyDescent="0.25">
      <c r="B9152" t="str">
        <v>998-65: Machinery, Industrial, Sale of Surplus and Obsolete Items</v>
      </c>
    </row>
    <row r="9153" spans="2:2" x14ac:dyDescent="0.25">
      <c r="B9153" t="str">
        <v>998-66: Mailing Equipment, Including Shipping Containers, Sale of Surplus and Obsolete Items</v>
      </c>
    </row>
    <row r="9154" spans="2:2" x14ac:dyDescent="0.25">
      <c r="B9154" t="str">
        <v>998-67: Medical and Dental Equipment and Supplies, Sale of Surplus and Obsolete Items</v>
      </c>
    </row>
    <row r="9155" spans="2:2" x14ac:dyDescent="0.25">
      <c r="B9155" t="str">
        <v>998-68: Metal, Scrap, Sale of Surplus and Obsolete Items</v>
      </c>
    </row>
    <row r="9156" spans="2:2" x14ac:dyDescent="0.25">
      <c r="B9156" t="str">
        <v>998-69: Metals, Precious, Sale of Surplus and Obsolete Items</v>
      </c>
    </row>
    <row r="9157" spans="2:2" x14ac:dyDescent="0.25">
      <c r="B9157" t="str">
        <v>998-70: Musical Equipment, Sale of Surplus and Obsolete Items</v>
      </c>
    </row>
    <row r="9158" spans="2:2" x14ac:dyDescent="0.25">
      <c r="B9158" t="str">
        <v>998-71: Metals other than Scrap, All Types, Sale of Surplus and Obsolete Items</v>
      </c>
    </row>
    <row r="9159" spans="2:2" x14ac:dyDescent="0.25">
      <c r="B9159" t="str">
        <v>998-72: Office Equipment, Not Copiers, Sale of Surplus and Obsolete Items</v>
      </c>
    </row>
    <row r="9160" spans="2:2" x14ac:dyDescent="0.25">
      <c r="B9160" t="str">
        <v>998-74: Oils and Other Petroleum Products, Waste, Sale of Surplus and Obsolete Items</v>
      </c>
    </row>
    <row r="9161" spans="2:2" x14ac:dyDescent="0.25">
      <c r="B9161" t="str">
        <v>998-75: Paper and Paper Products, Including Boxes, Sale of Surplus and Obsolete Items</v>
      </c>
    </row>
    <row r="9162" spans="2:2" x14ac:dyDescent="0.25">
      <c r="B9162" t="str">
        <v>998-76: Photographic Equipment, Sale of Surplus and Obsolete Items</v>
      </c>
    </row>
    <row r="9163" spans="2:2" x14ac:dyDescent="0.25">
      <c r="B9163" t="str">
        <v>998-77: Parking and Water Meters, Sale of Surplus and Obsolete Items</v>
      </c>
    </row>
    <row r="9164" spans="2:2" x14ac:dyDescent="0.25">
      <c r="B9164" t="str">
        <v>998-78: Plumbing Equipment and Supplies, Sale of Surplus and Obsolete Items</v>
      </c>
    </row>
    <row r="9165" spans="2:2" x14ac:dyDescent="0.25">
      <c r="B9165" t="str">
        <v>998-79: Pipe, Valves and Fittings, Sale of Surplus and Obsolete Items</v>
      </c>
    </row>
    <row r="9166" spans="2:2" x14ac:dyDescent="0.25">
      <c r="B9166" t="str">
        <v>998-80: Public Utility Equipment, Sale of Surplus and Obsolete Items</v>
      </c>
    </row>
    <row r="9167" spans="2:2" x14ac:dyDescent="0.25">
      <c r="B9167" t="str">
        <v>998-81: Printing Equipment, Sale of Surplus and Obsolete Items</v>
      </c>
    </row>
    <row r="9168" spans="2:2" x14ac:dyDescent="0.25">
      <c r="B9168" t="str">
        <v>998-82: Rags, Sale of Surplus and Obsolete Items</v>
      </c>
    </row>
    <row r="9169" spans="2:2" x14ac:dyDescent="0.25">
      <c r="B9169" t="str">
        <v>998-83: Rail Equipment and Accessories, Sale of Surplus and Obsolete Items</v>
      </c>
    </row>
    <row r="9170" spans="2:2" x14ac:dyDescent="0.25">
      <c r="B9170" t="str">
        <v>998-84: Real Estate, Including Buildings, Houses, Land, et), Sale of Surplus and Obsolete Items</v>
      </c>
    </row>
    <row r="9171" spans="2:2" x14ac:dyDescent="0.25">
      <c r="B9171" t="str">
        <v>998-85: Recyclable Materials: Books, Paper, Glass, Metal, etc., Sale of Surplus and Obsolete Items</v>
      </c>
    </row>
    <row r="9172" spans="2:2" x14ac:dyDescent="0.25">
      <c r="B9172" t="str">
        <v>998-87: Road and Highway Materials, Including Testing Equipment, Sale of Surplus and Obsolete Items</v>
      </c>
    </row>
    <row r="9173" spans="2:2" x14ac:dyDescent="0.25">
      <c r="B9173" t="str">
        <v>998-88: Scales and Weighing Apparatus, Sale of Surplus and Obsolete Items</v>
      </c>
    </row>
    <row r="9174" spans="2:2" x14ac:dyDescent="0.25">
      <c r="B9174" t="str">
        <v>998-89: School Equipment, Sale of Surplus and Obsolete Items</v>
      </c>
    </row>
    <row r="9175" spans="2:2" x14ac:dyDescent="0.25">
      <c r="B9175" t="str">
        <v>998-90: Tools, All Types, Sale of Surplus and Obsolete Items</v>
      </c>
    </row>
    <row r="9176" spans="2:2" x14ac:dyDescent="0.25">
      <c r="B9176" t="str">
        <v>998-91: Sporting and Athletic Equipment, Sale of Surplus and Obsolete Items</v>
      </c>
    </row>
    <row r="9177" spans="2:2" x14ac:dyDescent="0.25">
      <c r="B9177" t="str">
        <v>998-92: Traffic Signals and Control Equipment, Sale of Surplus and Obsolete Items</v>
      </c>
    </row>
    <row r="9178" spans="2:2" x14ac:dyDescent="0.25">
      <c r="B9178" t="str">
        <v>998-93: Tires and Tubes, Including Retreading Material and Equipment, Sale of Surplus and Obsolete Items</v>
      </c>
    </row>
    <row r="9179" spans="2:2" x14ac:dyDescent="0.25">
      <c r="B9179" t="str">
        <v>998-94: Vehicles, Including Automobiles, Trucks, Trailers, Vans, Motor Homes, Motorcycles and Scooters, etc. (See 998-20 for Buses), Sale of Surplus and Obsolete Items</v>
      </c>
    </row>
    <row r="9180" spans="2:2" x14ac:dyDescent="0.25">
      <c r="B9180" t="str">
        <v>998-95: Welding Equipment, Sale of Surplus and Obsolete Items</v>
      </c>
    </row>
    <row r="9181" spans="2:2" x14ac:dyDescent="0.25">
      <c r="B9181" t="str">
        <v>998-96: *Voting Machines and Other Election Equipment, Sale of Surplus and Obsolete Items</v>
      </c>
    </row>
  </sheetData>
  <sheetProtection algorithmName="SHA-512" hashValue="dgAMFZNUfbu/Qsk6Nwv7qNLblmu/WZOGVTzhWnvCqvl5WbHEl2FQWK/EIW28x7RyjZFvEzNK8svWoiBS2e5p6g==" saltValue="2Dcxl/GgZdy8Cx200WG+EA==" spinCount="100000" sheet="1" objects="1" scenarios="1" selectLockedCells="1"/>
  <phoneticPr fontId="21"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455"/>
  <sheetViews>
    <sheetView topLeftCell="C1" workbookViewId="0">
      <selection activeCell="D1" sqref="D1"/>
    </sheetView>
  </sheetViews>
  <sheetFormatPr defaultRowHeight="15" x14ac:dyDescent="0.25"/>
  <cols>
    <col min="1" max="2" width="0" hidden="1" customWidth="1"/>
    <col min="3" max="3" width="14.5703125" customWidth="1"/>
    <col min="4" max="4" width="120" customWidth="1"/>
    <col min="5" max="6" width="9.140625" hidden="1" customWidth="1"/>
    <col min="7" max="7" width="13.7109375" hidden="1" customWidth="1"/>
    <col min="8" max="8" width="6" hidden="1" customWidth="1"/>
    <col min="9" max="10" width="8.7109375" hidden="1" customWidth="1"/>
  </cols>
  <sheetData>
    <row r="1" spans="1:8" ht="29.25" customHeight="1" x14ac:dyDescent="0.25">
      <c r="A1" s="4" t="s">
        <v>0</v>
      </c>
      <c r="B1" s="4" t="s">
        <v>1</v>
      </c>
      <c r="C1" s="6" t="s">
        <v>9424</v>
      </c>
      <c r="D1" s="4" t="s">
        <v>2</v>
      </c>
      <c r="G1" s="7" t="s">
        <v>9426</v>
      </c>
      <c r="H1" s="7" t="b">
        <v>1</v>
      </c>
    </row>
    <row r="2" spans="1:8" x14ac:dyDescent="0.25">
      <c r="A2" s="5" t="str">
        <f t="shared" ref="A2:A12" si="0">TEXT(5,"000")</f>
        <v>005</v>
      </c>
      <c r="B2" s="5" t="str">
        <f>TEXT(0,"00")</f>
        <v>00</v>
      </c>
      <c r="C2" s="3"/>
      <c r="D2" s="2" t="s">
        <v>3</v>
      </c>
    </row>
    <row r="3" spans="1:8" x14ac:dyDescent="0.25">
      <c r="A3" s="1" t="str">
        <f t="shared" si="0"/>
        <v>005</v>
      </c>
      <c r="B3" s="1" t="str">
        <f>TEXT(5,"00")</f>
        <v>05</v>
      </c>
      <c r="C3" s="1" t="str">
        <f t="shared" ref="C3:C66" si="1">CONCATENATE(A3,"-",B3)</f>
        <v>005-05</v>
      </c>
      <c r="D3" t="s">
        <v>4</v>
      </c>
      <c r="E3" t="b">
        <f>IF(COUNTIF(D3,"*"&amp;'Keyword Search'!$C$5&amp;"*"),TRUE,FALSE)</f>
        <v>1</v>
      </c>
      <c r="G3" t="str">
        <f>CONCATENATE(C3,": ",D3)</f>
        <v>005-05: Abrasives Equipment and Tools</v>
      </c>
    </row>
    <row r="4" spans="1:8" x14ac:dyDescent="0.25">
      <c r="A4" s="1" t="str">
        <f t="shared" si="0"/>
        <v>005</v>
      </c>
      <c r="B4" s="1" t="str">
        <f>TEXT(14,"00")</f>
        <v>14</v>
      </c>
      <c r="C4" s="1" t="str">
        <f t="shared" si="1"/>
        <v>005-14</v>
      </c>
      <c r="D4" t="s">
        <v>5</v>
      </c>
      <c r="E4" t="b">
        <f>IF(COUNTIF(D4,"*"&amp;'Keyword Search'!$C$5&amp;"*"),TRUE,FALSE)</f>
        <v>1</v>
      </c>
      <c r="G4" t="str">
        <f t="shared" ref="G4:G67" si="2">CONCATENATE(C4,": ",D4)</f>
        <v>005-14: Abrasives, Coated: Cloth, Fiber, Sandpaper, etc.</v>
      </c>
    </row>
    <row r="5" spans="1:8" x14ac:dyDescent="0.25">
      <c r="A5" s="1" t="str">
        <f t="shared" si="0"/>
        <v>005</v>
      </c>
      <c r="B5" s="1" t="str">
        <f>TEXT(21,"00")</f>
        <v>21</v>
      </c>
      <c r="C5" s="1" t="str">
        <f t="shared" si="1"/>
        <v>005-21</v>
      </c>
      <c r="D5" t="s">
        <v>6</v>
      </c>
      <c r="E5" t="b">
        <f>IF(COUNTIF(D5,"*"&amp;'Keyword Search'!$C$5&amp;"*"),TRUE,FALSE)</f>
        <v>1</v>
      </c>
      <c r="G5" t="str">
        <f t="shared" si="2"/>
        <v>005-21: Abrasives, Sandblasting, Metal</v>
      </c>
    </row>
    <row r="6" spans="1:8" x14ac:dyDescent="0.25">
      <c r="A6" s="1" t="str">
        <f t="shared" si="0"/>
        <v>005</v>
      </c>
      <c r="B6" s="1" t="str">
        <f>TEXT(28,"00")</f>
        <v>28</v>
      </c>
      <c r="C6" s="1" t="str">
        <f t="shared" si="1"/>
        <v>005-28</v>
      </c>
      <c r="D6" t="s">
        <v>7</v>
      </c>
      <c r="E6" t="b">
        <f>IF(COUNTIF(D6,"*"&amp;'Keyword Search'!$C$5&amp;"*"),TRUE,FALSE)</f>
        <v>1</v>
      </c>
      <c r="G6" t="str">
        <f t="shared" si="2"/>
        <v>005-28: Abrasives, Sandblasting, Other than Metal</v>
      </c>
    </row>
    <row r="7" spans="1:8" x14ac:dyDescent="0.25">
      <c r="A7" s="1" t="str">
        <f t="shared" si="0"/>
        <v>005</v>
      </c>
      <c r="B7" s="1" t="str">
        <f>TEXT(42,"00")</f>
        <v>42</v>
      </c>
      <c r="C7" s="1" t="str">
        <f t="shared" si="1"/>
        <v>005-42</v>
      </c>
      <c r="D7" t="s">
        <v>8</v>
      </c>
      <c r="E7" t="b">
        <f>IF(COUNTIF(D7,"*"&amp;'Keyword Search'!$C$5&amp;"*"),TRUE,FALSE)</f>
        <v>1</v>
      </c>
      <c r="G7" t="str">
        <f t="shared" si="2"/>
        <v>005-42: Abrasives, Solid: Wheels, Stones, etc.</v>
      </c>
    </row>
    <row r="8" spans="1:8" x14ac:dyDescent="0.25">
      <c r="A8" s="1" t="str">
        <f t="shared" si="0"/>
        <v>005</v>
      </c>
      <c r="B8" s="1" t="str">
        <f>TEXT(56,"00")</f>
        <v>56</v>
      </c>
      <c r="C8" s="1" t="str">
        <f t="shared" si="1"/>
        <v>005-56</v>
      </c>
      <c r="D8" t="s">
        <v>9</v>
      </c>
      <c r="E8" t="b">
        <f>IF(COUNTIF(D8,"*"&amp;'Keyword Search'!$C$5&amp;"*"),TRUE,FALSE)</f>
        <v>1</v>
      </c>
      <c r="G8" t="str">
        <f t="shared" si="2"/>
        <v>005-56: Abrasives, Tumbling (Wheel)</v>
      </c>
    </row>
    <row r="9" spans="1:8" x14ac:dyDescent="0.25">
      <c r="A9" s="1" t="str">
        <f t="shared" si="0"/>
        <v>005</v>
      </c>
      <c r="B9" s="1" t="str">
        <f>TEXT(63,"00")</f>
        <v>63</v>
      </c>
      <c r="C9" s="1" t="str">
        <f t="shared" si="1"/>
        <v>005-63</v>
      </c>
      <c r="D9" t="s">
        <v>10</v>
      </c>
      <c r="E9" t="b">
        <f>IF(COUNTIF(D9,"*"&amp;'Keyword Search'!$C$5&amp;"*"),TRUE,FALSE)</f>
        <v>1</v>
      </c>
      <c r="G9" s="8" t="str">
        <f t="shared" si="2"/>
        <v>005-63: Compounds, Grinding and Polishing: Carborundum, Diamond, etc. (See Class 075 For Valve Grinding Compounds)</v>
      </c>
    </row>
    <row r="10" spans="1:8" x14ac:dyDescent="0.25">
      <c r="A10" s="1" t="str">
        <f t="shared" si="0"/>
        <v>005</v>
      </c>
      <c r="B10" s="1" t="str">
        <f>TEXT(70,"00")</f>
        <v>70</v>
      </c>
      <c r="C10" s="1" t="str">
        <f t="shared" si="1"/>
        <v>005-70</v>
      </c>
      <c r="D10" t="s">
        <v>11</v>
      </c>
      <c r="E10" t="b">
        <f>IF(COUNTIF(D10,"*"&amp;'Keyword Search'!$C$5&amp;"*"),TRUE,FALSE)</f>
        <v>1</v>
      </c>
      <c r="G10" t="str">
        <f t="shared" si="2"/>
        <v>005-70: Pumice Stone  (Inactive, effective January 1, 2016)</v>
      </c>
    </row>
    <row r="11" spans="1:8" x14ac:dyDescent="0.25">
      <c r="A11" s="1" t="str">
        <f t="shared" si="0"/>
        <v>005</v>
      </c>
      <c r="B11" s="1" t="str">
        <f>TEXT(75,"00")</f>
        <v>75</v>
      </c>
      <c r="C11" s="1" t="str">
        <f t="shared" si="1"/>
        <v>005-75</v>
      </c>
      <c r="D11" t="s">
        <v>12</v>
      </c>
      <c r="E11" t="b">
        <f>IF(COUNTIF(D11,"*"&amp;'Keyword Search'!$C$5&amp;"*"),TRUE,FALSE)</f>
        <v>1</v>
      </c>
      <c r="G11" t="str">
        <f t="shared" si="2"/>
        <v>005-75: Recycled Abrasives, Products and Supplies</v>
      </c>
    </row>
    <row r="12" spans="1:8" x14ac:dyDescent="0.25">
      <c r="A12" s="1" t="str">
        <f t="shared" si="0"/>
        <v>005</v>
      </c>
      <c r="B12" s="1" t="str">
        <f>TEXT(84,"00")</f>
        <v>84</v>
      </c>
      <c r="C12" s="1" t="str">
        <f t="shared" si="1"/>
        <v>005-84</v>
      </c>
      <c r="D12" t="s">
        <v>13</v>
      </c>
      <c r="E12" t="b">
        <f>IF(COUNTIF(D12,"*"&amp;'Keyword Search'!$C$5&amp;"*"),TRUE,FALSE)</f>
        <v>1</v>
      </c>
      <c r="G12" t="str">
        <f t="shared" si="2"/>
        <v>005-84: Wool, Steel, Aluminum, Copper, and Lead</v>
      </c>
    </row>
    <row r="13" spans="1:8" x14ac:dyDescent="0.25">
      <c r="A13" s="5" t="str">
        <f t="shared" ref="A13:A40" si="3">TEXT(10,"000")</f>
        <v>010</v>
      </c>
      <c r="B13" s="5" t="str">
        <f>TEXT(0,"00")</f>
        <v>00</v>
      </c>
      <c r="C13" s="1"/>
      <c r="D13" s="2" t="s">
        <v>14</v>
      </c>
    </row>
    <row r="14" spans="1:8" x14ac:dyDescent="0.25">
      <c r="A14" s="1" t="str">
        <f t="shared" si="3"/>
        <v>010</v>
      </c>
      <c r="B14" s="1" t="str">
        <f>TEXT(5,"00")</f>
        <v>05</v>
      </c>
      <c r="C14" s="1" t="str">
        <f t="shared" si="1"/>
        <v>010-05</v>
      </c>
      <c r="D14" t="s">
        <v>15</v>
      </c>
      <c r="E14" t="b">
        <f>IF(COUNTIF(D14,"*"&amp;'Keyword Search'!$C$5&amp;"*"),TRUE,FALSE)</f>
        <v>1</v>
      </c>
      <c r="G14" t="str">
        <f t="shared" si="2"/>
        <v>010-05: Acoustical Tile, All Types, Including Recycled Types</v>
      </c>
    </row>
    <row r="15" spans="1:8" x14ac:dyDescent="0.25">
      <c r="A15" s="1" t="str">
        <f t="shared" si="3"/>
        <v>010</v>
      </c>
      <c r="B15" s="1" t="str">
        <f>TEXT(8,"00")</f>
        <v>08</v>
      </c>
      <c r="C15" s="1" t="str">
        <f t="shared" si="1"/>
        <v>010-08</v>
      </c>
      <c r="D15" t="s">
        <v>16</v>
      </c>
      <c r="E15" t="b">
        <f>IF(COUNTIF(D15,"*"&amp;'Keyword Search'!$C$5&amp;"*"),TRUE,FALSE)</f>
        <v>1</v>
      </c>
      <c r="G15" t="str">
        <f t="shared" si="2"/>
        <v>010-08: Acoustical Tile Accessories: Channels, Grids, Mounting Hardware, Rods, Runners, Suspension Brackets, Tees, Wall Angles, and Wires</v>
      </c>
    </row>
    <row r="16" spans="1:8" x14ac:dyDescent="0.25">
      <c r="A16" s="1" t="str">
        <f t="shared" si="3"/>
        <v>010</v>
      </c>
      <c r="B16" s="1" t="str">
        <f>TEXT(9,"00")</f>
        <v>09</v>
      </c>
      <c r="C16" s="1" t="str">
        <f t="shared" si="1"/>
        <v>010-09</v>
      </c>
      <c r="D16" t="s">
        <v>17</v>
      </c>
      <c r="E16" t="b">
        <f>IF(COUNTIF(D16,"*"&amp;'Keyword Search'!$C$5&amp;"*"),TRUE,FALSE)</f>
        <v>1</v>
      </c>
      <c r="G16" t="str">
        <f t="shared" si="2"/>
        <v>010-09: Acoustical Tile Insulation</v>
      </c>
    </row>
    <row r="17" spans="1:7" x14ac:dyDescent="0.25">
      <c r="A17" s="1" t="str">
        <f t="shared" si="3"/>
        <v>010</v>
      </c>
      <c r="B17" s="1" t="str">
        <f>TEXT(11,"00")</f>
        <v>11</v>
      </c>
      <c r="C17" s="1" t="str">
        <f t="shared" si="1"/>
        <v>010-11</v>
      </c>
      <c r="D17" t="s">
        <v>18</v>
      </c>
      <c r="E17" t="b">
        <f>IF(COUNTIF(D17,"*"&amp;'Keyword Search'!$C$5&amp;"*"),TRUE,FALSE)</f>
        <v>1</v>
      </c>
      <c r="G17" t="str">
        <f t="shared" si="2"/>
        <v>010-11: Adhesives and Cements, Acoustical Tile</v>
      </c>
    </row>
    <row r="18" spans="1:7" x14ac:dyDescent="0.25">
      <c r="A18" s="1" t="str">
        <f t="shared" si="3"/>
        <v>010</v>
      </c>
      <c r="B18" s="1" t="str">
        <f>TEXT(14,"00")</f>
        <v>14</v>
      </c>
      <c r="C18" s="1" t="str">
        <f t="shared" si="1"/>
        <v>010-14</v>
      </c>
      <c r="D18" t="s">
        <v>19</v>
      </c>
      <c r="E18" t="b">
        <f>IF(COUNTIF(D18,"*"&amp;'Keyword Search'!$C$5&amp;"*"),TRUE,FALSE)</f>
        <v>1</v>
      </c>
      <c r="G18" t="str">
        <f t="shared" si="2"/>
        <v>010-14: Adhesives and Cements, Insulation</v>
      </c>
    </row>
    <row r="19" spans="1:7" x14ac:dyDescent="0.25">
      <c r="A19" s="1" t="str">
        <f t="shared" si="3"/>
        <v>010</v>
      </c>
      <c r="B19" s="1" t="str">
        <f>TEXT(17,"00")</f>
        <v>17</v>
      </c>
      <c r="C19" s="1" t="str">
        <f t="shared" si="1"/>
        <v>010-17</v>
      </c>
      <c r="D19" t="s">
        <v>20</v>
      </c>
      <c r="E19" t="b">
        <f>IF(COUNTIF(D19,"*"&amp;'Keyword Search'!$C$5&amp;"*"),TRUE,FALSE)</f>
        <v>1</v>
      </c>
      <c r="G19" t="str">
        <f t="shared" si="2"/>
        <v>010-17: Insulation, Aluminum Foil</v>
      </c>
    </row>
    <row r="20" spans="1:7" x14ac:dyDescent="0.25">
      <c r="A20" s="1" t="str">
        <f t="shared" si="3"/>
        <v>010</v>
      </c>
      <c r="B20" s="1" t="str">
        <f>TEXT(30,"00")</f>
        <v>30</v>
      </c>
      <c r="C20" s="1" t="str">
        <f t="shared" si="1"/>
        <v>010-30</v>
      </c>
      <c r="D20" t="s">
        <v>21</v>
      </c>
      <c r="E20" t="b">
        <f>IF(COUNTIF(D20,"*"&amp;'Keyword Search'!$C$5&amp;"*"),TRUE,FALSE)</f>
        <v>1</v>
      </c>
      <c r="G20" t="str">
        <f t="shared" si="2"/>
        <v>010-30: Hardware, Pipe Insulation: Bands, Clips, and Wires</v>
      </c>
    </row>
    <row r="21" spans="1:7" x14ac:dyDescent="0.25">
      <c r="A21" s="1" t="str">
        <f t="shared" si="3"/>
        <v>010</v>
      </c>
      <c r="B21" s="1" t="str">
        <f>TEXT(38,"00")</f>
        <v>38</v>
      </c>
      <c r="C21" s="1" t="str">
        <f t="shared" si="1"/>
        <v>010-38</v>
      </c>
      <c r="D21" t="s">
        <v>22</v>
      </c>
      <c r="E21" t="b">
        <f>IF(COUNTIF(D21,"*"&amp;'Keyword Search'!$C$5&amp;"*"),TRUE,FALSE)</f>
        <v>1</v>
      </c>
      <c r="G21" t="str">
        <f t="shared" si="2"/>
        <v>010-38: Hardware, Duct Insulation: Clips, Pins, etc.</v>
      </c>
    </row>
    <row r="22" spans="1:7" x14ac:dyDescent="0.25">
      <c r="A22" s="1" t="str">
        <f t="shared" si="3"/>
        <v>010</v>
      </c>
      <c r="B22" s="1" t="str">
        <f>TEXT(41,"00")</f>
        <v>41</v>
      </c>
      <c r="C22" s="1" t="str">
        <f t="shared" si="1"/>
        <v>010-41</v>
      </c>
      <c r="D22" t="s">
        <v>23</v>
      </c>
      <c r="E22" t="b">
        <f>IF(COUNTIF(D22,"*"&amp;'Keyword Search'!$C$5&amp;"*"),TRUE,FALSE)</f>
        <v>1</v>
      </c>
      <c r="G22" t="str">
        <f t="shared" si="2"/>
        <v>010-41: Insulation: Cork, Blocks, Boards, Sheets, etc.</v>
      </c>
    </row>
    <row r="23" spans="1:7" x14ac:dyDescent="0.25">
      <c r="A23" s="1" t="str">
        <f t="shared" si="3"/>
        <v>010</v>
      </c>
      <c r="B23" s="1" t="str">
        <f>TEXT(45,"00")</f>
        <v>45</v>
      </c>
      <c r="C23" s="1" t="str">
        <f t="shared" si="1"/>
        <v>010-45</v>
      </c>
      <c r="D23" t="s">
        <v>24</v>
      </c>
      <c r="E23" t="b">
        <f>IF(COUNTIF(D23,"*"&amp;'Keyword Search'!$C$5&amp;"*"),TRUE,FALSE)</f>
        <v>1</v>
      </c>
      <c r="G23" t="str">
        <f t="shared" si="2"/>
        <v>010-45: Insulation and Finish Systems, Exterior</v>
      </c>
    </row>
    <row r="24" spans="1:7" x14ac:dyDescent="0.25">
      <c r="A24" s="1" t="str">
        <f t="shared" si="3"/>
        <v>010</v>
      </c>
      <c r="B24" s="1" t="str">
        <f>TEXT(53,"00")</f>
        <v>53</v>
      </c>
      <c r="C24" s="1" t="str">
        <f t="shared" si="1"/>
        <v>010-53</v>
      </c>
      <c r="D24" t="s">
        <v>25</v>
      </c>
      <c r="E24" t="b">
        <f>IF(COUNTIF(D24,"*"&amp;'Keyword Search'!$C$5&amp;"*"),TRUE,FALSE)</f>
        <v>1</v>
      </c>
      <c r="G24" t="str">
        <f t="shared" si="2"/>
        <v>010-53: Insulation, Fiberglass: Batts, Blankets and Rolls</v>
      </c>
    </row>
    <row r="25" spans="1:7" x14ac:dyDescent="0.25">
      <c r="A25" s="1" t="str">
        <f t="shared" si="3"/>
        <v>010</v>
      </c>
      <c r="B25" s="1" t="str">
        <f>TEXT(56,"00")</f>
        <v>56</v>
      </c>
      <c r="C25" s="1" t="str">
        <f t="shared" si="1"/>
        <v>010-56</v>
      </c>
      <c r="D25" t="s">
        <v>26</v>
      </c>
      <c r="E25" t="b">
        <f>IF(COUNTIF(D25,"*"&amp;'Keyword Search'!$C$5&amp;"*"),TRUE,FALSE)</f>
        <v>1</v>
      </c>
      <c r="G25" t="str">
        <f t="shared" si="2"/>
        <v>010-56: Foam Glass: Blocks, Sheets, etc.</v>
      </c>
    </row>
    <row r="26" spans="1:7" x14ac:dyDescent="0.25">
      <c r="A26" s="1" t="str">
        <f t="shared" si="3"/>
        <v>010</v>
      </c>
      <c r="B26" s="1" t="str">
        <f>TEXT(57,"00")</f>
        <v>57</v>
      </c>
      <c r="C26" s="1" t="str">
        <f t="shared" si="1"/>
        <v>010-57</v>
      </c>
      <c r="D26" t="s">
        <v>27</v>
      </c>
      <c r="E26" t="b">
        <f>IF(COUNTIF(D26,"*"&amp;'Keyword Search'!$C$5&amp;"*"),TRUE,FALSE)</f>
        <v>1</v>
      </c>
      <c r="G26" t="str">
        <f t="shared" si="2"/>
        <v>010-57: Insulation, Foam-in-Place: Phenolic, Urethane, etc.</v>
      </c>
    </row>
    <row r="27" spans="1:7" x14ac:dyDescent="0.25">
      <c r="A27" s="1" t="str">
        <f t="shared" si="3"/>
        <v>010</v>
      </c>
      <c r="B27" s="1" t="str">
        <f>TEXT(59,"00")</f>
        <v>59</v>
      </c>
      <c r="C27" s="1" t="str">
        <f t="shared" si="1"/>
        <v>010-59</v>
      </c>
      <c r="D27" t="s">
        <v>28</v>
      </c>
      <c r="E27" t="b">
        <f>IF(COUNTIF(D27,"*"&amp;'Keyword Search'!$C$5&amp;"*"),TRUE,FALSE)</f>
        <v>1</v>
      </c>
      <c r="G27" t="str">
        <f t="shared" si="2"/>
        <v>010-59: Insulation, Foam Plastics: Blocks, Boards, Sheets, etc.</v>
      </c>
    </row>
    <row r="28" spans="1:7" x14ac:dyDescent="0.25">
      <c r="A28" s="1" t="str">
        <f t="shared" si="3"/>
        <v>010</v>
      </c>
      <c r="B28" s="1" t="str">
        <f>TEXT(61,"00")</f>
        <v>61</v>
      </c>
      <c r="C28" s="1" t="str">
        <f t="shared" si="1"/>
        <v>010-61</v>
      </c>
      <c r="D28" t="s">
        <v>29</v>
      </c>
      <c r="E28" t="b">
        <f>IF(COUNTIF(D28,"*"&amp;'Keyword Search'!$C$5&amp;"*"),TRUE,FALSE)</f>
        <v>1</v>
      </c>
      <c r="G28" t="str">
        <f t="shared" si="2"/>
        <v>010-61: Insulation, Reflective, Radiant Barrier</v>
      </c>
    </row>
    <row r="29" spans="1:7" x14ac:dyDescent="0.25">
      <c r="A29" s="1" t="str">
        <f t="shared" si="3"/>
        <v>010</v>
      </c>
      <c r="B29" s="1" t="str">
        <f>TEXT(62,"00")</f>
        <v>62</v>
      </c>
      <c r="C29" s="1" t="str">
        <f t="shared" si="1"/>
        <v>010-62</v>
      </c>
      <c r="D29" t="s">
        <v>30</v>
      </c>
      <c r="E29" t="b">
        <f>IF(COUNTIF(D29,"*"&amp;'Keyword Search'!$C$5&amp;"*"),TRUE,FALSE)</f>
        <v>1</v>
      </c>
      <c r="G29" t="str">
        <f t="shared" si="2"/>
        <v>010-62: Insulation, Interior</v>
      </c>
    </row>
    <row r="30" spans="1:7" x14ac:dyDescent="0.25">
      <c r="A30" s="1" t="str">
        <f t="shared" si="3"/>
        <v>010</v>
      </c>
      <c r="B30" s="1" t="str">
        <f>TEXT(63,"00")</f>
        <v>63</v>
      </c>
      <c r="C30" s="1" t="str">
        <f t="shared" si="1"/>
        <v>010-63</v>
      </c>
      <c r="D30" t="s">
        <v>31</v>
      </c>
      <c r="E30" t="b">
        <f>IF(COUNTIF(D30,"*"&amp;'Keyword Search'!$C$5&amp;"*"),TRUE,FALSE)</f>
        <v>1</v>
      </c>
      <c r="G30" t="str">
        <f t="shared" si="2"/>
        <v>010-63: Insulation, Blown Type</v>
      </c>
    </row>
    <row r="31" spans="1:7" x14ac:dyDescent="0.25">
      <c r="A31" s="1" t="str">
        <f t="shared" si="3"/>
        <v>010</v>
      </c>
      <c r="B31" s="1" t="str">
        <f>TEXT(64,"00")</f>
        <v>64</v>
      </c>
      <c r="C31" s="1" t="str">
        <f t="shared" si="1"/>
        <v>010-64</v>
      </c>
      <c r="D31" t="s">
        <v>32</v>
      </c>
      <c r="E31" t="b">
        <f>IF(COUNTIF(D31,"*"&amp;'Keyword Search'!$C$5&amp;"*"),TRUE,FALSE)</f>
        <v>1</v>
      </c>
      <c r="G31" t="str">
        <f t="shared" si="2"/>
        <v>010-64: Insulation, Loose Fill</v>
      </c>
    </row>
    <row r="32" spans="1:7" x14ac:dyDescent="0.25">
      <c r="A32" s="1" t="str">
        <f t="shared" si="3"/>
        <v>010</v>
      </c>
      <c r="B32" s="1" t="str">
        <f>TEXT(65,"00")</f>
        <v>65</v>
      </c>
      <c r="C32" s="1" t="str">
        <f t="shared" si="1"/>
        <v>010-65</v>
      </c>
      <c r="D32" t="s">
        <v>33</v>
      </c>
      <c r="E32" t="b">
        <f>IF(COUNTIF(D32,"*"&amp;'Keyword Search'!$C$5&amp;"*"),TRUE,FALSE)</f>
        <v>1</v>
      </c>
      <c r="G32" t="str">
        <f t="shared" si="2"/>
        <v>010-65: Insulation Jacketing, Canvas, Osnaburg, etc.</v>
      </c>
    </row>
    <row r="33" spans="1:7" x14ac:dyDescent="0.25">
      <c r="A33" s="1" t="str">
        <f t="shared" si="3"/>
        <v>010</v>
      </c>
      <c r="B33" s="1" t="str">
        <f>TEXT(70,"00")</f>
        <v>70</v>
      </c>
      <c r="C33" s="1" t="str">
        <f t="shared" si="1"/>
        <v>010-70</v>
      </c>
      <c r="D33" t="s">
        <v>34</v>
      </c>
      <c r="E33" t="b">
        <f>IF(COUNTIF(D33,"*"&amp;'Keyword Search'!$C$5&amp;"*"),TRUE,FALSE)</f>
        <v>1</v>
      </c>
      <c r="G33" t="str">
        <f t="shared" si="2"/>
        <v>010-70: Insulation, Magnesia, Blocks, Sheets, etc.</v>
      </c>
    </row>
    <row r="34" spans="1:7" x14ac:dyDescent="0.25">
      <c r="A34" s="1" t="str">
        <f t="shared" si="3"/>
        <v>010</v>
      </c>
      <c r="B34" s="1" t="str">
        <f>TEXT(72,"00")</f>
        <v>72</v>
      </c>
      <c r="C34" s="1" t="str">
        <f t="shared" si="1"/>
        <v>010-72</v>
      </c>
      <c r="D34" t="s">
        <v>35</v>
      </c>
      <c r="E34" t="b">
        <f>IF(COUNTIF(D34,"*"&amp;'Keyword Search'!$C$5&amp;"*"),TRUE,FALSE)</f>
        <v>1</v>
      </c>
      <c r="G34" t="str">
        <f t="shared" si="2"/>
        <v>010-72: Insulation, Mineral Wool: Blankets, Blocks, Boards</v>
      </c>
    </row>
    <row r="35" spans="1:7" x14ac:dyDescent="0.25">
      <c r="A35" s="1" t="str">
        <f t="shared" si="3"/>
        <v>010</v>
      </c>
      <c r="B35" s="1" t="str">
        <f>TEXT(75,"00")</f>
        <v>75</v>
      </c>
      <c r="C35" s="1" t="str">
        <f t="shared" si="1"/>
        <v>010-75</v>
      </c>
      <c r="D35" t="s">
        <v>36</v>
      </c>
      <c r="E35" t="b">
        <f>IF(COUNTIF(D35,"*"&amp;'Keyword Search'!$C$5&amp;"*"),TRUE,FALSE)</f>
        <v>1</v>
      </c>
      <c r="G35" t="str">
        <f t="shared" si="2"/>
        <v>010-75: Insulation Paints, Primers, Sealers, etc.</v>
      </c>
    </row>
    <row r="36" spans="1:7" x14ac:dyDescent="0.25">
      <c r="A36" s="1" t="str">
        <f t="shared" si="3"/>
        <v>010</v>
      </c>
      <c r="B36" s="1" t="str">
        <f>TEXT(76,"00")</f>
        <v>76</v>
      </c>
      <c r="C36" s="1" t="str">
        <f t="shared" si="1"/>
        <v>010-76</v>
      </c>
      <c r="D36" t="s">
        <v>37</v>
      </c>
      <c r="E36" t="b">
        <f>IF(COUNTIF(D36,"*"&amp;'Keyword Search'!$C$5&amp;"*"),TRUE,FALSE)</f>
        <v>1</v>
      </c>
      <c r="G36" t="str">
        <f t="shared" si="2"/>
        <v>010-76: Insulation, Paper Type Material, Cellulose, etc.</v>
      </c>
    </row>
    <row r="37" spans="1:7" x14ac:dyDescent="0.25">
      <c r="A37" s="1" t="str">
        <f t="shared" si="3"/>
        <v>010</v>
      </c>
      <c r="B37" s="1" t="str">
        <f>TEXT(78,"00")</f>
        <v>78</v>
      </c>
      <c r="C37" s="1" t="str">
        <f t="shared" si="1"/>
        <v>010-78</v>
      </c>
      <c r="D37" t="s">
        <v>38</v>
      </c>
      <c r="E37" t="b">
        <f>IF(COUNTIF(D37,"*"&amp;'Keyword Search'!$C$5&amp;"*"),TRUE,FALSE)</f>
        <v>1</v>
      </c>
      <c r="G37" t="str">
        <f t="shared" si="2"/>
        <v>010-78: Insulation, Pipe and Tubing, All Types</v>
      </c>
    </row>
    <row r="38" spans="1:7" x14ac:dyDescent="0.25">
      <c r="A38" s="1" t="str">
        <f t="shared" si="3"/>
        <v>010</v>
      </c>
      <c r="B38" s="1" t="str">
        <f>TEXT(81,"00")</f>
        <v>81</v>
      </c>
      <c r="C38" s="1" t="str">
        <f t="shared" si="1"/>
        <v>010-81</v>
      </c>
      <c r="D38" t="s">
        <v>39</v>
      </c>
      <c r="E38" t="b">
        <f>IF(COUNTIF(D38,"*"&amp;'Keyword Search'!$C$5&amp;"*"),TRUE,FALSE)</f>
        <v>1</v>
      </c>
      <c r="G38" t="str">
        <f t="shared" si="2"/>
        <v>010-81: Insulation, Preformed, All Types, Ells, Tees, Valves, etc.</v>
      </c>
    </row>
    <row r="39" spans="1:7" x14ac:dyDescent="0.25">
      <c r="A39" s="1" t="str">
        <f t="shared" si="3"/>
        <v>010</v>
      </c>
      <c r="B39" s="1" t="str">
        <f>TEXT(83,"00")</f>
        <v>83</v>
      </c>
      <c r="C39" s="1" t="str">
        <f t="shared" si="1"/>
        <v>010-83</v>
      </c>
      <c r="D39" t="s">
        <v>40</v>
      </c>
      <c r="E39" t="b">
        <f>IF(COUNTIF(D39,"*"&amp;'Keyword Search'!$C$5&amp;"*"),TRUE,FALSE)</f>
        <v>1</v>
      </c>
      <c r="G39" t="str">
        <f t="shared" si="2"/>
        <v>010-83: Recycled Insulation Materials and Supplies, All Types</v>
      </c>
    </row>
    <row r="40" spans="1:7" x14ac:dyDescent="0.25">
      <c r="A40" s="1" t="str">
        <f t="shared" si="3"/>
        <v>010</v>
      </c>
      <c r="B40" s="1" t="str">
        <f>TEXT(84,"00")</f>
        <v>84</v>
      </c>
      <c r="C40" s="1" t="str">
        <f t="shared" si="1"/>
        <v>010-84</v>
      </c>
      <c r="D40" t="s">
        <v>41</v>
      </c>
      <c r="E40" t="b">
        <f>IF(COUNTIF(D40,"*"&amp;'Keyword Search'!$C$5&amp;"*"),TRUE,FALSE)</f>
        <v>1</v>
      </c>
      <c r="G40" t="str">
        <f t="shared" si="2"/>
        <v>010-84: Insulation, Rubber</v>
      </c>
    </row>
    <row r="41" spans="1:7" x14ac:dyDescent="0.25">
      <c r="A41" s="5" t="str">
        <f t="shared" ref="A41:A53" si="4">TEXT(15,"000")</f>
        <v>015</v>
      </c>
      <c r="B41" s="5" t="str">
        <f>TEXT(0,"00")</f>
        <v>00</v>
      </c>
      <c r="C41" s="1"/>
      <c r="D41" s="2" t="s">
        <v>42</v>
      </c>
    </row>
    <row r="42" spans="1:7" x14ac:dyDescent="0.25">
      <c r="A42" s="1" t="str">
        <f t="shared" si="4"/>
        <v>015</v>
      </c>
      <c r="B42" s="1" t="str">
        <f>TEXT(6,"00")</f>
        <v>06</v>
      </c>
      <c r="C42" s="1" t="str">
        <f t="shared" si="1"/>
        <v>015-06</v>
      </c>
      <c r="D42" t="s">
        <v>43</v>
      </c>
      <c r="E42" t="b">
        <f>IF(COUNTIF(D42,"*"&amp;'Keyword Search'!$C$5&amp;"*"),TRUE,FALSE)</f>
        <v>1</v>
      </c>
      <c r="G42" t="str">
        <f t="shared" si="2"/>
        <v>015-06: Addressing Machine Supplies, Metal and Plastic Plate Type</v>
      </c>
    </row>
    <row r="43" spans="1:7" x14ac:dyDescent="0.25">
      <c r="A43" s="1" t="str">
        <f t="shared" si="4"/>
        <v>015</v>
      </c>
      <c r="B43" s="1" t="str">
        <f>TEXT(10,"00")</f>
        <v>10</v>
      </c>
      <c r="C43" s="1" t="str">
        <f t="shared" si="1"/>
        <v>015-10</v>
      </c>
      <c r="D43" t="s">
        <v>44</v>
      </c>
      <c r="E43" t="b">
        <f>IF(COUNTIF(D43,"*"&amp;'Keyword Search'!$C$5&amp;"*"),TRUE,FALSE)</f>
        <v>1</v>
      </c>
      <c r="G43" t="str">
        <f t="shared" si="2"/>
        <v>015-10: Addressing Machine Supplies, Paper Plate Type</v>
      </c>
    </row>
    <row r="44" spans="1:7" x14ac:dyDescent="0.25">
      <c r="A44" s="1" t="str">
        <f t="shared" si="4"/>
        <v>015</v>
      </c>
      <c r="B44" s="1" t="str">
        <f>TEXT(15,"00")</f>
        <v>15</v>
      </c>
      <c r="C44" s="1" t="str">
        <f t="shared" si="1"/>
        <v>015-15</v>
      </c>
      <c r="D44" t="s">
        <v>45</v>
      </c>
      <c r="E44" t="b">
        <f>IF(COUNTIF(D44,"*"&amp;'Keyword Search'!$C$5&amp;"*"),TRUE,FALSE)</f>
        <v>1</v>
      </c>
      <c r="G44" t="str">
        <f t="shared" si="2"/>
        <v>015-15: Chemicals and Supplies, Dry, Bond Paper Type Copying Machines</v>
      </c>
    </row>
    <row r="45" spans="1:7" x14ac:dyDescent="0.25">
      <c r="A45" s="1" t="str">
        <f t="shared" si="4"/>
        <v>015</v>
      </c>
      <c r="B45" s="1" t="str">
        <f>TEXT(16,"00")</f>
        <v>16</v>
      </c>
      <c r="C45" s="1" t="str">
        <f t="shared" si="1"/>
        <v>015-16</v>
      </c>
      <c r="D45" t="s">
        <v>46</v>
      </c>
      <c r="E45" t="b">
        <f>IF(COUNTIF(D45,"*"&amp;'Keyword Search'!$C$5&amp;"*"),TRUE,FALSE)</f>
        <v>1</v>
      </c>
      <c r="G45" t="str">
        <f t="shared" si="2"/>
        <v>015-16: Chemicals and Supplies, Wet, Bond Paper Type Copying Machines</v>
      </c>
    </row>
    <row r="46" spans="1:7" x14ac:dyDescent="0.25">
      <c r="A46" s="1" t="str">
        <f t="shared" si="4"/>
        <v>015</v>
      </c>
      <c r="B46" s="1" t="str">
        <f>TEXT(20,"00")</f>
        <v>20</v>
      </c>
      <c r="C46" s="1" t="str">
        <f t="shared" si="1"/>
        <v>015-20</v>
      </c>
      <c r="D46" t="s">
        <v>47</v>
      </c>
      <c r="E46" t="b">
        <f>IF(COUNTIF(D46,"*"&amp;'Keyword Search'!$C$5&amp;"*"),TRUE,FALSE)</f>
        <v>1</v>
      </c>
      <c r="G46" t="str">
        <f t="shared" si="2"/>
        <v>015-20: Chemicals and Supplies, Duplicating Machines</v>
      </c>
    </row>
    <row r="47" spans="1:7" x14ac:dyDescent="0.25">
      <c r="A47" s="1" t="str">
        <f t="shared" si="4"/>
        <v>015</v>
      </c>
      <c r="B47" s="1" t="str">
        <f>TEXT(25,"00")</f>
        <v>25</v>
      </c>
      <c r="C47" s="1" t="str">
        <f t="shared" si="1"/>
        <v>015-25</v>
      </c>
      <c r="D47" t="s">
        <v>48</v>
      </c>
      <c r="E47" t="b">
        <f>IF(COUNTIF(D47,"*"&amp;'Keyword Search'!$C$5&amp;"*"),TRUE,FALSE)</f>
        <v>1</v>
      </c>
      <c r="G47" t="str">
        <f t="shared" si="2"/>
        <v>015-25: Chemicals, Inks, and Supplies, Mimeograph Machines)</v>
      </c>
    </row>
    <row r="48" spans="1:7" x14ac:dyDescent="0.25">
      <c r="A48" s="1" t="str">
        <f t="shared" si="4"/>
        <v>015</v>
      </c>
      <c r="B48" s="1" t="str">
        <f>TEXT(38,"00")</f>
        <v>38</v>
      </c>
      <c r="C48" s="1" t="str">
        <f t="shared" si="1"/>
        <v>015-38</v>
      </c>
      <c r="D48" t="s">
        <v>49</v>
      </c>
      <c r="E48" t="b">
        <f>IF(COUNTIF(D48,"*"&amp;'Keyword Search'!$C$5&amp;"*"),TRUE,FALSE)</f>
        <v>1</v>
      </c>
      <c r="G48" t="str">
        <f t="shared" si="2"/>
        <v>015-38: Paper, Chemicals, and Supplies, Blueline Machines</v>
      </c>
    </row>
    <row r="49" spans="1:7" x14ac:dyDescent="0.25">
      <c r="A49" s="1" t="str">
        <f t="shared" si="4"/>
        <v>015</v>
      </c>
      <c r="B49" s="1" t="str">
        <f>TEXT(39,"00")</f>
        <v>39</v>
      </c>
      <c r="C49" s="1" t="str">
        <f t="shared" si="1"/>
        <v>015-39</v>
      </c>
      <c r="D49" t="s">
        <v>50</v>
      </c>
      <c r="E49" t="b">
        <f>IF(COUNTIF(D49,"*"&amp;'Keyword Search'!$C$5&amp;"*"),TRUE,FALSE)</f>
        <v>1</v>
      </c>
      <c r="G49" t="str">
        <f t="shared" si="2"/>
        <v>015-39: Paper, Chemicals, and Supplies, Coated or Treated Paper Type Copying Machines, (See 305-39 for Diazo Process Copy Machines</v>
      </c>
    </row>
    <row r="50" spans="1:7" x14ac:dyDescent="0.25">
      <c r="A50" s="1" t="str">
        <f t="shared" si="4"/>
        <v>015</v>
      </c>
      <c r="B50" s="1" t="str">
        <f>TEXT(45,"00")</f>
        <v>45</v>
      </c>
      <c r="C50" s="1" t="str">
        <f t="shared" si="1"/>
        <v>015-45</v>
      </c>
      <c r="D50" t="s">
        <v>51</v>
      </c>
      <c r="E50" t="b">
        <f>IF(COUNTIF(D50,"*"&amp;'Keyword Search'!$C$5&amp;"*"),TRUE,FALSE)</f>
        <v>1</v>
      </c>
      <c r="G50" t="str">
        <f t="shared" si="2"/>
        <v>015-45: Paper, Chemicals, and Supplies, Diffusion Transfer Type Copying Machines, (See 305-39 for Diazo Process Copy Machines)</v>
      </c>
    </row>
    <row r="51" spans="1:7" x14ac:dyDescent="0.25">
      <c r="A51" s="1" t="str">
        <f t="shared" si="4"/>
        <v>015</v>
      </c>
      <c r="B51" s="1" t="str">
        <f>TEXT(55,"00")</f>
        <v>55</v>
      </c>
      <c r="C51" s="1" t="str">
        <f t="shared" si="1"/>
        <v>015-55</v>
      </c>
      <c r="D51" t="s">
        <v>52</v>
      </c>
      <c r="E51" t="b">
        <f>IF(COUNTIF(D51,"*"&amp;'Keyword Search'!$C$5&amp;"*"),TRUE,FALSE)</f>
        <v>1</v>
      </c>
      <c r="G51" t="str">
        <f t="shared" si="2"/>
        <v>015-55: Paper and Supplies, Dual Spectrum Process Copying Machines, (See 305-39 for Diazo Process Copy Machines)</v>
      </c>
    </row>
    <row r="52" spans="1:7" x14ac:dyDescent="0.25">
      <c r="A52" s="1" t="str">
        <f t="shared" si="4"/>
        <v>015</v>
      </c>
      <c r="B52" s="1" t="str">
        <f>TEXT(70,"00")</f>
        <v>70</v>
      </c>
      <c r="C52" s="1" t="str">
        <f t="shared" si="1"/>
        <v>015-70</v>
      </c>
      <c r="D52" t="s">
        <v>53</v>
      </c>
      <c r="E52" t="b">
        <f>IF(COUNTIF(D52,"*"&amp;'Keyword Search'!$C$5&amp;"*"),TRUE,FALSE)</f>
        <v>1</v>
      </c>
      <c r="G52" t="str">
        <f t="shared" si="2"/>
        <v>015-70: Paper, Chemicals, and Supplies. Thermal Process Copying Machines, (See 305-39 for Diazo Process Copy Machines)</v>
      </c>
    </row>
    <row r="53" spans="1:7" x14ac:dyDescent="0.25">
      <c r="A53" s="1" t="str">
        <f t="shared" si="4"/>
        <v>015</v>
      </c>
      <c r="B53" s="1" t="str">
        <f>TEXT(77,"00")</f>
        <v>77</v>
      </c>
      <c r="C53" s="1" t="str">
        <f t="shared" si="1"/>
        <v>015-77</v>
      </c>
      <c r="D53" t="s">
        <v>54</v>
      </c>
      <c r="E53" t="b">
        <f>IF(COUNTIF(D53,"*"&amp;'Keyword Search'!$C$5&amp;"*"),TRUE,FALSE)</f>
        <v>1</v>
      </c>
      <c r="G53" t="str">
        <f t="shared" si="2"/>
        <v>015-77: Recycled Copying and Duplicating Supplies</v>
      </c>
    </row>
    <row r="54" spans="1:7" x14ac:dyDescent="0.25">
      <c r="A54" s="5" t="str">
        <f t="shared" ref="A54:A77" si="5">TEXT(19,"000")</f>
        <v>019</v>
      </c>
      <c r="B54" s="5" t="str">
        <f>TEXT(0,"00")</f>
        <v>00</v>
      </c>
      <c r="C54" s="1"/>
      <c r="D54" s="2" t="s">
        <v>55</v>
      </c>
    </row>
    <row r="55" spans="1:7" x14ac:dyDescent="0.25">
      <c r="A55" s="1" t="str">
        <f t="shared" si="5"/>
        <v>019</v>
      </c>
      <c r="B55" s="1" t="str">
        <f>TEXT(20,"00")</f>
        <v>20</v>
      </c>
      <c r="C55" s="1" t="str">
        <f t="shared" si="1"/>
        <v>019-20</v>
      </c>
      <c r="D55" t="s">
        <v>56</v>
      </c>
      <c r="E55" t="b">
        <f>IF(COUNTIF(D55,"*"&amp;'Keyword Search'!$C$5&amp;"*"),TRUE,FALSE)</f>
        <v>1</v>
      </c>
      <c r="G55" t="str">
        <f t="shared" si="2"/>
        <v>019-20: Barley</v>
      </c>
    </row>
    <row r="56" spans="1:7" x14ac:dyDescent="0.25">
      <c r="A56" s="1" t="str">
        <f t="shared" si="5"/>
        <v>019</v>
      </c>
      <c r="B56" s="1" t="str">
        <f>TEXT(21,"00")</f>
        <v>21</v>
      </c>
      <c r="C56" s="1" t="str">
        <f t="shared" si="1"/>
        <v>019-21</v>
      </c>
      <c r="D56" t="s">
        <v>57</v>
      </c>
      <c r="E56" t="b">
        <f>IF(COUNTIF(D56,"*"&amp;'Keyword Search'!$C$5&amp;"*"),TRUE,FALSE)</f>
        <v>1</v>
      </c>
      <c r="G56" t="str">
        <f t="shared" si="2"/>
        <v>019-21: Berry Crops</v>
      </c>
    </row>
    <row r="57" spans="1:7" x14ac:dyDescent="0.25">
      <c r="A57" s="1" t="str">
        <f t="shared" si="5"/>
        <v>019</v>
      </c>
      <c r="B57" s="1" t="str">
        <f>TEXT(24,"00")</f>
        <v>24</v>
      </c>
      <c r="C57" s="1" t="str">
        <f t="shared" si="1"/>
        <v>019-24</v>
      </c>
      <c r="D57" t="s">
        <v>58</v>
      </c>
      <c r="E57" t="b">
        <f>IF(COUNTIF(D57,"*"&amp;'Keyword Search'!$C$5&amp;"*"),TRUE,FALSE)</f>
        <v>1</v>
      </c>
      <c r="G57" t="str">
        <f t="shared" si="2"/>
        <v>019-24: Buckwheat</v>
      </c>
    </row>
    <row r="58" spans="1:7" x14ac:dyDescent="0.25">
      <c r="A58" s="1" t="str">
        <f t="shared" si="5"/>
        <v>019</v>
      </c>
      <c r="B58" s="1" t="str">
        <f>TEXT(30,"00")</f>
        <v>30</v>
      </c>
      <c r="C58" s="1" t="str">
        <f t="shared" si="1"/>
        <v>019-30</v>
      </c>
      <c r="D58" t="s">
        <v>59</v>
      </c>
      <c r="E58" t="b">
        <f>IF(COUNTIF(D58,"*"&amp;'Keyword Search'!$C$5&amp;"*"),TRUE,FALSE)</f>
        <v>1</v>
      </c>
      <c r="G58" t="str">
        <f t="shared" si="2"/>
        <v>019-30: Corn</v>
      </c>
    </row>
    <row r="59" spans="1:7" x14ac:dyDescent="0.25">
      <c r="A59" s="1" t="str">
        <f t="shared" si="5"/>
        <v>019</v>
      </c>
      <c r="B59" s="1" t="str">
        <f>TEXT(32,"00")</f>
        <v>32</v>
      </c>
      <c r="C59" s="1" t="str">
        <f t="shared" si="1"/>
        <v>019-32</v>
      </c>
      <c r="D59" t="s">
        <v>60</v>
      </c>
      <c r="E59" t="b">
        <f>IF(COUNTIF(D59,"*"&amp;'Keyword Search'!$C$5&amp;"*"),TRUE,FALSE)</f>
        <v>1</v>
      </c>
      <c r="G59" t="str">
        <f t="shared" si="2"/>
        <v>019-32: Cotton</v>
      </c>
    </row>
    <row r="60" spans="1:7" x14ac:dyDescent="0.25">
      <c r="A60" s="1" t="str">
        <f t="shared" si="5"/>
        <v>019</v>
      </c>
      <c r="B60" s="1" t="str">
        <f>TEXT(41,"00")</f>
        <v>41</v>
      </c>
      <c r="C60" s="1" t="str">
        <f t="shared" si="1"/>
        <v>019-41</v>
      </c>
      <c r="D60" t="s">
        <v>61</v>
      </c>
      <c r="E60" t="b">
        <f>IF(COUNTIF(D60,"*"&amp;'Keyword Search'!$C$5&amp;"*"),TRUE,FALSE)</f>
        <v>1</v>
      </c>
      <c r="G60" t="str">
        <f t="shared" si="2"/>
        <v>019-41: Fruits, Citrus</v>
      </c>
    </row>
    <row r="61" spans="1:7" x14ac:dyDescent="0.25">
      <c r="A61" s="1" t="str">
        <f t="shared" si="5"/>
        <v>019</v>
      </c>
      <c r="B61" s="1" t="str">
        <f>TEXT(42,"00")</f>
        <v>42</v>
      </c>
      <c r="C61" s="1" t="str">
        <f t="shared" si="1"/>
        <v>019-42</v>
      </c>
      <c r="D61" t="s">
        <v>62</v>
      </c>
      <c r="E61" t="b">
        <f>IF(COUNTIF(D61,"*"&amp;'Keyword Search'!$C$5&amp;"*"),TRUE,FALSE)</f>
        <v>1</v>
      </c>
      <c r="G61" t="str">
        <f t="shared" si="2"/>
        <v>019-42: Fruits, Deciduous Tree</v>
      </c>
    </row>
    <row r="62" spans="1:7" x14ac:dyDescent="0.25">
      <c r="A62" s="1" t="str">
        <f t="shared" si="5"/>
        <v>019</v>
      </c>
      <c r="B62" s="1" t="str">
        <f>TEXT(47,"00")</f>
        <v>47</v>
      </c>
      <c r="C62" s="1" t="str">
        <f t="shared" si="1"/>
        <v>019-47</v>
      </c>
      <c r="D62" t="s">
        <v>63</v>
      </c>
      <c r="E62" t="b">
        <f>IF(COUNTIF(D62,"*"&amp;'Keyword Search'!$C$5&amp;"*"),TRUE,FALSE)</f>
        <v>1</v>
      </c>
      <c r="G62" t="str">
        <f t="shared" si="2"/>
        <v>019-47: Grapes</v>
      </c>
    </row>
    <row r="63" spans="1:7" x14ac:dyDescent="0.25">
      <c r="A63" s="1" t="str">
        <f t="shared" si="5"/>
        <v>019</v>
      </c>
      <c r="B63" s="1" t="str">
        <f>TEXT(50,"00")</f>
        <v>50</v>
      </c>
      <c r="C63" s="1" t="str">
        <f t="shared" si="1"/>
        <v>019-50</v>
      </c>
      <c r="D63" t="s">
        <v>64</v>
      </c>
      <c r="E63" t="b">
        <f>IF(COUNTIF(D63,"*"&amp;'Keyword Search'!$C$5&amp;"*"),TRUE,FALSE)</f>
        <v>1</v>
      </c>
      <c r="G63" t="str">
        <f t="shared" si="2"/>
        <v>019-50: Hops</v>
      </c>
    </row>
    <row r="64" spans="1:7" x14ac:dyDescent="0.25">
      <c r="A64" s="1" t="str">
        <f t="shared" si="5"/>
        <v>019</v>
      </c>
      <c r="B64" s="1" t="str">
        <f>TEXT(53,"00")</f>
        <v>53</v>
      </c>
      <c r="C64" s="1" t="str">
        <f t="shared" si="1"/>
        <v>019-53</v>
      </c>
      <c r="D64" t="s">
        <v>65</v>
      </c>
      <c r="E64" t="b">
        <f>IF(COUNTIF(D64,"*"&amp;'Keyword Search'!$C$5&amp;"*"),TRUE,FALSE)</f>
        <v>1</v>
      </c>
      <c r="G64" t="str">
        <f t="shared" si="2"/>
        <v>019-53: Melons</v>
      </c>
    </row>
    <row r="65" spans="1:7" x14ac:dyDescent="0.25">
      <c r="A65" s="1" t="str">
        <f t="shared" si="5"/>
        <v>019</v>
      </c>
      <c r="B65" s="1" t="str">
        <f>TEXT(54,"00")</f>
        <v>54</v>
      </c>
      <c r="C65" s="1" t="str">
        <f t="shared" si="1"/>
        <v>019-54</v>
      </c>
      <c r="D65" t="s">
        <v>66</v>
      </c>
      <c r="E65" t="b">
        <f>IF(COUNTIF(D65,"*"&amp;'Keyword Search'!$C$5&amp;"*"),TRUE,FALSE)</f>
        <v>1</v>
      </c>
      <c r="G65" t="str">
        <f t="shared" si="2"/>
        <v>019-54: Millet</v>
      </c>
    </row>
    <row r="66" spans="1:7" x14ac:dyDescent="0.25">
      <c r="A66" s="1" t="str">
        <f t="shared" si="5"/>
        <v>019</v>
      </c>
      <c r="B66" s="1" t="str">
        <f>TEXT(56,"00")</f>
        <v>56</v>
      </c>
      <c r="C66" s="1" t="str">
        <f t="shared" si="1"/>
        <v>019-56</v>
      </c>
      <c r="D66" t="s">
        <v>67</v>
      </c>
      <c r="E66" t="b">
        <f>IF(COUNTIF(D66,"*"&amp;'Keyword Search'!$C$5&amp;"*"),TRUE,FALSE)</f>
        <v>1</v>
      </c>
      <c r="G66" t="str">
        <f t="shared" si="2"/>
        <v>019-56: Nuts, Tree</v>
      </c>
    </row>
    <row r="67" spans="1:7" x14ac:dyDescent="0.25">
      <c r="A67" s="1" t="str">
        <f t="shared" si="5"/>
        <v>019</v>
      </c>
      <c r="B67" s="1" t="str">
        <f>TEXT(58,"00")</f>
        <v>58</v>
      </c>
      <c r="C67" s="1" t="str">
        <f t="shared" ref="C67:C130" si="6">CONCATENATE(A67,"-",B67)</f>
        <v>019-58</v>
      </c>
      <c r="D67" t="s">
        <v>68</v>
      </c>
      <c r="E67" t="b">
        <f>IF(COUNTIF(D67,"*"&amp;'Keyword Search'!$C$5&amp;"*"),TRUE,FALSE)</f>
        <v>1</v>
      </c>
      <c r="G67" t="str">
        <f t="shared" si="2"/>
        <v>019-58: Oats</v>
      </c>
    </row>
    <row r="68" spans="1:7" x14ac:dyDescent="0.25">
      <c r="A68" s="1" t="str">
        <f t="shared" si="5"/>
        <v>019</v>
      </c>
      <c r="B68" s="1" t="str">
        <f>TEXT(60,"00")</f>
        <v>60</v>
      </c>
      <c r="C68" s="1" t="str">
        <f t="shared" si="6"/>
        <v>019-60</v>
      </c>
      <c r="D68" t="s">
        <v>69</v>
      </c>
      <c r="E68" t="b">
        <f>IF(COUNTIF(D68,"*"&amp;'Keyword Search'!$C$5&amp;"*"),TRUE,FALSE)</f>
        <v>1</v>
      </c>
      <c r="G68" t="str">
        <f t="shared" ref="G68:G131" si="7">CONCATENATE(C68,": ",D68)</f>
        <v>019-60: Potatoes</v>
      </c>
    </row>
    <row r="69" spans="1:7" x14ac:dyDescent="0.25">
      <c r="A69" s="1" t="str">
        <f t="shared" si="5"/>
        <v>019</v>
      </c>
      <c r="B69" s="1" t="str">
        <f>TEXT(62,"00")</f>
        <v>62</v>
      </c>
      <c r="C69" s="1" t="str">
        <f t="shared" si="6"/>
        <v>019-62</v>
      </c>
      <c r="D69" t="s">
        <v>70</v>
      </c>
      <c r="E69" t="b">
        <f>IF(COUNTIF(D69,"*"&amp;'Keyword Search'!$C$5&amp;"*"),TRUE,FALSE)</f>
        <v>1</v>
      </c>
      <c r="G69" t="str">
        <f t="shared" si="7"/>
        <v>019-62: Pumpkins</v>
      </c>
    </row>
    <row r="70" spans="1:7" x14ac:dyDescent="0.25">
      <c r="A70" s="1" t="str">
        <f t="shared" si="5"/>
        <v>019</v>
      </c>
      <c r="B70" s="1" t="str">
        <f>TEXT(66,"00")</f>
        <v>66</v>
      </c>
      <c r="C70" s="1" t="str">
        <f t="shared" si="6"/>
        <v>019-66</v>
      </c>
      <c r="D70" t="s">
        <v>71</v>
      </c>
      <c r="E70" t="b">
        <f>IF(COUNTIF(D70,"*"&amp;'Keyword Search'!$C$5&amp;"*"),TRUE,FALSE)</f>
        <v>1</v>
      </c>
      <c r="G70" t="str">
        <f t="shared" si="7"/>
        <v>019-66: Rice</v>
      </c>
    </row>
    <row r="71" spans="1:7" x14ac:dyDescent="0.25">
      <c r="A71" s="1" t="str">
        <f t="shared" si="5"/>
        <v>019</v>
      </c>
      <c r="B71" s="1" t="str">
        <f>TEXT(67,"00")</f>
        <v>67</v>
      </c>
      <c r="C71" s="1" t="str">
        <f t="shared" si="6"/>
        <v>019-67</v>
      </c>
      <c r="D71" t="s">
        <v>72</v>
      </c>
      <c r="E71" t="b">
        <f>IF(COUNTIF(D71,"*"&amp;'Keyword Search'!$C$5&amp;"*"),TRUE,FALSE)</f>
        <v>1</v>
      </c>
      <c r="G71" t="str">
        <f t="shared" si="7"/>
        <v>019-67: Rye</v>
      </c>
    </row>
    <row r="72" spans="1:7" x14ac:dyDescent="0.25">
      <c r="A72" s="1" t="str">
        <f t="shared" si="5"/>
        <v>019</v>
      </c>
      <c r="B72" s="1" t="str">
        <f>TEXT(72,"00")</f>
        <v>72</v>
      </c>
      <c r="C72" s="1" t="str">
        <f t="shared" si="6"/>
        <v>019-72</v>
      </c>
      <c r="D72" t="s">
        <v>73</v>
      </c>
      <c r="E72" t="b">
        <f>IF(COUNTIF(D72,"*"&amp;'Keyword Search'!$C$5&amp;"*"),TRUE,FALSE)</f>
        <v>1</v>
      </c>
      <c r="G72" t="str">
        <f t="shared" si="7"/>
        <v>019-72: Sorghum</v>
      </c>
    </row>
    <row r="73" spans="1:7" x14ac:dyDescent="0.25">
      <c r="A73" s="1" t="str">
        <f t="shared" si="5"/>
        <v>019</v>
      </c>
      <c r="B73" s="1" t="str">
        <f>TEXT(73,"00")</f>
        <v>73</v>
      </c>
      <c r="C73" s="1" t="str">
        <f t="shared" si="6"/>
        <v>019-73</v>
      </c>
      <c r="D73" t="s">
        <v>74</v>
      </c>
      <c r="E73" t="b">
        <f>IF(COUNTIF(D73,"*"&amp;'Keyword Search'!$C$5&amp;"*"),TRUE,FALSE)</f>
        <v>1</v>
      </c>
      <c r="G73" t="str">
        <f t="shared" si="7"/>
        <v>019-73: Soybeans</v>
      </c>
    </row>
    <row r="74" spans="1:7" x14ac:dyDescent="0.25">
      <c r="A74" s="1" t="str">
        <f t="shared" si="5"/>
        <v>019</v>
      </c>
      <c r="B74" s="1" t="str">
        <f>TEXT(78,"00")</f>
        <v>78</v>
      </c>
      <c r="C74" s="1" t="str">
        <f t="shared" si="6"/>
        <v>019-78</v>
      </c>
      <c r="D74" t="s">
        <v>75</v>
      </c>
      <c r="E74" t="b">
        <f>IF(COUNTIF(D74,"*"&amp;'Keyword Search'!$C$5&amp;"*"),TRUE,FALSE)</f>
        <v>1</v>
      </c>
      <c r="G74" t="str">
        <f t="shared" si="7"/>
        <v>019-78: Sugarcane and Sugarbeets</v>
      </c>
    </row>
    <row r="75" spans="1:7" x14ac:dyDescent="0.25">
      <c r="A75" s="1" t="str">
        <f t="shared" si="5"/>
        <v>019</v>
      </c>
      <c r="B75" s="1" t="str">
        <f>TEXT(85,"00")</f>
        <v>85</v>
      </c>
      <c r="C75" s="1" t="str">
        <f t="shared" si="6"/>
        <v>019-85</v>
      </c>
      <c r="D75" t="s">
        <v>76</v>
      </c>
      <c r="E75" t="b">
        <f>IF(COUNTIF(D75,"*"&amp;'Keyword Search'!$C$5&amp;"*"),TRUE,FALSE)</f>
        <v>1</v>
      </c>
      <c r="G75" t="str">
        <f t="shared" si="7"/>
        <v>019-85: Tobacco</v>
      </c>
    </row>
    <row r="76" spans="1:7" x14ac:dyDescent="0.25">
      <c r="A76" s="1" t="str">
        <f t="shared" si="5"/>
        <v>019</v>
      </c>
      <c r="B76" s="1" t="str">
        <f>TEXT(90,"00")</f>
        <v>90</v>
      </c>
      <c r="C76" s="1" t="str">
        <f t="shared" si="6"/>
        <v>019-90</v>
      </c>
      <c r="D76" t="s">
        <v>77</v>
      </c>
      <c r="E76" t="b">
        <f>IF(COUNTIF(D76,"*"&amp;'Keyword Search'!$C$5&amp;"*"),TRUE,FALSE)</f>
        <v>1</v>
      </c>
      <c r="G76" t="str">
        <f t="shared" si="7"/>
        <v>019-90: Vegetables, (Not Otherwise Classified)</v>
      </c>
    </row>
    <row r="77" spans="1:7" x14ac:dyDescent="0.25">
      <c r="A77" s="1" t="str">
        <f t="shared" si="5"/>
        <v>019</v>
      </c>
      <c r="B77" s="1" t="str">
        <f>TEXT(94,"00")</f>
        <v>94</v>
      </c>
      <c r="C77" s="1" t="str">
        <f t="shared" si="6"/>
        <v>019-94</v>
      </c>
      <c r="D77" t="s">
        <v>78</v>
      </c>
      <c r="E77" t="b">
        <f>IF(COUNTIF(D77,"*"&amp;'Keyword Search'!$C$5&amp;"*"),TRUE,FALSE)</f>
        <v>1</v>
      </c>
      <c r="G77" t="str">
        <f t="shared" si="7"/>
        <v>019-94: Wheat</v>
      </c>
    </row>
    <row r="78" spans="1:7" x14ac:dyDescent="0.25">
      <c r="A78" s="5" t="str">
        <f t="shared" ref="A78:A139" si="8">TEXT(20,"000")</f>
        <v>020</v>
      </c>
      <c r="B78" s="5" t="str">
        <f>TEXT(0,"00")</f>
        <v>00</v>
      </c>
      <c r="C78" s="1"/>
      <c r="D78" s="2" t="s">
        <v>79</v>
      </c>
    </row>
    <row r="79" spans="1:7" x14ac:dyDescent="0.25">
      <c r="A79" s="1" t="str">
        <f t="shared" si="8"/>
        <v>020</v>
      </c>
      <c r="B79" s="1" t="str">
        <f>TEXT(2,"00")</f>
        <v>02</v>
      </c>
      <c r="C79" s="1" t="str">
        <f t="shared" si="6"/>
        <v>020-02</v>
      </c>
      <c r="D79" t="s">
        <v>80</v>
      </c>
      <c r="E79" t="b">
        <f>IF(COUNTIF(D79,"*"&amp;'Keyword Search'!$C$5&amp;"*"),TRUE,FALSE)</f>
        <v>1</v>
      </c>
      <c r="G79" t="str">
        <f t="shared" si="7"/>
        <v>020-02: Backhoe, Farm Tractor</v>
      </c>
    </row>
    <row r="80" spans="1:7" x14ac:dyDescent="0.25">
      <c r="A80" s="1" t="str">
        <f t="shared" si="8"/>
        <v>020</v>
      </c>
      <c r="B80" s="1" t="str">
        <f>TEXT(4,"00")</f>
        <v>04</v>
      </c>
      <c r="C80" s="1" t="str">
        <f t="shared" si="6"/>
        <v>020-04</v>
      </c>
      <c r="D80" t="s">
        <v>81</v>
      </c>
      <c r="E80" t="b">
        <f>IF(COUNTIF(D80,"*"&amp;'Keyword Search'!$C$5&amp;"*"),TRUE,FALSE)</f>
        <v>1</v>
      </c>
      <c r="G80" t="str">
        <f t="shared" si="7"/>
        <v>020-04: Brush and Tree Chippers</v>
      </c>
    </row>
    <row r="81" spans="1:7" x14ac:dyDescent="0.25">
      <c r="A81" s="1" t="str">
        <f t="shared" si="8"/>
        <v>020</v>
      </c>
      <c r="B81" s="1" t="str">
        <f>TEXT(6,"00")</f>
        <v>06</v>
      </c>
      <c r="C81" s="1" t="str">
        <f t="shared" si="6"/>
        <v>020-06</v>
      </c>
      <c r="D81" t="s">
        <v>82</v>
      </c>
      <c r="E81" t="b">
        <f>IF(COUNTIF(D81,"*"&amp;'Keyword Search'!$C$5&amp;"*"),TRUE,FALSE)</f>
        <v>1</v>
      </c>
      <c r="G81" t="str">
        <f t="shared" si="7"/>
        <v>020-06: Brush Cutters and Saws, Motor Driven</v>
      </c>
    </row>
    <row r="82" spans="1:7" x14ac:dyDescent="0.25">
      <c r="A82" s="1" t="str">
        <f t="shared" si="8"/>
        <v>020</v>
      </c>
      <c r="B82" s="1" t="str">
        <f>TEXT(10,"00")</f>
        <v>10</v>
      </c>
      <c r="C82" s="1" t="str">
        <f t="shared" si="6"/>
        <v>020-10</v>
      </c>
      <c r="D82" t="s">
        <v>83</v>
      </c>
      <c r="E82" t="b">
        <f>IF(COUNTIF(D82,"*"&amp;'Keyword Search'!$C$5&amp;"*"),TRUE,FALSE)</f>
        <v>1</v>
      </c>
      <c r="G82" t="str">
        <f t="shared" si="7"/>
        <v>020-10: Counters, Acre</v>
      </c>
    </row>
    <row r="83" spans="1:7" x14ac:dyDescent="0.25">
      <c r="A83" s="1" t="str">
        <f t="shared" si="8"/>
        <v>020</v>
      </c>
      <c r="B83" s="1" t="str">
        <f>TEXT(13,"00")</f>
        <v>13</v>
      </c>
      <c r="C83" s="1" t="str">
        <f t="shared" si="6"/>
        <v>020-13</v>
      </c>
      <c r="D83" t="s">
        <v>84</v>
      </c>
      <c r="E83" t="b">
        <f>IF(COUNTIF(D83,"*"&amp;'Keyword Search'!$C$5&amp;"*"),TRUE,FALSE)</f>
        <v>1</v>
      </c>
      <c r="G83" t="str">
        <f t="shared" si="7"/>
        <v>020-13: Cultivating Equipment, Farm: Go-Devils, Row Type Shovel Cultivators, Tooth and Spring Harrows, etc.</v>
      </c>
    </row>
    <row r="84" spans="1:7" x14ac:dyDescent="0.25">
      <c r="A84" s="1" t="str">
        <f t="shared" si="8"/>
        <v>020</v>
      </c>
      <c r="B84" s="1" t="str">
        <f>TEXT(14,"00")</f>
        <v>14</v>
      </c>
      <c r="C84" s="1" t="str">
        <f t="shared" si="6"/>
        <v>020-14</v>
      </c>
      <c r="D84" t="s">
        <v>85</v>
      </c>
      <c r="E84" t="b">
        <f>IF(COUNTIF(D84,"*"&amp;'Keyword Search'!$C$5&amp;"*"),TRUE,FALSE)</f>
        <v>1</v>
      </c>
      <c r="G84" t="str">
        <f t="shared" si="7"/>
        <v>020-14: Curb Edger, Heavy Duty, Tractor Mounted</v>
      </c>
    </row>
    <row r="85" spans="1:7" x14ac:dyDescent="0.25">
      <c r="A85" s="1" t="str">
        <f t="shared" si="8"/>
        <v>020</v>
      </c>
      <c r="B85" s="1" t="str">
        <f>TEXT(15,"00")</f>
        <v>15</v>
      </c>
      <c r="C85" s="1" t="str">
        <f t="shared" si="6"/>
        <v>020-15</v>
      </c>
      <c r="D85" t="s">
        <v>86</v>
      </c>
      <c r="E85" t="b">
        <f>IF(COUNTIF(D85,"*"&amp;'Keyword Search'!$C$5&amp;"*"),TRUE,FALSE)</f>
        <v>1</v>
      </c>
      <c r="G85" t="str">
        <f t="shared" si="7"/>
        <v>020-15: Cutters and Shredders, Mowers, Heavy Duty, Flail: Tow Type and Center Mount Type</v>
      </c>
    </row>
    <row r="86" spans="1:7" x14ac:dyDescent="0.25">
      <c r="A86" s="1" t="str">
        <f t="shared" si="8"/>
        <v>020</v>
      </c>
      <c r="B86" s="1" t="str">
        <f>TEXT(16,"00")</f>
        <v>16</v>
      </c>
      <c r="C86" s="1" t="str">
        <f t="shared" si="6"/>
        <v>020-16</v>
      </c>
      <c r="D86" t="s">
        <v>87</v>
      </c>
      <c r="E86" t="b">
        <f>IF(COUNTIF(D86,"*"&amp;'Keyword Search'!$C$5&amp;"*"),TRUE,FALSE)</f>
        <v>1</v>
      </c>
      <c r="G86" t="str">
        <f t="shared" si="7"/>
        <v>020-16: Cutters and Shredders, Mowers, Heavy Duty, Reel and Rotary: Tow Type and Center Mount Type</v>
      </c>
    </row>
    <row r="87" spans="1:7" x14ac:dyDescent="0.25">
      <c r="A87" s="1" t="str">
        <f t="shared" si="8"/>
        <v>020</v>
      </c>
      <c r="B87" s="1" t="str">
        <f>TEXT(18,"00")</f>
        <v>18</v>
      </c>
      <c r="C87" s="1" t="str">
        <f t="shared" si="6"/>
        <v>020-18</v>
      </c>
      <c r="D87" t="s">
        <v>88</v>
      </c>
      <c r="E87" t="b">
        <f>IF(COUNTIF(D87,"*"&amp;'Keyword Search'!$C$5&amp;"*"),TRUE,FALSE)</f>
        <v>1</v>
      </c>
      <c r="G87" t="str">
        <f t="shared" si="7"/>
        <v>020-18: Dozer Blades. Farm Tractors</v>
      </c>
    </row>
    <row r="88" spans="1:7" x14ac:dyDescent="0.25">
      <c r="A88" s="1" t="str">
        <f t="shared" si="8"/>
        <v>020</v>
      </c>
      <c r="B88" s="1" t="str">
        <f>TEXT(20,"00")</f>
        <v>20</v>
      </c>
      <c r="C88" s="1" t="str">
        <f t="shared" si="6"/>
        <v>020-20</v>
      </c>
      <c r="D88" t="s">
        <v>89</v>
      </c>
      <c r="E88" t="b">
        <f>IF(COUNTIF(D88,"*"&amp;'Keyword Search'!$C$5&amp;"*"),TRUE,FALSE)</f>
        <v>1</v>
      </c>
      <c r="G88" t="str">
        <f t="shared" si="7"/>
        <v>020-20: Drying Equipment, Grain</v>
      </c>
    </row>
    <row r="89" spans="1:7" x14ac:dyDescent="0.25">
      <c r="A89" s="1" t="str">
        <f t="shared" si="8"/>
        <v>020</v>
      </c>
      <c r="B89" s="1" t="str">
        <f>TEXT(23,"00")</f>
        <v>23</v>
      </c>
      <c r="C89" s="1" t="str">
        <f t="shared" si="6"/>
        <v>020-23</v>
      </c>
      <c r="D89" t="s">
        <v>90</v>
      </c>
      <c r="E89" t="b">
        <f>IF(COUNTIF(D89,"*"&amp;'Keyword Search'!$C$5&amp;"*"),TRUE,FALSE)</f>
        <v>1</v>
      </c>
      <c r="G89" t="str">
        <f t="shared" si="7"/>
        <v>020-23: Ensilage Cutters</v>
      </c>
    </row>
    <row r="90" spans="1:7" x14ac:dyDescent="0.25">
      <c r="A90" s="1" t="str">
        <f t="shared" si="8"/>
        <v>020</v>
      </c>
      <c r="B90" s="1" t="str">
        <f>TEXT(25,"00")</f>
        <v>25</v>
      </c>
      <c r="C90" s="1" t="str">
        <f t="shared" si="6"/>
        <v>020-25</v>
      </c>
      <c r="D90" t="s">
        <v>91</v>
      </c>
      <c r="E90" t="b">
        <f>IF(COUNTIF(D90,"*"&amp;'Keyword Search'!$C$5&amp;"*"),TRUE,FALSE)</f>
        <v>1</v>
      </c>
      <c r="G90" t="str">
        <f t="shared" si="7"/>
        <v>020-25: Farm Wagons</v>
      </c>
    </row>
    <row r="91" spans="1:7" x14ac:dyDescent="0.25">
      <c r="A91" s="1" t="str">
        <f t="shared" si="8"/>
        <v>020</v>
      </c>
      <c r="B91" s="1" t="str">
        <f>TEXT(27,"00")</f>
        <v>27</v>
      </c>
      <c r="C91" s="1" t="str">
        <f t="shared" si="6"/>
        <v>020-27</v>
      </c>
      <c r="D91" t="s">
        <v>92</v>
      </c>
      <c r="E91" t="b">
        <f>IF(COUNTIF(D91,"*"&amp;'Keyword Search'!$C$5&amp;"*"),TRUE,FALSE)</f>
        <v>1</v>
      </c>
      <c r="G91" t="str">
        <f t="shared" si="7"/>
        <v>020-27: Feed Mills and Mixers</v>
      </c>
    </row>
    <row r="92" spans="1:7" x14ac:dyDescent="0.25">
      <c r="A92" s="1" t="str">
        <f t="shared" si="8"/>
        <v>020</v>
      </c>
      <c r="B92" s="1" t="str">
        <f>TEXT(28,"00")</f>
        <v>28</v>
      </c>
      <c r="C92" s="1" t="str">
        <f t="shared" si="6"/>
        <v>020-28</v>
      </c>
      <c r="D92" t="s">
        <v>93</v>
      </c>
      <c r="E92" t="b">
        <f>IF(COUNTIF(D92,"*"&amp;'Keyword Search'!$C$5&amp;"*"),TRUE,FALSE)</f>
        <v>1</v>
      </c>
      <c r="G92" t="str">
        <f t="shared" si="7"/>
        <v>020-28: Feed Wagons</v>
      </c>
    </row>
    <row r="93" spans="1:7" x14ac:dyDescent="0.25">
      <c r="A93" s="1" t="str">
        <f t="shared" si="8"/>
        <v>020</v>
      </c>
      <c r="B93" s="1" t="str">
        <f>TEXT(30,"00")</f>
        <v>30</v>
      </c>
      <c r="C93" s="1" t="str">
        <f t="shared" si="6"/>
        <v>020-30</v>
      </c>
      <c r="D93" t="s">
        <v>94</v>
      </c>
      <c r="E93" t="b">
        <f>IF(COUNTIF(D93,"*"&amp;'Keyword Search'!$C$5&amp;"*"),TRUE,FALSE)</f>
        <v>1</v>
      </c>
      <c r="G93" t="str">
        <f t="shared" si="7"/>
        <v>020-30: Fertilizer Applicators and Fittings: Liquid and Gas</v>
      </c>
    </row>
    <row r="94" spans="1:7" x14ac:dyDescent="0.25">
      <c r="A94" s="1" t="str">
        <f t="shared" si="8"/>
        <v>020</v>
      </c>
      <c r="B94" s="1" t="str">
        <f>TEXT(31,"00")</f>
        <v>31</v>
      </c>
      <c r="C94" s="1" t="str">
        <f t="shared" si="6"/>
        <v>020-31</v>
      </c>
      <c r="D94" t="s">
        <v>95</v>
      </c>
      <c r="E94" t="b">
        <f>IF(COUNTIF(D94,"*"&amp;'Keyword Search'!$C$5&amp;"*"),TRUE,FALSE)</f>
        <v>1</v>
      </c>
      <c r="G94" t="str">
        <f t="shared" si="7"/>
        <v>020-31: Fertilizer Distributors, Dry, Commercial (See Class 515 for Lawn Type Distributors)</v>
      </c>
    </row>
    <row r="95" spans="1:7" x14ac:dyDescent="0.25">
      <c r="A95" s="1" t="str">
        <f t="shared" si="8"/>
        <v>020</v>
      </c>
      <c r="B95" s="1" t="str">
        <f>TEXT(33,"00")</f>
        <v>33</v>
      </c>
      <c r="C95" s="1" t="str">
        <f t="shared" si="6"/>
        <v>020-33</v>
      </c>
      <c r="D95" t="s">
        <v>96</v>
      </c>
      <c r="E95" t="b">
        <f>IF(COUNTIF(D95,"*"&amp;'Keyword Search'!$C$5&amp;"*"),TRUE,FALSE)</f>
        <v>1</v>
      </c>
      <c r="G95" t="str">
        <f t="shared" si="7"/>
        <v>020-33: Garden Tractors, Cultivators, and Plows</v>
      </c>
    </row>
    <row r="96" spans="1:7" x14ac:dyDescent="0.25">
      <c r="A96" s="1" t="str">
        <f t="shared" si="8"/>
        <v>020</v>
      </c>
      <c r="B96" s="1" t="str">
        <f>TEXT(34,"00")</f>
        <v>34</v>
      </c>
      <c r="C96" s="1" t="str">
        <f t="shared" si="6"/>
        <v>020-34</v>
      </c>
      <c r="D96" t="s">
        <v>97</v>
      </c>
      <c r="E96" t="b">
        <f>IF(COUNTIF(D96,"*"&amp;'Keyword Search'!$C$5&amp;"*"),TRUE,FALSE)</f>
        <v>1</v>
      </c>
      <c r="G96" t="str">
        <f t="shared" si="7"/>
        <v>020-34: Gang Mowers, Reel Type, Towed</v>
      </c>
    </row>
    <row r="97" spans="1:7" x14ac:dyDescent="0.25">
      <c r="A97" s="1" t="str">
        <f t="shared" si="8"/>
        <v>020</v>
      </c>
      <c r="B97" s="1" t="str">
        <f>TEXT(35,"00")</f>
        <v>35</v>
      </c>
      <c r="C97" s="1" t="str">
        <f t="shared" si="6"/>
        <v>020-35</v>
      </c>
      <c r="D97" t="s">
        <v>98</v>
      </c>
      <c r="E97" t="b">
        <f>IF(COUNTIF(D97,"*"&amp;'Keyword Search'!$C$5&amp;"*"),TRUE,FALSE)</f>
        <v>1</v>
      </c>
      <c r="G97" t="str">
        <f t="shared" si="7"/>
        <v>020-35: Grain Bins and Tanks</v>
      </c>
    </row>
    <row r="98" spans="1:7" x14ac:dyDescent="0.25">
      <c r="A98" s="1" t="str">
        <f t="shared" si="8"/>
        <v>020</v>
      </c>
      <c r="B98" s="1" t="str">
        <f>TEXT(36,"00")</f>
        <v>36</v>
      </c>
      <c r="C98" s="1" t="str">
        <f t="shared" si="6"/>
        <v>020-36</v>
      </c>
      <c r="D98" t="s">
        <v>99</v>
      </c>
      <c r="E98" t="b">
        <f>IF(COUNTIF(D98,"*"&amp;'Keyword Search'!$C$5&amp;"*"),TRUE,FALSE)</f>
        <v>1</v>
      </c>
      <c r="G98" t="str">
        <f t="shared" si="7"/>
        <v>020-36: Grading Machines for Seeds, Grains and Dried Vegetables</v>
      </c>
    </row>
    <row r="99" spans="1:7" x14ac:dyDescent="0.25">
      <c r="A99" s="1" t="str">
        <f t="shared" si="8"/>
        <v>020</v>
      </c>
      <c r="B99" s="1" t="str">
        <f>TEXT(37,"00")</f>
        <v>37</v>
      </c>
      <c r="C99" s="1" t="str">
        <f t="shared" si="6"/>
        <v>020-37</v>
      </c>
      <c r="D99" t="s">
        <v>100</v>
      </c>
      <c r="E99" t="b">
        <f>IF(COUNTIF(D99,"*"&amp;'Keyword Search'!$C$5&amp;"*"),TRUE,FALSE)</f>
        <v>1</v>
      </c>
      <c r="G99" t="str">
        <f t="shared" si="7"/>
        <v>020-37: Grass Seed Strippers and Cleaners</v>
      </c>
    </row>
    <row r="100" spans="1:7" x14ac:dyDescent="0.25">
      <c r="A100" s="1" t="str">
        <f t="shared" si="8"/>
        <v>020</v>
      </c>
      <c r="B100" s="1" t="str">
        <f>TEXT(39,"00")</f>
        <v>39</v>
      </c>
      <c r="C100" s="1" t="str">
        <f t="shared" si="6"/>
        <v>020-39</v>
      </c>
      <c r="D100" t="s">
        <v>101</v>
      </c>
      <c r="E100" t="b">
        <f>IF(COUNTIF(D100,"*"&amp;'Keyword Search'!$C$5&amp;"*"),TRUE,FALSE)</f>
        <v>1</v>
      </c>
      <c r="G100" t="str">
        <f t="shared" si="7"/>
        <v>020-39: Grass Spriggers and Seeders</v>
      </c>
    </row>
    <row r="101" spans="1:7" x14ac:dyDescent="0.25">
      <c r="A101" s="1" t="str">
        <f t="shared" si="8"/>
        <v>020</v>
      </c>
      <c r="B101" s="1" t="str">
        <f>TEXT(40,"00")</f>
        <v>40</v>
      </c>
      <c r="C101" s="1" t="str">
        <f t="shared" si="6"/>
        <v>020-40</v>
      </c>
      <c r="D101" t="s">
        <v>102</v>
      </c>
      <c r="E101" t="b">
        <f>IF(COUNTIF(D101,"*"&amp;'Keyword Search'!$C$5&amp;"*"),TRUE,FALSE)</f>
        <v>1</v>
      </c>
      <c r="G101" t="str">
        <f t="shared" si="7"/>
        <v>020-40: Grinding Mills: Seed, Grain, Dried Vegetable</v>
      </c>
    </row>
    <row r="102" spans="1:7" x14ac:dyDescent="0.25">
      <c r="A102" s="1" t="str">
        <f t="shared" si="8"/>
        <v>020</v>
      </c>
      <c r="B102" s="1" t="str">
        <f>TEXT(41,"00")</f>
        <v>41</v>
      </c>
      <c r="C102" s="1" t="str">
        <f t="shared" si="6"/>
        <v>020-41</v>
      </c>
      <c r="D102" t="s">
        <v>103</v>
      </c>
      <c r="E102" t="b">
        <f>IF(COUNTIF(D102,"*"&amp;'Keyword Search'!$C$5&amp;"*"),TRUE,FALSE)</f>
        <v>1</v>
      </c>
      <c r="G102" t="str">
        <f t="shared" si="7"/>
        <v>020-41: Harvesting Equipment: Bean, Corn, and Pea Pickers and Shellers, Combines, Cotton and Fruit Pickers, Headers, Sled Cutters and Threshers</v>
      </c>
    </row>
    <row r="103" spans="1:7" x14ac:dyDescent="0.25">
      <c r="A103" s="1" t="str">
        <f t="shared" si="8"/>
        <v>020</v>
      </c>
      <c r="B103" s="1" t="str">
        <f>TEXT(43,"00")</f>
        <v>43</v>
      </c>
      <c r="C103" s="1" t="str">
        <f t="shared" si="6"/>
        <v>020-43</v>
      </c>
      <c r="D103" t="s">
        <v>104</v>
      </c>
      <c r="E103" t="b">
        <f>IF(COUNTIF(D103,"*"&amp;'Keyword Search'!$C$5&amp;"*"),TRUE,FALSE)</f>
        <v>1</v>
      </c>
      <c r="G103" t="str">
        <f t="shared" si="7"/>
        <v>020-43: Haying Equipment: Balers, Dryers, Elevators and Rakes, etc.</v>
      </c>
    </row>
    <row r="104" spans="1:7" x14ac:dyDescent="0.25">
      <c r="A104" s="1" t="str">
        <f t="shared" si="8"/>
        <v>020</v>
      </c>
      <c r="B104" s="1" t="str">
        <f>TEXT(46,"00")</f>
        <v>46</v>
      </c>
      <c r="C104" s="1" t="str">
        <f t="shared" si="6"/>
        <v>020-46</v>
      </c>
      <c r="D104" t="s">
        <v>105</v>
      </c>
      <c r="E104" t="b">
        <f>IF(COUNTIF(D104,"*"&amp;'Keyword Search'!$C$5&amp;"*"),TRUE,FALSE)</f>
        <v>1</v>
      </c>
      <c r="G104" t="str">
        <f t="shared" si="7"/>
        <v>020-46: Herbicide, Insecticide and Fungicide Applicators and Distributors</v>
      </c>
    </row>
    <row r="105" spans="1:7" x14ac:dyDescent="0.25">
      <c r="A105" s="1" t="str">
        <f t="shared" si="8"/>
        <v>020</v>
      </c>
      <c r="B105" s="1" t="str">
        <f>TEXT(49,"00")</f>
        <v>49</v>
      </c>
      <c r="C105" s="1" t="str">
        <f t="shared" si="6"/>
        <v>020-49</v>
      </c>
      <c r="D105" t="s">
        <v>106</v>
      </c>
      <c r="E105" t="b">
        <f>IF(COUNTIF(D105,"*"&amp;'Keyword Search'!$C$5&amp;"*"),TRUE,FALSE)</f>
        <v>1</v>
      </c>
      <c r="G105" t="str">
        <f t="shared" si="7"/>
        <v>020-49: Irrigation Equipment and Supplies, Agricultural</v>
      </c>
    </row>
    <row r="106" spans="1:7" x14ac:dyDescent="0.25">
      <c r="A106" s="1" t="str">
        <f t="shared" si="8"/>
        <v>020</v>
      </c>
      <c r="B106" s="1" t="str">
        <f>TEXT(59,"00")</f>
        <v>59</v>
      </c>
      <c r="C106" s="1" t="str">
        <f t="shared" si="6"/>
        <v>020-59</v>
      </c>
      <c r="D106" t="s">
        <v>107</v>
      </c>
      <c r="E106" t="b">
        <f>IF(COUNTIF(D106,"*"&amp;'Keyword Search'!$C$5&amp;"*"),TRUE,FALSE)</f>
        <v>1</v>
      </c>
      <c r="G106" t="str">
        <f t="shared" si="7"/>
        <v>020-59: Land Levelers</v>
      </c>
    </row>
    <row r="107" spans="1:7" x14ac:dyDescent="0.25">
      <c r="A107" s="1" t="str">
        <f t="shared" si="8"/>
        <v>020</v>
      </c>
      <c r="B107" s="1" t="str">
        <f>TEXT(61,"00")</f>
        <v>61</v>
      </c>
      <c r="C107" s="1" t="str">
        <f t="shared" si="6"/>
        <v>020-61</v>
      </c>
      <c r="D107" t="s">
        <v>108</v>
      </c>
      <c r="E107" t="b">
        <f>IF(COUNTIF(D107,"*"&amp;'Keyword Search'!$C$5&amp;"*"),TRUE,FALSE)</f>
        <v>1</v>
      </c>
      <c r="G107" t="str">
        <f t="shared" si="7"/>
        <v>020-61: Loaders, Tractor Mounted, Farm</v>
      </c>
    </row>
    <row r="108" spans="1:7" x14ac:dyDescent="0.25">
      <c r="A108" s="1" t="str">
        <f t="shared" si="8"/>
        <v>020</v>
      </c>
      <c r="B108" s="1" t="str">
        <f>TEXT(62,"00")</f>
        <v>62</v>
      </c>
      <c r="C108" s="1" t="str">
        <f t="shared" si="6"/>
        <v>020-62</v>
      </c>
      <c r="D108" t="s">
        <v>109</v>
      </c>
      <c r="E108" t="b">
        <f>IF(COUNTIF(D108,"*"&amp;'Keyword Search'!$C$5&amp;"*"),TRUE,FALSE)</f>
        <v>1</v>
      </c>
      <c r="G108" t="str">
        <f t="shared" si="7"/>
        <v>020-62: Log Splitters</v>
      </c>
    </row>
    <row r="109" spans="1:7" x14ac:dyDescent="0.25">
      <c r="A109" s="1" t="str">
        <f t="shared" si="8"/>
        <v>020</v>
      </c>
      <c r="B109" s="1" t="str">
        <f>TEXT(63,"00")</f>
        <v>63</v>
      </c>
      <c r="C109" s="1" t="str">
        <f t="shared" si="6"/>
        <v>020-63</v>
      </c>
      <c r="D109" t="s">
        <v>110</v>
      </c>
      <c r="E109" t="b">
        <f>IF(COUNTIF(D109,"*"&amp;'Keyword Search'!$C$5&amp;"*"),TRUE,FALSE)</f>
        <v>1</v>
      </c>
      <c r="G109" t="str">
        <f t="shared" si="7"/>
        <v>020-63: Manure Spreaders</v>
      </c>
    </row>
    <row r="110" spans="1:7" x14ac:dyDescent="0.25">
      <c r="A110" s="1" t="str">
        <f t="shared" si="8"/>
        <v>020</v>
      </c>
      <c r="B110" s="1" t="str">
        <f>TEXT(64,"00")</f>
        <v>64</v>
      </c>
      <c r="C110" s="1" t="str">
        <f t="shared" si="6"/>
        <v>020-64</v>
      </c>
      <c r="D110" t="s">
        <v>111</v>
      </c>
      <c r="E110" t="b">
        <f>IF(COUNTIF(D110,"*"&amp;'Keyword Search'!$C$5&amp;"*"),TRUE,FALSE)</f>
        <v>1</v>
      </c>
      <c r="G110" t="str">
        <f t="shared" si="7"/>
        <v>020-64: Mower, Articulated Boom: Flail, Rotary, or Sickle Head</v>
      </c>
    </row>
    <row r="111" spans="1:7" x14ac:dyDescent="0.25">
      <c r="A111" s="1" t="str">
        <f t="shared" si="8"/>
        <v>020</v>
      </c>
      <c r="B111" s="1" t="str">
        <f>TEXT(65,"00")</f>
        <v>65</v>
      </c>
      <c r="C111" s="1" t="str">
        <f t="shared" si="6"/>
        <v>020-65</v>
      </c>
      <c r="D111" t="s">
        <v>112</v>
      </c>
      <c r="E111" t="b">
        <f>IF(COUNTIF(D111,"*"&amp;'Keyword Search'!$C$5&amp;"*"),TRUE,FALSE)</f>
        <v>1</v>
      </c>
      <c r="G111" t="str">
        <f t="shared" si="7"/>
        <v>020-65: Mower, Steep Slope Type with Cutter Head on Telescoping Boom: Flail, Rotary, or Sickle Bar Cutter Heads, For Mounting on Tractors or Trucks (See Class 515 for Lawn Type Mowers)</v>
      </c>
    </row>
    <row r="112" spans="1:7" x14ac:dyDescent="0.25">
      <c r="A112" s="1" t="str">
        <f t="shared" si="8"/>
        <v>020</v>
      </c>
      <c r="B112" s="1" t="str">
        <f>TEXT(66,"00")</f>
        <v>66</v>
      </c>
      <c r="C112" s="1" t="str">
        <f t="shared" si="6"/>
        <v>020-66</v>
      </c>
      <c r="D112" t="s">
        <v>113</v>
      </c>
      <c r="E112" t="b">
        <f>IF(COUNTIF(D112,"*"&amp;'Keyword Search'!$C$5&amp;"*"),TRUE,FALSE)</f>
        <v>1</v>
      </c>
      <c r="G112" t="str">
        <f t="shared" si="7"/>
        <v>020-66: Mower, Tractor Mounted, Steep Slope Type with Cutter Head on Telescoping Boom): Flail, Rotary, or Sickle Bar Cutter Heads (See Class 515 for Lawn Type Mowers)</v>
      </c>
    </row>
    <row r="113" spans="1:7" x14ac:dyDescent="0.25">
      <c r="A113" s="1" t="str">
        <f t="shared" si="8"/>
        <v>020</v>
      </c>
      <c r="B113" s="1" t="str">
        <f>TEXT(67,"00")</f>
        <v>67</v>
      </c>
      <c r="C113" s="1" t="str">
        <f t="shared" si="6"/>
        <v>020-67</v>
      </c>
      <c r="D113" t="s">
        <v>114</v>
      </c>
      <c r="E113" t="b">
        <f>IF(COUNTIF(D113,"*"&amp;'Keyword Search'!$C$5&amp;"*"),TRUE,FALSE)</f>
        <v>1</v>
      </c>
      <c r="G113" t="str">
        <f t="shared" si="7"/>
        <v>020-67: Mower-Tractor Unit or Self-Propelled Mower, for Slope Mowing (See Class 515 for Lawn Type Mowers)</v>
      </c>
    </row>
    <row r="114" spans="1:7" x14ac:dyDescent="0.25">
      <c r="A114" s="1" t="str">
        <f t="shared" si="8"/>
        <v>020</v>
      </c>
      <c r="B114" s="1" t="str">
        <f>TEXT(68,"00")</f>
        <v>68</v>
      </c>
      <c r="C114" s="1" t="str">
        <f t="shared" si="6"/>
        <v>020-68</v>
      </c>
      <c r="D114" t="s">
        <v>115</v>
      </c>
      <c r="E114" t="b">
        <f>IF(COUNTIF(D114,"*"&amp;'Keyword Search'!$C$5&amp;"*"),TRUE,FALSE)</f>
        <v>1</v>
      </c>
      <c r="G114" t="str">
        <f t="shared" si="7"/>
        <v>020-68: Mower, Center Mounted; and Tractor (See Class 515 for Lawn Type Mowers)</v>
      </c>
    </row>
    <row r="115" spans="1:7" x14ac:dyDescent="0.25">
      <c r="A115" s="1" t="str">
        <f t="shared" si="8"/>
        <v>020</v>
      </c>
      <c r="B115" s="1" t="str">
        <f>TEXT(69,"00")</f>
        <v>69</v>
      </c>
      <c r="C115" s="1" t="str">
        <f t="shared" si="6"/>
        <v>020-69</v>
      </c>
      <c r="D115" t="s">
        <v>116</v>
      </c>
      <c r="E115" t="b">
        <f>IF(COUNTIF(D115,"*"&amp;'Keyword Search'!$C$5&amp;"*"),TRUE,FALSE)</f>
        <v>1</v>
      </c>
      <c r="G115" t="str">
        <f t="shared" si="7"/>
        <v>020-69: Pasture Renovators</v>
      </c>
    </row>
    <row r="116" spans="1:7" x14ac:dyDescent="0.25">
      <c r="A116" s="1" t="str">
        <f t="shared" si="8"/>
        <v>020</v>
      </c>
      <c r="B116" s="1" t="str">
        <f>TEXT(71,"00")</f>
        <v>71</v>
      </c>
      <c r="C116" s="1" t="str">
        <f t="shared" si="6"/>
        <v>020-71</v>
      </c>
      <c r="D116" t="s">
        <v>117</v>
      </c>
      <c r="E116" t="b">
        <f>IF(COUNTIF(D116,"*"&amp;'Keyword Search'!$C$5&amp;"*"),TRUE,FALSE)</f>
        <v>1</v>
      </c>
      <c r="G116" t="str">
        <f t="shared" si="7"/>
        <v>020-71: Planting Equipment, Broadcasting</v>
      </c>
    </row>
    <row r="117" spans="1:7" x14ac:dyDescent="0.25">
      <c r="A117" s="1" t="str">
        <f t="shared" si="8"/>
        <v>020</v>
      </c>
      <c r="B117" s="1" t="str">
        <f>TEXT(72,"00")</f>
        <v>72</v>
      </c>
      <c r="C117" s="1" t="str">
        <f t="shared" si="6"/>
        <v>020-72</v>
      </c>
      <c r="D117" t="s">
        <v>118</v>
      </c>
      <c r="E117" t="b">
        <f>IF(COUNTIF(D117,"*"&amp;'Keyword Search'!$C$5&amp;"*"),TRUE,FALSE)</f>
        <v>1</v>
      </c>
      <c r="G117" t="str">
        <f t="shared" si="7"/>
        <v>020-72: Planting Equipment, Drilling</v>
      </c>
    </row>
    <row r="118" spans="1:7" x14ac:dyDescent="0.25">
      <c r="A118" s="1" t="str">
        <f t="shared" si="8"/>
        <v>020</v>
      </c>
      <c r="B118" s="1" t="str">
        <f>TEXT(73,"00")</f>
        <v>73</v>
      </c>
      <c r="C118" s="1" t="str">
        <f t="shared" si="6"/>
        <v>020-73</v>
      </c>
      <c r="D118" t="s">
        <v>119</v>
      </c>
      <c r="E118" t="b">
        <f>IF(COUNTIF(D118,"*"&amp;'Keyword Search'!$C$5&amp;"*"),TRUE,FALSE)</f>
        <v>1</v>
      </c>
      <c r="G118" t="str">
        <f t="shared" si="7"/>
        <v>020-73: Planting Equipment, Row Crop</v>
      </c>
    </row>
    <row r="119" spans="1:7" x14ac:dyDescent="0.25">
      <c r="A119" s="1" t="str">
        <f t="shared" si="8"/>
        <v>020</v>
      </c>
      <c r="B119" s="1" t="str">
        <f>TEXT(74,"00")</f>
        <v>74</v>
      </c>
      <c r="C119" s="1" t="str">
        <f t="shared" si="6"/>
        <v>020-74</v>
      </c>
      <c r="D119" t="s">
        <v>120</v>
      </c>
      <c r="E119" t="b">
        <f>IF(COUNTIF(D119,"*"&amp;'Keyword Search'!$C$5&amp;"*"),TRUE,FALSE)</f>
        <v>1</v>
      </c>
      <c r="G119" t="str">
        <f t="shared" si="7"/>
        <v>020-74: Processing Machinery and Equipment, Agricultural</v>
      </c>
    </row>
    <row r="120" spans="1:7" x14ac:dyDescent="0.25">
      <c r="A120" s="1" t="str">
        <f t="shared" si="8"/>
        <v>020</v>
      </c>
      <c r="B120" s="1" t="str">
        <f>TEXT(75,"00")</f>
        <v>75</v>
      </c>
      <c r="C120" s="1" t="str">
        <f t="shared" si="6"/>
        <v>020-75</v>
      </c>
      <c r="D120" t="s">
        <v>121</v>
      </c>
      <c r="E120" t="b">
        <f>IF(COUNTIF(D120,"*"&amp;'Keyword Search'!$C$5&amp;"*"),TRUE,FALSE)</f>
        <v>1</v>
      </c>
      <c r="G120" t="str">
        <f t="shared" si="7"/>
        <v>020-75: Posthole Diggers, Tractor Mounted</v>
      </c>
    </row>
    <row r="121" spans="1:7" x14ac:dyDescent="0.25">
      <c r="A121" s="1" t="str">
        <f t="shared" si="8"/>
        <v>020</v>
      </c>
      <c r="B121" s="1" t="str">
        <f>TEXT(76,"00")</f>
        <v>76</v>
      </c>
      <c r="C121" s="1" t="str">
        <f t="shared" si="6"/>
        <v>020-76</v>
      </c>
      <c r="D121" t="s">
        <v>122</v>
      </c>
      <c r="E121" t="b">
        <f>IF(COUNTIF(D121,"*"&amp;'Keyword Search'!$C$5&amp;"*"),TRUE,FALSE)</f>
        <v>1</v>
      </c>
      <c r="G121" t="str">
        <f t="shared" si="7"/>
        <v>020-76: Protection Structures, Rollover (ROPS)</v>
      </c>
    </row>
    <row r="122" spans="1:7" x14ac:dyDescent="0.25">
      <c r="A122" s="1" t="str">
        <f t="shared" si="8"/>
        <v>020</v>
      </c>
      <c r="B122" s="1" t="str">
        <f>TEXT(77,"00")</f>
        <v>77</v>
      </c>
      <c r="C122" s="1" t="str">
        <f t="shared" si="6"/>
        <v>020-77</v>
      </c>
      <c r="D122" t="s">
        <v>123</v>
      </c>
      <c r="E122" t="b">
        <f>IF(COUNTIF(D122,"*"&amp;'Keyword Search'!$C$5&amp;"*"),TRUE,FALSE)</f>
        <v>1</v>
      </c>
      <c r="G122" t="str">
        <f t="shared" si="7"/>
        <v>020-77: Pulverizers and Rotary Tillers, Soil</v>
      </c>
    </row>
    <row r="123" spans="1:7" x14ac:dyDescent="0.25">
      <c r="A123" s="1" t="str">
        <f t="shared" si="8"/>
        <v>020</v>
      </c>
      <c r="B123" s="1" t="str">
        <f>TEXT(78,"00")</f>
        <v>78</v>
      </c>
      <c r="C123" s="1" t="str">
        <f t="shared" si="6"/>
        <v>020-78</v>
      </c>
      <c r="D123" t="s">
        <v>124</v>
      </c>
      <c r="E123" t="b">
        <f>IF(COUNTIF(D123,"*"&amp;'Keyword Search'!$C$5&amp;"*"),TRUE,FALSE)</f>
        <v>1</v>
      </c>
      <c r="G123" t="str">
        <f t="shared" si="7"/>
        <v>020-78: Recycled Agricultural Equipment Accessories and Supplies</v>
      </c>
    </row>
    <row r="124" spans="1:7" x14ac:dyDescent="0.25">
      <c r="A124" s="1" t="str">
        <f t="shared" si="8"/>
        <v>020</v>
      </c>
      <c r="B124" s="1" t="str">
        <f>TEXT(79,"00")</f>
        <v>79</v>
      </c>
      <c r="C124" s="1" t="str">
        <f t="shared" si="6"/>
        <v>020-79</v>
      </c>
      <c r="D124" t="s">
        <v>125</v>
      </c>
      <c r="E124" t="b">
        <f>IF(COUNTIF(D124,"*"&amp;'Keyword Search'!$C$5&amp;"*"),TRUE,FALSE)</f>
        <v>1</v>
      </c>
      <c r="G124" t="str">
        <f t="shared" si="7"/>
        <v>020-79: Rock Pickers and Rakes</v>
      </c>
    </row>
    <row r="125" spans="1:7" x14ac:dyDescent="0.25">
      <c r="A125" s="1" t="str">
        <f t="shared" si="8"/>
        <v>020</v>
      </c>
      <c r="B125" s="1" t="str">
        <f>TEXT(80,"00")</f>
        <v>80</v>
      </c>
      <c r="C125" s="1" t="str">
        <f t="shared" si="6"/>
        <v>020-80</v>
      </c>
      <c r="D125" t="s">
        <v>126</v>
      </c>
      <c r="E125" t="b">
        <f>IF(COUNTIF(D125,"*"&amp;'Keyword Search'!$C$5&amp;"*"),TRUE,FALSE)</f>
        <v>1</v>
      </c>
      <c r="G125" t="str">
        <f t="shared" si="7"/>
        <v>020-80: Processing Machinery and Equipment Agricultural Environmental: Anerobic Digesters, Waste to Energy</v>
      </c>
    </row>
    <row r="126" spans="1:7" x14ac:dyDescent="0.25">
      <c r="A126" s="1" t="str">
        <f t="shared" si="8"/>
        <v>020</v>
      </c>
      <c r="B126" s="1" t="str">
        <f>TEXT(81,"00")</f>
        <v>81</v>
      </c>
      <c r="C126" s="1" t="str">
        <f t="shared" si="6"/>
        <v>020-81</v>
      </c>
      <c r="D126" t="s">
        <v>127</v>
      </c>
      <c r="E126" t="b">
        <f>IF(COUNTIF(D126,"*"&amp;'Keyword Search'!$C$5&amp;"*"),TRUE,FALSE)</f>
        <v>1</v>
      </c>
      <c r="G126" t="str">
        <f t="shared" si="7"/>
        <v>020-81: Rodent Control Equipment, Tractor Operated</v>
      </c>
    </row>
    <row r="127" spans="1:7" x14ac:dyDescent="0.25">
      <c r="A127" s="1" t="str">
        <f t="shared" si="8"/>
        <v>020</v>
      </c>
      <c r="B127" s="1" t="str">
        <f>TEXT(82,"00")</f>
        <v>82</v>
      </c>
      <c r="C127" s="1" t="str">
        <f t="shared" si="6"/>
        <v>020-82</v>
      </c>
      <c r="D127" t="s">
        <v>128</v>
      </c>
      <c r="E127" t="b">
        <f>IF(COUNTIF(D127,"*"&amp;'Keyword Search'!$C$5&amp;"*"),TRUE,FALSE)</f>
        <v>1</v>
      </c>
      <c r="G127" t="str">
        <f t="shared" si="7"/>
        <v>020-82: Spade, Tree (Truck or Trailer Mounted, or Three-Point Hook-Up for Tractor Mounting) and Other Tree Transplanting and Diggers</v>
      </c>
    </row>
    <row r="128" spans="1:7" x14ac:dyDescent="0.25">
      <c r="A128" s="1" t="str">
        <f t="shared" si="8"/>
        <v>020</v>
      </c>
      <c r="B128" s="1" t="str">
        <f>TEXT(83,"00")</f>
        <v>83</v>
      </c>
      <c r="C128" s="1" t="str">
        <f t="shared" si="6"/>
        <v>020-83</v>
      </c>
      <c r="D128" t="s">
        <v>129</v>
      </c>
      <c r="E128" t="b">
        <f>IF(COUNTIF(D128,"*"&amp;'Keyword Search'!$C$5&amp;"*"),TRUE,FALSE)</f>
        <v>1</v>
      </c>
      <c r="G128" t="str">
        <f t="shared" si="7"/>
        <v>020-83: Sweeps and Other Steel Shapes</v>
      </c>
    </row>
    <row r="129" spans="1:7" x14ac:dyDescent="0.25">
      <c r="A129" s="1" t="str">
        <f t="shared" si="8"/>
        <v>020</v>
      </c>
      <c r="B129" s="1" t="str">
        <f>TEXT(84,"00")</f>
        <v>84</v>
      </c>
      <c r="C129" s="1" t="str">
        <f t="shared" si="6"/>
        <v>020-84</v>
      </c>
      <c r="D129" t="s">
        <v>130</v>
      </c>
      <c r="E129" t="b">
        <f>IF(COUNTIF(D129,"*"&amp;'Keyword Search'!$C$5&amp;"*"),TRUE,FALSE)</f>
        <v>1</v>
      </c>
      <c r="G129" t="str">
        <f t="shared" si="7"/>
        <v>020-84: Soil Mixers and Samplers</v>
      </c>
    </row>
    <row r="130" spans="1:7" x14ac:dyDescent="0.25">
      <c r="A130" s="1" t="str">
        <f t="shared" si="8"/>
        <v>020</v>
      </c>
      <c r="B130" s="1" t="str">
        <f>TEXT(85,"00")</f>
        <v>85</v>
      </c>
      <c r="C130" s="1" t="str">
        <f t="shared" si="6"/>
        <v>020-85</v>
      </c>
      <c r="D130" t="s">
        <v>131</v>
      </c>
      <c r="E130" t="b">
        <f>IF(COUNTIF(D130,"*"&amp;'Keyword Search'!$C$5&amp;"*"),TRUE,FALSE)</f>
        <v>1</v>
      </c>
      <c r="G130" t="str">
        <f t="shared" si="7"/>
        <v>020-85: Terracing Equipment</v>
      </c>
    </row>
    <row r="131" spans="1:7" x14ac:dyDescent="0.25">
      <c r="A131" s="1" t="str">
        <f t="shared" si="8"/>
        <v>020</v>
      </c>
      <c r="B131" s="1" t="str">
        <f>TEXT(87,"00")</f>
        <v>87</v>
      </c>
      <c r="C131" s="1" t="str">
        <f t="shared" ref="C131:C194" si="9">CONCATENATE(A131,"-",B131)</f>
        <v>020-87</v>
      </c>
      <c r="D131" t="s">
        <v>132</v>
      </c>
      <c r="E131" t="b">
        <f>IF(COUNTIF(D131,"*"&amp;'Keyword Search'!$C$5&amp;"*"),TRUE,FALSE)</f>
        <v>1</v>
      </c>
      <c r="G131" t="str">
        <f t="shared" si="7"/>
        <v>020-87: Tillage Equipment, Heavy Duty, Farm: Blade Plows, Disc Harrows, Listers, Rotary Hoes, Tool Bars, etc.</v>
      </c>
    </row>
    <row r="132" spans="1:7" x14ac:dyDescent="0.25">
      <c r="A132" s="1" t="str">
        <f t="shared" si="8"/>
        <v>020</v>
      </c>
      <c r="B132" s="1" t="str">
        <f>TEXT(89,"00")</f>
        <v>89</v>
      </c>
      <c r="C132" s="1" t="str">
        <f t="shared" si="9"/>
        <v>020-89</v>
      </c>
      <c r="D132" t="s">
        <v>133</v>
      </c>
      <c r="E132" t="b">
        <f>IF(COUNTIF(D132,"*"&amp;'Keyword Search'!$C$5&amp;"*"),TRUE,FALSE)</f>
        <v>1</v>
      </c>
      <c r="G132" t="str">
        <f t="shared" ref="G132:G195" si="10">CONCATENATE(C132,": ",D132)</f>
        <v>020-89: Tractors, Farm, Wheel Type</v>
      </c>
    </row>
    <row r="133" spans="1:7" x14ac:dyDescent="0.25">
      <c r="A133" s="1" t="str">
        <f t="shared" si="8"/>
        <v>020</v>
      </c>
      <c r="B133" s="1" t="str">
        <f>TEXT(90,"00")</f>
        <v>90</v>
      </c>
      <c r="C133" s="1" t="str">
        <f t="shared" si="9"/>
        <v>020-90</v>
      </c>
      <c r="D133" t="s">
        <v>134</v>
      </c>
      <c r="E133" t="b">
        <f>IF(COUNTIF(D133,"*"&amp;'Keyword Search'!$C$5&amp;"*"),TRUE,FALSE)</f>
        <v>1</v>
      </c>
      <c r="G133" t="str">
        <f t="shared" si="10"/>
        <v>020-90: Tree and Root Cutters and Stump Grinders, Tractor Mounted</v>
      </c>
    </row>
    <row r="134" spans="1:7" x14ac:dyDescent="0.25">
      <c r="A134" s="1" t="str">
        <f t="shared" si="8"/>
        <v>020</v>
      </c>
      <c r="B134" s="1" t="str">
        <f>TEXT(91,"00")</f>
        <v>91</v>
      </c>
      <c r="C134" s="1" t="str">
        <f t="shared" si="9"/>
        <v>020-91</v>
      </c>
      <c r="D134" t="s">
        <v>135</v>
      </c>
      <c r="E134" t="b">
        <f>IF(COUNTIF(D134,"*"&amp;'Keyword Search'!$C$5&amp;"*"),TRUE,FALSE)</f>
        <v>1</v>
      </c>
      <c r="G134" t="str">
        <f t="shared" si="10"/>
        <v>020-91: Tree Girdlers and Timber Tongs</v>
      </c>
    </row>
    <row r="135" spans="1:7" x14ac:dyDescent="0.25">
      <c r="A135" s="1" t="str">
        <f t="shared" si="8"/>
        <v>020</v>
      </c>
      <c r="B135" s="1" t="str">
        <f>TEXT(93,"00")</f>
        <v>93</v>
      </c>
      <c r="C135" s="1" t="str">
        <f t="shared" si="9"/>
        <v>020-93</v>
      </c>
      <c r="D135" t="s">
        <v>136</v>
      </c>
      <c r="E135" t="b">
        <f>IF(COUNTIF(D135,"*"&amp;'Keyword Search'!$C$5&amp;"*"),TRUE,FALSE)</f>
        <v>1</v>
      </c>
      <c r="G135" t="str">
        <f t="shared" si="10"/>
        <v>020-93: Umbrellas, Tractor</v>
      </c>
    </row>
    <row r="136" spans="1:7" x14ac:dyDescent="0.25">
      <c r="A136" s="1" t="str">
        <f t="shared" si="8"/>
        <v>020</v>
      </c>
      <c r="B136" s="1" t="str">
        <f>TEXT(95,"00")</f>
        <v>95</v>
      </c>
      <c r="C136" s="1" t="str">
        <f t="shared" si="9"/>
        <v>020-95</v>
      </c>
      <c r="D136" t="s">
        <v>137</v>
      </c>
      <c r="E136" t="b">
        <f>IF(COUNTIF(D136,"*"&amp;'Keyword Search'!$C$5&amp;"*"),TRUE,FALSE)</f>
        <v>1</v>
      </c>
      <c r="G136" t="str">
        <f t="shared" si="10"/>
        <v>020-95: Unloaders and Elevators, Grain</v>
      </c>
    </row>
    <row r="137" spans="1:7" x14ac:dyDescent="0.25">
      <c r="A137" s="1" t="str">
        <f t="shared" si="8"/>
        <v>020</v>
      </c>
      <c r="B137" s="1" t="str">
        <f>TEXT(96,"00")</f>
        <v>96</v>
      </c>
      <c r="C137" s="1" t="str">
        <f t="shared" si="9"/>
        <v>020-96</v>
      </c>
      <c r="D137" t="s">
        <v>138</v>
      </c>
      <c r="E137" t="b">
        <f>IF(COUNTIF(D137,"*"&amp;'Keyword Search'!$C$5&amp;"*"),TRUE,FALSE)</f>
        <v>1</v>
      </c>
      <c r="G137" t="str">
        <f t="shared" si="10"/>
        <v>020-96: Wedges, Steel, Tree Felling and Splitting</v>
      </c>
    </row>
    <row r="138" spans="1:7" x14ac:dyDescent="0.25">
      <c r="A138" s="1" t="str">
        <f t="shared" si="8"/>
        <v>020</v>
      </c>
      <c r="B138" s="1" t="str">
        <f>TEXT(98,"00")</f>
        <v>98</v>
      </c>
      <c r="C138" s="1" t="str">
        <f t="shared" si="9"/>
        <v>020-98</v>
      </c>
      <c r="D138" t="s">
        <v>139</v>
      </c>
      <c r="E138" t="b">
        <f>IF(COUNTIF(D138,"*"&amp;'Keyword Search'!$C$5&amp;"*"),TRUE,FALSE)</f>
        <v>1</v>
      </c>
      <c r="G138" t="str">
        <f t="shared" si="10"/>
        <v>020-98: Operations/Grounds Field Equipment less than $750</v>
      </c>
    </row>
    <row r="139" spans="1:7" x14ac:dyDescent="0.25">
      <c r="A139" s="1" t="str">
        <f t="shared" si="8"/>
        <v>020</v>
      </c>
      <c r="B139" s="1" t="str">
        <f>TEXT(99,"00")</f>
        <v>99</v>
      </c>
      <c r="C139" s="1" t="str">
        <f t="shared" si="9"/>
        <v>020-99</v>
      </c>
      <c r="D139" t="s">
        <v>140</v>
      </c>
      <c r="E139" t="b">
        <f>IF(COUNTIF(D139,"*"&amp;'Keyword Search'!$C$5&amp;"*"),TRUE,FALSE)</f>
        <v>1</v>
      </c>
      <c r="G139" t="str">
        <f t="shared" si="10"/>
        <v>020-99: Other Operations/Grounds Field Equipment over $5,000</v>
      </c>
    </row>
    <row r="140" spans="1:7" x14ac:dyDescent="0.25">
      <c r="A140" s="5" t="str">
        <f t="shared" ref="A140:A163" si="11">TEXT(22,"000")</f>
        <v>022</v>
      </c>
      <c r="B140" s="5" t="str">
        <f>TEXT(0,"00")</f>
        <v>00</v>
      </c>
      <c r="C140" s="1"/>
      <c r="D140" s="2" t="s">
        <v>141</v>
      </c>
    </row>
    <row r="141" spans="1:7" x14ac:dyDescent="0.25">
      <c r="A141" s="1" t="str">
        <f t="shared" si="11"/>
        <v>022</v>
      </c>
      <c r="B141" s="1" t="str">
        <f>TEXT(4,"00")</f>
        <v>04</v>
      </c>
      <c r="C141" s="1" t="str">
        <f t="shared" si="9"/>
        <v>022-04</v>
      </c>
      <c r="D141" t="s">
        <v>142</v>
      </c>
      <c r="E141" t="b">
        <f>IF(COUNTIF(D141,"*"&amp;'Keyword Search'!$C$5&amp;"*"),TRUE,FALSE)</f>
        <v>1</v>
      </c>
      <c r="G141" t="str">
        <f t="shared" si="10"/>
        <v>022-04: Brush Chipper, Cutter and Saw Parts</v>
      </c>
    </row>
    <row r="142" spans="1:7" x14ac:dyDescent="0.25">
      <c r="A142" s="1" t="str">
        <f t="shared" si="11"/>
        <v>022</v>
      </c>
      <c r="B142" s="1" t="str">
        <f>TEXT(13,"00")</f>
        <v>13</v>
      </c>
      <c r="C142" s="1" t="str">
        <f t="shared" si="9"/>
        <v>022-13</v>
      </c>
      <c r="D142" t="s">
        <v>143</v>
      </c>
      <c r="E142" t="b">
        <f>IF(COUNTIF(D142,"*"&amp;'Keyword Search'!$C$5&amp;"*"),TRUE,FALSE)</f>
        <v>1</v>
      </c>
      <c r="G142" t="str">
        <f t="shared" si="10"/>
        <v>022-13: Cultivating Equipment Parts</v>
      </c>
    </row>
    <row r="143" spans="1:7" x14ac:dyDescent="0.25">
      <c r="A143" s="1" t="str">
        <f t="shared" si="11"/>
        <v>022</v>
      </c>
      <c r="B143" s="1" t="str">
        <f>TEXT(15,"00")</f>
        <v>15</v>
      </c>
      <c r="C143" s="1" t="str">
        <f t="shared" si="9"/>
        <v>022-15</v>
      </c>
      <c r="D143" t="s">
        <v>144</v>
      </c>
      <c r="E143" t="b">
        <f>IF(COUNTIF(D143,"*"&amp;'Keyword Search'!$C$5&amp;"*"),TRUE,FALSE)</f>
        <v>1</v>
      </c>
      <c r="G143" t="str">
        <f t="shared" si="10"/>
        <v>022-15: Cutter and Shredder, Mower: Flail, Rotary, Reel, and Sickle Bar Parts</v>
      </c>
    </row>
    <row r="144" spans="1:7" x14ac:dyDescent="0.25">
      <c r="A144" s="1" t="str">
        <f t="shared" si="11"/>
        <v>022</v>
      </c>
      <c r="B144" s="1" t="str">
        <f>TEXT(30,"00")</f>
        <v>30</v>
      </c>
      <c r="C144" s="1" t="str">
        <f t="shared" si="9"/>
        <v>022-30</v>
      </c>
      <c r="D144" t="s">
        <v>145</v>
      </c>
      <c r="E144" t="b">
        <f>IF(COUNTIF(D144,"*"&amp;'Keyword Search'!$C$5&amp;"*"),TRUE,FALSE)</f>
        <v>1</v>
      </c>
      <c r="G144" t="str">
        <f t="shared" si="10"/>
        <v>022-30: Fertilizer Distributor Parts</v>
      </c>
    </row>
    <row r="145" spans="1:7" x14ac:dyDescent="0.25">
      <c r="A145" s="1" t="str">
        <f t="shared" si="11"/>
        <v>022</v>
      </c>
      <c r="B145" s="1" t="str">
        <f>TEXT(41,"00")</f>
        <v>41</v>
      </c>
      <c r="C145" s="1" t="str">
        <f t="shared" si="9"/>
        <v>022-41</v>
      </c>
      <c r="D145" t="s">
        <v>146</v>
      </c>
      <c r="E145" t="b">
        <f>IF(COUNTIF(D145,"*"&amp;'Keyword Search'!$C$5&amp;"*"),TRUE,FALSE)</f>
        <v>1</v>
      </c>
      <c r="G145" t="str">
        <f t="shared" si="10"/>
        <v>022-41: Harvesting Equipment Parts</v>
      </c>
    </row>
    <row r="146" spans="1:7" x14ac:dyDescent="0.25">
      <c r="A146" s="1" t="str">
        <f t="shared" si="11"/>
        <v>022</v>
      </c>
      <c r="B146" s="1" t="str">
        <f>TEXT(42,"00")</f>
        <v>42</v>
      </c>
      <c r="C146" s="1" t="str">
        <f t="shared" si="9"/>
        <v>022-42</v>
      </c>
      <c r="D146" t="s">
        <v>147</v>
      </c>
      <c r="E146" t="b">
        <f>IF(COUNTIF(D146,"*"&amp;'Keyword Search'!$C$5&amp;"*"),TRUE,FALSE)</f>
        <v>1</v>
      </c>
      <c r="G146" t="str">
        <f t="shared" si="10"/>
        <v>022-42: Haying Equipment Parts</v>
      </c>
    </row>
    <row r="147" spans="1:7" x14ac:dyDescent="0.25">
      <c r="A147" s="1" t="str">
        <f t="shared" si="11"/>
        <v>022</v>
      </c>
      <c r="B147" s="1" t="str">
        <f>TEXT(43,"00")</f>
        <v>43</v>
      </c>
      <c r="C147" s="1" t="str">
        <f t="shared" si="9"/>
        <v>022-43</v>
      </c>
      <c r="D147" t="s">
        <v>148</v>
      </c>
      <c r="E147" t="b">
        <f>IF(COUNTIF(D147,"*"&amp;'Keyword Search'!$C$5&amp;"*"),TRUE,FALSE)</f>
        <v>1</v>
      </c>
      <c r="G147" t="str">
        <f t="shared" si="10"/>
        <v>022-43: Herbicide, Insecticide and Fungicide Applicator and Distributor Parts</v>
      </c>
    </row>
    <row r="148" spans="1:7" x14ac:dyDescent="0.25">
      <c r="A148" s="1" t="str">
        <f t="shared" si="11"/>
        <v>022</v>
      </c>
      <c r="B148" s="1" t="str">
        <f>TEXT(49,"00")</f>
        <v>49</v>
      </c>
      <c r="C148" s="1" t="str">
        <f t="shared" si="9"/>
        <v>022-49</v>
      </c>
      <c r="D148" t="s">
        <v>149</v>
      </c>
      <c r="E148" t="b">
        <f>IF(COUNTIF(D148,"*"&amp;'Keyword Search'!$C$5&amp;"*"),TRUE,FALSE)</f>
        <v>1</v>
      </c>
      <c r="G148" t="str">
        <f t="shared" si="10"/>
        <v>022-49: Implement Parts, John Deere</v>
      </c>
    </row>
    <row r="149" spans="1:7" x14ac:dyDescent="0.25">
      <c r="A149" s="1" t="str">
        <f t="shared" si="11"/>
        <v>022</v>
      </c>
      <c r="B149" s="1" t="str">
        <f>TEXT(51,"00")</f>
        <v>51</v>
      </c>
      <c r="C149" s="1" t="str">
        <f t="shared" si="9"/>
        <v>022-51</v>
      </c>
      <c r="D149" t="s">
        <v>150</v>
      </c>
      <c r="E149" t="b">
        <f>IF(COUNTIF(D149,"*"&amp;'Keyword Search'!$C$5&amp;"*"),TRUE,FALSE)</f>
        <v>1</v>
      </c>
      <c r="G149" t="str">
        <f t="shared" si="10"/>
        <v>022-51: Implement Parts. Ford, New Holland</v>
      </c>
    </row>
    <row r="150" spans="1:7" x14ac:dyDescent="0.25">
      <c r="A150" s="1" t="str">
        <f t="shared" si="11"/>
        <v>022</v>
      </c>
      <c r="B150" s="1" t="str">
        <f>TEXT(53,"00")</f>
        <v>53</v>
      </c>
      <c r="C150" s="1" t="str">
        <f t="shared" si="9"/>
        <v>022-53</v>
      </c>
      <c r="D150" t="s">
        <v>151</v>
      </c>
      <c r="E150" t="b">
        <f>IF(COUNTIF(D150,"*"&amp;'Keyword Search'!$C$5&amp;"*"),TRUE,FALSE)</f>
        <v>1</v>
      </c>
      <c r="G150" t="str">
        <f t="shared" si="10"/>
        <v>022-53: Implement Parts, Case/IH International Harvester</v>
      </c>
    </row>
    <row r="151" spans="1:7" x14ac:dyDescent="0.25">
      <c r="A151" s="1" t="str">
        <f t="shared" si="11"/>
        <v>022</v>
      </c>
      <c r="B151" s="1" t="str">
        <f>TEXT(54,"00")</f>
        <v>54</v>
      </c>
      <c r="C151" s="1" t="str">
        <f t="shared" si="9"/>
        <v>022-54</v>
      </c>
      <c r="D151" t="s">
        <v>152</v>
      </c>
      <c r="E151" t="b">
        <f>IF(COUNTIF(D151,"*"&amp;'Keyword Search'!$C$5&amp;"*"),TRUE,FALSE)</f>
        <v>1</v>
      </c>
      <c r="G151" t="str">
        <f t="shared" si="10"/>
        <v>022-54: Implement Parts, Kubota</v>
      </c>
    </row>
    <row r="152" spans="1:7" x14ac:dyDescent="0.25">
      <c r="A152" s="1" t="str">
        <f t="shared" si="11"/>
        <v>022</v>
      </c>
      <c r="B152" s="1" t="str">
        <f>TEXT(58,"00")</f>
        <v>58</v>
      </c>
      <c r="C152" s="1" t="str">
        <f t="shared" si="9"/>
        <v>022-58</v>
      </c>
      <c r="D152" t="s">
        <v>153</v>
      </c>
      <c r="E152" t="b">
        <f>IF(COUNTIF(D152,"*"&amp;'Keyword Search'!$C$5&amp;"*"),TRUE,FALSE)</f>
        <v>1</v>
      </c>
      <c r="G152" t="str">
        <f t="shared" si="10"/>
        <v>022-58: Implement Parts, Farm Equipment, (Not Otherwise Classified)</v>
      </c>
    </row>
    <row r="153" spans="1:7" x14ac:dyDescent="0.25">
      <c r="A153" s="1" t="str">
        <f t="shared" si="11"/>
        <v>022</v>
      </c>
      <c r="B153" s="1" t="str">
        <f>TEXT(62,"00")</f>
        <v>62</v>
      </c>
      <c r="C153" s="1" t="str">
        <f t="shared" si="9"/>
        <v>022-62</v>
      </c>
      <c r="D153" t="s">
        <v>154</v>
      </c>
      <c r="E153" t="b">
        <f>IF(COUNTIF(D153,"*"&amp;'Keyword Search'!$C$5&amp;"*"),TRUE,FALSE)</f>
        <v>1</v>
      </c>
      <c r="G153" t="str">
        <f t="shared" si="10"/>
        <v>022-62: Irrigation System Parts, Agricultural</v>
      </c>
    </row>
    <row r="154" spans="1:7" x14ac:dyDescent="0.25">
      <c r="A154" s="1" t="str">
        <f t="shared" si="11"/>
        <v>022</v>
      </c>
      <c r="B154" s="1" t="str">
        <f>TEXT(70,"00")</f>
        <v>70</v>
      </c>
      <c r="C154" s="1" t="str">
        <f t="shared" si="9"/>
        <v>022-70</v>
      </c>
      <c r="D154" t="s">
        <v>155</v>
      </c>
      <c r="E154" t="b">
        <f>IF(COUNTIF(D154,"*"&amp;'Keyword Search'!$C$5&amp;"*"),TRUE,FALSE)</f>
        <v>1</v>
      </c>
      <c r="G154" t="str">
        <f t="shared" si="10"/>
        <v>022-70: Planting Equipment Parts</v>
      </c>
    </row>
    <row r="155" spans="1:7" x14ac:dyDescent="0.25">
      <c r="A155" s="1" t="str">
        <f t="shared" si="11"/>
        <v>022</v>
      </c>
      <c r="B155" s="1" t="str">
        <f>TEXT(71,"00")</f>
        <v>71</v>
      </c>
      <c r="C155" s="1" t="str">
        <f t="shared" si="9"/>
        <v>022-71</v>
      </c>
      <c r="D155" t="s">
        <v>156</v>
      </c>
      <c r="E155" t="b">
        <f>IF(COUNTIF(D155,"*"&amp;'Keyword Search'!$C$5&amp;"*"),TRUE,FALSE)</f>
        <v>1</v>
      </c>
      <c r="G155" t="str">
        <f t="shared" si="10"/>
        <v>022-71: Processing Machinery Parts, Environmental</v>
      </c>
    </row>
    <row r="156" spans="1:7" x14ac:dyDescent="0.25">
      <c r="A156" s="1" t="str">
        <f t="shared" si="11"/>
        <v>022</v>
      </c>
      <c r="B156" s="1" t="str">
        <f>TEXT(73,"00")</f>
        <v>73</v>
      </c>
      <c r="C156" s="1" t="str">
        <f t="shared" si="9"/>
        <v>022-73</v>
      </c>
      <c r="D156" t="s">
        <v>157</v>
      </c>
      <c r="E156" t="b">
        <f>IF(COUNTIF(D156,"*"&amp;'Keyword Search'!$C$5&amp;"*"),TRUE,FALSE)</f>
        <v>1</v>
      </c>
      <c r="G156" t="str">
        <f t="shared" si="10"/>
        <v>022-73: Posthole Digger, Tractor Mounted Parts</v>
      </c>
    </row>
    <row r="157" spans="1:7" x14ac:dyDescent="0.25">
      <c r="A157" s="1" t="str">
        <f t="shared" si="11"/>
        <v>022</v>
      </c>
      <c r="B157" s="1" t="str">
        <f>TEXT(74,"00")</f>
        <v>74</v>
      </c>
      <c r="C157" s="1" t="str">
        <f t="shared" si="9"/>
        <v>022-74</v>
      </c>
      <c r="D157" t="s">
        <v>158</v>
      </c>
      <c r="E157" t="b">
        <f>IF(COUNTIF(D157,"*"&amp;'Keyword Search'!$C$5&amp;"*"),TRUE,FALSE)</f>
        <v>1</v>
      </c>
      <c r="G157" t="str">
        <f t="shared" si="10"/>
        <v>022-74: Recycled Agricultural and Implement Parts</v>
      </c>
    </row>
    <row r="158" spans="1:7" x14ac:dyDescent="0.25">
      <c r="A158" s="1" t="str">
        <f t="shared" si="11"/>
        <v>022</v>
      </c>
      <c r="B158" s="1" t="str">
        <f>TEXT(75,"00")</f>
        <v>75</v>
      </c>
      <c r="C158" s="1" t="str">
        <f t="shared" si="9"/>
        <v>022-75</v>
      </c>
      <c r="D158" t="s">
        <v>159</v>
      </c>
      <c r="E158" t="b">
        <f>IF(COUNTIF(D158,"*"&amp;'Keyword Search'!$C$5&amp;"*"),TRUE,FALSE)</f>
        <v>1</v>
      </c>
      <c r="G158" t="str">
        <f t="shared" si="10"/>
        <v>022-75: Sprigger and Seeder Parts, Grass</v>
      </c>
    </row>
    <row r="159" spans="1:7" x14ac:dyDescent="0.25">
      <c r="A159" s="1" t="str">
        <f t="shared" si="11"/>
        <v>022</v>
      </c>
      <c r="B159" s="1" t="str">
        <f>TEXT(77,"00")</f>
        <v>77</v>
      </c>
      <c r="C159" s="1" t="str">
        <f t="shared" si="9"/>
        <v>022-77</v>
      </c>
      <c r="D159" t="s">
        <v>160</v>
      </c>
      <c r="E159" t="b">
        <f>IF(COUNTIF(D159,"*"&amp;'Keyword Search'!$C$5&amp;"*"),TRUE,FALSE)</f>
        <v>1</v>
      </c>
      <c r="G159" t="str">
        <f t="shared" si="10"/>
        <v>022-77: Tillage Equipment Parts</v>
      </c>
    </row>
    <row r="160" spans="1:7" x14ac:dyDescent="0.25">
      <c r="A160" s="1" t="str">
        <f t="shared" si="11"/>
        <v>022</v>
      </c>
      <c r="B160" s="1" t="str">
        <f>TEXT(80,"00")</f>
        <v>80</v>
      </c>
      <c r="C160" s="1" t="str">
        <f t="shared" si="9"/>
        <v>022-80</v>
      </c>
      <c r="D160" t="s">
        <v>161</v>
      </c>
      <c r="E160" t="b">
        <f>IF(COUNTIF(D160,"*"&amp;'Keyword Search'!$C$5&amp;"*"),TRUE,FALSE)</f>
        <v>1</v>
      </c>
      <c r="G160" t="str">
        <f t="shared" si="10"/>
        <v>022-80: Tractor (Farm and Garden) Parts</v>
      </c>
    </row>
    <row r="161" spans="1:7" x14ac:dyDescent="0.25">
      <c r="A161" s="1" t="str">
        <f t="shared" si="11"/>
        <v>022</v>
      </c>
      <c r="B161" s="1" t="str">
        <f>TEXT(82,"00")</f>
        <v>82</v>
      </c>
      <c r="C161" s="1" t="str">
        <f t="shared" si="9"/>
        <v>022-82</v>
      </c>
      <c r="D161" t="s">
        <v>162</v>
      </c>
      <c r="E161" t="b">
        <f>IF(COUNTIF(D161,"*"&amp;'Keyword Search'!$C$5&amp;"*"),TRUE,FALSE)</f>
        <v>1</v>
      </c>
      <c r="G161" t="str">
        <f t="shared" si="10"/>
        <v>022-82: Tree Spade and Forestry Equipment Parts</v>
      </c>
    </row>
    <row r="162" spans="1:7" x14ac:dyDescent="0.25">
      <c r="A162" s="1" t="str">
        <f t="shared" si="11"/>
        <v>022</v>
      </c>
      <c r="B162" s="1" t="str">
        <f>TEXT(95,"00")</f>
        <v>95</v>
      </c>
      <c r="C162" s="1" t="str">
        <f t="shared" si="9"/>
        <v>022-95</v>
      </c>
      <c r="D162" t="s">
        <v>163</v>
      </c>
      <c r="E162" t="b">
        <f>IF(COUNTIF(D162,"*"&amp;'Keyword Search'!$C$5&amp;"*"),TRUE,FALSE)</f>
        <v>1</v>
      </c>
      <c r="G162" t="str">
        <f t="shared" si="10"/>
        <v>022-95: Unloader and Elevator, Grain Equipment Parts</v>
      </c>
    </row>
    <row r="163" spans="1:7" x14ac:dyDescent="0.25">
      <c r="A163" s="1" t="str">
        <f t="shared" si="11"/>
        <v>022</v>
      </c>
      <c r="B163" s="1" t="str">
        <f>TEXT(97,"00")</f>
        <v>97</v>
      </c>
      <c r="C163" s="1" t="str">
        <f t="shared" si="9"/>
        <v>022-97</v>
      </c>
      <c r="D163" t="s">
        <v>164</v>
      </c>
      <c r="E163" t="b">
        <f>IF(COUNTIF(D163,"*"&amp;'Keyword Search'!$C$5&amp;"*"),TRUE,FALSE)</f>
        <v>1</v>
      </c>
      <c r="G163" t="str">
        <f t="shared" si="10"/>
        <v>022-97: Wagon Parts</v>
      </c>
    </row>
    <row r="164" spans="1:7" x14ac:dyDescent="0.25">
      <c r="A164" s="5" t="str">
        <f t="shared" ref="A164:A177" si="12">TEXT(25,"000")</f>
        <v>025</v>
      </c>
      <c r="B164" s="5" t="str">
        <f>TEXT(0,"00")</f>
        <v>00</v>
      </c>
      <c r="C164" s="1"/>
      <c r="D164" s="2" t="s">
        <v>165</v>
      </c>
    </row>
    <row r="165" spans="1:7" x14ac:dyDescent="0.25">
      <c r="A165" s="1" t="str">
        <f t="shared" si="12"/>
        <v>025</v>
      </c>
      <c r="B165" s="1" t="str">
        <f>TEXT(10,"00")</f>
        <v>10</v>
      </c>
      <c r="C165" s="1" t="str">
        <f t="shared" si="9"/>
        <v>025-10</v>
      </c>
      <c r="D165" t="s">
        <v>166</v>
      </c>
      <c r="E165" t="b">
        <f>IF(COUNTIF(D165,"*"&amp;'Keyword Search'!$C$5&amp;"*"),TRUE,FALSE)</f>
        <v>1</v>
      </c>
      <c r="G165" t="str">
        <f t="shared" si="10"/>
        <v>025-10: Compressor, Bare Unit, Not Mounted or Powered: 15 HP and less</v>
      </c>
    </row>
    <row r="166" spans="1:7" x14ac:dyDescent="0.25">
      <c r="A166" s="1" t="str">
        <f t="shared" si="12"/>
        <v>025</v>
      </c>
      <c r="B166" s="1" t="str">
        <f>TEXT(20,"00")</f>
        <v>20</v>
      </c>
      <c r="C166" s="1" t="str">
        <f t="shared" si="9"/>
        <v>025-20</v>
      </c>
      <c r="D166" t="s">
        <v>167</v>
      </c>
      <c r="E166" t="b">
        <f>IF(COUNTIF(D166,"*"&amp;'Keyword Search'!$C$5&amp;"*"),TRUE,FALSE)</f>
        <v>1</v>
      </c>
      <c r="G166" t="str">
        <f t="shared" si="10"/>
        <v>025-20: Compressor, Bare Unit, Not Mounted or Powered: over 15 HP</v>
      </c>
    </row>
    <row r="167" spans="1:7" x14ac:dyDescent="0.25">
      <c r="A167" s="1" t="str">
        <f t="shared" si="12"/>
        <v>025</v>
      </c>
      <c r="B167" s="1" t="str">
        <f>TEXT(30,"00")</f>
        <v>30</v>
      </c>
      <c r="C167" s="1" t="str">
        <f t="shared" si="9"/>
        <v>025-30</v>
      </c>
      <c r="D167" t="s">
        <v>168</v>
      </c>
      <c r="E167" t="b">
        <f>IF(COUNTIF(D167,"*"&amp;'Keyword Search'!$C$5&amp;"*"),TRUE,FALSE)</f>
        <v>1</v>
      </c>
      <c r="G167" t="str">
        <f t="shared" si="10"/>
        <v>025-30: Compressor, Base or Tank Mounted: Electric Motor or Engine Driven, 15 HP and less, Including Parts and Accessories</v>
      </c>
    </row>
    <row r="168" spans="1:7" x14ac:dyDescent="0.25">
      <c r="A168" s="1" t="str">
        <f t="shared" si="12"/>
        <v>025</v>
      </c>
      <c r="B168" s="1" t="str">
        <f>TEXT(40,"00")</f>
        <v>40</v>
      </c>
      <c r="C168" s="1" t="str">
        <f t="shared" si="9"/>
        <v>025-40</v>
      </c>
      <c r="D168" t="s">
        <v>169</v>
      </c>
      <c r="E168" t="b">
        <f>IF(COUNTIF(D168,"*"&amp;'Keyword Search'!$C$5&amp;"*"),TRUE,FALSE)</f>
        <v>1</v>
      </c>
      <c r="G168" t="str">
        <f t="shared" si="10"/>
        <v>025-40: Compressor, Base or Tank Mounted: Electric Motor or Engine Driven, Over 15 HP, Including Parts and Accessories</v>
      </c>
    </row>
    <row r="169" spans="1:7" x14ac:dyDescent="0.25">
      <c r="A169" s="1" t="str">
        <f t="shared" si="12"/>
        <v>025</v>
      </c>
      <c r="B169" s="1" t="str">
        <f>TEXT(43,"00")</f>
        <v>43</v>
      </c>
      <c r="C169" s="1" t="str">
        <f t="shared" si="9"/>
        <v>025-43</v>
      </c>
      <c r="D169" t="s">
        <v>170</v>
      </c>
      <c r="E169" t="b">
        <f>IF(COUNTIF(D169,"*"&amp;'Keyword Search'!$C$5&amp;"*"),TRUE,FALSE)</f>
        <v>1</v>
      </c>
      <c r="G169" t="str">
        <f t="shared" si="10"/>
        <v>025-43: Compressor: High Pressure, All Sizes and Models</v>
      </c>
    </row>
    <row r="170" spans="1:7" x14ac:dyDescent="0.25">
      <c r="A170" s="1" t="str">
        <f t="shared" si="12"/>
        <v>025</v>
      </c>
      <c r="B170" s="1" t="str">
        <f>TEXT(45,"00")</f>
        <v>45</v>
      </c>
      <c r="C170" s="1" t="str">
        <f t="shared" si="9"/>
        <v>025-45</v>
      </c>
      <c r="D170" t="s">
        <v>171</v>
      </c>
      <c r="E170" t="b">
        <f>IF(COUNTIF(D170,"*"&amp;'Keyword Search'!$C$5&amp;"*"),TRUE,FALSE)</f>
        <v>1</v>
      </c>
      <c r="G170" t="str">
        <f t="shared" si="10"/>
        <v>025-45: Compressor, Portable: Electric Motor or Engine Driven, 5 HP and less, Including Parts and Accessories</v>
      </c>
    </row>
    <row r="171" spans="1:7" x14ac:dyDescent="0.25">
      <c r="A171" s="1" t="str">
        <f t="shared" si="12"/>
        <v>025</v>
      </c>
      <c r="B171" s="1" t="str">
        <f>TEXT(50,"00")</f>
        <v>50</v>
      </c>
      <c r="C171" s="1" t="str">
        <f t="shared" si="9"/>
        <v>025-50</v>
      </c>
      <c r="D171" t="s">
        <v>172</v>
      </c>
      <c r="E171" t="b">
        <f>IF(COUNTIF(D171,"*"&amp;'Keyword Search'!$C$5&amp;"*"),TRUE,FALSE)</f>
        <v>1</v>
      </c>
      <c r="G171" t="str">
        <f t="shared" si="10"/>
        <v>025-50: Compressor, Portable, Electric Motor or Engine Driven: over 25 CFM at 100 PSI, Including Parts and Accessories</v>
      </c>
    </row>
    <row r="172" spans="1:7" x14ac:dyDescent="0.25">
      <c r="A172" s="1" t="str">
        <f t="shared" si="12"/>
        <v>025</v>
      </c>
      <c r="B172" s="1" t="str">
        <f>TEXT(55,"00")</f>
        <v>55</v>
      </c>
      <c r="C172" s="1" t="str">
        <f t="shared" si="9"/>
        <v>025-55</v>
      </c>
      <c r="D172" t="s">
        <v>173</v>
      </c>
      <c r="E172" t="b">
        <f>IF(COUNTIF(D172,"*"&amp;'Keyword Search'!$C$5&amp;"*"),TRUE,FALSE)</f>
        <v>1</v>
      </c>
      <c r="G172" t="str">
        <f t="shared" si="10"/>
        <v>025-55: Dryers, Desiccant Air</v>
      </c>
    </row>
    <row r="173" spans="1:7" x14ac:dyDescent="0.25">
      <c r="A173" s="1" t="str">
        <f t="shared" si="12"/>
        <v>025</v>
      </c>
      <c r="B173" s="1" t="str">
        <f>TEXT(60,"00")</f>
        <v>60</v>
      </c>
      <c r="C173" s="1" t="str">
        <f t="shared" si="9"/>
        <v>025-60</v>
      </c>
      <c r="D173" t="s">
        <v>174</v>
      </c>
      <c r="E173" t="b">
        <f>IF(COUNTIF(D173,"*"&amp;'Keyword Search'!$C$5&amp;"*"),TRUE,FALSE)</f>
        <v>1</v>
      </c>
      <c r="G173" t="str">
        <f t="shared" si="10"/>
        <v>025-60: Filters, Air Gauges and Valves, Pressure Regulators, Shock Mounts, etc.</v>
      </c>
    </row>
    <row r="174" spans="1:7" x14ac:dyDescent="0.25">
      <c r="A174" s="1" t="str">
        <f t="shared" si="12"/>
        <v>025</v>
      </c>
      <c r="B174" s="1" t="str">
        <f>TEXT(70,"00")</f>
        <v>70</v>
      </c>
      <c r="C174" s="1" t="str">
        <f t="shared" si="9"/>
        <v>025-70</v>
      </c>
      <c r="D174" t="s">
        <v>175</v>
      </c>
      <c r="E174" t="b">
        <f>IF(COUNTIF(D174,"*"&amp;'Keyword Search'!$C$5&amp;"*"),TRUE,FALSE)</f>
        <v>1</v>
      </c>
      <c r="G174" t="str">
        <f t="shared" si="10"/>
        <v>025-70: Moisture Separators, Non-Refrigerated</v>
      </c>
    </row>
    <row r="175" spans="1:7" x14ac:dyDescent="0.25">
      <c r="A175" s="1" t="str">
        <f t="shared" si="12"/>
        <v>025</v>
      </c>
      <c r="B175" s="1" t="str">
        <f>TEXT(80,"00")</f>
        <v>80</v>
      </c>
      <c r="C175" s="1" t="str">
        <f t="shared" si="9"/>
        <v>025-80</v>
      </c>
      <c r="D175" t="s">
        <v>176</v>
      </c>
      <c r="E175" t="b">
        <f>IF(COUNTIF(D175,"*"&amp;'Keyword Search'!$C$5&amp;"*"),TRUE,FALSE)</f>
        <v>1</v>
      </c>
      <c r="G175" t="str">
        <f t="shared" si="10"/>
        <v>025-80: Moisture Separators, Refrigerated</v>
      </c>
    </row>
    <row r="176" spans="1:7" x14ac:dyDescent="0.25">
      <c r="A176" s="1" t="str">
        <f t="shared" si="12"/>
        <v>025</v>
      </c>
      <c r="B176" s="1" t="str">
        <f>TEXT(85,"00")</f>
        <v>85</v>
      </c>
      <c r="C176" s="1" t="str">
        <f t="shared" si="9"/>
        <v>025-85</v>
      </c>
      <c r="D176" t="s">
        <v>177</v>
      </c>
      <c r="E176" t="b">
        <f>IF(COUNTIF(D176,"*"&amp;'Keyword Search'!$C$5&amp;"*"),TRUE,FALSE)</f>
        <v>1</v>
      </c>
      <c r="G176" t="str">
        <f t="shared" si="10"/>
        <v>025-85: Motors, Air Compressor</v>
      </c>
    </row>
    <row r="177" spans="1:7" x14ac:dyDescent="0.25">
      <c r="A177" s="1" t="str">
        <f t="shared" si="12"/>
        <v>025</v>
      </c>
      <c r="B177" s="1" t="str">
        <f>TEXT(90,"00")</f>
        <v>90</v>
      </c>
      <c r="C177" s="1" t="str">
        <f t="shared" si="9"/>
        <v>025-90</v>
      </c>
      <c r="D177" t="s">
        <v>178</v>
      </c>
      <c r="E177" t="b">
        <f>IF(COUNTIF(D177,"*"&amp;'Keyword Search'!$C$5&amp;"*"),TRUE,FALSE)</f>
        <v>1</v>
      </c>
      <c r="G177" t="str">
        <f t="shared" si="10"/>
        <v>025-90: Recycled Air Compressor Accessories and Supplies</v>
      </c>
    </row>
    <row r="178" spans="1:7" x14ac:dyDescent="0.25">
      <c r="A178" s="5" t="str">
        <f t="shared" ref="A178:A241" si="13">TEXT(31,"000")</f>
        <v>031</v>
      </c>
      <c r="B178" s="5" t="str">
        <f>TEXT(0,"00")</f>
        <v>00</v>
      </c>
      <c r="C178" s="1"/>
      <c r="D178" s="2" t="s">
        <v>179</v>
      </c>
    </row>
    <row r="179" spans="1:7" x14ac:dyDescent="0.25">
      <c r="A179" s="1" t="str">
        <f t="shared" si="13"/>
        <v>031</v>
      </c>
      <c r="B179" s="1" t="str">
        <f>TEXT(2,"00")</f>
        <v>02</v>
      </c>
      <c r="C179" s="1" t="str">
        <f t="shared" si="9"/>
        <v>031-02</v>
      </c>
      <c r="D179" t="s">
        <v>180</v>
      </c>
      <c r="E179" t="b">
        <f>IF(COUNTIF(D179,"*"&amp;'Keyword Search'!$C$5&amp;"*"),TRUE,FALSE)</f>
        <v>1</v>
      </c>
      <c r="G179" t="str">
        <f t="shared" si="10"/>
        <v>031-02: Air Conditioning Units, Portable or Room AC Units, Computer Rooms, Hospital Rooms, Sporting Events, etc.</v>
      </c>
    </row>
    <row r="180" spans="1:7" x14ac:dyDescent="0.25">
      <c r="A180" s="1" t="str">
        <f t="shared" si="13"/>
        <v>031</v>
      </c>
      <c r="B180" s="1" t="str">
        <f>TEXT(3,"00")</f>
        <v>03</v>
      </c>
      <c r="C180" s="1" t="str">
        <f t="shared" si="9"/>
        <v>031-03</v>
      </c>
      <c r="D180" t="s">
        <v>181</v>
      </c>
      <c r="E180" t="b">
        <f>IF(COUNTIF(D180,"*"&amp;'Keyword Search'!$C$5&amp;"*"),TRUE,FALSE)</f>
        <v>1</v>
      </c>
      <c r="G180" t="str">
        <f t="shared" si="10"/>
        <v>031-03: Air Conditioners Systems, Commercial and Industrial, Including Parts and Accessories, (Not Otherwise Classified)</v>
      </c>
    </row>
    <row r="181" spans="1:7" x14ac:dyDescent="0.25">
      <c r="A181" s="1" t="str">
        <f t="shared" si="13"/>
        <v>031</v>
      </c>
      <c r="B181" s="1" t="str">
        <f>TEXT(4,"00")</f>
        <v>04</v>
      </c>
      <c r="C181" s="1" t="str">
        <f t="shared" si="9"/>
        <v>031-04</v>
      </c>
      <c r="D181" t="s">
        <v>182</v>
      </c>
      <c r="E181" t="b">
        <f>IF(COUNTIF(D181,"*"&amp;'Keyword Search'!$C$5&amp;"*"),TRUE,FALSE)</f>
        <v>1</v>
      </c>
      <c r="G181" t="str">
        <f t="shared" si="10"/>
        <v>031-04: Air Conditioners: Controlled Environment, Computer Rooms, etc., Including  Parts and Accessories, (Not Otherwise Classified)</v>
      </c>
    </row>
    <row r="182" spans="1:7" x14ac:dyDescent="0.25">
      <c r="A182" s="1" t="str">
        <f t="shared" si="13"/>
        <v>031</v>
      </c>
      <c r="B182" s="1" t="str">
        <f>TEXT(5,"00")</f>
        <v>05</v>
      </c>
      <c r="C182" s="1" t="str">
        <f t="shared" si="9"/>
        <v>031-05</v>
      </c>
      <c r="D182" t="s">
        <v>183</v>
      </c>
      <c r="E182" t="b">
        <f>IF(COUNTIF(D182,"*"&amp;'Keyword Search'!$C$5&amp;"*"),TRUE,FALSE)</f>
        <v>1</v>
      </c>
      <c r="G182" t="str">
        <f t="shared" si="10"/>
        <v>031-05: Air Conditioning and Heating Systems, Window and Wall Mounted, Ductless, Including Parts and Accessories, (Not Otherwise Classified)</v>
      </c>
    </row>
    <row r="183" spans="1:7" x14ac:dyDescent="0.25">
      <c r="A183" s="1" t="str">
        <f t="shared" si="13"/>
        <v>031</v>
      </c>
      <c r="B183" s="1" t="str">
        <f>TEXT(6,"00")</f>
        <v>06</v>
      </c>
      <c r="C183" s="1" t="str">
        <f t="shared" si="9"/>
        <v>031-06</v>
      </c>
      <c r="D183" t="s">
        <v>184</v>
      </c>
      <c r="E183" t="b">
        <f>IF(COUNTIF(D183,"*"&amp;'Keyword Search'!$C$5&amp;"*"),TRUE,FALSE)</f>
        <v>1</v>
      </c>
      <c r="G183" t="str">
        <f t="shared" si="10"/>
        <v>031-06: Air Conditioning and Heating Central Air Systems, Including Parts and Accessories, (Not Otherwise Classified)</v>
      </c>
    </row>
    <row r="184" spans="1:7" x14ac:dyDescent="0.25">
      <c r="A184" s="1" t="str">
        <f t="shared" si="13"/>
        <v>031</v>
      </c>
      <c r="B184" s="1" t="str">
        <f>TEXT(7,"00")</f>
        <v>07</v>
      </c>
      <c r="C184" s="1" t="str">
        <f t="shared" si="9"/>
        <v>031-07</v>
      </c>
      <c r="D184" t="s">
        <v>185</v>
      </c>
      <c r="E184" t="b">
        <f>IF(COUNTIF(D184,"*"&amp;'Keyword Search'!$C$5&amp;"*"),TRUE,FALSE)</f>
        <v>1</v>
      </c>
      <c r="G184" t="str">
        <f t="shared" si="10"/>
        <v>031-07: Air Circulation Equipment (Not Otherwise Classified)</v>
      </c>
    </row>
    <row r="185" spans="1:7" x14ac:dyDescent="0.25">
      <c r="A185" s="1" t="str">
        <f t="shared" si="13"/>
        <v>031</v>
      </c>
      <c r="B185" s="1" t="str">
        <f>TEXT(8,"00")</f>
        <v>08</v>
      </c>
      <c r="C185" s="1" t="str">
        <f t="shared" si="9"/>
        <v>031-08</v>
      </c>
      <c r="D185" t="s">
        <v>186</v>
      </c>
      <c r="E185" t="b">
        <f>IF(COUNTIF(D185,"*"&amp;'Keyword Search'!$C$5&amp;"*"),TRUE,FALSE)</f>
        <v>1</v>
      </c>
      <c r="G185" t="str">
        <f t="shared" si="10"/>
        <v>031-08: Air Curtains</v>
      </c>
    </row>
    <row r="186" spans="1:7" x14ac:dyDescent="0.25">
      <c r="A186" s="1" t="str">
        <f t="shared" si="13"/>
        <v>031</v>
      </c>
      <c r="B186" s="1" t="str">
        <f>TEXT(9,"00")</f>
        <v>09</v>
      </c>
      <c r="C186" s="1" t="str">
        <f t="shared" si="9"/>
        <v>031-09</v>
      </c>
      <c r="D186" t="s">
        <v>187</v>
      </c>
      <c r="E186" t="b">
        <f>IF(COUNTIF(D186,"*"&amp;'Keyword Search'!$C$5&amp;"*"),TRUE,FALSE)</f>
        <v>1</v>
      </c>
      <c r="G186" t="str">
        <f t="shared" si="10"/>
        <v>031-09: Air Flow Meters</v>
      </c>
    </row>
    <row r="187" spans="1:7" x14ac:dyDescent="0.25">
      <c r="A187" s="1" t="str">
        <f t="shared" si="13"/>
        <v>031</v>
      </c>
      <c r="B187" s="1" t="str">
        <f>TEXT(10,"00")</f>
        <v>10</v>
      </c>
      <c r="C187" s="1" t="str">
        <f t="shared" si="9"/>
        <v>031-10</v>
      </c>
      <c r="D187" t="s">
        <v>188</v>
      </c>
      <c r="E187" t="b">
        <f>IF(COUNTIF(D187,"*"&amp;'Keyword Search'!$C$5&amp;"*"),TRUE,FALSE)</f>
        <v>1</v>
      </c>
      <c r="G187" t="str">
        <f t="shared" si="10"/>
        <v>031-10: Air Purifiers, Accessories and Supplies</v>
      </c>
    </row>
    <row r="188" spans="1:7" x14ac:dyDescent="0.25">
      <c r="A188" s="1" t="str">
        <f t="shared" si="13"/>
        <v>031</v>
      </c>
      <c r="B188" s="1" t="str">
        <f>TEXT(11,"00")</f>
        <v>11</v>
      </c>
      <c r="C188" s="1" t="str">
        <f t="shared" si="9"/>
        <v>031-11</v>
      </c>
      <c r="D188" t="s">
        <v>189</v>
      </c>
      <c r="E188" t="b">
        <f>IF(COUNTIF(D188,"*"&amp;'Keyword Search'!$C$5&amp;"*"),TRUE,FALSE)</f>
        <v>1</v>
      </c>
      <c r="G188" t="str">
        <f t="shared" si="10"/>
        <v>031-11: Blowers, Industrial Types</v>
      </c>
    </row>
    <row r="189" spans="1:7" x14ac:dyDescent="0.25">
      <c r="A189" s="1" t="str">
        <f t="shared" si="13"/>
        <v>031</v>
      </c>
      <c r="B189" s="1" t="str">
        <f>TEXT(13,"00")</f>
        <v>13</v>
      </c>
      <c r="C189" s="1" t="str">
        <f t="shared" si="9"/>
        <v>031-13</v>
      </c>
      <c r="D189" t="s">
        <v>190</v>
      </c>
      <c r="E189" t="b">
        <f>IF(COUNTIF(D189,"*"&amp;'Keyword Search'!$C$5&amp;"*"),TRUE,FALSE)</f>
        <v>1</v>
      </c>
      <c r="G189" t="str">
        <f t="shared" si="10"/>
        <v>031-13: Chillers, Heat Exchangers and Receivers</v>
      </c>
    </row>
    <row r="190" spans="1:7" x14ac:dyDescent="0.25">
      <c r="A190" s="1" t="str">
        <f t="shared" si="13"/>
        <v>031</v>
      </c>
      <c r="B190" s="1" t="str">
        <f>TEXT(14,"00")</f>
        <v>14</v>
      </c>
      <c r="C190" s="1" t="str">
        <f t="shared" si="9"/>
        <v>031-14</v>
      </c>
      <c r="D190" t="s">
        <v>191</v>
      </c>
      <c r="E190" t="b">
        <f>IF(COUNTIF(D190,"*"&amp;'Keyword Search'!$C$5&amp;"*"),TRUE,FALSE)</f>
        <v>1</v>
      </c>
      <c r="G190" t="str">
        <f t="shared" si="10"/>
        <v>031-14: Chilled Water System, Portable</v>
      </c>
    </row>
    <row r="191" spans="1:7" x14ac:dyDescent="0.25">
      <c r="A191" s="1" t="str">
        <f t="shared" si="13"/>
        <v>031</v>
      </c>
      <c r="B191" s="1" t="str">
        <f>TEXT(15,"00")</f>
        <v>15</v>
      </c>
      <c r="C191" s="1" t="str">
        <f t="shared" si="9"/>
        <v>031-15</v>
      </c>
      <c r="D191" t="s">
        <v>192</v>
      </c>
      <c r="E191" t="b">
        <f>IF(COUNTIF(D191,"*"&amp;'Keyword Search'!$C$5&amp;"*"),TRUE,FALSE)</f>
        <v>1</v>
      </c>
      <c r="G191" t="str">
        <f t="shared" si="10"/>
        <v>031-15: Chilled Water Meter System</v>
      </c>
    </row>
    <row r="192" spans="1:7" x14ac:dyDescent="0.25">
      <c r="A192" s="1" t="str">
        <f t="shared" si="13"/>
        <v>031</v>
      </c>
      <c r="B192" s="1" t="str">
        <f>TEXT(16,"00")</f>
        <v>16</v>
      </c>
      <c r="C192" s="1" t="str">
        <f t="shared" si="9"/>
        <v>031-16</v>
      </c>
      <c r="D192" t="s">
        <v>193</v>
      </c>
      <c r="E192" t="b">
        <f>IF(COUNTIF(D192,"*"&amp;'Keyword Search'!$C$5&amp;"*"),TRUE,FALSE)</f>
        <v>1</v>
      </c>
      <c r="G192" t="str">
        <f t="shared" si="10"/>
        <v>031-16: Coatings and Sealants, Duct</v>
      </c>
    </row>
    <row r="193" spans="1:7" x14ac:dyDescent="0.25">
      <c r="A193" s="1" t="str">
        <f t="shared" si="13"/>
        <v>031</v>
      </c>
      <c r="B193" s="1" t="str">
        <f>TEXT(17,"00")</f>
        <v>17</v>
      </c>
      <c r="C193" s="1" t="str">
        <f t="shared" si="9"/>
        <v>031-17</v>
      </c>
      <c r="D193" t="s">
        <v>194</v>
      </c>
      <c r="E193" t="b">
        <f>IF(COUNTIF(D193,"*"&amp;'Keyword Search'!$C$5&amp;"*"),TRUE,FALSE)</f>
        <v>1</v>
      </c>
      <c r="G193" t="str">
        <f t="shared" si="10"/>
        <v>031-17: Coils, Chilled or Heated Water, and Direct Expansion</v>
      </c>
    </row>
    <row r="194" spans="1:7" x14ac:dyDescent="0.25">
      <c r="A194" s="1" t="str">
        <f t="shared" si="13"/>
        <v>031</v>
      </c>
      <c r="B194" s="1" t="str">
        <f>TEXT(18,"00")</f>
        <v>18</v>
      </c>
      <c r="C194" s="1" t="str">
        <f t="shared" si="9"/>
        <v>031-18</v>
      </c>
      <c r="D194" t="s">
        <v>195</v>
      </c>
      <c r="E194" t="b">
        <f>IF(COUNTIF(D194,"*"&amp;'Keyword Search'!$C$5&amp;"*"),TRUE,FALSE)</f>
        <v>1</v>
      </c>
      <c r="G194" t="str">
        <f t="shared" si="10"/>
        <v>031-18: Coil and Fan Units, Air Conditioning</v>
      </c>
    </row>
    <row r="195" spans="1:7" x14ac:dyDescent="0.25">
      <c r="A195" s="1" t="str">
        <f t="shared" si="13"/>
        <v>031</v>
      </c>
      <c r="B195" s="1" t="str">
        <f>TEXT(20,"00")</f>
        <v>20</v>
      </c>
      <c r="C195" s="1" t="str">
        <f t="shared" ref="C195:C258" si="14">CONCATENATE(A195,"-",B195)</f>
        <v>031-20</v>
      </c>
      <c r="D195" t="s">
        <v>196</v>
      </c>
      <c r="E195" t="b">
        <f>IF(COUNTIF(D195,"*"&amp;'Keyword Search'!$C$5&amp;"*"),TRUE,FALSE)</f>
        <v>1</v>
      </c>
      <c r="G195" t="str">
        <f t="shared" si="10"/>
        <v>031-20: Compressors, Air Conditioning, Window Unit Type Including Parts and Accessories</v>
      </c>
    </row>
    <row r="196" spans="1:7" x14ac:dyDescent="0.25">
      <c r="A196" s="1" t="str">
        <f t="shared" si="13"/>
        <v>031</v>
      </c>
      <c r="B196" s="1" t="str">
        <f>TEXT(21,"00")</f>
        <v>21</v>
      </c>
      <c r="C196" s="1" t="str">
        <f t="shared" si="14"/>
        <v>031-21</v>
      </c>
      <c r="D196" t="s">
        <v>197</v>
      </c>
      <c r="E196" t="b">
        <f>IF(COUNTIF(D196,"*"&amp;'Keyword Search'!$C$5&amp;"*"),TRUE,FALSE)</f>
        <v>1</v>
      </c>
      <c r="G196" t="str">
        <f t="shared" ref="G196:G259" si="15">CONCATENATE(C196,": ",D196)</f>
        <v>031-21: Compressors, Air Conditioning, Industrial Type, and Parts</v>
      </c>
    </row>
    <row r="197" spans="1:7" x14ac:dyDescent="0.25">
      <c r="A197" s="1" t="str">
        <f t="shared" si="13"/>
        <v>031</v>
      </c>
      <c r="B197" s="1" t="str">
        <f>TEXT(23,"00")</f>
        <v>23</v>
      </c>
      <c r="C197" s="1" t="str">
        <f t="shared" si="14"/>
        <v>031-23</v>
      </c>
      <c r="D197" t="s">
        <v>198</v>
      </c>
      <c r="E197" t="b">
        <f>IF(COUNTIF(D197,"*"&amp;'Keyword Search'!$C$5&amp;"*"),TRUE,FALSE)</f>
        <v>1</v>
      </c>
      <c r="G197" t="str">
        <f t="shared" si="15"/>
        <v>031-23: Condensing Units (For Air Conditioners)</v>
      </c>
    </row>
    <row r="198" spans="1:7" x14ac:dyDescent="0.25">
      <c r="A198" s="1" t="str">
        <f t="shared" si="13"/>
        <v>031</v>
      </c>
      <c r="B198" s="1" t="str">
        <f>TEXT(24,"00")</f>
        <v>24</v>
      </c>
      <c r="C198" s="1" t="str">
        <f t="shared" si="14"/>
        <v>031-24</v>
      </c>
      <c r="D198" t="s">
        <v>199</v>
      </c>
      <c r="E198" t="b">
        <f>IF(COUNTIF(D198,"*"&amp;'Keyword Search'!$C$5&amp;"*"),TRUE,FALSE)</f>
        <v>1</v>
      </c>
      <c r="G198" t="str">
        <f t="shared" si="15"/>
        <v>031-24: Controls, Cooling Tower Water Treatment: pH, Conductivity, Corrosion Sensors</v>
      </c>
    </row>
    <row r="199" spans="1:7" x14ac:dyDescent="0.25">
      <c r="A199" s="1" t="str">
        <f t="shared" si="13"/>
        <v>031</v>
      </c>
      <c r="B199" s="1" t="str">
        <f>TEXT(25,"00")</f>
        <v>25</v>
      </c>
      <c r="C199" s="1" t="str">
        <f t="shared" si="14"/>
        <v>031-25</v>
      </c>
      <c r="D199" t="s">
        <v>200</v>
      </c>
      <c r="E199" t="b">
        <f>IF(COUNTIF(D199,"*"&amp;'Keyword Search'!$C$5&amp;"*"),TRUE,FALSE)</f>
        <v>1</v>
      </c>
      <c r="G199" t="str">
        <f t="shared" si="15"/>
        <v>031-25: Controls, Limit Switches, Relays, Thermostats, Gas Valves, etc.</v>
      </c>
    </row>
    <row r="200" spans="1:7" x14ac:dyDescent="0.25">
      <c r="A200" s="1" t="str">
        <f t="shared" si="13"/>
        <v>031</v>
      </c>
      <c r="B200" s="1" t="str">
        <f>TEXT(26,"00")</f>
        <v>26</v>
      </c>
      <c r="C200" s="1" t="str">
        <f t="shared" si="14"/>
        <v>031-26</v>
      </c>
      <c r="D200" t="s">
        <v>201</v>
      </c>
      <c r="E200" t="b">
        <f>IF(COUNTIF(D200,"*"&amp;'Keyword Search'!$C$5&amp;"*"),TRUE,FALSE)</f>
        <v>1</v>
      </c>
      <c r="G200" t="str">
        <f t="shared" si="15"/>
        <v>031-26: Control Systems: Complete, Automatic Temperature Control</v>
      </c>
    </row>
    <row r="201" spans="1:7" x14ac:dyDescent="0.25">
      <c r="A201" s="1" t="str">
        <f t="shared" si="13"/>
        <v>031</v>
      </c>
      <c r="B201" s="1" t="str">
        <f>TEXT(27,"00")</f>
        <v>27</v>
      </c>
      <c r="C201" s="1" t="str">
        <f t="shared" si="14"/>
        <v>031-27</v>
      </c>
      <c r="D201" t="s">
        <v>202</v>
      </c>
      <c r="E201" t="b">
        <f>IF(COUNTIF(D201,"*"&amp;'Keyword Search'!$C$5&amp;"*"),TRUE,FALSE)</f>
        <v>1</v>
      </c>
      <c r="G201" t="str">
        <f t="shared" si="15"/>
        <v>031-27: Cooling Tower Water Treatment: Non-chemical Ozone, Centrifugal Separators, Magnetic Descaling Equip. (See Class 885 for Chemical Types)</v>
      </c>
    </row>
    <row r="202" spans="1:7" x14ac:dyDescent="0.25">
      <c r="A202" s="1" t="str">
        <f t="shared" si="13"/>
        <v>031</v>
      </c>
      <c r="B202" s="1" t="str">
        <f>TEXT(28,"00")</f>
        <v>28</v>
      </c>
      <c r="C202" s="1" t="str">
        <f t="shared" si="14"/>
        <v>031-28</v>
      </c>
      <c r="D202" t="s">
        <v>203</v>
      </c>
      <c r="E202" t="b">
        <f>IF(COUNTIF(D202,"*"&amp;'Keyword Search'!$C$5&amp;"*"),TRUE,FALSE)</f>
        <v>1</v>
      </c>
      <c r="G202" t="str">
        <f t="shared" si="15"/>
        <v>031-28: Cooling Towers, Forced Air, Gravity, etc.</v>
      </c>
    </row>
    <row r="203" spans="1:7" x14ac:dyDescent="0.25">
      <c r="A203" s="1" t="str">
        <f t="shared" si="13"/>
        <v>031</v>
      </c>
      <c r="B203" s="1" t="str">
        <f>TEXT(29,"00")</f>
        <v>29</v>
      </c>
      <c r="C203" s="1" t="str">
        <f t="shared" si="14"/>
        <v>031-29</v>
      </c>
      <c r="D203" t="s">
        <v>204</v>
      </c>
      <c r="E203" t="b">
        <f>IF(COUNTIF(D203,"*"&amp;'Keyword Search'!$C$5&amp;"*"),TRUE,FALSE)</f>
        <v>1</v>
      </c>
      <c r="G203" t="str">
        <f t="shared" si="15"/>
        <v>031-29: Dampers, Motorized</v>
      </c>
    </row>
    <row r="204" spans="1:7" x14ac:dyDescent="0.25">
      <c r="A204" s="1" t="str">
        <f t="shared" si="13"/>
        <v>031</v>
      </c>
      <c r="B204" s="1" t="str">
        <f>TEXT(30,"00")</f>
        <v>30</v>
      </c>
      <c r="C204" s="1" t="str">
        <f t="shared" si="14"/>
        <v>031-30</v>
      </c>
      <c r="D204" t="s">
        <v>205</v>
      </c>
      <c r="E204" t="b">
        <f>IF(COUNTIF(D204,"*"&amp;'Keyword Search'!$C$5&amp;"*"),TRUE,FALSE)</f>
        <v>1</v>
      </c>
      <c r="G204" t="str">
        <f t="shared" si="15"/>
        <v>031-30: Dehumidifiers and Humidifiers</v>
      </c>
    </row>
    <row r="205" spans="1:7" x14ac:dyDescent="0.25">
      <c r="A205" s="1" t="str">
        <f t="shared" si="13"/>
        <v>031</v>
      </c>
      <c r="B205" s="1" t="str">
        <f>TEXT(31,"00")</f>
        <v>31</v>
      </c>
      <c r="C205" s="1" t="str">
        <f t="shared" si="14"/>
        <v>031-31</v>
      </c>
      <c r="D205" t="s">
        <v>206</v>
      </c>
      <c r="E205" t="b">
        <f>IF(COUNTIF(D205,"*"&amp;'Keyword Search'!$C$5&amp;"*"),TRUE,FALSE)</f>
        <v>1</v>
      </c>
      <c r="G205" t="str">
        <f t="shared" si="15"/>
        <v>031-31: Duct Cleaning Equipment, Air</v>
      </c>
    </row>
    <row r="206" spans="1:7" x14ac:dyDescent="0.25">
      <c r="A206" s="1" t="str">
        <f t="shared" si="13"/>
        <v>031</v>
      </c>
      <c r="B206" s="1" t="str">
        <f>TEXT(32,"00")</f>
        <v>32</v>
      </c>
      <c r="C206" s="1" t="str">
        <f t="shared" si="14"/>
        <v>031-32</v>
      </c>
      <c r="D206" t="s">
        <v>207</v>
      </c>
      <c r="E206" t="b">
        <f>IF(COUNTIF(D206,"*"&amp;'Keyword Search'!$C$5&amp;"*"),TRUE,FALSE)</f>
        <v>1</v>
      </c>
      <c r="G206" t="str">
        <f t="shared" si="15"/>
        <v>031-32: Duct, Prefabricated, Flexible or Rigid: Glass Fiber, Plastic, etc.</v>
      </c>
    </row>
    <row r="207" spans="1:7" x14ac:dyDescent="0.25">
      <c r="A207" s="1" t="str">
        <f t="shared" si="13"/>
        <v>031</v>
      </c>
      <c r="B207" s="1" t="str">
        <f>TEXT(33,"00")</f>
        <v>33</v>
      </c>
      <c r="C207" s="1" t="str">
        <f t="shared" si="14"/>
        <v>031-33</v>
      </c>
      <c r="D207" t="s">
        <v>208</v>
      </c>
      <c r="E207" t="b">
        <f>IF(COUNTIF(D207,"*"&amp;'Keyword Search'!$C$5&amp;"*"),TRUE,FALSE)</f>
        <v>1</v>
      </c>
      <c r="G207" t="str">
        <f t="shared" si="15"/>
        <v>031-33: Duct, Fabricated, Metal</v>
      </c>
    </row>
    <row r="208" spans="1:7" x14ac:dyDescent="0.25">
      <c r="A208" s="1" t="str">
        <f t="shared" si="13"/>
        <v>031</v>
      </c>
      <c r="B208" s="1" t="str">
        <f>TEXT(34,"00")</f>
        <v>34</v>
      </c>
      <c r="C208" s="1" t="str">
        <f t="shared" si="14"/>
        <v>031-34</v>
      </c>
      <c r="D208" t="s">
        <v>209</v>
      </c>
      <c r="E208" t="b">
        <f>IF(COUNTIF(D208,"*"&amp;'Keyword Search'!$C$5&amp;"*"),TRUE,FALSE)</f>
        <v>1</v>
      </c>
      <c r="G208" t="str">
        <f t="shared" si="15"/>
        <v>031-34: Dust Collectors, Industrial Type</v>
      </c>
    </row>
    <row r="209" spans="1:7" x14ac:dyDescent="0.25">
      <c r="A209" s="1" t="str">
        <f t="shared" si="13"/>
        <v>031</v>
      </c>
      <c r="B209" s="1" t="str">
        <f>TEXT(36,"00")</f>
        <v>36</v>
      </c>
      <c r="C209" s="1" t="str">
        <f t="shared" si="14"/>
        <v>031-36</v>
      </c>
      <c r="D209" t="s">
        <v>210</v>
      </c>
      <c r="E209" t="b">
        <f>IF(COUNTIF(D209,"*"&amp;'Keyword Search'!$C$5&amp;"*"),TRUE,FALSE)</f>
        <v>1</v>
      </c>
      <c r="G209" t="str">
        <f t="shared" si="15"/>
        <v>031-36: Electronic Air Cleaners, Electrostatic Precipitators, Ozonators, Including Parts and Accessories</v>
      </c>
    </row>
    <row r="210" spans="1:7" x14ac:dyDescent="0.25">
      <c r="A210" s="1" t="str">
        <f t="shared" si="13"/>
        <v>031</v>
      </c>
      <c r="B210" s="1" t="str">
        <f>TEXT(38,"00")</f>
        <v>38</v>
      </c>
      <c r="C210" s="1" t="str">
        <f t="shared" si="14"/>
        <v>031-38</v>
      </c>
      <c r="D210" t="s">
        <v>211</v>
      </c>
      <c r="E210" t="b">
        <f>IF(COUNTIF(D210,"*"&amp;'Keyword Search'!$C$5&amp;"*"),TRUE,FALSE)</f>
        <v>1</v>
      </c>
      <c r="G210" t="str">
        <f t="shared" si="15"/>
        <v>031-38: Evaporative Coolers</v>
      </c>
    </row>
    <row r="211" spans="1:7" x14ac:dyDescent="0.25">
      <c r="A211" s="1" t="str">
        <f t="shared" si="13"/>
        <v>031</v>
      </c>
      <c r="B211" s="1" t="str">
        <f>TEXT(40,"00")</f>
        <v>40</v>
      </c>
      <c r="C211" s="1" t="str">
        <f t="shared" si="14"/>
        <v>031-40</v>
      </c>
      <c r="D211" t="s">
        <v>212</v>
      </c>
      <c r="E211" t="b">
        <f>IF(COUNTIF(D211,"*"&amp;'Keyword Search'!$C$5&amp;"*"),TRUE,FALSE)</f>
        <v>1</v>
      </c>
      <c r="G211" t="str">
        <f t="shared" si="15"/>
        <v>031-40: Fans, Industrial Types: Attic, Exhaust, Forced Draft, etc., Including Fan Blades and Fan Parts</v>
      </c>
    </row>
    <row r="212" spans="1:7" x14ac:dyDescent="0.25">
      <c r="A212" s="1" t="str">
        <f t="shared" si="13"/>
        <v>031</v>
      </c>
      <c r="B212" s="1" t="str">
        <f>TEXT(41,"00")</f>
        <v>41</v>
      </c>
      <c r="C212" s="1" t="str">
        <f t="shared" si="14"/>
        <v>031-41</v>
      </c>
      <c r="D212" t="s">
        <v>213</v>
      </c>
      <c r="E212" t="b">
        <f>IF(COUNTIF(D212,"*"&amp;'Keyword Search'!$C$5&amp;"*"),TRUE,FALSE)</f>
        <v>1</v>
      </c>
      <c r="G212" t="str">
        <f t="shared" si="15"/>
        <v>031-41: Fans, Room Type: Ceiling and Portable Type, Stationary and Oscillating</v>
      </c>
    </row>
    <row r="213" spans="1:7" x14ac:dyDescent="0.25">
      <c r="A213" s="1" t="str">
        <f t="shared" si="13"/>
        <v>031</v>
      </c>
      <c r="B213" s="1" t="str">
        <f>TEXT(43,"00")</f>
        <v>43</v>
      </c>
      <c r="C213" s="1" t="str">
        <f t="shared" si="14"/>
        <v>031-43</v>
      </c>
      <c r="D213" t="s">
        <v>214</v>
      </c>
      <c r="E213" t="b">
        <f>IF(COUNTIF(D213,"*"&amp;'Keyword Search'!$C$5&amp;"*"),TRUE,FALSE)</f>
        <v>1</v>
      </c>
      <c r="G213" t="str">
        <f t="shared" si="15"/>
        <v>031-43: Filter Coating, Adhesive, Coil Cleaners, Degreasing Solvents, etc.</v>
      </c>
    </row>
    <row r="214" spans="1:7" x14ac:dyDescent="0.25">
      <c r="A214" s="1" t="str">
        <f t="shared" si="13"/>
        <v>031</v>
      </c>
      <c r="B214" s="1" t="str">
        <f>TEXT(44,"00")</f>
        <v>44</v>
      </c>
      <c r="C214" s="1" t="str">
        <f t="shared" si="14"/>
        <v>031-44</v>
      </c>
      <c r="D214" t="s">
        <v>215</v>
      </c>
      <c r="E214" t="b">
        <f>IF(COUNTIF(D214,"*"&amp;'Keyword Search'!$C$5&amp;"*"),TRUE,FALSE)</f>
        <v>1</v>
      </c>
      <c r="G214" t="str">
        <f t="shared" si="15"/>
        <v>031-44: Filters, Air Conditioning and Furnace, Permanent Type</v>
      </c>
    </row>
    <row r="215" spans="1:7" x14ac:dyDescent="0.25">
      <c r="A215" s="1" t="str">
        <f t="shared" si="13"/>
        <v>031</v>
      </c>
      <c r="B215" s="1" t="str">
        <f>TEXT(45,"00")</f>
        <v>45</v>
      </c>
      <c r="C215" s="1" t="str">
        <f t="shared" si="14"/>
        <v>031-45</v>
      </c>
      <c r="D215" t="s">
        <v>216</v>
      </c>
      <c r="E215" t="b">
        <f>IF(COUNTIF(D215,"*"&amp;'Keyword Search'!$C$5&amp;"*"),TRUE,FALSE)</f>
        <v>1</v>
      </c>
      <c r="G215" t="str">
        <f t="shared" si="15"/>
        <v>031-45: Filters, Air Conditioning and Furnace, Disposable Type</v>
      </c>
    </row>
    <row r="216" spans="1:7" x14ac:dyDescent="0.25">
      <c r="A216" s="1" t="str">
        <f t="shared" si="13"/>
        <v>031</v>
      </c>
      <c r="B216" s="1" t="str">
        <f>TEXT(46,"00")</f>
        <v>46</v>
      </c>
      <c r="C216" s="1" t="str">
        <f t="shared" si="14"/>
        <v>031-46</v>
      </c>
      <c r="D216" t="s">
        <v>217</v>
      </c>
      <c r="E216" t="b">
        <f>IF(COUNTIF(D216,"*"&amp;'Keyword Search'!$C$5&amp;"*"),TRUE,FALSE)</f>
        <v>1</v>
      </c>
      <c r="G216" t="str">
        <f t="shared" si="15"/>
        <v>031-46: Filters and Filter Media, Evaporative Cooler</v>
      </c>
    </row>
    <row r="217" spans="1:7" x14ac:dyDescent="0.25">
      <c r="A217" s="1" t="str">
        <f t="shared" si="13"/>
        <v>031</v>
      </c>
      <c r="B217" s="1" t="str">
        <f>TEXT(49,"00")</f>
        <v>49</v>
      </c>
      <c r="C217" s="1" t="str">
        <f t="shared" si="14"/>
        <v>031-49</v>
      </c>
      <c r="D217" t="s">
        <v>218</v>
      </c>
      <c r="E217" t="b">
        <f>IF(COUNTIF(D217,"*"&amp;'Keyword Search'!$C$5&amp;"*"),TRUE,FALSE)</f>
        <v>1</v>
      </c>
      <c r="G217" t="str">
        <f t="shared" si="15"/>
        <v>031-49: Filter Frames, Metal</v>
      </c>
    </row>
    <row r="218" spans="1:7" x14ac:dyDescent="0.25">
      <c r="A218" s="1" t="str">
        <f t="shared" si="13"/>
        <v>031</v>
      </c>
      <c r="B218" s="1" t="str">
        <f>TEXT(50,"00")</f>
        <v>50</v>
      </c>
      <c r="C218" s="1" t="str">
        <f t="shared" si="14"/>
        <v>031-50</v>
      </c>
      <c r="D218" t="s">
        <v>219</v>
      </c>
      <c r="E218" t="b">
        <f>IF(COUNTIF(D218,"*"&amp;'Keyword Search'!$C$5&amp;"*"),TRUE,FALSE)</f>
        <v>1</v>
      </c>
      <c r="G218" t="str">
        <f t="shared" si="15"/>
        <v>031-50: Freon</v>
      </c>
    </row>
    <row r="219" spans="1:7" x14ac:dyDescent="0.25">
      <c r="A219" s="1" t="str">
        <f t="shared" si="13"/>
        <v>031</v>
      </c>
      <c r="B219" s="1" t="str">
        <f>TEXT(51,"00")</f>
        <v>51</v>
      </c>
      <c r="C219" s="1" t="str">
        <f t="shared" si="14"/>
        <v>031-51</v>
      </c>
      <c r="D219" t="s">
        <v>220</v>
      </c>
      <c r="E219" t="b">
        <f>IF(COUNTIF(D219,"*"&amp;'Keyword Search'!$C$5&amp;"*"),TRUE,FALSE)</f>
        <v>1</v>
      </c>
      <c r="G219" t="str">
        <f t="shared" si="15"/>
        <v>031-51: Furnaces, Central Heating Type, Forced Air, Gas Fired</v>
      </c>
    </row>
    <row r="220" spans="1:7" x14ac:dyDescent="0.25">
      <c r="A220" s="1" t="str">
        <f t="shared" si="13"/>
        <v>031</v>
      </c>
      <c r="B220" s="1" t="str">
        <f>TEXT(53,"00")</f>
        <v>53</v>
      </c>
      <c r="C220" s="1" t="str">
        <f t="shared" si="14"/>
        <v>031-53</v>
      </c>
      <c r="D220" t="s">
        <v>221</v>
      </c>
      <c r="E220" t="b">
        <f>IF(COUNTIF(D220,"*"&amp;'Keyword Search'!$C$5&amp;"*"),TRUE,FALSE)</f>
        <v>1</v>
      </c>
      <c r="G220" t="str">
        <f t="shared" si="15"/>
        <v>031-53: Grilles, Diffusers, Registers, etc.</v>
      </c>
    </row>
    <row r="221" spans="1:7" x14ac:dyDescent="0.25">
      <c r="A221" s="1" t="str">
        <f t="shared" si="13"/>
        <v>031</v>
      </c>
      <c r="B221" s="1" t="str">
        <f>TEXT(55,"00")</f>
        <v>55</v>
      </c>
      <c r="C221" s="1" t="str">
        <f t="shared" si="14"/>
        <v>031-55</v>
      </c>
      <c r="D221" t="s">
        <v>222</v>
      </c>
      <c r="E221" t="b">
        <f>IF(COUNTIF(D221,"*"&amp;'Keyword Search'!$C$5&amp;"*"),TRUE,FALSE)</f>
        <v>1</v>
      </c>
      <c r="G221" t="str">
        <f t="shared" si="15"/>
        <v>031-55: Hand Tools, HVAC Maintenance, Testing, Recording, Detection, etc.</v>
      </c>
    </row>
    <row r="222" spans="1:7" x14ac:dyDescent="0.25">
      <c r="A222" s="1" t="str">
        <f t="shared" si="13"/>
        <v>031</v>
      </c>
      <c r="B222" s="1" t="str">
        <f>TEXT(56,"00")</f>
        <v>56</v>
      </c>
      <c r="C222" s="1" t="str">
        <f t="shared" si="14"/>
        <v>031-56</v>
      </c>
      <c r="D222" t="s">
        <v>223</v>
      </c>
      <c r="E222" t="b">
        <f>IF(COUNTIF(D222,"*"&amp;'Keyword Search'!$C$5&amp;"*"),TRUE,FALSE)</f>
        <v>1</v>
      </c>
      <c r="G222" t="str">
        <f t="shared" si="15"/>
        <v>031-56: Heat Pumps</v>
      </c>
    </row>
    <row r="223" spans="1:7" x14ac:dyDescent="0.25">
      <c r="A223" s="1" t="str">
        <f t="shared" si="13"/>
        <v>031</v>
      </c>
      <c r="B223" s="1" t="str">
        <f>TEXT(57,"00")</f>
        <v>57</v>
      </c>
      <c r="C223" s="1" t="str">
        <f t="shared" si="14"/>
        <v>031-57</v>
      </c>
      <c r="D223" t="s">
        <v>224</v>
      </c>
      <c r="E223" t="b">
        <f>IF(COUNTIF(D223,"*"&amp;'Keyword Search'!$C$5&amp;"*"),TRUE,FALSE)</f>
        <v>1</v>
      </c>
      <c r="G223" t="str">
        <f t="shared" si="15"/>
        <v>031-57: Heaters, Electric, Baseboard Type, Including Parts and Accessories (Inactive, please see commodity code 031-58 effective January 1, 2016)</v>
      </c>
    </row>
    <row r="224" spans="1:7" x14ac:dyDescent="0.25">
      <c r="A224" s="1" t="str">
        <f t="shared" si="13"/>
        <v>031</v>
      </c>
      <c r="B224" s="1" t="str">
        <f>TEXT(58,"00")</f>
        <v>58</v>
      </c>
      <c r="C224" s="1" t="str">
        <f t="shared" si="14"/>
        <v>031-58</v>
      </c>
      <c r="D224" t="s">
        <v>225</v>
      </c>
      <c r="E224" t="b">
        <f>IF(COUNTIF(D224,"*"&amp;'Keyword Search'!$C$5&amp;"*"),TRUE,FALSE)</f>
        <v>1</v>
      </c>
      <c r="G224" t="str">
        <f t="shared" si="15"/>
        <v>031-58: Heaters, Electric, Baseboard, Panel or Wall Type, Including Parts and Accessories</v>
      </c>
    </row>
    <row r="225" spans="1:7" x14ac:dyDescent="0.25">
      <c r="A225" s="1" t="str">
        <f t="shared" si="13"/>
        <v>031</v>
      </c>
      <c r="B225" s="1" t="str">
        <f>TEXT(59,"00")</f>
        <v>59</v>
      </c>
      <c r="C225" s="1" t="str">
        <f t="shared" si="14"/>
        <v>031-59</v>
      </c>
      <c r="D225" t="s">
        <v>226</v>
      </c>
      <c r="E225" t="b">
        <f>IF(COUNTIF(D225,"*"&amp;'Keyword Search'!$C$5&amp;"*"),TRUE,FALSE)</f>
        <v>1</v>
      </c>
      <c r="G225" t="str">
        <f t="shared" si="15"/>
        <v>031-59: Heaters, Electric, Portable, Including Parts and Accessories</v>
      </c>
    </row>
    <row r="226" spans="1:7" x14ac:dyDescent="0.25">
      <c r="A226" s="1" t="str">
        <f t="shared" si="13"/>
        <v>031</v>
      </c>
      <c r="B226" s="1" t="str">
        <f>TEXT(60,"00")</f>
        <v>60</v>
      </c>
      <c r="C226" s="1" t="str">
        <f t="shared" si="14"/>
        <v>031-60</v>
      </c>
      <c r="D226" t="s">
        <v>227</v>
      </c>
      <c r="E226" t="b">
        <f>IF(COUNTIF(D226,"*"&amp;'Keyword Search'!$C$5&amp;"*"),TRUE,FALSE)</f>
        <v>1</v>
      </c>
      <c r="G226" t="str">
        <f t="shared" si="15"/>
        <v>031-60: Heaters, Gas-Fired: Space, All Types, Including Parts and Accessories</v>
      </c>
    </row>
    <row r="227" spans="1:7" x14ac:dyDescent="0.25">
      <c r="A227" s="1" t="str">
        <f t="shared" si="13"/>
        <v>031</v>
      </c>
      <c r="B227" s="1" t="str">
        <f>TEXT(61,"00")</f>
        <v>61</v>
      </c>
      <c r="C227" s="1" t="str">
        <f t="shared" si="14"/>
        <v>031-61</v>
      </c>
      <c r="D227" t="s">
        <v>228</v>
      </c>
      <c r="E227" t="b">
        <f>IF(COUNTIF(D227,"*"&amp;'Keyword Search'!$C$5&amp;"*"),TRUE,FALSE)</f>
        <v>1</v>
      </c>
      <c r="G227" t="str">
        <f t="shared" si="15"/>
        <v>031-61: Heaters, Gas-Fired: Wall Type, Vented and Unvented, Including Parts and Accessories</v>
      </c>
    </row>
    <row r="228" spans="1:7" x14ac:dyDescent="0.25">
      <c r="A228" s="1" t="str">
        <f t="shared" si="13"/>
        <v>031</v>
      </c>
      <c r="B228" s="1" t="str">
        <f>TEXT(62,"00")</f>
        <v>62</v>
      </c>
      <c r="C228" s="1" t="str">
        <f t="shared" si="14"/>
        <v>031-62</v>
      </c>
      <c r="D228" t="s">
        <v>229</v>
      </c>
      <c r="E228" t="b">
        <f>IF(COUNTIF(D228,"*"&amp;'Keyword Search'!$C$5&amp;"*"),TRUE,FALSE)</f>
        <v>1</v>
      </c>
      <c r="G228" t="str">
        <f t="shared" si="15"/>
        <v>031-62: Heaters, Kerosene or Oil Fired: Space Type, Vented and Unvented, Including Parts and Accessories</v>
      </c>
    </row>
    <row r="229" spans="1:7" x14ac:dyDescent="0.25">
      <c r="A229" s="1" t="str">
        <f t="shared" si="13"/>
        <v>031</v>
      </c>
      <c r="B229" s="1" t="str">
        <f>TEXT(63,"00")</f>
        <v>63</v>
      </c>
      <c r="C229" s="1" t="str">
        <f t="shared" si="14"/>
        <v>031-63</v>
      </c>
      <c r="D229" t="s">
        <v>230</v>
      </c>
      <c r="E229" t="b">
        <f>IF(COUNTIF(D229,"*"&amp;'Keyword Search'!$C$5&amp;"*"),TRUE,FALSE)</f>
        <v>1</v>
      </c>
      <c r="G229" t="str">
        <f t="shared" si="15"/>
        <v>031-63: Heaters, Space, Steam</v>
      </c>
    </row>
    <row r="230" spans="1:7" x14ac:dyDescent="0.25">
      <c r="A230" s="1" t="str">
        <f t="shared" si="13"/>
        <v>031</v>
      </c>
      <c r="B230" s="1" t="str">
        <f>TEXT(65,"00")</f>
        <v>65</v>
      </c>
      <c r="C230" s="1" t="str">
        <f t="shared" si="14"/>
        <v>031-65</v>
      </c>
      <c r="D230" t="s">
        <v>231</v>
      </c>
      <c r="E230" t="b">
        <f>IF(COUNTIF(D230,"*"&amp;'Keyword Search'!$C$5&amp;"*"),TRUE,FALSE)</f>
        <v>1</v>
      </c>
      <c r="G230" t="str">
        <f t="shared" si="15"/>
        <v>031-65: Heating Elements, Electric</v>
      </c>
    </row>
    <row r="231" spans="1:7" x14ac:dyDescent="0.25">
      <c r="A231" s="1" t="str">
        <f t="shared" si="13"/>
        <v>031</v>
      </c>
      <c r="B231" s="1" t="str">
        <f>TEXT(66,"00")</f>
        <v>66</v>
      </c>
      <c r="C231" s="1" t="str">
        <f t="shared" si="14"/>
        <v>031-66</v>
      </c>
      <c r="D231" t="s">
        <v>232</v>
      </c>
      <c r="E231" t="b">
        <f>IF(COUNTIF(D231,"*"&amp;'Keyword Search'!$C$5&amp;"*"),TRUE,FALSE)</f>
        <v>1</v>
      </c>
      <c r="G231" t="str">
        <f t="shared" si="15"/>
        <v>031-66: Hydronic Specialties</v>
      </c>
    </row>
    <row r="232" spans="1:7" x14ac:dyDescent="0.25">
      <c r="A232" s="1" t="str">
        <f t="shared" si="13"/>
        <v>031</v>
      </c>
      <c r="B232" s="1" t="str">
        <f>TEXT(67,"00")</f>
        <v>67</v>
      </c>
      <c r="C232" s="1" t="str">
        <f t="shared" si="14"/>
        <v>031-67</v>
      </c>
      <c r="D232" t="s">
        <v>233</v>
      </c>
      <c r="E232" t="b">
        <f>IF(COUNTIF(D232,"*"&amp;'Keyword Search'!$C$5&amp;"*"),TRUE,FALSE)</f>
        <v>1</v>
      </c>
      <c r="G232" t="str">
        <f t="shared" si="15"/>
        <v>031-67: HVAC Equipment, Accessories and Supplies (Not Otherwise Classified)</v>
      </c>
    </row>
    <row r="233" spans="1:7" x14ac:dyDescent="0.25">
      <c r="A233" s="1" t="str">
        <f t="shared" si="13"/>
        <v>031</v>
      </c>
      <c r="B233" s="1" t="str">
        <f>TEXT(69,"00")</f>
        <v>69</v>
      </c>
      <c r="C233" s="1" t="str">
        <f t="shared" si="14"/>
        <v>031-69</v>
      </c>
      <c r="D233" t="s">
        <v>234</v>
      </c>
      <c r="E233" t="b">
        <f>IF(COUNTIF(D233,"*"&amp;'Keyword Search'!$C$5&amp;"*"),TRUE,FALSE)</f>
        <v>1</v>
      </c>
      <c r="G233" t="str">
        <f t="shared" si="15"/>
        <v>031-69: Odor Control Equipment, Room or Portable Type, Including Parts and Accessories</v>
      </c>
    </row>
    <row r="234" spans="1:7" x14ac:dyDescent="0.25">
      <c r="A234" s="1" t="str">
        <f t="shared" si="13"/>
        <v>031</v>
      </c>
      <c r="B234" s="1" t="str">
        <f>TEXT(70,"00")</f>
        <v>70</v>
      </c>
      <c r="C234" s="1" t="str">
        <f t="shared" si="14"/>
        <v>031-70</v>
      </c>
      <c r="D234" t="s">
        <v>235</v>
      </c>
      <c r="E234" t="b">
        <f>IF(COUNTIF(D234,"*"&amp;'Keyword Search'!$C$5&amp;"*"),TRUE,FALSE)</f>
        <v>1</v>
      </c>
      <c r="G234" t="str">
        <f t="shared" si="15"/>
        <v>031-70: Odor Control Equipment, Duct Air, Including Ozone Type</v>
      </c>
    </row>
    <row r="235" spans="1:7" x14ac:dyDescent="0.25">
      <c r="A235" s="1" t="str">
        <f t="shared" si="13"/>
        <v>031</v>
      </c>
      <c r="B235" s="1" t="str">
        <f>TEXT(72,"00")</f>
        <v>72</v>
      </c>
      <c r="C235" s="1" t="str">
        <f t="shared" si="14"/>
        <v>031-72</v>
      </c>
      <c r="D235" t="s">
        <v>236</v>
      </c>
      <c r="E235" t="b">
        <f>IF(COUNTIF(D235,"*"&amp;'Keyword Search'!$C$5&amp;"*"),TRUE,FALSE)</f>
        <v>1</v>
      </c>
      <c r="G235" t="str">
        <f t="shared" si="15"/>
        <v>031-72: Pumps, Descaling Acid</v>
      </c>
    </row>
    <row r="236" spans="1:7" x14ac:dyDescent="0.25">
      <c r="A236" s="1" t="str">
        <f t="shared" si="13"/>
        <v>031</v>
      </c>
      <c r="B236" s="1" t="str">
        <f>TEXT(73,"00")</f>
        <v>73</v>
      </c>
      <c r="C236" s="1" t="str">
        <f t="shared" si="14"/>
        <v>031-73</v>
      </c>
      <c r="D236" t="s">
        <v>237</v>
      </c>
      <c r="E236" t="b">
        <f>IF(COUNTIF(D236,"*"&amp;'Keyword Search'!$C$5&amp;"*"),TRUE,FALSE)</f>
        <v>1</v>
      </c>
      <c r="G236" t="str">
        <f t="shared" si="15"/>
        <v>031-73: Pumps, Refrigerant Circulating</v>
      </c>
    </row>
    <row r="237" spans="1:7" x14ac:dyDescent="0.25">
      <c r="A237" s="1" t="str">
        <f t="shared" si="13"/>
        <v>031</v>
      </c>
      <c r="B237" s="1" t="str">
        <f>TEXT(74,"00")</f>
        <v>74</v>
      </c>
      <c r="C237" s="1" t="str">
        <f t="shared" si="14"/>
        <v>031-74</v>
      </c>
      <c r="D237" t="s">
        <v>238</v>
      </c>
      <c r="E237" t="b">
        <f>IF(COUNTIF(D237,"*"&amp;'Keyword Search'!$C$5&amp;"*"),TRUE,FALSE)</f>
        <v>1</v>
      </c>
      <c r="G237" t="str">
        <f t="shared" si="15"/>
        <v>031-74: Pumps, Refrigerant Vacuum</v>
      </c>
    </row>
    <row r="238" spans="1:7" x14ac:dyDescent="0.25">
      <c r="A238" s="1" t="str">
        <f t="shared" si="13"/>
        <v>031</v>
      </c>
      <c r="B238" s="1" t="str">
        <f>TEXT(75,"00")</f>
        <v>75</v>
      </c>
      <c r="C238" s="1" t="str">
        <f t="shared" si="14"/>
        <v>031-75</v>
      </c>
      <c r="D238" t="s">
        <v>239</v>
      </c>
      <c r="E238" t="b">
        <f>IF(COUNTIF(D238,"*"&amp;'Keyword Search'!$C$5&amp;"*"),TRUE,FALSE)</f>
        <v>1</v>
      </c>
      <c r="G238" t="str">
        <f t="shared" si="15"/>
        <v>031-75: Radiators, Heating</v>
      </c>
    </row>
    <row r="239" spans="1:7" x14ac:dyDescent="0.25">
      <c r="A239" s="1" t="str">
        <f t="shared" si="13"/>
        <v>031</v>
      </c>
      <c r="B239" s="1" t="str">
        <f>TEXT(76,"00")</f>
        <v>76</v>
      </c>
      <c r="C239" s="1" t="str">
        <f t="shared" si="14"/>
        <v>031-76</v>
      </c>
      <c r="D239" t="s">
        <v>240</v>
      </c>
      <c r="E239" t="b">
        <f>IF(COUNTIF(D239,"*"&amp;'Keyword Search'!$C$5&amp;"*"),TRUE,FALSE)</f>
        <v>1</v>
      </c>
      <c r="G239" t="str">
        <f t="shared" si="15"/>
        <v>031-76: Refurbished HVAC Products, Including Parts and Accessories</v>
      </c>
    </row>
    <row r="240" spans="1:7" x14ac:dyDescent="0.25">
      <c r="A240" s="1" t="str">
        <f t="shared" si="13"/>
        <v>031</v>
      </c>
      <c r="B240" s="1" t="str">
        <f>TEXT(78,"00")</f>
        <v>78</v>
      </c>
      <c r="C240" s="1" t="str">
        <f t="shared" si="14"/>
        <v>031-78</v>
      </c>
      <c r="D240" t="s">
        <v>241</v>
      </c>
      <c r="E240" t="b">
        <f>IF(COUNTIF(D240,"*"&amp;'Keyword Search'!$C$5&amp;"*"),TRUE,FALSE)</f>
        <v>1</v>
      </c>
      <c r="G240" t="str">
        <f t="shared" si="15"/>
        <v>031-78: Roof Ventilators, Power Driven, Including Refurbished Types</v>
      </c>
    </row>
    <row r="241" spans="1:7" x14ac:dyDescent="0.25">
      <c r="A241" s="1" t="str">
        <f t="shared" si="13"/>
        <v>031</v>
      </c>
      <c r="B241" s="1" t="str">
        <f>TEXT(79,"00")</f>
        <v>79</v>
      </c>
      <c r="C241" s="1" t="str">
        <f t="shared" si="14"/>
        <v>031-79</v>
      </c>
      <c r="D241" t="s">
        <v>242</v>
      </c>
      <c r="E241" t="b">
        <f>IF(COUNTIF(D241,"*"&amp;'Keyword Search'!$C$5&amp;"*"),TRUE,FALSE)</f>
        <v>1</v>
      </c>
      <c r="G241" t="str">
        <f t="shared" si="15"/>
        <v>031-79: Roof Ventilators, Wind Driven, Including Refurbished Types</v>
      </c>
    </row>
    <row r="242" spans="1:7" x14ac:dyDescent="0.25">
      <c r="A242" s="1" t="str">
        <f t="shared" ref="A242:A252" si="16">TEXT(31,"000")</f>
        <v>031</v>
      </c>
      <c r="B242" s="1" t="str">
        <f>TEXT(80,"00")</f>
        <v>80</v>
      </c>
      <c r="C242" s="1" t="str">
        <f t="shared" si="14"/>
        <v>031-80</v>
      </c>
      <c r="D242" t="s">
        <v>243</v>
      </c>
      <c r="E242" t="b">
        <f>IF(COUNTIF(D242,"*"&amp;'Keyword Search'!$C$5&amp;"*"),TRUE,FALSE)</f>
        <v>1</v>
      </c>
      <c r="G242" t="str">
        <f t="shared" si="15"/>
        <v>031-80: Solar Heating Units</v>
      </c>
    </row>
    <row r="243" spans="1:7" x14ac:dyDescent="0.25">
      <c r="A243" s="1" t="str">
        <f t="shared" si="16"/>
        <v>031</v>
      </c>
      <c r="B243" s="1" t="str">
        <f>TEXT(82,"00")</f>
        <v>82</v>
      </c>
      <c r="C243" s="1" t="str">
        <f t="shared" si="14"/>
        <v>031-82</v>
      </c>
      <c r="D243" t="s">
        <v>244</v>
      </c>
      <c r="E243" t="b">
        <f>IF(COUNTIF(D243,"*"&amp;'Keyword Search'!$C$5&amp;"*"),TRUE,FALSE)</f>
        <v>1</v>
      </c>
      <c r="G243" t="str">
        <f t="shared" si="15"/>
        <v>031-82: Stoves, Wood or Coal</v>
      </c>
    </row>
    <row r="244" spans="1:7" x14ac:dyDescent="0.25">
      <c r="A244" s="1" t="str">
        <f t="shared" si="16"/>
        <v>031</v>
      </c>
      <c r="B244" s="1" t="str">
        <f>TEXT(87,"00")</f>
        <v>87</v>
      </c>
      <c r="C244" s="1" t="str">
        <f t="shared" si="14"/>
        <v>031-87</v>
      </c>
      <c r="D244" t="s">
        <v>245</v>
      </c>
      <c r="E244" t="b">
        <f>IF(COUNTIF(D244,"*"&amp;'Keyword Search'!$C$5&amp;"*"),TRUE,FALSE)</f>
        <v>1</v>
      </c>
      <c r="G244" t="str">
        <f t="shared" si="15"/>
        <v>031-87: Testing and Recording Instruments, AC and Heating (Inactive, see commodity code 031-55, effective January 1, 2016)</v>
      </c>
    </row>
    <row r="245" spans="1:7" x14ac:dyDescent="0.25">
      <c r="A245" s="1" t="str">
        <f t="shared" si="16"/>
        <v>031</v>
      </c>
      <c r="B245" s="1" t="str">
        <f>TEXT(89,"00")</f>
        <v>89</v>
      </c>
      <c r="C245" s="1" t="str">
        <f t="shared" si="14"/>
        <v>031-89</v>
      </c>
      <c r="D245" t="s">
        <v>246</v>
      </c>
      <c r="E245" t="b">
        <f>IF(COUNTIF(D245,"*"&amp;'Keyword Search'!$C$5&amp;"*"),TRUE,FALSE)</f>
        <v>1</v>
      </c>
      <c r="G245" t="str">
        <f t="shared" si="15"/>
        <v>031-89: Thermometers and Gauges, AC and Heating</v>
      </c>
    </row>
    <row r="246" spans="1:7" x14ac:dyDescent="0.25">
      <c r="A246" s="1" t="str">
        <f t="shared" si="16"/>
        <v>031</v>
      </c>
      <c r="B246" s="1" t="str">
        <f>TEXT(91,"00")</f>
        <v>91</v>
      </c>
      <c r="C246" s="1" t="str">
        <f t="shared" si="14"/>
        <v>031-91</v>
      </c>
      <c r="D246" t="s">
        <v>247</v>
      </c>
      <c r="E246" t="b">
        <f>IF(COUNTIF(D246,"*"&amp;'Keyword Search'!$C$5&amp;"*"),TRUE,FALSE)</f>
        <v>1</v>
      </c>
      <c r="G246" t="str">
        <f t="shared" si="15"/>
        <v>031-91: Unit Heaters, Electric, Duct and Suspended Types</v>
      </c>
    </row>
    <row r="247" spans="1:7" x14ac:dyDescent="0.25">
      <c r="A247" s="1" t="str">
        <f t="shared" si="16"/>
        <v>031</v>
      </c>
      <c r="B247" s="1" t="str">
        <f>TEXT(92,"00")</f>
        <v>92</v>
      </c>
      <c r="C247" s="1" t="str">
        <f t="shared" si="14"/>
        <v>031-92</v>
      </c>
      <c r="D247" t="s">
        <v>248</v>
      </c>
      <c r="E247" t="b">
        <f>IF(COUNTIF(D247,"*"&amp;'Keyword Search'!$C$5&amp;"*"),TRUE,FALSE)</f>
        <v>1</v>
      </c>
      <c r="G247" t="str">
        <f t="shared" si="15"/>
        <v>031-92: Unit Heaters, Gas-Fired, Duct and Suspended Types</v>
      </c>
    </row>
    <row r="248" spans="1:7" x14ac:dyDescent="0.25">
      <c r="A248" s="1" t="str">
        <f t="shared" si="16"/>
        <v>031</v>
      </c>
      <c r="B248" s="1" t="str">
        <f>TEXT(93,"00")</f>
        <v>93</v>
      </c>
      <c r="C248" s="1" t="str">
        <f t="shared" si="14"/>
        <v>031-93</v>
      </c>
      <c r="D248" t="s">
        <v>249</v>
      </c>
      <c r="E248" t="b">
        <f>IF(COUNTIF(D248,"*"&amp;'Keyword Search'!$C$5&amp;"*"),TRUE,FALSE)</f>
        <v>1</v>
      </c>
      <c r="G248" t="str">
        <f t="shared" si="15"/>
        <v>031-93: Unit Heaters, Gas-Fire, Radiant and Infrared, Portable and Stationary</v>
      </c>
    </row>
    <row r="249" spans="1:7" x14ac:dyDescent="0.25">
      <c r="A249" s="1" t="str">
        <f t="shared" si="16"/>
        <v>031</v>
      </c>
      <c r="B249" s="1" t="str">
        <f>TEXT(94,"00")</f>
        <v>94</v>
      </c>
      <c r="C249" s="1" t="str">
        <f t="shared" si="14"/>
        <v>031-94</v>
      </c>
      <c r="D249" t="s">
        <v>250</v>
      </c>
      <c r="E249" t="b">
        <f>IF(COUNTIF(D249,"*"&amp;'Keyword Search'!$C$5&amp;"*"),TRUE,FALSE)</f>
        <v>1</v>
      </c>
      <c r="G249" t="str">
        <f t="shared" si="15"/>
        <v>031-94: Unit Heaters, Steam and Hot Water Types</v>
      </c>
    </row>
    <row r="250" spans="1:7" x14ac:dyDescent="0.25">
      <c r="A250" s="1" t="str">
        <f t="shared" si="16"/>
        <v>031</v>
      </c>
      <c r="B250" s="1" t="str">
        <f>TEXT(95,"00")</f>
        <v>95</v>
      </c>
      <c r="C250" s="1" t="str">
        <f t="shared" si="14"/>
        <v>031-95</v>
      </c>
      <c r="D250" t="s">
        <v>251</v>
      </c>
      <c r="E250" t="b">
        <f>IF(COUNTIF(D250,"*"&amp;'Keyword Search'!$C$5&amp;"*"),TRUE,FALSE)</f>
        <v>1</v>
      </c>
      <c r="G250" t="str">
        <f t="shared" si="15"/>
        <v>031-95: Ventilation Equipment and Systems (See 031-78, 79 for Roof Ventilators)</v>
      </c>
    </row>
    <row r="251" spans="1:7" x14ac:dyDescent="0.25">
      <c r="A251" s="1" t="str">
        <f t="shared" si="16"/>
        <v>031</v>
      </c>
      <c r="B251" s="1" t="str">
        <f>TEXT(96,"00")</f>
        <v>96</v>
      </c>
      <c r="C251" s="1" t="str">
        <f t="shared" si="14"/>
        <v>031-96</v>
      </c>
      <c r="D251" t="s">
        <v>252</v>
      </c>
      <c r="E251" t="b">
        <f>IF(COUNTIF(D251,"*"&amp;'Keyword Search'!$C$5&amp;"*"),TRUE,FALSE)</f>
        <v>1</v>
      </c>
      <c r="G251" t="str">
        <f t="shared" si="15"/>
        <v>031-96: Vent Pipes, Fittings, and Accessories</v>
      </c>
    </row>
    <row r="252" spans="1:7" x14ac:dyDescent="0.25">
      <c r="A252" s="1" t="str">
        <f t="shared" si="16"/>
        <v>031</v>
      </c>
      <c r="B252" s="1" t="str">
        <f>TEXT(97,"00")</f>
        <v>97</v>
      </c>
      <c r="C252" s="1" t="str">
        <f t="shared" si="14"/>
        <v>031-97</v>
      </c>
      <c r="D252" t="s">
        <v>253</v>
      </c>
      <c r="E252" t="b">
        <f>IF(COUNTIF(D252,"*"&amp;'Keyword Search'!$C$5&amp;"*"),TRUE,FALSE)</f>
        <v>1</v>
      </c>
      <c r="G252" t="str">
        <f t="shared" si="15"/>
        <v>031-97: Vacuum System, Central, Including Filters, Parts and Accessories</v>
      </c>
    </row>
    <row r="253" spans="1:7" x14ac:dyDescent="0.25">
      <c r="A253" s="5" t="str">
        <f t="shared" ref="A253:A316" si="17">TEXT(35,"000")</f>
        <v>035</v>
      </c>
      <c r="B253" s="5" t="str">
        <f>TEXT(0,"00")</f>
        <v>00</v>
      </c>
      <c r="C253" s="1"/>
      <c r="D253" s="2" t="s">
        <v>254</v>
      </c>
    </row>
    <row r="254" spans="1:7" x14ac:dyDescent="0.25">
      <c r="A254" s="1" t="str">
        <f t="shared" si="17"/>
        <v>035</v>
      </c>
      <c r="B254" s="1" t="str">
        <f>TEXT(2,"00")</f>
        <v>02</v>
      </c>
      <c r="C254" s="1" t="str">
        <f t="shared" si="14"/>
        <v>035-02</v>
      </c>
      <c r="D254" t="s">
        <v>255</v>
      </c>
      <c r="E254" t="b">
        <f>IF(COUNTIF(D254,"*"&amp;'Keyword Search'!$C$5&amp;"*"),TRUE,FALSE)</f>
        <v>1</v>
      </c>
      <c r="G254" t="str">
        <f t="shared" si="15"/>
        <v>035-02: Air Conditioning Units, Aircraft, Cooling Interiors While at the Gate</v>
      </c>
    </row>
    <row r="255" spans="1:7" x14ac:dyDescent="0.25">
      <c r="A255" s="1" t="str">
        <f t="shared" si="17"/>
        <v>035</v>
      </c>
      <c r="B255" s="1" t="str">
        <f>TEXT(3,"00")</f>
        <v>03</v>
      </c>
      <c r="C255" s="1" t="str">
        <f t="shared" si="14"/>
        <v>035-03</v>
      </c>
      <c r="D255" t="s">
        <v>256</v>
      </c>
      <c r="E255" t="b">
        <f>IF(COUNTIF(D255,"*"&amp;'Keyword Search'!$C$5&amp;"*"),TRUE,FALSE)</f>
        <v>1</v>
      </c>
      <c r="G255" t="str">
        <f t="shared" si="15"/>
        <v>035-03: *Aeronautical Charts and Maps</v>
      </c>
    </row>
    <row r="256" spans="1:7" x14ac:dyDescent="0.25">
      <c r="A256" s="1" t="str">
        <f t="shared" si="17"/>
        <v>035</v>
      </c>
      <c r="B256" s="1" t="str">
        <f>TEXT(4,"00")</f>
        <v>04</v>
      </c>
      <c r="C256" s="1" t="str">
        <f t="shared" si="14"/>
        <v>035-04</v>
      </c>
      <c r="D256" t="s">
        <v>257</v>
      </c>
      <c r="E256" t="b">
        <f>IF(COUNTIF(D256,"*"&amp;'Keyword Search'!$C$5&amp;"*"),TRUE,FALSE)</f>
        <v>1</v>
      </c>
      <c r="G256" t="str">
        <f t="shared" si="15"/>
        <v>035-04: Aircraft Avionics, (Not Otherwise Classified): Navigation Instruments, Transponders, Global Positioning Systems, etc.</v>
      </c>
    </row>
    <row r="257" spans="1:7" x14ac:dyDescent="0.25">
      <c r="A257" s="1" t="str">
        <f t="shared" si="17"/>
        <v>035</v>
      </c>
      <c r="B257" s="1" t="str">
        <f>TEXT(5,"00")</f>
        <v>05</v>
      </c>
      <c r="C257" s="1" t="str">
        <f t="shared" si="14"/>
        <v>035-05</v>
      </c>
      <c r="D257" t="s">
        <v>258</v>
      </c>
      <c r="E257" t="b">
        <f>IF(COUNTIF(D257,"*"&amp;'Keyword Search'!$C$5&amp;"*"),TRUE,FALSE)</f>
        <v>1</v>
      </c>
      <c r="G257" t="str">
        <f t="shared" si="15"/>
        <v>035-05: Aircraft Crash Locators, Including Parts and Accessories</v>
      </c>
    </row>
    <row r="258" spans="1:7" x14ac:dyDescent="0.25">
      <c r="A258" s="1" t="str">
        <f t="shared" si="17"/>
        <v>035</v>
      </c>
      <c r="B258" s="1" t="str">
        <f>TEXT(6,"00")</f>
        <v>06</v>
      </c>
      <c r="C258" s="1" t="str">
        <f t="shared" si="14"/>
        <v>035-06</v>
      </c>
      <c r="D258" t="s">
        <v>259</v>
      </c>
      <c r="E258" t="b">
        <f>IF(COUNTIF(D258,"*"&amp;'Keyword Search'!$C$5&amp;"*"),TRUE,FALSE)</f>
        <v>1</v>
      </c>
      <c r="G258" t="str">
        <f t="shared" si="15"/>
        <v>035-06: Aircraft Accessories (Not Otherwise Classified)</v>
      </c>
    </row>
    <row r="259" spans="1:7" x14ac:dyDescent="0.25">
      <c r="A259" s="1" t="str">
        <f t="shared" si="17"/>
        <v>035</v>
      </c>
      <c r="B259" s="1" t="str">
        <f>TEXT(7,"00")</f>
        <v>07</v>
      </c>
      <c r="C259" s="1" t="str">
        <f t="shared" ref="C259:C322" si="18">CONCATENATE(A259,"-",B259)</f>
        <v>035-07</v>
      </c>
      <c r="D259" t="s">
        <v>260</v>
      </c>
      <c r="E259" t="b">
        <f>IF(COUNTIF(D259,"*"&amp;'Keyword Search'!$C$5&amp;"*"),TRUE,FALSE)</f>
        <v>1</v>
      </c>
      <c r="G259" t="str">
        <f t="shared" si="15"/>
        <v>035-07: Aircraft Fuselage and Components</v>
      </c>
    </row>
    <row r="260" spans="1:7" x14ac:dyDescent="0.25">
      <c r="A260" s="1" t="str">
        <f t="shared" si="17"/>
        <v>035</v>
      </c>
      <c r="B260" s="1" t="str">
        <f>TEXT(8,"00")</f>
        <v>08</v>
      </c>
      <c r="C260" s="1" t="str">
        <f t="shared" si="18"/>
        <v>035-08</v>
      </c>
      <c r="D260" t="s">
        <v>261</v>
      </c>
      <c r="E260" t="b">
        <f>IF(COUNTIF(D260,"*"&amp;'Keyword Search'!$C$5&amp;"*"),TRUE,FALSE)</f>
        <v>1</v>
      </c>
      <c r="G260" t="str">
        <f t="shared" ref="G260:G323" si="19">CONCATENATE(C260,": ",D260)</f>
        <v>035-08: Aircraft Fenders</v>
      </c>
    </row>
    <row r="261" spans="1:7" x14ac:dyDescent="0.25">
      <c r="A261" s="1" t="str">
        <f t="shared" si="17"/>
        <v>035</v>
      </c>
      <c r="B261" s="1" t="str">
        <f>TEXT(9,"00")</f>
        <v>09</v>
      </c>
      <c r="C261" s="1" t="str">
        <f t="shared" si="18"/>
        <v>035-09</v>
      </c>
      <c r="D261" t="s">
        <v>262</v>
      </c>
      <c r="E261" t="b">
        <f>IF(COUNTIF(D261,"*"&amp;'Keyword Search'!$C$5&amp;"*"),TRUE,FALSE)</f>
        <v>1</v>
      </c>
      <c r="G261" t="str">
        <f t="shared" si="19"/>
        <v>035-09: Aircraft Communications Radio</v>
      </c>
    </row>
    <row r="262" spans="1:7" x14ac:dyDescent="0.25">
      <c r="A262" s="1" t="str">
        <f t="shared" si="17"/>
        <v>035</v>
      </c>
      <c r="B262" s="1" t="str">
        <f>TEXT(10,"00")</f>
        <v>10</v>
      </c>
      <c r="C262" s="1" t="str">
        <f t="shared" si="18"/>
        <v>035-10</v>
      </c>
      <c r="D262" t="s">
        <v>263</v>
      </c>
      <c r="E262" t="b">
        <f>IF(COUNTIF(D262,"*"&amp;'Keyword Search'!$C$5&amp;"*"),TRUE,FALSE)</f>
        <v>1</v>
      </c>
      <c r="G262" t="str">
        <f t="shared" si="19"/>
        <v>035-10: Aircraft Navigation Radio</v>
      </c>
    </row>
    <row r="263" spans="1:7" x14ac:dyDescent="0.25">
      <c r="A263" s="1" t="str">
        <f t="shared" si="17"/>
        <v>035</v>
      </c>
      <c r="B263" s="1" t="str">
        <f>TEXT(11,"00")</f>
        <v>11</v>
      </c>
      <c r="C263" s="1" t="str">
        <f t="shared" si="18"/>
        <v>035-11</v>
      </c>
      <c r="D263" t="s">
        <v>264</v>
      </c>
      <c r="E263" t="b">
        <f>IF(COUNTIF(D263,"*"&amp;'Keyword Search'!$C$5&amp;"*"),TRUE,FALSE)</f>
        <v>1</v>
      </c>
      <c r="G263" t="str">
        <f t="shared" si="19"/>
        <v>035-11: Aircraft Master Control Systems, Computer, etc.</v>
      </c>
    </row>
    <row r="264" spans="1:7" x14ac:dyDescent="0.25">
      <c r="A264" s="1" t="str">
        <f t="shared" si="17"/>
        <v>035</v>
      </c>
      <c r="B264" s="1" t="str">
        <f>TEXT(15,"00")</f>
        <v>15</v>
      </c>
      <c r="C264" s="1" t="str">
        <f t="shared" si="18"/>
        <v>035-15</v>
      </c>
      <c r="D264" t="s">
        <v>265</v>
      </c>
      <c r="E264" t="b">
        <f>IF(COUNTIF(D264,"*"&amp;'Keyword Search'!$C$5&amp;"*"),TRUE,FALSE)</f>
        <v>1</v>
      </c>
      <c r="G264" t="str">
        <f t="shared" si="19"/>
        <v>035-15: Aircraft Radar</v>
      </c>
    </row>
    <row r="265" spans="1:7" x14ac:dyDescent="0.25">
      <c r="A265" s="1" t="str">
        <f t="shared" si="17"/>
        <v>035</v>
      </c>
      <c r="B265" s="1" t="str">
        <f>TEXT(16,"00")</f>
        <v>16</v>
      </c>
      <c r="C265" s="1" t="str">
        <f t="shared" si="18"/>
        <v>035-16</v>
      </c>
      <c r="D265" t="s">
        <v>266</v>
      </c>
      <c r="E265" t="b">
        <f>IF(COUNTIF(D265,"*"&amp;'Keyword Search'!$C$5&amp;"*"),TRUE,FALSE)</f>
        <v>1</v>
      </c>
      <c r="G265" t="str">
        <f t="shared" si="19"/>
        <v>035-16: Aircraft, Remotely Operated: Surveillance, Search and Rescue</v>
      </c>
    </row>
    <row r="266" spans="1:7" x14ac:dyDescent="0.25">
      <c r="A266" s="1" t="str">
        <f t="shared" si="17"/>
        <v>035</v>
      </c>
      <c r="B266" s="1" t="str">
        <f>TEXT(20,"00")</f>
        <v>20</v>
      </c>
      <c r="C266" s="1" t="str">
        <f t="shared" si="18"/>
        <v>035-20</v>
      </c>
      <c r="D266" t="s">
        <v>267</v>
      </c>
      <c r="E266" t="b">
        <f>IF(COUNTIF(D266,"*"&amp;'Keyword Search'!$C$5&amp;"*"),TRUE,FALSE)</f>
        <v>1</v>
      </c>
      <c r="G266" t="str">
        <f t="shared" si="19"/>
        <v>035-20: Airplanes</v>
      </c>
    </row>
    <row r="267" spans="1:7" x14ac:dyDescent="0.25">
      <c r="A267" s="1" t="str">
        <f t="shared" si="17"/>
        <v>035</v>
      </c>
      <c r="B267" s="1" t="str">
        <f>TEXT(21,"00")</f>
        <v>21</v>
      </c>
      <c r="C267" s="1" t="str">
        <f t="shared" si="18"/>
        <v>035-21</v>
      </c>
      <c r="D267" t="s">
        <v>268</v>
      </c>
      <c r="E267" t="b">
        <f>IF(COUNTIF(D267,"*"&amp;'Keyword Search'!$C$5&amp;"*"),TRUE,FALSE)</f>
        <v>1</v>
      </c>
      <c r="G267" t="str">
        <f t="shared" si="19"/>
        <v>035-21: Airships</v>
      </c>
    </row>
    <row r="268" spans="1:7" x14ac:dyDescent="0.25">
      <c r="A268" s="1" t="str">
        <f t="shared" si="17"/>
        <v>035</v>
      </c>
      <c r="B268" s="1" t="str">
        <f>TEXT(22,"00")</f>
        <v>22</v>
      </c>
      <c r="C268" s="1" t="str">
        <f t="shared" si="18"/>
        <v>035-22</v>
      </c>
      <c r="D268" t="s">
        <v>269</v>
      </c>
      <c r="E268" t="b">
        <f>IF(COUNTIF(D268,"*"&amp;'Keyword Search'!$C$5&amp;"*"),TRUE,FALSE)</f>
        <v>1</v>
      </c>
      <c r="G268" t="str">
        <f t="shared" si="19"/>
        <v>035-22: Airport Equipment (Not Otherwise Classified)</v>
      </c>
    </row>
    <row r="269" spans="1:7" x14ac:dyDescent="0.25">
      <c r="A269" s="1" t="str">
        <f t="shared" si="17"/>
        <v>035</v>
      </c>
      <c r="B269" s="1" t="str">
        <f>TEXT(23,"00")</f>
        <v>23</v>
      </c>
      <c r="C269" s="1" t="str">
        <f t="shared" si="18"/>
        <v>035-23</v>
      </c>
      <c r="D269" t="s">
        <v>270</v>
      </c>
      <c r="E269" t="b">
        <f>IF(COUNTIF(D269,"*"&amp;'Keyword Search'!$C$5&amp;"*"),TRUE,FALSE)</f>
        <v>1</v>
      </c>
      <c r="G269" t="str">
        <f t="shared" si="19"/>
        <v>035-23: Airport Equipment Ground Power for Aircraft at the Gates</v>
      </c>
    </row>
    <row r="270" spans="1:7" x14ac:dyDescent="0.25">
      <c r="A270" s="1" t="str">
        <f t="shared" si="17"/>
        <v>035</v>
      </c>
      <c r="B270" s="1" t="str">
        <f>TEXT(25,"00")</f>
        <v>25</v>
      </c>
      <c r="C270" s="1" t="str">
        <f t="shared" si="18"/>
        <v>035-25</v>
      </c>
      <c r="D270" t="s">
        <v>271</v>
      </c>
      <c r="E270" t="b">
        <f>IF(COUNTIF(D270,"*"&amp;'Keyword Search'!$C$5&amp;"*"),TRUE,FALSE)</f>
        <v>1</v>
      </c>
      <c r="G270" t="str">
        <f t="shared" si="19"/>
        <v>035-25: Automatic Pilot Systems</v>
      </c>
    </row>
    <row r="271" spans="1:7" x14ac:dyDescent="0.25">
      <c r="A271" s="1" t="str">
        <f t="shared" si="17"/>
        <v>035</v>
      </c>
      <c r="B271" s="1" t="str">
        <f>TEXT(26,"00")</f>
        <v>26</v>
      </c>
      <c r="C271" s="1" t="str">
        <f t="shared" si="18"/>
        <v>035-26</v>
      </c>
      <c r="D271" t="s">
        <v>272</v>
      </c>
      <c r="E271" t="b">
        <f>IF(COUNTIF(D271,"*"&amp;'Keyword Search'!$C$5&amp;"*"),TRUE,FALSE)</f>
        <v>1</v>
      </c>
      <c r="G271" t="str">
        <f t="shared" si="19"/>
        <v>035-26: Baggage Handling Equipment, Including Parts and Accessories</v>
      </c>
    </row>
    <row r="272" spans="1:7" x14ac:dyDescent="0.25">
      <c r="A272" s="1" t="str">
        <f t="shared" si="17"/>
        <v>035</v>
      </c>
      <c r="B272" s="1" t="str">
        <f>TEXT(27,"00")</f>
        <v>27</v>
      </c>
      <c r="C272" s="1" t="str">
        <f t="shared" si="18"/>
        <v>035-27</v>
      </c>
      <c r="D272" t="s">
        <v>273</v>
      </c>
      <c r="E272" t="b">
        <f>IF(COUNTIF(D272,"*"&amp;'Keyword Search'!$C$5&amp;"*"),TRUE,FALSE)</f>
        <v>1</v>
      </c>
      <c r="G272" t="str">
        <f t="shared" si="19"/>
        <v>035-27: Beacons, Visual and Runway Lights</v>
      </c>
    </row>
    <row r="273" spans="1:7" x14ac:dyDescent="0.25">
      <c r="A273" s="1" t="str">
        <f t="shared" si="17"/>
        <v>035</v>
      </c>
      <c r="B273" s="1" t="str">
        <f>TEXT(28,"00")</f>
        <v>28</v>
      </c>
      <c r="C273" s="1" t="str">
        <f t="shared" si="18"/>
        <v>035-28</v>
      </c>
      <c r="D273" t="s">
        <v>274</v>
      </c>
      <c r="E273" t="b">
        <f>IF(COUNTIF(D273,"*"&amp;'Keyword Search'!$C$5&amp;"*"),TRUE,FALSE)</f>
        <v>1</v>
      </c>
      <c r="G273" t="str">
        <f t="shared" si="19"/>
        <v>035-28: Cameras and Accessories, Aerial Photograph</v>
      </c>
    </row>
    <row r="274" spans="1:7" x14ac:dyDescent="0.25">
      <c r="A274" s="1" t="str">
        <f t="shared" si="17"/>
        <v>035</v>
      </c>
      <c r="B274" s="1" t="str">
        <f>TEXT(29,"00")</f>
        <v>29</v>
      </c>
      <c r="C274" s="1" t="str">
        <f t="shared" si="18"/>
        <v>035-29</v>
      </c>
      <c r="D274" t="s">
        <v>275</v>
      </c>
      <c r="E274" t="b">
        <f>IF(COUNTIF(D274,"*"&amp;'Keyword Search'!$C$5&amp;"*"),TRUE,FALSE)</f>
        <v>1</v>
      </c>
      <c r="G274" t="str">
        <f t="shared" si="19"/>
        <v>035-29: Drop Equipment and Supplies, Aerial</v>
      </c>
    </row>
    <row r="275" spans="1:7" x14ac:dyDescent="0.25">
      <c r="A275" s="1" t="str">
        <f t="shared" si="17"/>
        <v>035</v>
      </c>
      <c r="B275" s="1" t="str">
        <f>TEXT(30,"00")</f>
        <v>30</v>
      </c>
      <c r="C275" s="1" t="str">
        <f t="shared" si="18"/>
        <v>035-30</v>
      </c>
      <c r="D275" t="s">
        <v>276</v>
      </c>
      <c r="E275" t="b">
        <f>IF(COUNTIF(D275,"*"&amp;'Keyword Search'!$C$5&amp;"*"),TRUE,FALSE)</f>
        <v>1</v>
      </c>
      <c r="G275" t="str">
        <f t="shared" si="19"/>
        <v>035-30: Engines and Parts, Airplane</v>
      </c>
    </row>
    <row r="276" spans="1:7" x14ac:dyDescent="0.25">
      <c r="A276" s="1" t="str">
        <f t="shared" si="17"/>
        <v>035</v>
      </c>
      <c r="B276" s="1" t="str">
        <f>TEXT(31,"00")</f>
        <v>31</v>
      </c>
      <c r="C276" s="1" t="str">
        <f t="shared" si="18"/>
        <v>035-31</v>
      </c>
      <c r="D276" t="s">
        <v>277</v>
      </c>
      <c r="E276" t="b">
        <f>IF(COUNTIF(D276,"*"&amp;'Keyword Search'!$C$5&amp;"*"),TRUE,FALSE)</f>
        <v>1</v>
      </c>
      <c r="G276" t="str">
        <f t="shared" si="19"/>
        <v>035-31: Encryption/Decryption Systems, Aircraft</v>
      </c>
    </row>
    <row r="277" spans="1:7" x14ac:dyDescent="0.25">
      <c r="A277" s="1" t="str">
        <f t="shared" si="17"/>
        <v>035</v>
      </c>
      <c r="B277" s="1" t="str">
        <f>TEXT(32,"00")</f>
        <v>32</v>
      </c>
      <c r="C277" s="1" t="str">
        <f t="shared" si="18"/>
        <v>035-32</v>
      </c>
      <c r="D277" t="s">
        <v>278</v>
      </c>
      <c r="E277" t="b">
        <f>IF(COUNTIF(D277,"*"&amp;'Keyword Search'!$C$5&amp;"*"),TRUE,FALSE)</f>
        <v>1</v>
      </c>
      <c r="G277" t="str">
        <f t="shared" si="19"/>
        <v>035-32: Ejection or Escape Systems, Aircraft</v>
      </c>
    </row>
    <row r="278" spans="1:7" x14ac:dyDescent="0.25">
      <c r="A278" s="1" t="str">
        <f t="shared" si="17"/>
        <v>035</v>
      </c>
      <c r="B278" s="1" t="str">
        <f>TEXT(35,"00")</f>
        <v>35</v>
      </c>
      <c r="C278" s="1" t="str">
        <f t="shared" si="18"/>
        <v>035-35</v>
      </c>
      <c r="D278" t="s">
        <v>279</v>
      </c>
      <c r="E278" t="b">
        <f>IF(COUNTIF(D278,"*"&amp;'Keyword Search'!$C$5&amp;"*"),TRUE,FALSE)</f>
        <v>1</v>
      </c>
      <c r="G278" t="str">
        <f t="shared" si="19"/>
        <v>035-35: Engines and Parts, Helicopter</v>
      </c>
    </row>
    <row r="279" spans="1:7" x14ac:dyDescent="0.25">
      <c r="A279" s="1" t="str">
        <f t="shared" si="17"/>
        <v>035</v>
      </c>
      <c r="B279" s="1" t="str">
        <f>TEXT(37,"00")</f>
        <v>37</v>
      </c>
      <c r="C279" s="1" t="str">
        <f t="shared" si="18"/>
        <v>035-37</v>
      </c>
      <c r="D279" t="s">
        <v>280</v>
      </c>
      <c r="E279" t="b">
        <f>IF(COUNTIF(D279,"*"&amp;'Keyword Search'!$C$5&amp;"*"),TRUE,FALSE)</f>
        <v>1</v>
      </c>
      <c r="G279" t="str">
        <f t="shared" si="19"/>
        <v>035-37: Engine Instruments: Fuel, Manifold and Oil Pressure, Oil Temperature, Tachometers, etc.</v>
      </c>
    </row>
    <row r="280" spans="1:7" x14ac:dyDescent="0.25">
      <c r="A280" s="1" t="str">
        <f t="shared" si="17"/>
        <v>035</v>
      </c>
      <c r="B280" s="1" t="str">
        <f>TEXT(40,"00")</f>
        <v>40</v>
      </c>
      <c r="C280" s="1" t="str">
        <f t="shared" si="18"/>
        <v>035-40</v>
      </c>
      <c r="D280" t="s">
        <v>281</v>
      </c>
      <c r="E280" t="b">
        <f>IF(COUNTIF(D280,"*"&amp;'Keyword Search'!$C$5&amp;"*"),TRUE,FALSE)</f>
        <v>1</v>
      </c>
      <c r="G280" t="str">
        <f t="shared" si="19"/>
        <v>035-40: Equipment and Supplies, Airplane (Not Otherwise Classified)</v>
      </c>
    </row>
    <row r="281" spans="1:7" x14ac:dyDescent="0.25">
      <c r="A281" s="1" t="str">
        <f t="shared" si="17"/>
        <v>035</v>
      </c>
      <c r="B281" s="1" t="str">
        <f>TEXT(44,"00")</f>
        <v>44</v>
      </c>
      <c r="C281" s="1" t="str">
        <f t="shared" si="18"/>
        <v>035-44</v>
      </c>
      <c r="D281" t="s">
        <v>282</v>
      </c>
      <c r="E281" t="b">
        <f>IF(COUNTIF(D281,"*"&amp;'Keyword Search'!$C$5&amp;"*"),TRUE,FALSE)</f>
        <v>1</v>
      </c>
      <c r="G281" t="str">
        <f t="shared" si="19"/>
        <v>035-44: Fire Control Systems, Aircraft</v>
      </c>
    </row>
    <row r="282" spans="1:7" x14ac:dyDescent="0.25">
      <c r="A282" s="1" t="str">
        <f t="shared" si="17"/>
        <v>035</v>
      </c>
      <c r="B282" s="1" t="str">
        <f>TEXT(45,"00")</f>
        <v>45</v>
      </c>
      <c r="C282" s="1" t="str">
        <f t="shared" si="18"/>
        <v>035-45</v>
      </c>
      <c r="D282" t="s">
        <v>283</v>
      </c>
      <c r="E282" t="b">
        <f>IF(COUNTIF(D282,"*"&amp;'Keyword Search'!$C$5&amp;"*"),TRUE,FALSE)</f>
        <v>1</v>
      </c>
      <c r="G282" t="str">
        <f t="shared" si="19"/>
        <v>035-45: Equipment and Supplies, Navigation, Helicopter (Not Otherwise Classified)</v>
      </c>
    </row>
    <row r="283" spans="1:7" x14ac:dyDescent="0.25">
      <c r="A283" s="1" t="str">
        <f t="shared" si="17"/>
        <v>035</v>
      </c>
      <c r="B283" s="1" t="str">
        <f>TEXT(46,"00")</f>
        <v>46</v>
      </c>
      <c r="C283" s="1" t="str">
        <f t="shared" si="18"/>
        <v>035-46</v>
      </c>
      <c r="D283" t="s">
        <v>284</v>
      </c>
      <c r="E283" t="b">
        <f>IF(COUNTIF(D283,"*"&amp;'Keyword Search'!$C$5&amp;"*"),TRUE,FALSE)</f>
        <v>1</v>
      </c>
      <c r="G283" t="str">
        <f t="shared" si="19"/>
        <v>035-46: Flight Instruments: Airspeed, Altimeters, Attitude and Turn and Bank Indicators, etc.</v>
      </c>
    </row>
    <row r="284" spans="1:7" x14ac:dyDescent="0.25">
      <c r="A284" s="1" t="str">
        <f t="shared" si="17"/>
        <v>035</v>
      </c>
      <c r="B284" s="1" t="str">
        <f>TEXT(47,"00")</f>
        <v>47</v>
      </c>
      <c r="C284" s="1" t="str">
        <f t="shared" si="18"/>
        <v>035-47</v>
      </c>
      <c r="D284" t="s">
        <v>285</v>
      </c>
      <c r="E284" t="b">
        <f>IF(COUNTIF(D284,"*"&amp;'Keyword Search'!$C$5&amp;"*"),TRUE,FALSE)</f>
        <v>1</v>
      </c>
      <c r="G284" t="str">
        <f t="shared" si="19"/>
        <v>035-47: Flight Simulator</v>
      </c>
    </row>
    <row r="285" spans="1:7" x14ac:dyDescent="0.25">
      <c r="A285" s="1" t="str">
        <f t="shared" si="17"/>
        <v>035</v>
      </c>
      <c r="B285" s="1" t="str">
        <f>TEXT(48,"00")</f>
        <v>48</v>
      </c>
      <c r="C285" s="1" t="str">
        <f t="shared" si="18"/>
        <v>035-48</v>
      </c>
      <c r="D285" t="s">
        <v>286</v>
      </c>
      <c r="E285" t="b">
        <f>IF(COUNTIF(D285,"*"&amp;'Keyword Search'!$C$5&amp;"*"),TRUE,FALSE)</f>
        <v>1</v>
      </c>
      <c r="G285" t="str">
        <f t="shared" si="19"/>
        <v>035-48: Gliders</v>
      </c>
    </row>
    <row r="286" spans="1:7" x14ac:dyDescent="0.25">
      <c r="A286" s="1" t="str">
        <f t="shared" si="17"/>
        <v>035</v>
      </c>
      <c r="B286" s="1" t="str">
        <f>TEXT(49,"00")</f>
        <v>49</v>
      </c>
      <c r="C286" s="1" t="str">
        <f t="shared" si="18"/>
        <v>035-49</v>
      </c>
      <c r="D286" t="s">
        <v>287</v>
      </c>
      <c r="E286" t="b">
        <f>IF(COUNTIF(D286,"*"&amp;'Keyword Search'!$C$5&amp;"*"),TRUE,FALSE)</f>
        <v>1</v>
      </c>
      <c r="G286" t="str">
        <f t="shared" si="19"/>
        <v>035-49: Hydraulic Systems, Aircraft</v>
      </c>
    </row>
    <row r="287" spans="1:7" x14ac:dyDescent="0.25">
      <c r="A287" s="1" t="str">
        <f t="shared" si="17"/>
        <v>035</v>
      </c>
      <c r="B287" s="1" t="str">
        <f>TEXT(50,"00")</f>
        <v>50</v>
      </c>
      <c r="C287" s="1" t="str">
        <f t="shared" si="18"/>
        <v>035-50</v>
      </c>
      <c r="D287" t="s">
        <v>288</v>
      </c>
      <c r="E287" t="b">
        <f>IF(COUNTIF(D287,"*"&amp;'Keyword Search'!$C$5&amp;"*"),TRUE,FALSE)</f>
        <v>1</v>
      </c>
      <c r="G287" t="str">
        <f t="shared" si="19"/>
        <v>035-50: Helicopters</v>
      </c>
    </row>
    <row r="288" spans="1:7" x14ac:dyDescent="0.25">
      <c r="A288" s="1" t="str">
        <f t="shared" si="17"/>
        <v>035</v>
      </c>
      <c r="B288" s="1" t="str">
        <f>TEXT(52,"00")</f>
        <v>52</v>
      </c>
      <c r="C288" s="1" t="str">
        <f t="shared" si="18"/>
        <v>035-52</v>
      </c>
      <c r="D288" t="s">
        <v>289</v>
      </c>
      <c r="E288" t="b">
        <f>IF(COUNTIF(D288,"*"&amp;'Keyword Search'!$C$5&amp;"*"),TRUE,FALSE)</f>
        <v>1</v>
      </c>
      <c r="G288" t="str">
        <f t="shared" si="19"/>
        <v>035-52: Hot Air Balloons</v>
      </c>
    </row>
    <row r="289" spans="1:7" x14ac:dyDescent="0.25">
      <c r="A289" s="1" t="str">
        <f t="shared" si="17"/>
        <v>035</v>
      </c>
      <c r="B289" s="1" t="str">
        <f>TEXT(54,"00")</f>
        <v>54</v>
      </c>
      <c r="C289" s="1" t="str">
        <f t="shared" si="18"/>
        <v>035-54</v>
      </c>
      <c r="D289" t="s">
        <v>290</v>
      </c>
      <c r="E289" t="b">
        <f>IF(COUNTIF(D289,"*"&amp;'Keyword Search'!$C$5&amp;"*"),TRUE,FALSE)</f>
        <v>1</v>
      </c>
      <c r="G289" t="str">
        <f t="shared" si="19"/>
        <v>035-54: Information Display Systems, Flight (F.I.D.S. - Airport)</v>
      </c>
    </row>
    <row r="290" spans="1:7" x14ac:dyDescent="0.25">
      <c r="A290" s="1" t="str">
        <f t="shared" si="17"/>
        <v>035</v>
      </c>
      <c r="B290" s="1" t="str">
        <f>TEXT(55,"00")</f>
        <v>55</v>
      </c>
      <c r="C290" s="1" t="str">
        <f t="shared" si="18"/>
        <v>035-55</v>
      </c>
      <c r="D290" t="s">
        <v>291</v>
      </c>
      <c r="E290" t="b">
        <f>IF(COUNTIF(D290,"*"&amp;'Keyword Search'!$C$5&amp;"*"),TRUE,FALSE)</f>
        <v>1</v>
      </c>
      <c r="G290" t="str">
        <f t="shared" si="19"/>
        <v>035-55: Instrument Landing Systems</v>
      </c>
    </row>
    <row r="291" spans="1:7" x14ac:dyDescent="0.25">
      <c r="A291" s="1" t="str">
        <f t="shared" si="17"/>
        <v>035</v>
      </c>
      <c r="B291" s="1" t="str">
        <f>TEXT(60,"00")</f>
        <v>60</v>
      </c>
      <c r="C291" s="1" t="str">
        <f t="shared" si="18"/>
        <v>035-60</v>
      </c>
      <c r="D291" t="s">
        <v>292</v>
      </c>
      <c r="E291" t="b">
        <f>IF(COUNTIF(D291,"*"&amp;'Keyword Search'!$C$5&amp;"*"),TRUE,FALSE)</f>
        <v>1</v>
      </c>
      <c r="G291" t="str">
        <f t="shared" si="19"/>
        <v>035-60: Instruments and Testers, Airplane</v>
      </c>
    </row>
    <row r="292" spans="1:7" x14ac:dyDescent="0.25">
      <c r="A292" s="1" t="str">
        <f t="shared" si="17"/>
        <v>035</v>
      </c>
      <c r="B292" s="1" t="str">
        <f>TEXT(65,"00")</f>
        <v>65</v>
      </c>
      <c r="C292" s="1" t="str">
        <f t="shared" si="18"/>
        <v>035-65</v>
      </c>
      <c r="D292" t="s">
        <v>293</v>
      </c>
      <c r="E292" t="b">
        <f>IF(COUNTIF(D292,"*"&amp;'Keyword Search'!$C$5&amp;"*"),TRUE,FALSE)</f>
        <v>1</v>
      </c>
      <c r="G292" t="str">
        <f t="shared" si="19"/>
        <v>035-65: Instruments and Testers, Helicopter</v>
      </c>
    </row>
    <row r="293" spans="1:7" x14ac:dyDescent="0.25">
      <c r="A293" s="1" t="str">
        <f t="shared" si="17"/>
        <v>035</v>
      </c>
      <c r="B293" s="1" t="str">
        <f>TEXT(66,"00")</f>
        <v>66</v>
      </c>
      <c r="C293" s="1" t="str">
        <f t="shared" si="18"/>
        <v>035-66</v>
      </c>
      <c r="D293" t="s">
        <v>294</v>
      </c>
      <c r="E293" t="b">
        <f>IF(COUNTIF(D293,"*"&amp;'Keyword Search'!$C$5&amp;"*"),TRUE,FALSE)</f>
        <v>1</v>
      </c>
      <c r="G293" t="str">
        <f t="shared" si="19"/>
        <v>035-66: Landing and Braking Systems and Components, Aircraft</v>
      </c>
    </row>
    <row r="294" spans="1:7" x14ac:dyDescent="0.25">
      <c r="A294" s="1" t="str">
        <f t="shared" si="17"/>
        <v>035</v>
      </c>
      <c r="B294" s="1" t="str">
        <f>TEXT(67,"00")</f>
        <v>67</v>
      </c>
      <c r="C294" s="1" t="str">
        <f t="shared" si="18"/>
        <v>035-67</v>
      </c>
      <c r="D294" t="s">
        <v>295</v>
      </c>
      <c r="E294" t="b">
        <f>IF(COUNTIF(D294,"*"&amp;'Keyword Search'!$C$5&amp;"*"),TRUE,FALSE)</f>
        <v>1</v>
      </c>
      <c r="G294" t="str">
        <f t="shared" si="19"/>
        <v>035-67: Lights: Anti-Collision, Landing, Navigations, etc.</v>
      </c>
    </row>
    <row r="295" spans="1:7" x14ac:dyDescent="0.25">
      <c r="A295" s="1" t="str">
        <f t="shared" si="17"/>
        <v>035</v>
      </c>
      <c r="B295" s="1" t="str">
        <f>TEXT(68,"00")</f>
        <v>68</v>
      </c>
      <c r="C295" s="1" t="str">
        <f t="shared" si="18"/>
        <v>035-68</v>
      </c>
      <c r="D295" t="s">
        <v>296</v>
      </c>
      <c r="E295" t="b">
        <f>IF(COUNTIF(D295,"*"&amp;'Keyword Search'!$C$5&amp;"*"),TRUE,FALSE)</f>
        <v>1</v>
      </c>
      <c r="G295" t="str">
        <f t="shared" si="19"/>
        <v>035-68: Metal Crack Detection Dyes</v>
      </c>
    </row>
    <row r="296" spans="1:7" x14ac:dyDescent="0.25">
      <c r="A296" s="1" t="str">
        <f t="shared" si="17"/>
        <v>035</v>
      </c>
      <c r="B296" s="1" t="str">
        <f>TEXT(69,"00")</f>
        <v>69</v>
      </c>
      <c r="C296" s="1" t="str">
        <f t="shared" si="18"/>
        <v>035-69</v>
      </c>
      <c r="D296" t="s">
        <v>297</v>
      </c>
      <c r="E296" t="b">
        <f>IF(COUNTIF(D296,"*"&amp;'Keyword Search'!$C$5&amp;"*"),TRUE,FALSE)</f>
        <v>1</v>
      </c>
      <c r="G296" t="str">
        <f t="shared" si="19"/>
        <v>035-69: Magnetometers, Security Screening Equipment</v>
      </c>
    </row>
    <row r="297" spans="1:7" x14ac:dyDescent="0.25">
      <c r="A297" s="1" t="str">
        <f t="shared" si="17"/>
        <v>035</v>
      </c>
      <c r="B297" s="1" t="str">
        <f>TEXT(70,"00")</f>
        <v>70</v>
      </c>
      <c r="C297" s="1" t="str">
        <f t="shared" si="18"/>
        <v>035-70</v>
      </c>
      <c r="D297" t="s">
        <v>298</v>
      </c>
      <c r="E297" t="b">
        <f>IF(COUNTIF(D297,"*"&amp;'Keyword Search'!$C$5&amp;"*"),TRUE,FALSE)</f>
        <v>1</v>
      </c>
      <c r="G297" t="str">
        <f t="shared" si="19"/>
        <v>035-70: Parts, Airplane, Except Engine</v>
      </c>
    </row>
    <row r="298" spans="1:7" x14ac:dyDescent="0.25">
      <c r="A298" s="1" t="str">
        <f t="shared" si="17"/>
        <v>035</v>
      </c>
      <c r="B298" s="1" t="str">
        <f>TEXT(71,"00")</f>
        <v>71</v>
      </c>
      <c r="C298" s="1" t="str">
        <f t="shared" si="18"/>
        <v>035-71</v>
      </c>
      <c r="D298" t="s">
        <v>299</v>
      </c>
      <c r="E298" t="b">
        <f>IF(COUNTIF(D298,"*"&amp;'Keyword Search'!$C$5&amp;"*"),TRUE,FALSE)</f>
        <v>1</v>
      </c>
      <c r="G298" t="str">
        <f t="shared" si="19"/>
        <v>035-71: Oxygen Equipment, Aircraft</v>
      </c>
    </row>
    <row r="299" spans="1:7" x14ac:dyDescent="0.25">
      <c r="A299" s="1" t="str">
        <f t="shared" si="17"/>
        <v>035</v>
      </c>
      <c r="B299" s="1" t="str">
        <f>TEXT(72,"00")</f>
        <v>72</v>
      </c>
      <c r="C299" s="1" t="str">
        <f t="shared" si="18"/>
        <v>035-72</v>
      </c>
      <c r="D299" t="s">
        <v>300</v>
      </c>
      <c r="E299" t="b">
        <f>IF(COUNTIF(D299,"*"&amp;'Keyword Search'!$C$5&amp;"*"),TRUE,FALSE)</f>
        <v>1</v>
      </c>
      <c r="G299" t="str">
        <f t="shared" si="19"/>
        <v>035-72: Parachutes and Drag Chutes</v>
      </c>
    </row>
    <row r="300" spans="1:7" x14ac:dyDescent="0.25">
      <c r="A300" s="1" t="str">
        <f t="shared" si="17"/>
        <v>035</v>
      </c>
      <c r="B300" s="1" t="str">
        <f>TEXT(75,"00")</f>
        <v>75</v>
      </c>
      <c r="C300" s="1" t="str">
        <f t="shared" si="18"/>
        <v>035-75</v>
      </c>
      <c r="D300" t="s">
        <v>301</v>
      </c>
      <c r="E300" t="b">
        <f>IF(COUNTIF(D300,"*"&amp;'Keyword Search'!$C$5&amp;"*"),TRUE,FALSE)</f>
        <v>1</v>
      </c>
      <c r="G300" t="str">
        <f t="shared" si="19"/>
        <v>035-75: Parts (Except Engine), Helicopter</v>
      </c>
    </row>
    <row r="301" spans="1:7" x14ac:dyDescent="0.25">
      <c r="A301" s="1" t="str">
        <f t="shared" si="17"/>
        <v>035</v>
      </c>
      <c r="B301" s="1" t="str">
        <f>TEXT(76,"00")</f>
        <v>76</v>
      </c>
      <c r="C301" s="1" t="str">
        <f t="shared" si="18"/>
        <v>035-76</v>
      </c>
      <c r="D301" t="s">
        <v>302</v>
      </c>
      <c r="E301" t="b">
        <f>IF(COUNTIF(D301,"*"&amp;'Keyword Search'!$C$5&amp;"*"),TRUE,FALSE)</f>
        <v>1</v>
      </c>
      <c r="G301" t="str">
        <f t="shared" si="19"/>
        <v>035-76: Power Systems, Aircraft</v>
      </c>
    </row>
    <row r="302" spans="1:7" x14ac:dyDescent="0.25">
      <c r="A302" s="1" t="str">
        <f t="shared" si="17"/>
        <v>035</v>
      </c>
      <c r="B302" s="1" t="str">
        <f>TEXT(77,"00")</f>
        <v>77</v>
      </c>
      <c r="C302" s="1" t="str">
        <f t="shared" si="18"/>
        <v>035-77</v>
      </c>
      <c r="D302" t="s">
        <v>303</v>
      </c>
      <c r="E302" t="b">
        <f>IF(COUNTIF(D302,"*"&amp;'Keyword Search'!$C$5&amp;"*"),TRUE,FALSE)</f>
        <v>1</v>
      </c>
      <c r="G302" t="str">
        <f t="shared" si="19"/>
        <v>035-77: Photographs, Aerial</v>
      </c>
    </row>
    <row r="303" spans="1:7" x14ac:dyDescent="0.25">
      <c r="A303" s="1" t="str">
        <f t="shared" si="17"/>
        <v>035</v>
      </c>
      <c r="B303" s="1" t="str">
        <f>TEXT(78,"00")</f>
        <v>78</v>
      </c>
      <c r="C303" s="1" t="str">
        <f t="shared" si="18"/>
        <v>035-78</v>
      </c>
      <c r="D303" t="s">
        <v>304</v>
      </c>
      <c r="E303" t="b">
        <f>IF(COUNTIF(D303,"*"&amp;'Keyword Search'!$C$5&amp;"*"),TRUE,FALSE)</f>
        <v>1</v>
      </c>
      <c r="G303" t="str">
        <f t="shared" si="19"/>
        <v>035-78: Ramps and Passenger Transportation Vehicles, Aircraft Boarding</v>
      </c>
    </row>
    <row r="304" spans="1:7" x14ac:dyDescent="0.25">
      <c r="A304" s="1" t="str">
        <f t="shared" si="17"/>
        <v>035</v>
      </c>
      <c r="B304" s="1" t="str">
        <f>TEXT(79,"00")</f>
        <v>79</v>
      </c>
      <c r="C304" s="1" t="str">
        <f t="shared" si="18"/>
        <v>035-79</v>
      </c>
      <c r="D304" t="s">
        <v>305</v>
      </c>
      <c r="E304" t="b">
        <f>IF(COUNTIF(D304,"*"&amp;'Keyword Search'!$C$5&amp;"*"),TRUE,FALSE)</f>
        <v>1</v>
      </c>
      <c r="G304" t="str">
        <f t="shared" si="19"/>
        <v>035-79: Recycled Aircraft and Airport Equipment, Accessories and Supplies</v>
      </c>
    </row>
    <row r="305" spans="1:7" x14ac:dyDescent="0.25">
      <c r="A305" s="1" t="str">
        <f t="shared" si="17"/>
        <v>035</v>
      </c>
      <c r="B305" s="1" t="str">
        <f>TEXT(80,"00")</f>
        <v>80</v>
      </c>
      <c r="C305" s="1" t="str">
        <f t="shared" si="18"/>
        <v>035-80</v>
      </c>
      <c r="D305" t="s">
        <v>306</v>
      </c>
      <c r="E305" t="b">
        <f>IF(COUNTIF(D305,"*"&amp;'Keyword Search'!$C$5&amp;"*"),TRUE,FALSE)</f>
        <v>1</v>
      </c>
      <c r="G305" t="str">
        <f t="shared" si="19"/>
        <v>035-80: Snow Melters for Runways, Taxiways, Roads and Streets (See Class 765 for other types of Snow Equipment)</v>
      </c>
    </row>
    <row r="306" spans="1:7" x14ac:dyDescent="0.25">
      <c r="A306" s="1" t="str">
        <f t="shared" si="17"/>
        <v>035</v>
      </c>
      <c r="B306" s="1" t="str">
        <f>TEXT(81,"00")</f>
        <v>81</v>
      </c>
      <c r="C306" s="1" t="str">
        <f t="shared" si="18"/>
        <v>035-81</v>
      </c>
      <c r="D306" t="s">
        <v>307</v>
      </c>
      <c r="E306" t="b">
        <f>IF(COUNTIF(D306,"*"&amp;'Keyword Search'!$C$5&amp;"*"),TRUE,FALSE)</f>
        <v>1</v>
      </c>
      <c r="G306" t="str">
        <f t="shared" si="19"/>
        <v>035-81: Sweepers, Runway (See 765-77 for Street Sweepers)</v>
      </c>
    </row>
    <row r="307" spans="1:7" x14ac:dyDescent="0.25">
      <c r="A307" s="1" t="str">
        <f t="shared" si="17"/>
        <v>035</v>
      </c>
      <c r="B307" s="1" t="str">
        <f>TEXT(82,"00")</f>
        <v>82</v>
      </c>
      <c r="C307" s="1" t="str">
        <f t="shared" si="18"/>
        <v>035-82</v>
      </c>
      <c r="D307" t="s">
        <v>308</v>
      </c>
      <c r="E307" t="b">
        <f>IF(COUNTIF(D307,"*"&amp;'Keyword Search'!$C$5&amp;"*"),TRUE,FALSE)</f>
        <v>1</v>
      </c>
      <c r="G307" t="str">
        <f t="shared" si="19"/>
        <v>035-82: Taxiway and Runway Testing Equipment and Supplies</v>
      </c>
    </row>
    <row r="308" spans="1:7" x14ac:dyDescent="0.25">
      <c r="A308" s="1" t="str">
        <f t="shared" si="17"/>
        <v>035</v>
      </c>
      <c r="B308" s="1" t="str">
        <f>TEXT(83,"00")</f>
        <v>83</v>
      </c>
      <c r="C308" s="1" t="str">
        <f t="shared" si="18"/>
        <v>035-83</v>
      </c>
      <c r="D308" t="s">
        <v>309</v>
      </c>
      <c r="E308" t="b">
        <f>IF(COUNTIF(D308,"*"&amp;'Keyword Search'!$C$5&amp;"*"),TRUE,FALSE)</f>
        <v>1</v>
      </c>
      <c r="G308" t="str">
        <f t="shared" si="19"/>
        <v>035-83: Tanks, Fuel, Aircraft, Including Parts and Accessories</v>
      </c>
    </row>
    <row r="309" spans="1:7" x14ac:dyDescent="0.25">
      <c r="A309" s="1" t="str">
        <f t="shared" si="17"/>
        <v>035</v>
      </c>
      <c r="B309" s="1" t="str">
        <f>TEXT(85,"00")</f>
        <v>85</v>
      </c>
      <c r="C309" s="1" t="str">
        <f t="shared" si="18"/>
        <v>035-85</v>
      </c>
      <c r="D309" t="s">
        <v>310</v>
      </c>
      <c r="E309" t="b">
        <f>IF(COUNTIF(D309,"*"&amp;'Keyword Search'!$C$5&amp;"*"),TRUE,FALSE)</f>
        <v>1</v>
      </c>
      <c r="G309" t="str">
        <f t="shared" si="19"/>
        <v>035-85: Tools, Airplane</v>
      </c>
    </row>
    <row r="310" spans="1:7" x14ac:dyDescent="0.25">
      <c r="A310" s="1" t="str">
        <f t="shared" si="17"/>
        <v>035</v>
      </c>
      <c r="B310" s="1" t="str">
        <f>TEXT(90,"00")</f>
        <v>90</v>
      </c>
      <c r="C310" s="1" t="str">
        <f t="shared" si="18"/>
        <v>035-90</v>
      </c>
      <c r="D310" t="s">
        <v>311</v>
      </c>
      <c r="E310" t="b">
        <f>IF(COUNTIF(D310,"*"&amp;'Keyword Search'!$C$5&amp;"*"),TRUE,FALSE)</f>
        <v>1</v>
      </c>
      <c r="G310" t="str">
        <f t="shared" si="19"/>
        <v>035-90: Tools, Helicopter</v>
      </c>
    </row>
    <row r="311" spans="1:7" x14ac:dyDescent="0.25">
      <c r="A311" s="1" t="str">
        <f t="shared" si="17"/>
        <v>035</v>
      </c>
      <c r="B311" s="1" t="str">
        <f>TEXT(91,"00")</f>
        <v>91</v>
      </c>
      <c r="C311" s="1" t="str">
        <f t="shared" si="18"/>
        <v>035-91</v>
      </c>
      <c r="D311" t="s">
        <v>312</v>
      </c>
      <c r="E311" t="b">
        <f>IF(COUNTIF(D311,"*"&amp;'Keyword Search'!$C$5&amp;"*"),TRUE,FALSE)</f>
        <v>1</v>
      </c>
      <c r="G311" t="str">
        <f t="shared" si="19"/>
        <v>035-91: Tow Bars for Moving Aircraft at the Airport</v>
      </c>
    </row>
    <row r="312" spans="1:7" x14ac:dyDescent="0.25">
      <c r="A312" s="1" t="str">
        <f t="shared" si="17"/>
        <v>035</v>
      </c>
      <c r="B312" s="1" t="str">
        <f>TEXT(92,"00")</f>
        <v>92</v>
      </c>
      <c r="C312" s="1" t="str">
        <f t="shared" si="18"/>
        <v>035-92</v>
      </c>
      <c r="D312" t="s">
        <v>313</v>
      </c>
      <c r="E312" t="b">
        <f>IF(COUNTIF(D312,"*"&amp;'Keyword Search'!$C$5&amp;"*"),TRUE,FALSE)</f>
        <v>1</v>
      </c>
      <c r="G312" t="str">
        <f t="shared" si="19"/>
        <v>035-92: Wind Tees and Wind Socks, Airport</v>
      </c>
    </row>
    <row r="313" spans="1:7" x14ac:dyDescent="0.25">
      <c r="A313" s="1" t="str">
        <f t="shared" si="17"/>
        <v>035</v>
      </c>
      <c r="B313" s="1" t="str">
        <f>TEXT(93,"00")</f>
        <v>93</v>
      </c>
      <c r="C313" s="1" t="str">
        <f t="shared" si="18"/>
        <v>035-93</v>
      </c>
      <c r="D313" t="s">
        <v>314</v>
      </c>
      <c r="E313" t="b">
        <f>IF(COUNTIF(D313,"*"&amp;'Keyword Search'!$C$5&amp;"*"),TRUE,FALSE)</f>
        <v>1</v>
      </c>
      <c r="G313" t="str">
        <f t="shared" si="19"/>
        <v>035-93: Tugs and Tractors for Moving Aircraft at the Airport</v>
      </c>
    </row>
    <row r="314" spans="1:7" x14ac:dyDescent="0.25">
      <c r="A314" s="1" t="str">
        <f t="shared" si="17"/>
        <v>035</v>
      </c>
      <c r="B314" s="1" t="str">
        <f>TEXT(94,"00")</f>
        <v>94</v>
      </c>
      <c r="C314" s="1" t="str">
        <f t="shared" si="18"/>
        <v>035-94</v>
      </c>
      <c r="D314" t="s">
        <v>315</v>
      </c>
      <c r="E314" t="b">
        <f>IF(COUNTIF(D314,"*"&amp;'Keyword Search'!$C$5&amp;"*"),TRUE,FALSE)</f>
        <v>1</v>
      </c>
      <c r="G314" t="str">
        <f t="shared" si="19"/>
        <v>035-94: Warning Systems, Aircraft: Emergency, Fire, Escape, Ejection, etc.</v>
      </c>
    </row>
    <row r="315" spans="1:7" x14ac:dyDescent="0.25">
      <c r="A315" s="1" t="str">
        <f t="shared" si="17"/>
        <v>035</v>
      </c>
      <c r="B315" s="1" t="str">
        <f>TEXT(95,"00")</f>
        <v>95</v>
      </c>
      <c r="C315" s="1" t="str">
        <f t="shared" si="18"/>
        <v>035-95</v>
      </c>
      <c r="D315" t="s">
        <v>316</v>
      </c>
      <c r="E315" t="b">
        <f>IF(COUNTIF(D315,"*"&amp;'Keyword Search'!$C$5&amp;"*"),TRUE,FALSE)</f>
        <v>1</v>
      </c>
      <c r="G315" t="str">
        <f t="shared" si="19"/>
        <v>035-95: X-Ray Scanner, Passenger Baggage</v>
      </c>
    </row>
    <row r="316" spans="1:7" x14ac:dyDescent="0.25">
      <c r="A316" s="1" t="str">
        <f t="shared" si="17"/>
        <v>035</v>
      </c>
      <c r="B316" s="1" t="str">
        <f>TEXT(96,"00")</f>
        <v>96</v>
      </c>
      <c r="C316" s="1" t="str">
        <f t="shared" si="18"/>
        <v>035-96</v>
      </c>
      <c r="D316" t="s">
        <v>317</v>
      </c>
      <c r="E316" t="b">
        <f>IF(COUNTIF(D316,"*"&amp;'Keyword Search'!$C$5&amp;"*"),TRUE,FALSE)</f>
        <v>1</v>
      </c>
      <c r="G316" t="str">
        <f t="shared" si="19"/>
        <v>035-96: *Unmanned Aerial Vehicles (UAV), Drones</v>
      </c>
    </row>
    <row r="317" spans="1:7" x14ac:dyDescent="0.25">
      <c r="A317" s="5" t="str">
        <f t="shared" ref="A317" si="20">TEXT(35,"000")</f>
        <v>035</v>
      </c>
      <c r="B317" s="5" t="str">
        <f>TEXT(0,"00")</f>
        <v>00</v>
      </c>
      <c r="C317" s="1"/>
      <c r="D317" s="2" t="s">
        <v>254</v>
      </c>
    </row>
    <row r="318" spans="1:7" x14ac:dyDescent="0.25">
      <c r="A318" s="1" t="str">
        <f t="shared" ref="A318:A333" si="21">TEXT(37,"000")</f>
        <v>037</v>
      </c>
      <c r="B318" s="1" t="str">
        <f>TEXT(18,"00")</f>
        <v>18</v>
      </c>
      <c r="C318" s="1" t="str">
        <f t="shared" si="18"/>
        <v>037-18</v>
      </c>
      <c r="D318" t="s">
        <v>318</v>
      </c>
      <c r="E318" t="b">
        <f>IF(COUNTIF(D318,"*"&amp;'Keyword Search'!$C$5&amp;"*"),TRUE,FALSE)</f>
        <v>1</v>
      </c>
      <c r="G318" t="str">
        <f t="shared" si="19"/>
        <v>037-18: Bar, Snack and Soda, Equipment and Accessories</v>
      </c>
    </row>
    <row r="319" spans="1:7" x14ac:dyDescent="0.25">
      <c r="A319" s="1" t="str">
        <f t="shared" si="21"/>
        <v>037</v>
      </c>
      <c r="B319" s="1" t="str">
        <f>TEXT(23,"00")</f>
        <v>23</v>
      </c>
      <c r="C319" s="1" t="str">
        <f t="shared" si="18"/>
        <v>037-23</v>
      </c>
      <c r="D319" t="s">
        <v>319</v>
      </c>
      <c r="E319" t="b">
        <f>IF(COUNTIF(D319,"*"&amp;'Keyword Search'!$C$5&amp;"*"),TRUE,FALSE)</f>
        <v>1</v>
      </c>
      <c r="G319" t="str">
        <f t="shared" si="19"/>
        <v>037-23: Cards: Greeting and Gift, Including Recycled Types</v>
      </c>
    </row>
    <row r="320" spans="1:7" x14ac:dyDescent="0.25">
      <c r="A320" s="1" t="str">
        <f t="shared" si="21"/>
        <v>037</v>
      </c>
      <c r="B320" s="1" t="str">
        <f>TEXT(25,"00")</f>
        <v>25</v>
      </c>
      <c r="C320" s="1" t="str">
        <f t="shared" si="18"/>
        <v>037-25</v>
      </c>
      <c r="D320" t="s">
        <v>320</v>
      </c>
      <c r="E320" t="b">
        <f>IF(COUNTIF(D320,"*"&amp;'Keyword Search'!$C$5&amp;"*"),TRUE,FALSE)</f>
        <v>1</v>
      </c>
      <c r="G320" t="str">
        <f t="shared" si="19"/>
        <v>037-25: Carnival and Fair Equipment: Inflatables, Bounce Houses, Interactive Games</v>
      </c>
    </row>
    <row r="321" spans="1:7" x14ac:dyDescent="0.25">
      <c r="A321" s="1" t="str">
        <f t="shared" si="21"/>
        <v>037</v>
      </c>
      <c r="B321" s="1" t="str">
        <f>TEXT(28,"00")</f>
        <v>28</v>
      </c>
      <c r="C321" s="1" t="str">
        <f t="shared" si="18"/>
        <v>037-28</v>
      </c>
      <c r="D321" t="s">
        <v>321</v>
      </c>
      <c r="E321" t="b">
        <f>IF(COUNTIF(D321,"*"&amp;'Keyword Search'!$C$5&amp;"*"),TRUE,FALSE)</f>
        <v>1</v>
      </c>
      <c r="G321" t="str">
        <f t="shared" si="19"/>
        <v>037-28: Collections: Coin, Stamp, Comic Books, etc.</v>
      </c>
    </row>
    <row r="322" spans="1:7" x14ac:dyDescent="0.25">
      <c r="A322" s="1" t="str">
        <f t="shared" si="21"/>
        <v>037</v>
      </c>
      <c r="B322" s="1" t="str">
        <f>TEXT(34,"00")</f>
        <v>34</v>
      </c>
      <c r="C322" s="1" t="str">
        <f t="shared" si="18"/>
        <v>037-34</v>
      </c>
      <c r="D322" t="s">
        <v>322</v>
      </c>
      <c r="E322" t="b">
        <f>IF(COUNTIF(D322,"*"&amp;'Keyword Search'!$C$5&amp;"*"),TRUE,FALSE)</f>
        <v>1</v>
      </c>
      <c r="G322" t="str">
        <f t="shared" si="19"/>
        <v>037-34: Decorations: Holiday, Party, etc.</v>
      </c>
    </row>
    <row r="323" spans="1:7" x14ac:dyDescent="0.25">
      <c r="A323" s="1" t="str">
        <f t="shared" si="21"/>
        <v>037</v>
      </c>
      <c r="B323" s="1" t="str">
        <f>TEXT(35,"00")</f>
        <v>35</v>
      </c>
      <c r="C323" s="1" t="str">
        <f t="shared" ref="C323:C386" si="22">CONCATENATE(A323,"-",B323)</f>
        <v>037-35</v>
      </c>
      <c r="D323" t="s">
        <v>323</v>
      </c>
      <c r="E323" t="b">
        <f>IF(COUNTIF(D323,"*"&amp;'Keyword Search'!$C$5&amp;"*"),TRUE,FALSE)</f>
        <v>1</v>
      </c>
      <c r="G323" t="str">
        <f t="shared" si="19"/>
        <v>037-35: Decorative Household or Office Items, (Not Otherwise Classified)</v>
      </c>
    </row>
    <row r="324" spans="1:7" x14ac:dyDescent="0.25">
      <c r="A324" s="1" t="str">
        <f t="shared" si="21"/>
        <v>037</v>
      </c>
      <c r="B324" s="1" t="str">
        <f>TEXT(43,"00")</f>
        <v>43</v>
      </c>
      <c r="C324" s="1" t="str">
        <f t="shared" si="22"/>
        <v>037-43</v>
      </c>
      <c r="D324" t="s">
        <v>324</v>
      </c>
      <c r="E324" t="b">
        <f>IF(COUNTIF(D324,"*"&amp;'Keyword Search'!$C$5&amp;"*"),TRUE,FALSE)</f>
        <v>1</v>
      </c>
      <c r="G324" t="str">
        <f t="shared" ref="G324:G387" si="23">CONCATENATE(C324,": ",D324)</f>
        <v>037-43: Gifts, Including Gift Cards and Gift Certificates</v>
      </c>
    </row>
    <row r="325" spans="1:7" x14ac:dyDescent="0.25">
      <c r="A325" s="1" t="str">
        <f t="shared" si="21"/>
        <v>037</v>
      </c>
      <c r="B325" s="1" t="str">
        <f>TEXT(52,"00")</f>
        <v>52</v>
      </c>
      <c r="C325" s="1" t="str">
        <f t="shared" si="22"/>
        <v>037-52</v>
      </c>
      <c r="D325" t="s">
        <v>325</v>
      </c>
      <c r="E325" t="b">
        <f>IF(COUNTIF(D325,"*"&amp;'Keyword Search'!$C$5&amp;"*"),TRUE,FALSE)</f>
        <v>1</v>
      </c>
      <c r="G325" t="str">
        <f t="shared" si="23"/>
        <v>037-52: Novelties, Promotional and Specialty Products, Including Biodegradable</v>
      </c>
    </row>
    <row r="326" spans="1:7" x14ac:dyDescent="0.25">
      <c r="A326" s="1" t="str">
        <f t="shared" si="21"/>
        <v>037</v>
      </c>
      <c r="B326" s="1" t="str">
        <f>TEXT(56,"00")</f>
        <v>56</v>
      </c>
      <c r="C326" s="1" t="str">
        <f t="shared" si="22"/>
        <v>037-56</v>
      </c>
      <c r="D326" t="s">
        <v>326</v>
      </c>
      <c r="E326" t="b">
        <f>IF(COUNTIF(D326,"*"&amp;'Keyword Search'!$C$5&amp;"*"),TRUE,FALSE)</f>
        <v>1</v>
      </c>
      <c r="G326" t="str">
        <f t="shared" si="23"/>
        <v>037-56: Paper, Crepe</v>
      </c>
    </row>
    <row r="327" spans="1:7" x14ac:dyDescent="0.25">
      <c r="A327" s="1" t="str">
        <f t="shared" si="21"/>
        <v>037</v>
      </c>
      <c r="B327" s="1" t="str">
        <f>TEXT(63,"00")</f>
        <v>63</v>
      </c>
      <c r="C327" s="1" t="str">
        <f t="shared" si="22"/>
        <v>037-63</v>
      </c>
      <c r="D327" t="s">
        <v>327</v>
      </c>
      <c r="E327" t="b">
        <f>IF(COUNTIF(D327,"*"&amp;'Keyword Search'!$C$5&amp;"*"),TRUE,FALSE)</f>
        <v>1</v>
      </c>
      <c r="G327" t="str">
        <f t="shared" si="23"/>
        <v>037-63: Recycled Decorations, Games and Toys</v>
      </c>
    </row>
    <row r="328" spans="1:7" x14ac:dyDescent="0.25">
      <c r="A328" s="1" t="str">
        <f t="shared" si="21"/>
        <v>037</v>
      </c>
      <c r="B328" s="1" t="str">
        <f>TEXT(64,"00")</f>
        <v>64</v>
      </c>
      <c r="C328" s="1" t="str">
        <f t="shared" si="22"/>
        <v>037-64</v>
      </c>
      <c r="D328" t="s">
        <v>328</v>
      </c>
      <c r="E328" t="b">
        <f>IF(COUNTIF(D328,"*"&amp;'Keyword Search'!$C$5&amp;"*"),TRUE,FALSE)</f>
        <v>1</v>
      </c>
      <c r="G328" t="str">
        <f t="shared" si="23"/>
        <v>037-64: Replicas: Food, Fruit, etc.</v>
      </c>
    </row>
    <row r="329" spans="1:7" x14ac:dyDescent="0.25">
      <c r="A329" s="1" t="str">
        <f t="shared" si="21"/>
        <v>037</v>
      </c>
      <c r="B329" s="1" t="str">
        <f>TEXT(75,"00")</f>
        <v>75</v>
      </c>
      <c r="C329" s="1" t="str">
        <f t="shared" si="22"/>
        <v>037-75</v>
      </c>
      <c r="D329" t="s">
        <v>329</v>
      </c>
      <c r="E329" t="b">
        <f>IF(COUNTIF(D329,"*"&amp;'Keyword Search'!$C$5&amp;"*"),TRUE,FALSE)</f>
        <v>1</v>
      </c>
      <c r="G329" t="str">
        <f t="shared" si="23"/>
        <v>037-75: Soda Fountain Equipment and Accessories, Including Slush Machines, (See 165-50 for Malt and Milkshake Machines)</v>
      </c>
    </row>
    <row r="330" spans="1:7" x14ac:dyDescent="0.25">
      <c r="A330" s="1" t="str">
        <f t="shared" si="21"/>
        <v>037</v>
      </c>
      <c r="B330" s="1" t="str">
        <f>TEXT(78,"00")</f>
        <v>78</v>
      </c>
      <c r="C330" s="1" t="str">
        <f t="shared" si="22"/>
        <v>037-78</v>
      </c>
      <c r="D330" t="s">
        <v>330</v>
      </c>
      <c r="E330" t="b">
        <f>IF(COUNTIF(D330,"*"&amp;'Keyword Search'!$C$5&amp;"*"),TRUE,FALSE)</f>
        <v>1</v>
      </c>
      <c r="G330" t="str">
        <f t="shared" si="23"/>
        <v>037-78: Souvenirs and Prizes: Promotional, Advertising, etc.</v>
      </c>
    </row>
    <row r="331" spans="1:7" x14ac:dyDescent="0.25">
      <c r="A331" s="1" t="str">
        <f t="shared" si="21"/>
        <v>037</v>
      </c>
      <c r="B331" s="1" t="str">
        <f>TEXT(84,"00")</f>
        <v>84</v>
      </c>
      <c r="C331" s="1" t="str">
        <f t="shared" si="22"/>
        <v>037-84</v>
      </c>
      <c r="D331" t="s">
        <v>331</v>
      </c>
      <c r="E331" t="b">
        <f>IF(COUNTIF(D331,"*"&amp;'Keyword Search'!$C$5&amp;"*"),TRUE,FALSE)</f>
        <v>1</v>
      </c>
      <c r="G331" t="str">
        <f t="shared" si="23"/>
        <v>037-84: Toys and Games, Including Coloring Books and Activity Items, Not Educational Type, (See 208-47; 209-48; 785-53; and 805-51 for other type games)</v>
      </c>
    </row>
    <row r="332" spans="1:7" x14ac:dyDescent="0.25">
      <c r="A332" s="1" t="str">
        <f t="shared" si="21"/>
        <v>037</v>
      </c>
      <c r="B332" s="1" t="str">
        <f>TEXT(88,"00")</f>
        <v>88</v>
      </c>
      <c r="C332" s="1" t="str">
        <f t="shared" si="22"/>
        <v>037-88</v>
      </c>
      <c r="D332" t="s">
        <v>332</v>
      </c>
      <c r="E332" t="b">
        <f>IF(COUNTIF(D332,"*"&amp;'Keyword Search'!$C$5&amp;"*"),TRUE,FALSE)</f>
        <v>1</v>
      </c>
      <c r="G332" t="str">
        <f t="shared" si="23"/>
        <v>037-88: Video Game Machines</v>
      </c>
    </row>
    <row r="333" spans="1:7" x14ac:dyDescent="0.25">
      <c r="A333" s="1" t="str">
        <f t="shared" si="21"/>
        <v>037</v>
      </c>
      <c r="B333" s="1" t="str">
        <f>TEXT(89,"00")</f>
        <v>89</v>
      </c>
      <c r="C333" s="1" t="str">
        <f t="shared" si="22"/>
        <v>037-89</v>
      </c>
      <c r="D333" t="s">
        <v>333</v>
      </c>
      <c r="E333" t="b">
        <f>IF(COUNTIF(D333,"*"&amp;'Keyword Search'!$C$5&amp;"*"),TRUE,FALSE)</f>
        <v>1</v>
      </c>
      <c r="G333" t="str">
        <f t="shared" si="23"/>
        <v>037-89: Video and On-line Games</v>
      </c>
    </row>
    <row r="334" spans="1:7" x14ac:dyDescent="0.25">
      <c r="A334" s="5" t="str">
        <f t="shared" ref="A334" si="24">TEXT(35,"000")</f>
        <v>035</v>
      </c>
      <c r="B334" s="5" t="str">
        <f>TEXT(0,"00")</f>
        <v>00</v>
      </c>
      <c r="C334" s="1"/>
      <c r="D334" s="2" t="s">
        <v>254</v>
      </c>
    </row>
    <row r="335" spans="1:7" x14ac:dyDescent="0.25">
      <c r="A335" s="1" t="str">
        <f t="shared" ref="A335:A380" si="25">TEXT(40,"000")</f>
        <v>040</v>
      </c>
      <c r="B335" s="1" t="str">
        <f>TEXT(1,"00")</f>
        <v>01</v>
      </c>
      <c r="C335" s="1" t="str">
        <f t="shared" si="22"/>
        <v>040-01</v>
      </c>
      <c r="D335" t="s">
        <v>334</v>
      </c>
      <c r="E335" t="b">
        <f>IF(COUNTIF(D335,"*"&amp;'Keyword Search'!$C$5&amp;"*"),TRUE,FALSE)</f>
        <v>1</v>
      </c>
      <c r="G335" t="str">
        <f t="shared" si="23"/>
        <v>040-01: Amphibia: Frogs, Toads, Salamanders and Other Cold Blooded Vertebrates, Live</v>
      </c>
    </row>
    <row r="336" spans="1:7" x14ac:dyDescent="0.25">
      <c r="A336" s="1" t="str">
        <f t="shared" si="25"/>
        <v>040</v>
      </c>
      <c r="B336" s="1" t="str">
        <f>TEXT(2,"00")</f>
        <v>02</v>
      </c>
      <c r="C336" s="1" t="str">
        <f t="shared" si="22"/>
        <v>040-02</v>
      </c>
      <c r="D336" t="s">
        <v>335</v>
      </c>
      <c r="E336" t="b">
        <f>IF(COUNTIF(D336,"*"&amp;'Keyword Search'!$C$5&amp;"*"),TRUE,FALSE)</f>
        <v>1</v>
      </c>
      <c r="G336" t="str">
        <f t="shared" si="23"/>
        <v>040-02: Animal Carriers</v>
      </c>
    </row>
    <row r="337" spans="1:7" x14ac:dyDescent="0.25">
      <c r="A337" s="1" t="str">
        <f t="shared" si="25"/>
        <v>040</v>
      </c>
      <c r="B337" s="1" t="str">
        <f>TEXT(3,"00")</f>
        <v>03</v>
      </c>
      <c r="C337" s="1" t="str">
        <f t="shared" si="22"/>
        <v>040-03</v>
      </c>
      <c r="D337" t="s">
        <v>336</v>
      </c>
      <c r="E337" t="b">
        <f>IF(COUNTIF(D337,"*"&amp;'Keyword Search'!$C$5&amp;"*"),TRUE,FALSE)</f>
        <v>1</v>
      </c>
      <c r="G337" t="str">
        <f t="shared" si="23"/>
        <v>040-03: Animal Care Supplies: Collars, Clothing, Leashes, Litter Boxes, etc.</v>
      </c>
    </row>
    <row r="338" spans="1:7" x14ac:dyDescent="0.25">
      <c r="A338" s="1" t="str">
        <f t="shared" si="25"/>
        <v>040</v>
      </c>
      <c r="B338" s="1" t="str">
        <f>TEXT(4,"00")</f>
        <v>04</v>
      </c>
      <c r="C338" s="1" t="str">
        <f t="shared" si="22"/>
        <v>040-04</v>
      </c>
      <c r="D338" t="s">
        <v>337</v>
      </c>
      <c r="E338" t="b">
        <f>IF(COUNTIF(D338,"*"&amp;'Keyword Search'!$C$5&amp;"*"),TRUE,FALSE)</f>
        <v>1</v>
      </c>
      <c r="G338" t="str">
        <f t="shared" si="23"/>
        <v>040-04: Animal Training Equipment and Supplies</v>
      </c>
    </row>
    <row r="339" spans="1:7" x14ac:dyDescent="0.25">
      <c r="A339" s="1" t="str">
        <f t="shared" si="25"/>
        <v>040</v>
      </c>
      <c r="B339" s="1" t="str">
        <f>TEXT(5,"00")</f>
        <v>05</v>
      </c>
      <c r="C339" s="1" t="str">
        <f t="shared" si="22"/>
        <v>040-05</v>
      </c>
      <c r="D339" t="s">
        <v>338</v>
      </c>
      <c r="E339" t="b">
        <f>IF(COUNTIF(D339,"*"&amp;'Keyword Search'!$C$5&amp;"*"),TRUE,FALSE)</f>
        <v>1</v>
      </c>
      <c r="G339" t="str">
        <f t="shared" si="23"/>
        <v>040-05: Bees</v>
      </c>
    </row>
    <row r="340" spans="1:7" x14ac:dyDescent="0.25">
      <c r="A340" s="1" t="str">
        <f t="shared" si="25"/>
        <v>040</v>
      </c>
      <c r="B340" s="1" t="str">
        <f>TEXT(7,"00")</f>
        <v>07</v>
      </c>
      <c r="C340" s="1" t="str">
        <f t="shared" si="22"/>
        <v>040-07</v>
      </c>
      <c r="D340" t="s">
        <v>339</v>
      </c>
      <c r="E340" t="b">
        <f>IF(COUNTIF(D340,"*"&amp;'Keyword Search'!$C$5&amp;"*"),TRUE,FALSE)</f>
        <v>1</v>
      </c>
      <c r="G340" t="str">
        <f t="shared" si="23"/>
        <v>040-07: Birds</v>
      </c>
    </row>
    <row r="341" spans="1:7" x14ac:dyDescent="0.25">
      <c r="A341" s="1" t="str">
        <f t="shared" si="25"/>
        <v>040</v>
      </c>
      <c r="B341" s="1" t="str">
        <f>TEXT(8,"00")</f>
        <v>08</v>
      </c>
      <c r="C341" s="1" t="str">
        <f t="shared" si="22"/>
        <v>040-08</v>
      </c>
      <c r="D341" t="s">
        <v>340</v>
      </c>
      <c r="E341" t="b">
        <f>IF(COUNTIF(D341,"*"&amp;'Keyword Search'!$C$5&amp;"*"),TRUE,FALSE)</f>
        <v>1</v>
      </c>
      <c r="G341" t="str">
        <f t="shared" si="23"/>
        <v>040-08: Cages and Shelters, Animal and Marine Life (See Class 495 for Laboratory Type)</v>
      </c>
    </row>
    <row r="342" spans="1:7" x14ac:dyDescent="0.25">
      <c r="A342" s="1" t="str">
        <f t="shared" si="25"/>
        <v>040</v>
      </c>
      <c r="B342" s="1" t="str">
        <f>TEXT(9,"00")</f>
        <v>09</v>
      </c>
      <c r="C342" s="1" t="str">
        <f t="shared" si="22"/>
        <v>040-09</v>
      </c>
      <c r="D342" t="s">
        <v>341</v>
      </c>
      <c r="E342" t="b">
        <f>IF(COUNTIF(D342,"*"&amp;'Keyword Search'!$C$5&amp;"*"),TRUE,FALSE)</f>
        <v>1</v>
      </c>
      <c r="G342" t="str">
        <f t="shared" si="23"/>
        <v>040-09: Cats, All Types</v>
      </c>
    </row>
    <row r="343" spans="1:7" x14ac:dyDescent="0.25">
      <c r="A343" s="1" t="str">
        <f t="shared" si="25"/>
        <v>040</v>
      </c>
      <c r="B343" s="1" t="str">
        <f>TEXT(10,"00")</f>
        <v>10</v>
      </c>
      <c r="C343" s="1" t="str">
        <f t="shared" si="22"/>
        <v>040-10</v>
      </c>
      <c r="D343" t="s">
        <v>342</v>
      </c>
      <c r="E343" t="b">
        <f>IF(COUNTIF(D343,"*"&amp;'Keyword Search'!$C$5&amp;"*"),TRUE,FALSE)</f>
        <v>1</v>
      </c>
      <c r="G343" t="str">
        <f t="shared" si="23"/>
        <v>040-10: Cattle, Beef, Breeding Stock</v>
      </c>
    </row>
    <row r="344" spans="1:7" x14ac:dyDescent="0.25">
      <c r="A344" s="1" t="str">
        <f t="shared" si="25"/>
        <v>040</v>
      </c>
      <c r="B344" s="1" t="str">
        <f>TEXT(11,"00")</f>
        <v>11</v>
      </c>
      <c r="C344" s="1" t="str">
        <f t="shared" si="22"/>
        <v>040-11</v>
      </c>
      <c r="D344" t="s">
        <v>343</v>
      </c>
      <c r="E344" t="b">
        <f>IF(COUNTIF(D344,"*"&amp;'Keyword Search'!$C$5&amp;"*"),TRUE,FALSE)</f>
        <v>1</v>
      </c>
      <c r="G344" t="str">
        <f t="shared" si="23"/>
        <v>040-11: Cattle, Beef, Commercial</v>
      </c>
    </row>
    <row r="345" spans="1:7" x14ac:dyDescent="0.25">
      <c r="A345" s="1" t="str">
        <f t="shared" si="25"/>
        <v>040</v>
      </c>
      <c r="B345" s="1" t="str">
        <f>TEXT(20,"00")</f>
        <v>20</v>
      </c>
      <c r="C345" s="1" t="str">
        <f t="shared" si="22"/>
        <v>040-20</v>
      </c>
      <c r="D345" t="s">
        <v>344</v>
      </c>
      <c r="E345" t="b">
        <f>IF(COUNTIF(D345,"*"&amp;'Keyword Search'!$C$5&amp;"*"),TRUE,FALSE)</f>
        <v>1</v>
      </c>
      <c r="G345" t="str">
        <f t="shared" si="23"/>
        <v>040-20: Cattle, Dairy</v>
      </c>
    </row>
    <row r="346" spans="1:7" x14ac:dyDescent="0.25">
      <c r="A346" s="1" t="str">
        <f t="shared" si="25"/>
        <v>040</v>
      </c>
      <c r="B346" s="1" t="str">
        <f>TEXT(21,"00")</f>
        <v>21</v>
      </c>
      <c r="C346" s="1" t="str">
        <f t="shared" si="22"/>
        <v>040-21</v>
      </c>
      <c r="D346" t="s">
        <v>345</v>
      </c>
      <c r="E346" t="b">
        <f>IF(COUNTIF(D346,"*"&amp;'Keyword Search'!$C$5&amp;"*"),TRUE,FALSE)</f>
        <v>1</v>
      </c>
      <c r="G346" t="str">
        <f t="shared" si="23"/>
        <v>040-21: Chickens</v>
      </c>
    </row>
    <row r="347" spans="1:7" x14ac:dyDescent="0.25">
      <c r="A347" s="1" t="str">
        <f t="shared" si="25"/>
        <v>040</v>
      </c>
      <c r="B347" s="1" t="str">
        <f>TEXT(22,"00")</f>
        <v>22</v>
      </c>
      <c r="C347" s="1" t="str">
        <f t="shared" si="22"/>
        <v>040-22</v>
      </c>
      <c r="D347" t="s">
        <v>346</v>
      </c>
      <c r="E347" t="b">
        <f>IF(COUNTIF(D347,"*"&amp;'Keyword Search'!$C$5&amp;"*"),TRUE,FALSE)</f>
        <v>1</v>
      </c>
      <c r="G347" t="str">
        <f t="shared" si="23"/>
        <v>040-22: Chicks, Meat Type, Baby</v>
      </c>
    </row>
    <row r="348" spans="1:7" x14ac:dyDescent="0.25">
      <c r="A348" s="1" t="str">
        <f t="shared" si="25"/>
        <v>040</v>
      </c>
      <c r="B348" s="1" t="str">
        <f>TEXT(24,"00")</f>
        <v>24</v>
      </c>
      <c r="C348" s="1" t="str">
        <f t="shared" si="22"/>
        <v>040-24</v>
      </c>
      <c r="D348" t="s">
        <v>347</v>
      </c>
      <c r="E348" t="b">
        <f>IF(COUNTIF(D348,"*"&amp;'Keyword Search'!$C$5&amp;"*"),TRUE,FALSE)</f>
        <v>1</v>
      </c>
      <c r="G348" t="str">
        <f t="shared" si="23"/>
        <v>040-24: Chicks, Meat Type, Starter</v>
      </c>
    </row>
    <row r="349" spans="1:7" x14ac:dyDescent="0.25">
      <c r="A349" s="1" t="str">
        <f t="shared" si="25"/>
        <v>040</v>
      </c>
      <c r="B349" s="1" t="str">
        <f>TEXT(26,"00")</f>
        <v>26</v>
      </c>
      <c r="C349" s="1" t="str">
        <f t="shared" si="22"/>
        <v>040-26</v>
      </c>
      <c r="D349" t="s">
        <v>348</v>
      </c>
      <c r="E349" t="b">
        <f>IF(COUNTIF(D349,"*"&amp;'Keyword Search'!$C$5&amp;"*"),TRUE,FALSE)</f>
        <v>1</v>
      </c>
      <c r="G349" t="str">
        <f t="shared" si="23"/>
        <v>040-26: Cockerels, All Types, Baby</v>
      </c>
    </row>
    <row r="350" spans="1:7" x14ac:dyDescent="0.25">
      <c r="A350" s="1" t="str">
        <f t="shared" si="25"/>
        <v>040</v>
      </c>
      <c r="B350" s="1" t="str">
        <f>TEXT(28,"00")</f>
        <v>28</v>
      </c>
      <c r="C350" s="1" t="str">
        <f t="shared" si="22"/>
        <v>040-28</v>
      </c>
      <c r="D350" t="s">
        <v>349</v>
      </c>
      <c r="E350" t="b">
        <f>IF(COUNTIF(D350,"*"&amp;'Keyword Search'!$C$5&amp;"*"),TRUE,FALSE)</f>
        <v>1</v>
      </c>
      <c r="G350" t="str">
        <f t="shared" si="23"/>
        <v>040-28: Cockerels, All Types, Starter</v>
      </c>
    </row>
    <row r="351" spans="1:7" x14ac:dyDescent="0.25">
      <c r="A351" s="1" t="str">
        <f t="shared" si="25"/>
        <v>040</v>
      </c>
      <c r="B351" s="1" t="str">
        <f>TEXT(30,"00")</f>
        <v>30</v>
      </c>
      <c r="C351" s="1" t="str">
        <f t="shared" si="22"/>
        <v>040-30</v>
      </c>
      <c r="D351" t="s">
        <v>350</v>
      </c>
      <c r="E351" t="b">
        <f>IF(COUNTIF(D351,"*"&amp;'Keyword Search'!$C$5&amp;"*"),TRUE,FALSE)</f>
        <v>1</v>
      </c>
      <c r="G351" t="str">
        <f t="shared" si="23"/>
        <v>040-30: Dogs, All Types</v>
      </c>
    </row>
    <row r="352" spans="1:7" x14ac:dyDescent="0.25">
      <c r="A352" s="1" t="str">
        <f t="shared" si="25"/>
        <v>040</v>
      </c>
      <c r="B352" s="1" t="str">
        <f>TEXT(35,"00")</f>
        <v>35</v>
      </c>
      <c r="C352" s="1" t="str">
        <f t="shared" si="22"/>
        <v>040-35</v>
      </c>
      <c r="D352" t="s">
        <v>351</v>
      </c>
      <c r="E352" t="b">
        <f>IF(COUNTIF(D352,"*"&amp;'Keyword Search'!$C$5&amp;"*"),TRUE,FALSE)</f>
        <v>1</v>
      </c>
      <c r="G352" t="str">
        <f t="shared" si="23"/>
        <v>040-35: Earthworms</v>
      </c>
    </row>
    <row r="353" spans="1:7" x14ac:dyDescent="0.25">
      <c r="A353" s="1" t="str">
        <f t="shared" si="25"/>
        <v>040</v>
      </c>
      <c r="B353" s="1" t="str">
        <f>TEXT(37,"00")</f>
        <v>37</v>
      </c>
      <c r="C353" s="1" t="str">
        <f t="shared" si="22"/>
        <v>040-37</v>
      </c>
      <c r="D353" t="s">
        <v>352</v>
      </c>
      <c r="E353" t="b">
        <f>IF(COUNTIF(D353,"*"&amp;'Keyword Search'!$C$5&amp;"*"),TRUE,FALSE)</f>
        <v>1</v>
      </c>
      <c r="G353" t="str">
        <f t="shared" si="23"/>
        <v>040-37: Electronic Identification Systems Used for Inventory and Tracking of Animals</v>
      </c>
    </row>
    <row r="354" spans="1:7" x14ac:dyDescent="0.25">
      <c r="A354" s="1" t="str">
        <f t="shared" si="25"/>
        <v>040</v>
      </c>
      <c r="B354" s="1" t="str">
        <f>TEXT(40,"00")</f>
        <v>40</v>
      </c>
      <c r="C354" s="1" t="str">
        <f t="shared" si="22"/>
        <v>040-40</v>
      </c>
      <c r="D354" t="s">
        <v>353</v>
      </c>
      <c r="E354" t="b">
        <f>IF(COUNTIF(D354,"*"&amp;'Keyword Search'!$C$5&amp;"*"),TRUE,FALSE)</f>
        <v>1</v>
      </c>
      <c r="G354" t="str">
        <f t="shared" si="23"/>
        <v>040-40: Fish, Brood and Fingerling</v>
      </c>
    </row>
    <row r="355" spans="1:7" x14ac:dyDescent="0.25">
      <c r="A355" s="1" t="str">
        <f t="shared" si="25"/>
        <v>040</v>
      </c>
      <c r="B355" s="1" t="str">
        <f>TEXT(42,"00")</f>
        <v>42</v>
      </c>
      <c r="C355" s="1" t="str">
        <f t="shared" si="22"/>
        <v>040-42</v>
      </c>
      <c r="D355" t="s">
        <v>354</v>
      </c>
      <c r="E355" t="b">
        <f>IF(COUNTIF(D355,"*"&amp;'Keyword Search'!$C$5&amp;"*"),TRUE,FALSE)</f>
        <v>1</v>
      </c>
      <c r="G355" t="str">
        <f t="shared" si="23"/>
        <v>040-42: Fish (Not Otherwise Classified)</v>
      </c>
    </row>
    <row r="356" spans="1:7" x14ac:dyDescent="0.25">
      <c r="A356" s="1" t="str">
        <f t="shared" si="25"/>
        <v>040</v>
      </c>
      <c r="B356" s="1" t="str">
        <f>TEXT(45,"00")</f>
        <v>45</v>
      </c>
      <c r="C356" s="1" t="str">
        <f t="shared" si="22"/>
        <v>040-45</v>
      </c>
      <c r="D356" t="s">
        <v>355</v>
      </c>
      <c r="E356" t="b">
        <f>IF(COUNTIF(D356,"*"&amp;'Keyword Search'!$C$5&amp;"*"),TRUE,FALSE)</f>
        <v>1</v>
      </c>
      <c r="G356" t="str">
        <f t="shared" si="23"/>
        <v>040-45: Fish, Tropical</v>
      </c>
    </row>
    <row r="357" spans="1:7" x14ac:dyDescent="0.25">
      <c r="A357" s="1" t="str">
        <f t="shared" si="25"/>
        <v>040</v>
      </c>
      <c r="B357" s="1" t="str">
        <f>TEXT(48,"00")</f>
        <v>48</v>
      </c>
      <c r="C357" s="1" t="str">
        <f t="shared" si="22"/>
        <v>040-48</v>
      </c>
      <c r="D357" t="s">
        <v>356</v>
      </c>
      <c r="E357" t="b">
        <f>IF(COUNTIF(D357,"*"&amp;'Keyword Search'!$C$5&amp;"*"),TRUE,FALSE)</f>
        <v>1</v>
      </c>
      <c r="G357" t="str">
        <f t="shared" si="23"/>
        <v>040-48: Fur Bearing Animals (Not Otherwise Classified)</v>
      </c>
    </row>
    <row r="358" spans="1:7" x14ac:dyDescent="0.25">
      <c r="A358" s="1" t="str">
        <f t="shared" si="25"/>
        <v>040</v>
      </c>
      <c r="B358" s="1" t="str">
        <f>TEXT(50,"00")</f>
        <v>50</v>
      </c>
      <c r="C358" s="1" t="str">
        <f t="shared" si="22"/>
        <v>040-50</v>
      </c>
      <c r="D358" t="s">
        <v>357</v>
      </c>
      <c r="E358" t="b">
        <f>IF(COUNTIF(D358,"*"&amp;'Keyword Search'!$C$5&amp;"*"),TRUE,FALSE)</f>
        <v>1</v>
      </c>
      <c r="G358" t="str">
        <f t="shared" si="23"/>
        <v>040-50: Goats</v>
      </c>
    </row>
    <row r="359" spans="1:7" x14ac:dyDescent="0.25">
      <c r="A359" s="1" t="str">
        <f t="shared" si="25"/>
        <v>040</v>
      </c>
      <c r="B359" s="1" t="str">
        <f>TEXT(58,"00")</f>
        <v>58</v>
      </c>
      <c r="C359" s="1" t="str">
        <f t="shared" si="22"/>
        <v>040-58</v>
      </c>
      <c r="D359" t="s">
        <v>358</v>
      </c>
      <c r="E359" t="b">
        <f>IF(COUNTIF(D359,"*"&amp;'Keyword Search'!$C$5&amp;"*"),TRUE,FALSE)</f>
        <v>1</v>
      </c>
      <c r="G359" t="str">
        <f t="shared" si="23"/>
        <v>040-58: Hibernation Boxes, Butterfly, Ladybug, etc.</v>
      </c>
    </row>
    <row r="360" spans="1:7" x14ac:dyDescent="0.25">
      <c r="A360" s="1" t="str">
        <f t="shared" si="25"/>
        <v>040</v>
      </c>
      <c r="B360" s="1" t="str">
        <f>TEXT(60,"00")</f>
        <v>60</v>
      </c>
      <c r="C360" s="1" t="str">
        <f t="shared" si="22"/>
        <v>040-60</v>
      </c>
      <c r="D360" t="s">
        <v>359</v>
      </c>
      <c r="E360" t="b">
        <f>IF(COUNTIF(D360,"*"&amp;'Keyword Search'!$C$5&amp;"*"),TRUE,FALSE)</f>
        <v>1</v>
      </c>
      <c r="G360" t="str">
        <f t="shared" si="23"/>
        <v>040-60: Hogs, Pigs and Swine, Breeding Stock</v>
      </c>
    </row>
    <row r="361" spans="1:7" x14ac:dyDescent="0.25">
      <c r="A361" s="1" t="str">
        <f t="shared" si="25"/>
        <v>040</v>
      </c>
      <c r="B361" s="1" t="str">
        <f>TEXT(61,"00")</f>
        <v>61</v>
      </c>
      <c r="C361" s="1" t="str">
        <f t="shared" si="22"/>
        <v>040-61</v>
      </c>
      <c r="D361" t="s">
        <v>360</v>
      </c>
      <c r="E361" t="b">
        <f>IF(COUNTIF(D361,"*"&amp;'Keyword Search'!$C$5&amp;"*"),TRUE,FALSE)</f>
        <v>1</v>
      </c>
      <c r="G361" t="str">
        <f t="shared" si="23"/>
        <v>040-61: Hogs, Pigs and Swine, Commercial</v>
      </c>
    </row>
    <row r="362" spans="1:7" x14ac:dyDescent="0.25">
      <c r="A362" s="1" t="str">
        <f t="shared" si="25"/>
        <v>040</v>
      </c>
      <c r="B362" s="1" t="str">
        <f>TEXT(70,"00")</f>
        <v>70</v>
      </c>
      <c r="C362" s="1" t="str">
        <f t="shared" si="22"/>
        <v>040-70</v>
      </c>
      <c r="D362" t="s">
        <v>361</v>
      </c>
      <c r="E362" t="b">
        <f>IF(COUNTIF(D362,"*"&amp;'Keyword Search'!$C$5&amp;"*"),TRUE,FALSE)</f>
        <v>1</v>
      </c>
      <c r="G362" t="str">
        <f t="shared" si="23"/>
        <v>040-70: Horses</v>
      </c>
    </row>
    <row r="363" spans="1:7" x14ac:dyDescent="0.25">
      <c r="A363" s="1" t="str">
        <f t="shared" si="25"/>
        <v>040</v>
      </c>
      <c r="B363" s="1" t="str">
        <f>TEXT(71,"00")</f>
        <v>71</v>
      </c>
      <c r="C363" s="1" t="str">
        <f t="shared" si="22"/>
        <v>040-71</v>
      </c>
      <c r="D363" t="s">
        <v>362</v>
      </c>
      <c r="E363" t="b">
        <f>IF(COUNTIF(D363,"*"&amp;'Keyword Search'!$C$5&amp;"*"),TRUE,FALSE)</f>
        <v>1</v>
      </c>
      <c r="G363" t="str">
        <f t="shared" si="23"/>
        <v>040-71: Houses and Cages, Bird</v>
      </c>
    </row>
    <row r="364" spans="1:7" x14ac:dyDescent="0.25">
      <c r="A364" s="1" t="str">
        <f t="shared" si="25"/>
        <v>040</v>
      </c>
      <c r="B364" s="1" t="str">
        <f>TEXT(72,"00")</f>
        <v>72</v>
      </c>
      <c r="C364" s="1" t="str">
        <f t="shared" si="22"/>
        <v>040-72</v>
      </c>
      <c r="D364" t="s">
        <v>363</v>
      </c>
      <c r="E364" t="b">
        <f>IF(COUNTIF(D364,"*"&amp;'Keyword Search'!$C$5&amp;"*"),TRUE,FALSE)</f>
        <v>1</v>
      </c>
      <c r="G364" t="str">
        <f t="shared" si="23"/>
        <v>040-72: Insects, (Not Otherwise Classified)</v>
      </c>
    </row>
    <row r="365" spans="1:7" x14ac:dyDescent="0.25">
      <c r="A365" s="1" t="str">
        <f t="shared" si="25"/>
        <v>040</v>
      </c>
      <c r="B365" s="1" t="str">
        <f>TEXT(75,"00")</f>
        <v>75</v>
      </c>
      <c r="C365" s="1" t="str">
        <f t="shared" si="22"/>
        <v>040-75</v>
      </c>
      <c r="D365" t="s">
        <v>364</v>
      </c>
      <c r="E365" t="b">
        <f>IF(COUNTIF(D365,"*"&amp;'Keyword Search'!$C$5&amp;"*"),TRUE,FALSE)</f>
        <v>1</v>
      </c>
      <c r="G365" t="str">
        <f t="shared" si="23"/>
        <v>040-75: Marine Life (Not Otherwise Classified)</v>
      </c>
    </row>
    <row r="366" spans="1:7" x14ac:dyDescent="0.25">
      <c r="A366" s="1" t="str">
        <f t="shared" si="25"/>
        <v>040</v>
      </c>
      <c r="B366" s="1" t="str">
        <f>TEXT(80,"00")</f>
        <v>80</v>
      </c>
      <c r="C366" s="1" t="str">
        <f t="shared" si="22"/>
        <v>040-80</v>
      </c>
      <c r="D366" t="s">
        <v>365</v>
      </c>
      <c r="E366" t="b">
        <f>IF(COUNTIF(D366,"*"&amp;'Keyword Search'!$C$5&amp;"*"),TRUE,FALSE)</f>
        <v>1</v>
      </c>
      <c r="G366" t="str">
        <f t="shared" si="23"/>
        <v>040-80: Mules and Donkeys</v>
      </c>
    </row>
    <row r="367" spans="1:7" x14ac:dyDescent="0.25">
      <c r="A367" s="1" t="str">
        <f t="shared" si="25"/>
        <v>040</v>
      </c>
      <c r="B367" s="1" t="str">
        <f>TEXT(82,"00")</f>
        <v>82</v>
      </c>
      <c r="C367" s="1" t="str">
        <f t="shared" si="22"/>
        <v>040-82</v>
      </c>
      <c r="D367" t="s">
        <v>366</v>
      </c>
      <c r="E367" t="b">
        <f>IF(COUNTIF(D367,"*"&amp;'Keyword Search'!$C$5&amp;"*"),TRUE,FALSE)</f>
        <v>1</v>
      </c>
      <c r="G367" t="str">
        <f t="shared" si="23"/>
        <v>040-82: Pullets</v>
      </c>
    </row>
    <row r="368" spans="1:7" x14ac:dyDescent="0.25">
      <c r="A368" s="1" t="str">
        <f t="shared" si="25"/>
        <v>040</v>
      </c>
      <c r="B368" s="1" t="str">
        <f>TEXT(83,"00")</f>
        <v>83</v>
      </c>
      <c r="C368" s="1" t="str">
        <f t="shared" si="22"/>
        <v>040-83</v>
      </c>
      <c r="D368" t="s">
        <v>367</v>
      </c>
      <c r="E368" t="b">
        <f>IF(COUNTIF(D368,"*"&amp;'Keyword Search'!$C$5&amp;"*"),TRUE,FALSE)</f>
        <v>1</v>
      </c>
      <c r="G368" t="str">
        <f t="shared" si="23"/>
        <v>040-83: Pullets, Laying Types, Baby</v>
      </c>
    </row>
    <row r="369" spans="1:7" x14ac:dyDescent="0.25">
      <c r="A369" s="1" t="str">
        <f t="shared" si="25"/>
        <v>040</v>
      </c>
      <c r="B369" s="1" t="str">
        <f>TEXT(84,"00")</f>
        <v>84</v>
      </c>
      <c r="C369" s="1" t="str">
        <f t="shared" si="22"/>
        <v>040-84</v>
      </c>
      <c r="D369" t="s">
        <v>368</v>
      </c>
      <c r="E369" t="b">
        <f>IF(COUNTIF(D369,"*"&amp;'Keyword Search'!$C$5&amp;"*"),TRUE,FALSE)</f>
        <v>1</v>
      </c>
      <c r="G369" t="str">
        <f t="shared" si="23"/>
        <v>040-84: Pullets, Laying Types, Starter</v>
      </c>
    </row>
    <row r="370" spans="1:7" x14ac:dyDescent="0.25">
      <c r="A370" s="1" t="str">
        <f t="shared" si="25"/>
        <v>040</v>
      </c>
      <c r="B370" s="1" t="str">
        <f>TEXT(85,"00")</f>
        <v>85</v>
      </c>
      <c r="C370" s="1" t="str">
        <f t="shared" si="22"/>
        <v>040-85</v>
      </c>
      <c r="D370" t="s">
        <v>369</v>
      </c>
      <c r="E370" t="b">
        <f>IF(COUNTIF(D370,"*"&amp;'Keyword Search'!$C$5&amp;"*"),TRUE,FALSE)</f>
        <v>1</v>
      </c>
      <c r="G370" t="str">
        <f t="shared" si="23"/>
        <v>040-85: Rabbits</v>
      </c>
    </row>
    <row r="371" spans="1:7" x14ac:dyDescent="0.25">
      <c r="A371" s="1" t="str">
        <f t="shared" si="25"/>
        <v>040</v>
      </c>
      <c r="B371" s="1" t="str">
        <f>TEXT(86,"00")</f>
        <v>86</v>
      </c>
      <c r="C371" s="1" t="str">
        <f t="shared" si="22"/>
        <v>040-86</v>
      </c>
      <c r="D371" t="s">
        <v>370</v>
      </c>
      <c r="E371" t="b">
        <f>IF(COUNTIF(D371,"*"&amp;'Keyword Search'!$C$5&amp;"*"),TRUE,FALSE)</f>
        <v>1</v>
      </c>
      <c r="G371" t="str">
        <f t="shared" si="23"/>
        <v>040-86: Recycled Animal, Bird, and Marine Life Accessories and Supplies</v>
      </c>
    </row>
    <row r="372" spans="1:7" x14ac:dyDescent="0.25">
      <c r="A372" s="1" t="str">
        <f t="shared" si="25"/>
        <v>040</v>
      </c>
      <c r="B372" s="1" t="str">
        <f>TEXT(87,"00")</f>
        <v>87</v>
      </c>
      <c r="C372" s="1" t="str">
        <f t="shared" si="22"/>
        <v>040-87</v>
      </c>
      <c r="D372" t="s">
        <v>371</v>
      </c>
      <c r="E372" t="b">
        <f>IF(COUNTIF(D372,"*"&amp;'Keyword Search'!$C$5&amp;"*"),TRUE,FALSE)</f>
        <v>1</v>
      </c>
      <c r="G372" t="str">
        <f t="shared" si="23"/>
        <v>040-87: Rodents (See 495-12,13 for Experimental Types)</v>
      </c>
    </row>
    <row r="373" spans="1:7" x14ac:dyDescent="0.25">
      <c r="A373" s="1" t="str">
        <f t="shared" si="25"/>
        <v>040</v>
      </c>
      <c r="B373" s="1" t="str">
        <f>TEXT(88,"00")</f>
        <v>88</v>
      </c>
      <c r="C373" s="1" t="str">
        <f t="shared" si="22"/>
        <v>040-88</v>
      </c>
      <c r="D373" t="s">
        <v>372</v>
      </c>
      <c r="E373" t="b">
        <f>IF(COUNTIF(D373,"*"&amp;'Keyword Search'!$C$5&amp;"*"),TRUE,FALSE)</f>
        <v>1</v>
      </c>
      <c r="G373" t="str">
        <f t="shared" si="23"/>
        <v>040-88: Reptiles, Live</v>
      </c>
    </row>
    <row r="374" spans="1:7" x14ac:dyDescent="0.25">
      <c r="A374" s="1" t="str">
        <f t="shared" si="25"/>
        <v>040</v>
      </c>
      <c r="B374" s="1" t="str">
        <f>TEXT(90,"00")</f>
        <v>90</v>
      </c>
      <c r="C374" s="1" t="str">
        <f t="shared" si="22"/>
        <v>040-90</v>
      </c>
      <c r="D374" t="s">
        <v>373</v>
      </c>
      <c r="E374" t="b">
        <f>IF(COUNTIF(D374,"*"&amp;'Keyword Search'!$C$5&amp;"*"),TRUE,FALSE)</f>
        <v>1</v>
      </c>
      <c r="G374" t="str">
        <f t="shared" si="23"/>
        <v>040-90: Sheep</v>
      </c>
    </row>
    <row r="375" spans="1:7" x14ac:dyDescent="0.25">
      <c r="A375" s="1" t="str">
        <f t="shared" si="25"/>
        <v>040</v>
      </c>
      <c r="B375" s="1" t="str">
        <f>TEXT(91,"00")</f>
        <v>91</v>
      </c>
      <c r="C375" s="1" t="str">
        <f t="shared" si="22"/>
        <v>040-91</v>
      </c>
      <c r="D375" t="s">
        <v>374</v>
      </c>
      <c r="E375" t="b">
        <f>IF(COUNTIF(D375,"*"&amp;'Keyword Search'!$C$5&amp;"*"),TRUE,FALSE)</f>
        <v>1</v>
      </c>
      <c r="G375" t="str">
        <f t="shared" si="23"/>
        <v>040-91: Specialty Items for Shows and Entertainment, Perches, Hoods, Hoops, etc.</v>
      </c>
    </row>
    <row r="376" spans="1:7" x14ac:dyDescent="0.25">
      <c r="A376" s="1" t="str">
        <f t="shared" si="25"/>
        <v>040</v>
      </c>
      <c r="B376" s="1" t="str">
        <f>TEXT(92,"00")</f>
        <v>92</v>
      </c>
      <c r="C376" s="1" t="str">
        <f t="shared" si="22"/>
        <v>040-92</v>
      </c>
      <c r="D376" t="s">
        <v>375</v>
      </c>
      <c r="E376" t="b">
        <f>IF(COUNTIF(D376,"*"&amp;'Keyword Search'!$C$5&amp;"*"),TRUE,FALSE)</f>
        <v>1</v>
      </c>
      <c r="G376" t="str">
        <f t="shared" si="23"/>
        <v>040-92: Toys for Pets and Zoo Animals</v>
      </c>
    </row>
    <row r="377" spans="1:7" x14ac:dyDescent="0.25">
      <c r="A377" s="1" t="str">
        <f t="shared" si="25"/>
        <v>040</v>
      </c>
      <c r="B377" s="1" t="str">
        <f>TEXT(93,"00")</f>
        <v>93</v>
      </c>
      <c r="C377" s="1" t="str">
        <f t="shared" si="22"/>
        <v>040-93</v>
      </c>
      <c r="D377" t="s">
        <v>376</v>
      </c>
      <c r="E377" t="b">
        <f>IF(COUNTIF(D377,"*"&amp;'Keyword Search'!$C$5&amp;"*"),TRUE,FALSE)</f>
        <v>1</v>
      </c>
      <c r="G377" t="str">
        <f t="shared" si="23"/>
        <v>040-93: Turkeys, Baby</v>
      </c>
    </row>
    <row r="378" spans="1:7" x14ac:dyDescent="0.25">
      <c r="A378" s="1" t="str">
        <f t="shared" si="25"/>
        <v>040</v>
      </c>
      <c r="B378" s="1" t="str">
        <f>TEXT(94,"00")</f>
        <v>94</v>
      </c>
      <c r="C378" s="1" t="str">
        <f t="shared" si="22"/>
        <v>040-94</v>
      </c>
      <c r="D378" t="s">
        <v>377</v>
      </c>
      <c r="E378" t="b">
        <f>IF(COUNTIF(D378,"*"&amp;'Keyword Search'!$C$5&amp;"*"),TRUE,FALSE)</f>
        <v>1</v>
      </c>
      <c r="G378" t="str">
        <f t="shared" si="23"/>
        <v>040-94: Turkeys, Starter</v>
      </c>
    </row>
    <row r="379" spans="1:7" x14ac:dyDescent="0.25">
      <c r="A379" s="1" t="str">
        <f t="shared" si="25"/>
        <v>040</v>
      </c>
      <c r="B379" s="1" t="str">
        <f>TEXT(95,"00")</f>
        <v>95</v>
      </c>
      <c r="C379" s="1" t="str">
        <f t="shared" si="22"/>
        <v>040-95</v>
      </c>
      <c r="D379" t="s">
        <v>378</v>
      </c>
      <c r="E379" t="b">
        <f>IF(COUNTIF(D379,"*"&amp;'Keyword Search'!$C$5&amp;"*"),TRUE,FALSE)</f>
        <v>1</v>
      </c>
      <c r="G379" t="str">
        <f t="shared" si="23"/>
        <v>040-95: Wildlife and Pet Bands, Labels and Tags, Not Electronic</v>
      </c>
    </row>
    <row r="380" spans="1:7" x14ac:dyDescent="0.25">
      <c r="A380" s="1" t="str">
        <f t="shared" si="25"/>
        <v>040</v>
      </c>
      <c r="B380" s="1" t="str">
        <f>TEXT(96,"00")</f>
        <v>96</v>
      </c>
      <c r="C380" s="1" t="str">
        <f t="shared" si="22"/>
        <v>040-96</v>
      </c>
      <c r="D380" t="s">
        <v>379</v>
      </c>
      <c r="E380" t="b">
        <f>IF(COUNTIF(D380,"*"&amp;'Keyword Search'!$C$5&amp;"*"),TRUE,FALSE)</f>
        <v>1</v>
      </c>
      <c r="G380" t="str">
        <f t="shared" si="23"/>
        <v>040-96: Zoo Animals, All Types</v>
      </c>
    </row>
    <row r="381" spans="1:7" x14ac:dyDescent="0.25">
      <c r="A381" s="5" t="str">
        <f t="shared" ref="A381:A417" si="26">TEXT(45,"000")</f>
        <v>045</v>
      </c>
      <c r="B381" s="5" t="str">
        <f>TEXT(0,"00")</f>
        <v>00</v>
      </c>
      <c r="C381" s="1"/>
      <c r="D381" s="2" t="s">
        <v>380</v>
      </c>
    </row>
    <row r="382" spans="1:7" x14ac:dyDescent="0.25">
      <c r="A382" s="1" t="str">
        <f t="shared" si="26"/>
        <v>045</v>
      </c>
      <c r="B382" s="1" t="str">
        <f>TEXT(6,"00")</f>
        <v>06</v>
      </c>
      <c r="C382" s="1" t="str">
        <f t="shared" si="22"/>
        <v>045-06</v>
      </c>
      <c r="D382" t="s">
        <v>381</v>
      </c>
      <c r="E382" t="b">
        <f>IF(COUNTIF(D382,"*"&amp;'Keyword Search'!$C$5&amp;"*"),TRUE,FALSE)</f>
        <v>1</v>
      </c>
      <c r="G382" t="str">
        <f t="shared" si="23"/>
        <v>045-06: Appliances, Small, Electric, Household (Not Otherwise Classified)</v>
      </c>
    </row>
    <row r="383" spans="1:7" x14ac:dyDescent="0.25">
      <c r="A383" s="1" t="str">
        <f t="shared" si="26"/>
        <v>045</v>
      </c>
      <c r="B383" s="1" t="str">
        <f>TEXT(12,"00")</f>
        <v>12</v>
      </c>
      <c r="C383" s="1" t="str">
        <f t="shared" si="22"/>
        <v>045-12</v>
      </c>
      <c r="D383" t="s">
        <v>382</v>
      </c>
      <c r="E383" t="b">
        <f>IF(COUNTIF(D383,"*"&amp;'Keyword Search'!$C$5&amp;"*"),TRUE,FALSE)</f>
        <v>1</v>
      </c>
      <c r="G383" t="str">
        <f t="shared" si="23"/>
        <v>045-12: Appliances, Small, Non-Electric, Household (Not Otherwise Classified)</v>
      </c>
    </row>
    <row r="384" spans="1:7" x14ac:dyDescent="0.25">
      <c r="A384" s="1" t="str">
        <f t="shared" si="26"/>
        <v>045</v>
      </c>
      <c r="B384" s="1" t="str">
        <f>TEXT(14,"00")</f>
        <v>14</v>
      </c>
      <c r="C384" s="1" t="str">
        <f t="shared" si="22"/>
        <v>045-14</v>
      </c>
      <c r="D384" t="s">
        <v>383</v>
      </c>
      <c r="E384" t="b">
        <f>IF(COUNTIF(D384,"*"&amp;'Keyword Search'!$C$5&amp;"*"),TRUE,FALSE)</f>
        <v>1</v>
      </c>
      <c r="G384" t="str">
        <f t="shared" si="23"/>
        <v>045-14: Blenders, Household</v>
      </c>
    </row>
    <row r="385" spans="1:7" x14ac:dyDescent="0.25">
      <c r="A385" s="1" t="str">
        <f t="shared" si="26"/>
        <v>045</v>
      </c>
      <c r="B385" s="1" t="str">
        <f>TEXT(15,"00")</f>
        <v>15</v>
      </c>
      <c r="C385" s="1" t="str">
        <f t="shared" si="22"/>
        <v>045-15</v>
      </c>
      <c r="D385" t="s">
        <v>384</v>
      </c>
      <c r="E385" t="b">
        <f>IF(COUNTIF(D385,"*"&amp;'Keyword Search'!$C$5&amp;"*"),TRUE,FALSE)</f>
        <v>1</v>
      </c>
      <c r="G385" t="str">
        <f t="shared" si="23"/>
        <v>045-15: Bread Makers, Household</v>
      </c>
    </row>
    <row r="386" spans="1:7" x14ac:dyDescent="0.25">
      <c r="A386" s="1" t="str">
        <f t="shared" si="26"/>
        <v>045</v>
      </c>
      <c r="B386" s="1" t="str">
        <f>TEXT(17,"00")</f>
        <v>17</v>
      </c>
      <c r="C386" s="1" t="str">
        <f t="shared" si="22"/>
        <v>045-17</v>
      </c>
      <c r="D386" t="s">
        <v>385</v>
      </c>
      <c r="E386" t="b">
        <f>IF(COUNTIF(D386,"*"&amp;'Keyword Search'!$C$5&amp;"*"),TRUE,FALSE)</f>
        <v>1</v>
      </c>
      <c r="G386" t="str">
        <f t="shared" si="23"/>
        <v>045-17: Can Openers, Household</v>
      </c>
    </row>
    <row r="387" spans="1:7" x14ac:dyDescent="0.25">
      <c r="A387" s="1" t="str">
        <f t="shared" si="26"/>
        <v>045</v>
      </c>
      <c r="B387" s="1" t="str">
        <f>TEXT(18,"00")</f>
        <v>18</v>
      </c>
      <c r="C387" s="1" t="str">
        <f t="shared" ref="C387:C450" si="27">CONCATENATE(A387,"-",B387)</f>
        <v>045-18</v>
      </c>
      <c r="D387" t="s">
        <v>386</v>
      </c>
      <c r="E387" t="b">
        <f>IF(COUNTIF(D387,"*"&amp;'Keyword Search'!$C$5&amp;"*"),TRUE,FALSE)</f>
        <v>1</v>
      </c>
      <c r="G387" t="str">
        <f t="shared" si="23"/>
        <v>045-18: Cleaners and Sweepers, Hand-Operated, Household</v>
      </c>
    </row>
    <row r="388" spans="1:7" x14ac:dyDescent="0.25">
      <c r="A388" s="1" t="str">
        <f t="shared" si="26"/>
        <v>045</v>
      </c>
      <c r="B388" s="1" t="str">
        <f>TEXT(20,"00")</f>
        <v>20</v>
      </c>
      <c r="C388" s="1" t="str">
        <f t="shared" si="27"/>
        <v>045-20</v>
      </c>
      <c r="D388" t="s">
        <v>387</v>
      </c>
      <c r="E388" t="b">
        <f>IF(COUNTIF(D388,"*"&amp;'Keyword Search'!$C$5&amp;"*"),TRUE,FALSE)</f>
        <v>1</v>
      </c>
      <c r="G388" t="str">
        <f t="shared" ref="G388:G451" si="28">CONCATENATE(C388,": ",D388)</f>
        <v>045-20: Coffeemakers, All Types, Household</v>
      </c>
    </row>
    <row r="389" spans="1:7" x14ac:dyDescent="0.25">
      <c r="A389" s="1" t="str">
        <f t="shared" si="26"/>
        <v>045</v>
      </c>
      <c r="B389" s="1" t="str">
        <f>TEXT(21,"00")</f>
        <v>21</v>
      </c>
      <c r="C389" s="1" t="str">
        <f t="shared" si="27"/>
        <v>045-21</v>
      </c>
      <c r="D389" t="s">
        <v>388</v>
      </c>
      <c r="E389" t="b">
        <f>IF(COUNTIF(D389,"*"&amp;'Keyword Search'!$C$5&amp;"*"),TRUE,FALSE)</f>
        <v>1</v>
      </c>
      <c r="G389" t="str">
        <f t="shared" si="28"/>
        <v>045-21: Cooking and Food Preparation Utensils, All Types, Household</v>
      </c>
    </row>
    <row r="390" spans="1:7" x14ac:dyDescent="0.25">
      <c r="A390" s="1" t="str">
        <f t="shared" si="26"/>
        <v>045</v>
      </c>
      <c r="B390" s="1" t="str">
        <f>TEXT(22,"00")</f>
        <v>22</v>
      </c>
      <c r="C390" s="1" t="str">
        <f t="shared" si="27"/>
        <v>045-22</v>
      </c>
      <c r="D390" t="s">
        <v>389</v>
      </c>
      <c r="E390" t="b">
        <f>IF(COUNTIF(D390,"*"&amp;'Keyword Search'!$C$5&amp;"*"),TRUE,FALSE)</f>
        <v>1</v>
      </c>
      <c r="G390" t="str">
        <f t="shared" si="28"/>
        <v>045-22: Cookware and Bakeware, Household (Not Otherwise Classified)</v>
      </c>
    </row>
    <row r="391" spans="1:7" x14ac:dyDescent="0.25">
      <c r="A391" s="1" t="str">
        <f t="shared" si="26"/>
        <v>045</v>
      </c>
      <c r="B391" s="1" t="str">
        <f>TEXT(24,"00")</f>
        <v>24</v>
      </c>
      <c r="C391" s="1" t="str">
        <f t="shared" si="27"/>
        <v>045-24</v>
      </c>
      <c r="D391" t="s">
        <v>390</v>
      </c>
      <c r="E391" t="b">
        <f>IF(COUNTIF(D391,"*"&amp;'Keyword Search'!$C$5&amp;"*"),TRUE,FALSE)</f>
        <v>1</v>
      </c>
      <c r="G391" t="str">
        <f t="shared" si="28"/>
        <v>045-24: Dishwashers, Household</v>
      </c>
    </row>
    <row r="392" spans="1:7" x14ac:dyDescent="0.25">
      <c r="A392" s="1" t="str">
        <f t="shared" si="26"/>
        <v>045</v>
      </c>
      <c r="B392" s="1" t="str">
        <f>TEXT(25,"00")</f>
        <v>25</v>
      </c>
      <c r="C392" s="1" t="str">
        <f t="shared" si="27"/>
        <v>045-25</v>
      </c>
      <c r="D392" t="s">
        <v>391</v>
      </c>
      <c r="E392" t="b">
        <f>IF(COUNTIF(D392,"*"&amp;'Keyword Search'!$C$5&amp;"*"),TRUE,FALSE)</f>
        <v>1</v>
      </c>
      <c r="G392" t="str">
        <f t="shared" si="28"/>
        <v>045-25: Dishes, Drinking Utensils, and Serving ware, Household</v>
      </c>
    </row>
    <row r="393" spans="1:7" x14ac:dyDescent="0.25">
      <c r="A393" s="1" t="str">
        <f t="shared" si="26"/>
        <v>045</v>
      </c>
      <c r="B393" s="1" t="str">
        <f>TEXT(30,"00")</f>
        <v>30</v>
      </c>
      <c r="C393" s="1" t="str">
        <f t="shared" si="27"/>
        <v>045-30</v>
      </c>
      <c r="D393" t="s">
        <v>392</v>
      </c>
      <c r="E393" t="b">
        <f>IF(COUNTIF(D393,"*"&amp;'Keyword Search'!$C$5&amp;"*"),TRUE,FALSE)</f>
        <v>1</v>
      </c>
      <c r="G393" t="str">
        <f t="shared" si="28"/>
        <v>045-30: Disposal Units, Household</v>
      </c>
    </row>
    <row r="394" spans="1:7" x14ac:dyDescent="0.25">
      <c r="A394" s="1" t="str">
        <f t="shared" si="26"/>
        <v>045</v>
      </c>
      <c r="B394" s="1" t="str">
        <f>TEXT(40,"00")</f>
        <v>40</v>
      </c>
      <c r="C394" s="1" t="str">
        <f t="shared" si="27"/>
        <v>045-40</v>
      </c>
      <c r="D394" t="s">
        <v>393</v>
      </c>
      <c r="E394" t="b">
        <f>IF(COUNTIF(D394,"*"&amp;'Keyword Search'!$C$5&amp;"*"),TRUE,FALSE)</f>
        <v>1</v>
      </c>
      <c r="G394" t="str">
        <f t="shared" si="28"/>
        <v>045-40: Flatware and Cutlery, Household</v>
      </c>
    </row>
    <row r="395" spans="1:7" x14ac:dyDescent="0.25">
      <c r="A395" s="1" t="str">
        <f t="shared" si="26"/>
        <v>045</v>
      </c>
      <c r="B395" s="1" t="str">
        <f>TEXT(46,"00")</f>
        <v>46</v>
      </c>
      <c r="C395" s="1" t="str">
        <f t="shared" si="27"/>
        <v>045-46</v>
      </c>
      <c r="D395" t="s">
        <v>394</v>
      </c>
      <c r="E395" t="b">
        <f>IF(COUNTIF(D395,"*"&amp;'Keyword Search'!$C$5&amp;"*"),TRUE,FALSE)</f>
        <v>1</v>
      </c>
      <c r="G395" t="str">
        <f t="shared" si="28"/>
        <v>045-46: Hot Plates and Burners, Gas or Electric, Household</v>
      </c>
    </row>
    <row r="396" spans="1:7" x14ac:dyDescent="0.25">
      <c r="A396" s="1" t="str">
        <f t="shared" si="26"/>
        <v>045</v>
      </c>
      <c r="B396" s="1" t="str">
        <f>TEXT(47,"00")</f>
        <v>47</v>
      </c>
      <c r="C396" s="1" t="str">
        <f t="shared" si="27"/>
        <v>045-47</v>
      </c>
      <c r="D396" t="s">
        <v>395</v>
      </c>
      <c r="E396" t="b">
        <f>IF(COUNTIF(D396,"*"&amp;'Keyword Search'!$C$5&amp;"*"),TRUE,FALSE)</f>
        <v>1</v>
      </c>
      <c r="G396" t="str">
        <f t="shared" si="28"/>
        <v>045-47: Irons, Clothes, Household</v>
      </c>
    </row>
    <row r="397" spans="1:7" x14ac:dyDescent="0.25">
      <c r="A397" s="1" t="str">
        <f t="shared" si="26"/>
        <v>045</v>
      </c>
      <c r="B397" s="1" t="str">
        <f>TEXT(48,"00")</f>
        <v>48</v>
      </c>
      <c r="C397" s="1" t="str">
        <f t="shared" si="27"/>
        <v>045-48</v>
      </c>
      <c r="D397" t="s">
        <v>396</v>
      </c>
      <c r="E397" t="b">
        <f>IF(COUNTIF(D397,"*"&amp;'Keyword Search'!$C$5&amp;"*"),TRUE,FALSE)</f>
        <v>1</v>
      </c>
      <c r="G397" t="str">
        <f t="shared" si="28"/>
        <v>045-48: Ironing Tables and Boards, Household</v>
      </c>
    </row>
    <row r="398" spans="1:7" x14ac:dyDescent="0.25">
      <c r="A398" s="1" t="str">
        <f t="shared" si="26"/>
        <v>045</v>
      </c>
      <c r="B398" s="1" t="str">
        <f>TEXT(49,"00")</f>
        <v>49</v>
      </c>
      <c r="C398" s="1" t="str">
        <f t="shared" si="27"/>
        <v>045-49</v>
      </c>
      <c r="D398" t="s">
        <v>397</v>
      </c>
      <c r="E398" t="b">
        <f>IF(COUNTIF(D398,"*"&amp;'Keyword Search'!$C$5&amp;"*"),TRUE,FALSE)</f>
        <v>1</v>
      </c>
      <c r="G398" t="str">
        <f t="shared" si="28"/>
        <v>045-49: Ironing Table (Board) Pads and Covers (Inactive, please see commodity code 045-48 effective January 1, 2016)</v>
      </c>
    </row>
    <row r="399" spans="1:7" x14ac:dyDescent="0.25">
      <c r="A399" s="1" t="str">
        <f t="shared" si="26"/>
        <v>045</v>
      </c>
      <c r="B399" s="1" t="str">
        <f>TEXT(50,"00")</f>
        <v>50</v>
      </c>
      <c r="C399" s="1" t="str">
        <f t="shared" si="27"/>
        <v>045-50</v>
      </c>
      <c r="D399" t="s">
        <v>398</v>
      </c>
      <c r="E399" t="b">
        <f>IF(COUNTIF(D399,"*"&amp;'Keyword Search'!$C$5&amp;"*"),TRUE,FALSE)</f>
        <v>1</v>
      </c>
      <c r="G399" t="str">
        <f t="shared" si="28"/>
        <v>045-50: Kitchen Units, Compact, Complete, Household (Inactive, effective January 1, 2016)</v>
      </c>
    </row>
    <row r="400" spans="1:7" x14ac:dyDescent="0.25">
      <c r="A400" s="1" t="str">
        <f t="shared" si="26"/>
        <v>045</v>
      </c>
      <c r="B400" s="1" t="str">
        <f>TEXT(51,"00")</f>
        <v>51</v>
      </c>
      <c r="C400" s="1" t="str">
        <f t="shared" si="27"/>
        <v>045-51</v>
      </c>
      <c r="D400" t="s">
        <v>399</v>
      </c>
      <c r="E400" t="b">
        <f>IF(COUNTIF(D400,"*"&amp;'Keyword Search'!$C$5&amp;"*"),TRUE,FALSE)</f>
        <v>1</v>
      </c>
      <c r="G400" t="str">
        <f t="shared" si="28"/>
        <v>045-51: Mixers, Food, Household</v>
      </c>
    </row>
    <row r="401" spans="1:7" x14ac:dyDescent="0.25">
      <c r="A401" s="1" t="str">
        <f t="shared" si="26"/>
        <v>045</v>
      </c>
      <c r="B401" s="1" t="str">
        <f>TEXT(52,"00")</f>
        <v>52</v>
      </c>
      <c r="C401" s="1" t="str">
        <f t="shared" si="27"/>
        <v>045-52</v>
      </c>
      <c r="D401" t="s">
        <v>400</v>
      </c>
      <c r="E401" t="b">
        <f>IF(COUNTIF(D401,"*"&amp;'Keyword Search'!$C$5&amp;"*"),TRUE,FALSE)</f>
        <v>1</v>
      </c>
      <c r="G401" t="str">
        <f t="shared" si="28"/>
        <v>045-52: Ovens, Microwave and Convection, Household</v>
      </c>
    </row>
    <row r="402" spans="1:7" x14ac:dyDescent="0.25">
      <c r="A402" s="1" t="str">
        <f t="shared" si="26"/>
        <v>045</v>
      </c>
      <c r="B402" s="1" t="str">
        <f>TEXT(54,"00")</f>
        <v>54</v>
      </c>
      <c r="C402" s="1" t="str">
        <f t="shared" si="27"/>
        <v>045-54</v>
      </c>
      <c r="D402" t="s">
        <v>401</v>
      </c>
      <c r="E402" t="b">
        <f>IF(COUNTIF(D402,"*"&amp;'Keyword Search'!$C$5&amp;"*"),TRUE,FALSE)</f>
        <v>1</v>
      </c>
      <c r="G402" t="str">
        <f t="shared" si="28"/>
        <v>045-54: Ranges, Stove Tops, and Ovens, Electric, Household</v>
      </c>
    </row>
    <row r="403" spans="1:7" x14ac:dyDescent="0.25">
      <c r="A403" s="1" t="str">
        <f t="shared" si="26"/>
        <v>045</v>
      </c>
      <c r="B403" s="1" t="str">
        <f>TEXT(60,"00")</f>
        <v>60</v>
      </c>
      <c r="C403" s="1" t="str">
        <f t="shared" si="27"/>
        <v>045-60</v>
      </c>
      <c r="D403" t="s">
        <v>402</v>
      </c>
      <c r="E403" t="b">
        <f>IF(COUNTIF(D403,"*"&amp;'Keyword Search'!$C$5&amp;"*"),TRUE,FALSE)</f>
        <v>1</v>
      </c>
      <c r="G403" t="str">
        <f t="shared" si="28"/>
        <v>045-60: Ranges, Stove Tops, and Ovens, Gas, Household</v>
      </c>
    </row>
    <row r="404" spans="1:7" x14ac:dyDescent="0.25">
      <c r="A404" s="1" t="str">
        <f t="shared" si="26"/>
        <v>045</v>
      </c>
      <c r="B404" s="1" t="str">
        <f>TEXT(64,"00")</f>
        <v>64</v>
      </c>
      <c r="C404" s="1" t="str">
        <f t="shared" si="27"/>
        <v>045-64</v>
      </c>
      <c r="D404" t="s">
        <v>403</v>
      </c>
      <c r="E404" t="b">
        <f>IF(COUNTIF(D404,"*"&amp;'Keyword Search'!$C$5&amp;"*"),TRUE,FALSE)</f>
        <v>1</v>
      </c>
      <c r="G404" t="str">
        <f t="shared" si="28"/>
        <v>045-64: Recycled Appliances and Accessories, Household</v>
      </c>
    </row>
    <row r="405" spans="1:7" x14ac:dyDescent="0.25">
      <c r="A405" s="1" t="str">
        <f t="shared" si="26"/>
        <v>045</v>
      </c>
      <c r="B405" s="1" t="str">
        <f>TEXT(66,"00")</f>
        <v>66</v>
      </c>
      <c r="C405" s="1" t="str">
        <f t="shared" si="27"/>
        <v>045-66</v>
      </c>
      <c r="D405" t="s">
        <v>404</v>
      </c>
      <c r="E405" t="b">
        <f>IF(COUNTIF(D405,"*"&amp;'Keyword Search'!$C$5&amp;"*"),TRUE,FALSE)</f>
        <v>1</v>
      </c>
      <c r="G405" t="str">
        <f t="shared" si="28"/>
        <v>045-66: Refrigerators and Freezers, Household</v>
      </c>
    </row>
    <row r="406" spans="1:7" x14ac:dyDescent="0.25">
      <c r="A406" s="1" t="str">
        <f t="shared" si="26"/>
        <v>045</v>
      </c>
      <c r="B406" s="1" t="str">
        <f>TEXT(70,"00")</f>
        <v>70</v>
      </c>
      <c r="C406" s="1" t="str">
        <f t="shared" si="27"/>
        <v>045-70</v>
      </c>
      <c r="D406" t="s">
        <v>405</v>
      </c>
      <c r="E406" t="b">
        <f>IF(COUNTIF(D406,"*"&amp;'Keyword Search'!$C$5&amp;"*"),TRUE,FALSE)</f>
        <v>1</v>
      </c>
      <c r="G406" t="str">
        <f t="shared" si="28"/>
        <v>045-70: Skillets, Electric, Household</v>
      </c>
    </row>
    <row r="407" spans="1:7" x14ac:dyDescent="0.25">
      <c r="A407" s="1" t="str">
        <f t="shared" si="26"/>
        <v>045</v>
      </c>
      <c r="B407" s="1" t="str">
        <f>TEXT(72,"00")</f>
        <v>72</v>
      </c>
      <c r="C407" s="1" t="str">
        <f t="shared" si="27"/>
        <v>045-72</v>
      </c>
      <c r="D407" t="s">
        <v>406</v>
      </c>
      <c r="E407" t="b">
        <f>IF(COUNTIF(D407,"*"&amp;'Keyword Search'!$C$5&amp;"*"),TRUE,FALSE)</f>
        <v>1</v>
      </c>
      <c r="G407" t="str">
        <f t="shared" si="28"/>
        <v>045-72: Storage Baskets: Metal and Plastic (For Freezers), Household</v>
      </c>
    </row>
    <row r="408" spans="1:7" x14ac:dyDescent="0.25">
      <c r="A408" s="1" t="str">
        <f t="shared" si="26"/>
        <v>045</v>
      </c>
      <c r="B408" s="1" t="str">
        <f>TEXT(73,"00")</f>
        <v>73</v>
      </c>
      <c r="C408" s="1" t="str">
        <f t="shared" si="27"/>
        <v>045-73</v>
      </c>
      <c r="D408" t="s">
        <v>407</v>
      </c>
      <c r="E408" t="b">
        <f>IF(COUNTIF(D408,"*"&amp;'Keyword Search'!$C$5&amp;"*"),TRUE,FALSE)</f>
        <v>1</v>
      </c>
      <c r="G408" t="str">
        <f t="shared" si="28"/>
        <v>045-73: Toasters and Toaster Ovens, Household</v>
      </c>
    </row>
    <row r="409" spans="1:7" x14ac:dyDescent="0.25">
      <c r="A409" s="1" t="str">
        <f t="shared" si="26"/>
        <v>045</v>
      </c>
      <c r="B409" s="1" t="str">
        <f>TEXT(74,"00")</f>
        <v>74</v>
      </c>
      <c r="C409" s="1" t="str">
        <f t="shared" si="27"/>
        <v>045-74</v>
      </c>
      <c r="D409" t="s">
        <v>408</v>
      </c>
      <c r="E409" t="b">
        <f>IF(COUNTIF(D409,"*"&amp;'Keyword Search'!$C$5&amp;"*"),TRUE,FALSE)</f>
        <v>1</v>
      </c>
      <c r="G409" t="str">
        <f t="shared" si="28"/>
        <v>045-74: Tools, Appliance, Household</v>
      </c>
    </row>
    <row r="410" spans="1:7" x14ac:dyDescent="0.25">
      <c r="A410" s="1" t="str">
        <f t="shared" si="26"/>
        <v>045</v>
      </c>
      <c r="B410" s="1" t="str">
        <f>TEXT(75,"00")</f>
        <v>75</v>
      </c>
      <c r="C410" s="1" t="str">
        <f t="shared" si="27"/>
        <v>045-75</v>
      </c>
      <c r="D410" t="s">
        <v>409</v>
      </c>
      <c r="E410" t="b">
        <f>IF(COUNTIF(D410,"*"&amp;'Keyword Search'!$C$5&amp;"*"),TRUE,FALSE)</f>
        <v>1</v>
      </c>
      <c r="G410" t="str">
        <f t="shared" si="28"/>
        <v>045-75: Trash Compactors, Household (See 165 and 545 for Other Types)</v>
      </c>
    </row>
    <row r="411" spans="1:7" x14ac:dyDescent="0.25">
      <c r="A411" s="1" t="str">
        <f t="shared" si="26"/>
        <v>045</v>
      </c>
      <c r="B411" s="1" t="str">
        <f>TEXT(77,"00")</f>
        <v>77</v>
      </c>
      <c r="C411" s="1" t="str">
        <f t="shared" si="27"/>
        <v>045-77</v>
      </c>
      <c r="D411" t="s">
        <v>410</v>
      </c>
      <c r="E411" t="b">
        <f>IF(COUNTIF(D411,"*"&amp;'Keyword Search'!$C$5&amp;"*"),TRUE,FALSE)</f>
        <v>1</v>
      </c>
      <c r="G411" t="str">
        <f t="shared" si="28"/>
        <v>045-77: Vacuum Cleaners, Manual, Including Parts and Accessories, Household</v>
      </c>
    </row>
    <row r="412" spans="1:7" x14ac:dyDescent="0.25">
      <c r="A412" s="1" t="str">
        <f t="shared" si="26"/>
        <v>045</v>
      </c>
      <c r="B412" s="1" t="str">
        <f>TEXT(78,"00")</f>
        <v>78</v>
      </c>
      <c r="C412" s="1" t="str">
        <f t="shared" si="27"/>
        <v>045-78</v>
      </c>
      <c r="D412" t="s">
        <v>411</v>
      </c>
      <c r="E412" t="b">
        <f>IF(COUNTIF(D412,"*"&amp;'Keyword Search'!$C$5&amp;"*"),TRUE,FALSE)</f>
        <v>1</v>
      </c>
      <c r="G412" t="str">
        <f t="shared" si="28"/>
        <v>045-78: Vacuum Cleaners, Electric, Including Parts and Accessories, Household</v>
      </c>
    </row>
    <row r="413" spans="1:7" x14ac:dyDescent="0.25">
      <c r="A413" s="1" t="str">
        <f t="shared" si="26"/>
        <v>045</v>
      </c>
      <c r="B413" s="1" t="str">
        <f>TEXT(84,"00")</f>
        <v>84</v>
      </c>
      <c r="C413" s="1" t="str">
        <f t="shared" si="27"/>
        <v>045-84</v>
      </c>
      <c r="D413" t="s">
        <v>412</v>
      </c>
      <c r="E413" t="b">
        <f>IF(COUNTIF(D413,"*"&amp;'Keyword Search'!$C$5&amp;"*"),TRUE,FALSE)</f>
        <v>1</v>
      </c>
      <c r="G413" t="str">
        <f t="shared" si="28"/>
        <v>045-84: Vent Hoods, Ranges, Household</v>
      </c>
    </row>
    <row r="414" spans="1:7" x14ac:dyDescent="0.25">
      <c r="A414" s="1" t="str">
        <f t="shared" si="26"/>
        <v>045</v>
      </c>
      <c r="B414" s="1" t="str">
        <f>TEXT(85,"00")</f>
        <v>85</v>
      </c>
      <c r="C414" s="1" t="str">
        <f t="shared" si="27"/>
        <v>045-85</v>
      </c>
      <c r="D414" t="s">
        <v>413</v>
      </c>
      <c r="E414" t="b">
        <f>IF(COUNTIF(D414,"*"&amp;'Keyword Search'!$C$5&amp;"*"),TRUE,FALSE)</f>
        <v>1</v>
      </c>
      <c r="G414" t="str">
        <f t="shared" si="28"/>
        <v>045-85: Vent Kits, Household Laundry Dryer</v>
      </c>
    </row>
    <row r="415" spans="1:7" x14ac:dyDescent="0.25">
      <c r="A415" s="1" t="str">
        <f t="shared" si="26"/>
        <v>045</v>
      </c>
      <c r="B415" s="1" t="str">
        <f>TEXT(92,"00")</f>
        <v>92</v>
      </c>
      <c r="C415" s="1" t="str">
        <f t="shared" si="27"/>
        <v>045-92</v>
      </c>
      <c r="D415" t="s">
        <v>414</v>
      </c>
      <c r="E415" t="b">
        <f>IF(COUNTIF(D415,"*"&amp;'Keyword Search'!$C$5&amp;"*"),TRUE,FALSE)</f>
        <v>1</v>
      </c>
      <c r="G415" t="str">
        <f t="shared" si="28"/>
        <v>045-92: Washers and Dryers, Coin-Operated Type (Inactive, please see commodity code 500-96 effective January 1, 2016)</v>
      </c>
    </row>
    <row r="416" spans="1:7" x14ac:dyDescent="0.25">
      <c r="A416" s="1" t="str">
        <f t="shared" si="26"/>
        <v>045</v>
      </c>
      <c r="B416" s="1" t="str">
        <f>TEXT(94,"00")</f>
        <v>94</v>
      </c>
      <c r="C416" s="1" t="str">
        <f t="shared" si="27"/>
        <v>045-94</v>
      </c>
      <c r="D416" t="s">
        <v>415</v>
      </c>
      <c r="E416" t="b">
        <f>IF(COUNTIF(D416,"*"&amp;'Keyword Search'!$C$5&amp;"*"),TRUE,FALSE)</f>
        <v>1</v>
      </c>
      <c r="G416" t="str">
        <f t="shared" si="28"/>
        <v>045-94: Washers and Dryers, Household</v>
      </c>
    </row>
    <row r="417" spans="1:7" x14ac:dyDescent="0.25">
      <c r="A417" s="1" t="str">
        <f t="shared" si="26"/>
        <v>045</v>
      </c>
      <c r="B417" s="1" t="str">
        <f>TEXT(95,"00")</f>
        <v>95</v>
      </c>
      <c r="C417" s="1" t="str">
        <f t="shared" si="27"/>
        <v>045-95</v>
      </c>
      <c r="D417" t="s">
        <v>416</v>
      </c>
      <c r="E417" t="b">
        <f>IF(COUNTIF(D417,"*"&amp;'Keyword Search'!$C$5&amp;"*"),TRUE,FALSE)</f>
        <v>1</v>
      </c>
      <c r="G417" t="str">
        <f t="shared" si="28"/>
        <v>045-95: Water Softeners, Household</v>
      </c>
    </row>
    <row r="418" spans="1:7" x14ac:dyDescent="0.25">
      <c r="A418" s="5" t="str">
        <f t="shared" ref="A418:A436" si="29">TEXT(50,"000")</f>
        <v>050</v>
      </c>
      <c r="B418" s="5" t="str">
        <f>TEXT(0,"00")</f>
        <v>00</v>
      </c>
      <c r="C418" s="1"/>
      <c r="D418" s="2" t="s">
        <v>417</v>
      </c>
    </row>
    <row r="419" spans="1:7" x14ac:dyDescent="0.25">
      <c r="A419" s="1" t="str">
        <f t="shared" si="29"/>
        <v>050</v>
      </c>
      <c r="B419" s="1" t="str">
        <f>TEXT(10,"00")</f>
        <v>10</v>
      </c>
      <c r="C419" s="1" t="str">
        <f t="shared" si="27"/>
        <v>050-10</v>
      </c>
      <c r="D419" t="s">
        <v>418</v>
      </c>
      <c r="E419" t="b">
        <f>IF(COUNTIF(D419,"*"&amp;'Keyword Search'!$C$5&amp;"*"),TRUE,FALSE)</f>
        <v>1</v>
      </c>
      <c r="G419" t="str">
        <f t="shared" si="28"/>
        <v>050-10: Block Printing Supplies</v>
      </c>
    </row>
    <row r="420" spans="1:7" x14ac:dyDescent="0.25">
      <c r="A420" s="1" t="str">
        <f t="shared" si="29"/>
        <v>050</v>
      </c>
      <c r="B420" s="1" t="str">
        <f>TEXT(20,"00")</f>
        <v>20</v>
      </c>
      <c r="C420" s="1" t="str">
        <f t="shared" si="27"/>
        <v>050-20</v>
      </c>
      <c r="D420" t="s">
        <v>419</v>
      </c>
      <c r="E420" t="b">
        <f>IF(COUNTIF(D420,"*"&amp;'Keyword Search'!$C$5&amp;"*"),TRUE,FALSE)</f>
        <v>1</v>
      </c>
      <c r="G420" t="str">
        <f t="shared" si="28"/>
        <v>050-20: Casters, Drying Racks</v>
      </c>
    </row>
    <row r="421" spans="1:7" x14ac:dyDescent="0.25">
      <c r="A421" s="1" t="str">
        <f t="shared" si="29"/>
        <v>050</v>
      </c>
      <c r="B421" s="1" t="str">
        <f>TEXT(23,"00")</f>
        <v>23</v>
      </c>
      <c r="C421" s="1" t="str">
        <f t="shared" si="27"/>
        <v>050-23</v>
      </c>
      <c r="D421" t="s">
        <v>420</v>
      </c>
      <c r="E421" t="b">
        <f>IF(COUNTIF(D421,"*"&amp;'Keyword Search'!$C$5&amp;"*"),TRUE,FALSE)</f>
        <v>1</v>
      </c>
      <c r="G421" t="str">
        <f t="shared" si="28"/>
        <v>050-23: Coatings, Protective, Artwork</v>
      </c>
    </row>
    <row r="422" spans="1:7" x14ac:dyDescent="0.25">
      <c r="A422" s="1" t="str">
        <f t="shared" si="29"/>
        <v>050</v>
      </c>
      <c r="B422" s="1" t="str">
        <f>TEXT(30,"00")</f>
        <v>30</v>
      </c>
      <c r="C422" s="1" t="str">
        <f t="shared" si="27"/>
        <v>050-30</v>
      </c>
      <c r="D422" t="s">
        <v>421</v>
      </c>
      <c r="E422" t="b">
        <f>IF(COUNTIF(D422,"*"&amp;'Keyword Search'!$C$5&amp;"*"),TRUE,FALSE)</f>
        <v>1</v>
      </c>
      <c r="G422" t="str">
        <f t="shared" si="28"/>
        <v>050-30: Cloth (For Application of Designs and Transfers): Burlap, Linen, etc.</v>
      </c>
    </row>
    <row r="423" spans="1:7" x14ac:dyDescent="0.25">
      <c r="A423" s="1" t="str">
        <f t="shared" si="29"/>
        <v>050</v>
      </c>
      <c r="B423" s="1" t="str">
        <f>TEXT(40,"00")</f>
        <v>40</v>
      </c>
      <c r="C423" s="1" t="str">
        <f t="shared" si="27"/>
        <v>050-40</v>
      </c>
      <c r="D423" t="s">
        <v>422</v>
      </c>
      <c r="E423" t="b">
        <f>IF(COUNTIF(D423,"*"&amp;'Keyword Search'!$C$5&amp;"*"),TRUE,FALSE)</f>
        <v>1</v>
      </c>
      <c r="G423" t="str">
        <f t="shared" si="28"/>
        <v>050-40: Drawing and Painting Supplies: Brushes, Canvas, Chalk, Colors (Acrylic, Oil, Water, etc.), Crayons, Palettes, Paper and Pads, Staples, etc.</v>
      </c>
    </row>
    <row r="424" spans="1:7" x14ac:dyDescent="0.25">
      <c r="A424" s="1" t="str">
        <f t="shared" si="29"/>
        <v>050</v>
      </c>
      <c r="B424" s="1" t="str">
        <f>TEXT(43,"00")</f>
        <v>43</v>
      </c>
      <c r="C424" s="1" t="str">
        <f t="shared" si="27"/>
        <v>050-43</v>
      </c>
      <c r="D424" t="s">
        <v>423</v>
      </c>
      <c r="E424" t="b">
        <f>IF(COUNTIF(D424,"*"&amp;'Keyword Search'!$C$5&amp;"*"),TRUE,FALSE)</f>
        <v>1</v>
      </c>
      <c r="G424" t="str">
        <f t="shared" si="28"/>
        <v>050-43: Glue, Paste, etc., Art</v>
      </c>
    </row>
    <row r="425" spans="1:7" x14ac:dyDescent="0.25">
      <c r="A425" s="1" t="str">
        <f t="shared" si="29"/>
        <v>050</v>
      </c>
      <c r="B425" s="1" t="str">
        <f>TEXT(46,"00")</f>
        <v>46</v>
      </c>
      <c r="C425" s="1" t="str">
        <f t="shared" si="27"/>
        <v>050-46</v>
      </c>
      <c r="D425" t="s">
        <v>424</v>
      </c>
      <c r="E425" t="b">
        <f>IF(COUNTIF(D425,"*"&amp;'Keyword Search'!$C$5&amp;"*"),TRUE,FALSE)</f>
        <v>1</v>
      </c>
      <c r="G425" t="str">
        <f t="shared" si="28"/>
        <v>050-46: Letter Cutting Machine</v>
      </c>
    </row>
    <row r="426" spans="1:7" x14ac:dyDescent="0.25">
      <c r="A426" s="1" t="str">
        <f t="shared" si="29"/>
        <v>050</v>
      </c>
      <c r="B426" s="1" t="str">
        <f>TEXT(50,"00")</f>
        <v>50</v>
      </c>
      <c r="C426" s="1" t="str">
        <f t="shared" si="27"/>
        <v>050-50</v>
      </c>
      <c r="D426" t="s">
        <v>425</v>
      </c>
      <c r="E426" t="b">
        <f>IF(COUNTIF(D426,"*"&amp;'Keyword Search'!$C$5&amp;"*"),TRUE,FALSE)</f>
        <v>1</v>
      </c>
      <c r="G426" t="str">
        <f t="shared" si="28"/>
        <v>050-50: Engraving, Etching, and Lithography Equipment and Supplies, Burins, etc.</v>
      </c>
    </row>
    <row r="427" spans="1:7" x14ac:dyDescent="0.25">
      <c r="A427" s="1" t="str">
        <f t="shared" si="29"/>
        <v>050</v>
      </c>
      <c r="B427" s="1" t="str">
        <f>TEXT(59,"00")</f>
        <v>59</v>
      </c>
      <c r="C427" s="1" t="str">
        <f t="shared" si="27"/>
        <v>050-59</v>
      </c>
      <c r="D427" t="s">
        <v>426</v>
      </c>
      <c r="E427" t="b">
        <f>IF(COUNTIF(D427,"*"&amp;'Keyword Search'!$C$5&amp;"*"),TRUE,FALSE)</f>
        <v>1</v>
      </c>
      <c r="G427" t="str">
        <f t="shared" si="28"/>
        <v>050-59: Paper, Art, Various Types</v>
      </c>
    </row>
    <row r="428" spans="1:7" x14ac:dyDescent="0.25">
      <c r="A428" s="1" t="str">
        <f t="shared" si="29"/>
        <v>050</v>
      </c>
      <c r="B428" s="1" t="str">
        <f>TEXT(60,"00")</f>
        <v>60</v>
      </c>
      <c r="C428" s="1" t="str">
        <f t="shared" si="27"/>
        <v>050-60</v>
      </c>
      <c r="D428" t="s">
        <v>427</v>
      </c>
      <c r="E428" t="b">
        <f>IF(COUNTIF(D428,"*"&amp;'Keyword Search'!$C$5&amp;"*"),TRUE,FALSE)</f>
        <v>1</v>
      </c>
      <c r="G428" t="str">
        <f t="shared" si="28"/>
        <v>050-60: Picture Frames and Framing Supplies: Mat Cutters, Mats, Molding, Stretcher Strips, etc.</v>
      </c>
    </row>
    <row r="429" spans="1:7" x14ac:dyDescent="0.25">
      <c r="A429" s="1" t="str">
        <f t="shared" si="29"/>
        <v>050</v>
      </c>
      <c r="B429" s="1" t="str">
        <f>TEXT(67,"00")</f>
        <v>67</v>
      </c>
      <c r="C429" s="1" t="str">
        <f t="shared" si="27"/>
        <v>050-67</v>
      </c>
      <c r="D429" t="s">
        <v>428</v>
      </c>
      <c r="E429" t="b">
        <f>IF(COUNTIF(D429,"*"&amp;'Keyword Search'!$C$5&amp;"*"),TRUE,FALSE)</f>
        <v>1</v>
      </c>
      <c r="G429" t="str">
        <f t="shared" si="28"/>
        <v>050-67: Racks, Art Drying, Portable and Stationary</v>
      </c>
    </row>
    <row r="430" spans="1:7" x14ac:dyDescent="0.25">
      <c r="A430" s="1" t="str">
        <f t="shared" si="29"/>
        <v>050</v>
      </c>
      <c r="B430" s="1" t="str">
        <f>TEXT(69,"00")</f>
        <v>69</v>
      </c>
      <c r="C430" s="1" t="str">
        <f t="shared" si="27"/>
        <v>050-69</v>
      </c>
      <c r="D430" t="s">
        <v>429</v>
      </c>
      <c r="E430" t="b">
        <f>IF(COUNTIF(D430,"*"&amp;'Keyword Search'!$C$5&amp;"*"),TRUE,FALSE)</f>
        <v>1</v>
      </c>
      <c r="G430" t="str">
        <f t="shared" si="28"/>
        <v>050-69: Recycled Art Equipment and Supplies</v>
      </c>
    </row>
    <row r="431" spans="1:7" x14ac:dyDescent="0.25">
      <c r="A431" s="1" t="str">
        <f t="shared" si="29"/>
        <v>050</v>
      </c>
      <c r="B431" s="1" t="str">
        <f>TEXT(80,"00")</f>
        <v>80</v>
      </c>
      <c r="C431" s="1" t="str">
        <f t="shared" si="27"/>
        <v>050-80</v>
      </c>
      <c r="D431" t="s">
        <v>430</v>
      </c>
      <c r="E431" t="b">
        <f>IF(COUNTIF(D431,"*"&amp;'Keyword Search'!$C$5&amp;"*"),TRUE,FALSE)</f>
        <v>1</v>
      </c>
      <c r="G431" t="str">
        <f t="shared" si="28"/>
        <v>050-80: Sculpturing Equipment and Supplies: Carving Boards, Casting Materials, Modeling Clay, Sculptor's Tools, etc.</v>
      </c>
    </row>
    <row r="432" spans="1:7" x14ac:dyDescent="0.25">
      <c r="A432" s="1" t="str">
        <f t="shared" si="29"/>
        <v>050</v>
      </c>
      <c r="B432" s="1" t="str">
        <f>TEXT(82,"00")</f>
        <v>82</v>
      </c>
      <c r="C432" s="1" t="str">
        <f t="shared" si="27"/>
        <v>050-82</v>
      </c>
      <c r="D432" t="s">
        <v>431</v>
      </c>
      <c r="E432" t="b">
        <f>IF(COUNTIF(D432,"*"&amp;'Keyword Search'!$C$5&amp;"*"),TRUE,FALSE)</f>
        <v>1</v>
      </c>
      <c r="G432" t="str">
        <f t="shared" si="28"/>
        <v>050-82: Shapes, Strings, Tapes, Twists, etc. Decorative Art Items</v>
      </c>
    </row>
    <row r="433" spans="1:7" x14ac:dyDescent="0.25">
      <c r="A433" s="1" t="str">
        <f t="shared" si="29"/>
        <v>050</v>
      </c>
      <c r="B433" s="1" t="str">
        <f>TEXT(85,"00")</f>
        <v>85</v>
      </c>
      <c r="C433" s="1" t="str">
        <f t="shared" si="27"/>
        <v>050-85</v>
      </c>
      <c r="D433" t="s">
        <v>432</v>
      </c>
      <c r="E433" t="b">
        <f>IF(COUNTIF(D433,"*"&amp;'Keyword Search'!$C$5&amp;"*"),TRUE,FALSE)</f>
        <v>1</v>
      </c>
      <c r="G433" t="str">
        <f t="shared" si="28"/>
        <v>050-85: Silk Screen Process Supplies</v>
      </c>
    </row>
    <row r="434" spans="1:7" x14ac:dyDescent="0.25">
      <c r="A434" s="1" t="str">
        <f t="shared" si="29"/>
        <v>050</v>
      </c>
      <c r="B434" s="1" t="str">
        <f>TEXT(87,"00")</f>
        <v>87</v>
      </c>
      <c r="C434" s="1" t="str">
        <f t="shared" si="27"/>
        <v>050-87</v>
      </c>
      <c r="D434" t="s">
        <v>433</v>
      </c>
      <c r="E434" t="b">
        <f>IF(COUNTIF(D434,"*"&amp;'Keyword Search'!$C$5&amp;"*"),TRUE,FALSE)</f>
        <v>1</v>
      </c>
      <c r="G434" t="str">
        <f t="shared" si="28"/>
        <v>050-87: Stained Glass Supplies</v>
      </c>
    </row>
    <row r="435" spans="1:7" x14ac:dyDescent="0.25">
      <c r="A435" s="1" t="str">
        <f t="shared" si="29"/>
        <v>050</v>
      </c>
      <c r="B435" s="1" t="str">
        <f>TEXT(98,"00")</f>
        <v>98</v>
      </c>
      <c r="C435" s="1" t="str">
        <f t="shared" si="27"/>
        <v>050-98</v>
      </c>
      <c r="D435" t="s">
        <v>434</v>
      </c>
      <c r="E435" t="b">
        <f>IF(COUNTIF(D435,"*"&amp;'Keyword Search'!$C$5&amp;"*"),TRUE,FALSE)</f>
        <v>1</v>
      </c>
      <c r="G435" t="str">
        <f t="shared" si="28"/>
        <v>050-98: Art Equipment &lt;$750</v>
      </c>
    </row>
    <row r="436" spans="1:7" x14ac:dyDescent="0.25">
      <c r="A436" s="1" t="str">
        <f t="shared" si="29"/>
        <v>050</v>
      </c>
      <c r="B436" s="1" t="str">
        <f>TEXT(99,"00")</f>
        <v>99</v>
      </c>
      <c r="C436" s="1" t="str">
        <f t="shared" si="27"/>
        <v>050-99</v>
      </c>
      <c r="D436" t="s">
        <v>435</v>
      </c>
      <c r="E436" t="b">
        <f>IF(COUNTIF(D436,"*"&amp;'Keyword Search'!$C$5&amp;"*"),TRUE,FALSE)</f>
        <v>1</v>
      </c>
      <c r="G436" t="str">
        <f t="shared" si="28"/>
        <v>050-99: Art Equipment $750-$5,000</v>
      </c>
    </row>
    <row r="437" spans="1:7" x14ac:dyDescent="0.25">
      <c r="A437" s="5" t="str">
        <f t="shared" ref="A437:A458" si="30">TEXT(52,"000")</f>
        <v>052</v>
      </c>
      <c r="B437" s="5" t="str">
        <f>TEXT(0,"00")</f>
        <v>00</v>
      </c>
      <c r="C437" s="1"/>
      <c r="D437" s="2" t="s">
        <v>436</v>
      </c>
    </row>
    <row r="438" spans="1:7" x14ac:dyDescent="0.25">
      <c r="A438" s="1" t="str">
        <f t="shared" si="30"/>
        <v>052</v>
      </c>
      <c r="B438" s="1" t="str">
        <f>TEXT(2,"00")</f>
        <v>02</v>
      </c>
      <c r="C438" s="1" t="str">
        <f t="shared" si="27"/>
        <v>052-02</v>
      </c>
      <c r="D438" t="s">
        <v>437</v>
      </c>
      <c r="E438" t="b">
        <f>IF(COUNTIF(D438,"*"&amp;'Keyword Search'!$C$5&amp;"*"),TRUE,FALSE)</f>
        <v>1</v>
      </c>
      <c r="G438" t="str">
        <f t="shared" si="28"/>
        <v>052-02: Antiques</v>
      </c>
    </row>
    <row r="439" spans="1:7" x14ac:dyDescent="0.25">
      <c r="A439" s="1" t="str">
        <f t="shared" si="30"/>
        <v>052</v>
      </c>
      <c r="B439" s="1" t="str">
        <f>TEXT(8,"00")</f>
        <v>08</v>
      </c>
      <c r="C439" s="1" t="str">
        <f t="shared" si="27"/>
        <v>052-08</v>
      </c>
      <c r="D439" t="s">
        <v>438</v>
      </c>
      <c r="E439" t="b">
        <f>IF(COUNTIF(D439,"*"&amp;'Keyword Search'!$C$5&amp;"*"),TRUE,FALSE)</f>
        <v>1</v>
      </c>
      <c r="G439" t="str">
        <f t="shared" si="28"/>
        <v>052-08: Ceramic and Glass Objects: Shadow Boxes, Stained Glass, etc.</v>
      </c>
    </row>
    <row r="440" spans="1:7" x14ac:dyDescent="0.25">
      <c r="A440" s="1" t="str">
        <f t="shared" si="30"/>
        <v>052</v>
      </c>
      <c r="B440" s="1" t="str">
        <f>TEXT(12,"00")</f>
        <v>12</v>
      </c>
      <c r="C440" s="1" t="str">
        <f t="shared" si="27"/>
        <v>052-12</v>
      </c>
      <c r="D440" t="s">
        <v>439</v>
      </c>
      <c r="E440" t="b">
        <f>IF(COUNTIF(D440,"*"&amp;'Keyword Search'!$C$5&amp;"*"),TRUE,FALSE)</f>
        <v>1</v>
      </c>
      <c r="G440" t="str">
        <f t="shared" si="28"/>
        <v>052-12: Collectibles, Museum Pieces, etc., (Not Otherwise Classified)</v>
      </c>
    </row>
    <row r="441" spans="1:7" x14ac:dyDescent="0.25">
      <c r="A441" s="1" t="str">
        <f t="shared" si="30"/>
        <v>052</v>
      </c>
      <c r="B441" s="1" t="str">
        <f>TEXT(14,"00")</f>
        <v>14</v>
      </c>
      <c r="C441" s="1" t="str">
        <f t="shared" si="27"/>
        <v>052-14</v>
      </c>
      <c r="D441" t="s">
        <v>440</v>
      </c>
      <c r="E441" t="b">
        <f>IF(COUNTIF(D441,"*"&amp;'Keyword Search'!$C$5&amp;"*"),TRUE,FALSE)</f>
        <v>1</v>
      </c>
      <c r="G441" t="str">
        <f t="shared" si="28"/>
        <v>052-14: Cut-Outs, Life Size and Oversized, of Animals and Symbols</v>
      </c>
    </row>
    <row r="442" spans="1:7" x14ac:dyDescent="0.25">
      <c r="A442" s="1" t="str">
        <f t="shared" si="30"/>
        <v>052</v>
      </c>
      <c r="B442" s="1" t="str">
        <f>TEXT(16,"00")</f>
        <v>16</v>
      </c>
      <c r="C442" s="1" t="str">
        <f t="shared" si="27"/>
        <v>052-16</v>
      </c>
      <c r="D442" t="s">
        <v>441</v>
      </c>
      <c r="E442" t="b">
        <f>IF(COUNTIF(D442,"*"&amp;'Keyword Search'!$C$5&amp;"*"),TRUE,FALSE)</f>
        <v>1</v>
      </c>
      <c r="G442" t="str">
        <f t="shared" si="28"/>
        <v>052-16: Drawings, Originals</v>
      </c>
    </row>
    <row r="443" spans="1:7" x14ac:dyDescent="0.25">
      <c r="A443" s="1" t="str">
        <f t="shared" si="30"/>
        <v>052</v>
      </c>
      <c r="B443" s="1" t="str">
        <f>TEXT(24,"00")</f>
        <v>24</v>
      </c>
      <c r="C443" s="1" t="str">
        <f t="shared" si="27"/>
        <v>052-24</v>
      </c>
      <c r="D443" t="s">
        <v>442</v>
      </c>
      <c r="E443" t="b">
        <f>IF(COUNTIF(D443,"*"&amp;'Keyword Search'!$C$5&amp;"*"),TRUE,FALSE)</f>
        <v>1</v>
      </c>
      <c r="G443" t="str">
        <f t="shared" si="28"/>
        <v>052-24: Engravings, Etchings, Linocuts, Lithographs, Scrolls, Serigraphs, and Similar Reproductions</v>
      </c>
    </row>
    <row r="444" spans="1:7" x14ac:dyDescent="0.25">
      <c r="A444" s="1" t="str">
        <f t="shared" si="30"/>
        <v>052</v>
      </c>
      <c r="B444" s="1" t="str">
        <f>TEXT(32,"00")</f>
        <v>32</v>
      </c>
      <c r="C444" s="1" t="str">
        <f t="shared" si="27"/>
        <v>052-32</v>
      </c>
      <c r="D444" t="s">
        <v>443</v>
      </c>
      <c r="E444" t="b">
        <f>IF(COUNTIF(D444,"*"&amp;'Keyword Search'!$C$5&amp;"*"),TRUE,FALSE)</f>
        <v>1</v>
      </c>
      <c r="G444" t="str">
        <f t="shared" si="28"/>
        <v>052-32: Fabric Designs: Silk Screen, etc.</v>
      </c>
    </row>
    <row r="445" spans="1:7" x14ac:dyDescent="0.25">
      <c r="A445" s="1" t="str">
        <f t="shared" si="30"/>
        <v>052</v>
      </c>
      <c r="B445" s="1" t="str">
        <f>TEXT(40,"00")</f>
        <v>40</v>
      </c>
      <c r="C445" s="1" t="str">
        <f t="shared" si="27"/>
        <v>052-40</v>
      </c>
      <c r="D445" t="s">
        <v>444</v>
      </c>
      <c r="E445" t="b">
        <f>IF(COUNTIF(D445,"*"&amp;'Keyword Search'!$C$5&amp;"*"),TRUE,FALSE)</f>
        <v>1</v>
      </c>
      <c r="G445" t="str">
        <f t="shared" si="28"/>
        <v>052-40: Masks</v>
      </c>
    </row>
    <row r="446" spans="1:7" x14ac:dyDescent="0.25">
      <c r="A446" s="1" t="str">
        <f t="shared" si="30"/>
        <v>052</v>
      </c>
      <c r="B446" s="1" t="str">
        <f>TEXT(48,"00")</f>
        <v>48</v>
      </c>
      <c r="C446" s="1" t="str">
        <f t="shared" si="27"/>
        <v>052-48</v>
      </c>
      <c r="D446" t="s">
        <v>445</v>
      </c>
      <c r="E446" t="b">
        <f>IF(COUNTIF(D446,"*"&amp;'Keyword Search'!$C$5&amp;"*"),TRUE,FALSE)</f>
        <v>1</v>
      </c>
      <c r="G446" t="str">
        <f t="shared" si="28"/>
        <v>052-48: Mixed Media</v>
      </c>
    </row>
    <row r="447" spans="1:7" x14ac:dyDescent="0.25">
      <c r="A447" s="1" t="str">
        <f t="shared" si="30"/>
        <v>052</v>
      </c>
      <c r="B447" s="1" t="str">
        <f>TEXT(50,"00")</f>
        <v>50</v>
      </c>
      <c r="C447" s="1" t="str">
        <f t="shared" si="27"/>
        <v>052-50</v>
      </c>
      <c r="D447" t="s">
        <v>446</v>
      </c>
      <c r="E447" t="b">
        <f>IF(COUNTIF(D447,"*"&amp;'Keyword Search'!$C$5&amp;"*"),TRUE,FALSE)</f>
        <v>1</v>
      </c>
      <c r="G447" t="str">
        <f t="shared" si="28"/>
        <v>052-50: Murals</v>
      </c>
    </row>
    <row r="448" spans="1:7" x14ac:dyDescent="0.25">
      <c r="A448" s="1" t="str">
        <f t="shared" si="30"/>
        <v>052</v>
      </c>
      <c r="B448" s="1" t="str">
        <f>TEXT(51,"00")</f>
        <v>51</v>
      </c>
      <c r="C448" s="1" t="str">
        <f t="shared" si="27"/>
        <v>052-51</v>
      </c>
      <c r="D448" t="s">
        <v>447</v>
      </c>
      <c r="E448" t="b">
        <f>IF(COUNTIF(D448,"*"&amp;'Keyword Search'!$C$5&amp;"*"),TRUE,FALSE)</f>
        <v>1</v>
      </c>
      <c r="G448" t="str">
        <f t="shared" si="28"/>
        <v>052-51: Murals, Clay</v>
      </c>
    </row>
    <row r="449" spans="1:7" x14ac:dyDescent="0.25">
      <c r="A449" s="1" t="str">
        <f t="shared" si="30"/>
        <v>052</v>
      </c>
      <c r="B449" s="1" t="str">
        <f>TEXT(52,"00")</f>
        <v>52</v>
      </c>
      <c r="C449" s="1" t="str">
        <f t="shared" si="27"/>
        <v>052-52</v>
      </c>
      <c r="D449" t="s">
        <v>448</v>
      </c>
      <c r="E449" t="b">
        <f>IF(COUNTIF(D449,"*"&amp;'Keyword Search'!$C$5&amp;"*"),TRUE,FALSE)</f>
        <v>1</v>
      </c>
      <c r="G449" t="str">
        <f t="shared" si="28"/>
        <v>052-52: Murals, Glass</v>
      </c>
    </row>
    <row r="450" spans="1:7" x14ac:dyDescent="0.25">
      <c r="A450" s="1" t="str">
        <f t="shared" si="30"/>
        <v>052</v>
      </c>
      <c r="B450" s="1" t="str">
        <f>TEXT(53,"00")</f>
        <v>53</v>
      </c>
      <c r="C450" s="1" t="str">
        <f t="shared" si="27"/>
        <v>052-53</v>
      </c>
      <c r="D450" t="s">
        <v>449</v>
      </c>
      <c r="E450" t="b">
        <f>IF(COUNTIF(D450,"*"&amp;'Keyword Search'!$C$5&amp;"*"),TRUE,FALSE)</f>
        <v>1</v>
      </c>
      <c r="G450" t="str">
        <f t="shared" si="28"/>
        <v>052-53: Murals, Photographic: Kiln Fired, Image Sublimation</v>
      </c>
    </row>
    <row r="451" spans="1:7" x14ac:dyDescent="0.25">
      <c r="A451" s="1" t="str">
        <f t="shared" si="30"/>
        <v>052</v>
      </c>
      <c r="B451" s="1" t="str">
        <f>TEXT(54,"00")</f>
        <v>54</v>
      </c>
      <c r="C451" s="1" t="str">
        <f t="shared" ref="C451:C514" si="31">CONCATENATE(A451,"-",B451)</f>
        <v>052-54</v>
      </c>
      <c r="D451" t="s">
        <v>450</v>
      </c>
      <c r="E451" t="b">
        <f>IF(COUNTIF(D451,"*"&amp;'Keyword Search'!$C$5&amp;"*"),TRUE,FALSE)</f>
        <v>1</v>
      </c>
      <c r="G451" t="str">
        <f t="shared" si="28"/>
        <v>052-54: Murals: Stone, Tile</v>
      </c>
    </row>
    <row r="452" spans="1:7" x14ac:dyDescent="0.25">
      <c r="A452" s="1" t="str">
        <f t="shared" si="30"/>
        <v>052</v>
      </c>
      <c r="B452" s="1" t="str">
        <f>TEXT(55,"00")</f>
        <v>55</v>
      </c>
      <c r="C452" s="1" t="str">
        <f t="shared" si="31"/>
        <v>052-55</v>
      </c>
      <c r="D452" t="s">
        <v>451</v>
      </c>
      <c r="E452" t="b">
        <f>IF(COUNTIF(D452,"*"&amp;'Keyword Search'!$C$5&amp;"*"),TRUE,FALSE)</f>
        <v>1</v>
      </c>
      <c r="G452" t="str">
        <f t="shared" ref="G452:G515" si="32">CONCATENATE(C452,": ",D452)</f>
        <v>052-55: Murals, Wall</v>
      </c>
    </row>
    <row r="453" spans="1:7" x14ac:dyDescent="0.25">
      <c r="A453" s="1" t="str">
        <f t="shared" si="30"/>
        <v>052</v>
      </c>
      <c r="B453" s="1" t="str">
        <f>TEXT(56,"00")</f>
        <v>56</v>
      </c>
      <c r="C453" s="1" t="str">
        <f t="shared" si="31"/>
        <v>052-56</v>
      </c>
      <c r="D453" t="s">
        <v>452</v>
      </c>
      <c r="E453" t="b">
        <f>IF(COUNTIF(D453,"*"&amp;'Keyword Search'!$C$5&amp;"*"),TRUE,FALSE)</f>
        <v>1</v>
      </c>
      <c r="G453" t="str">
        <f t="shared" si="32"/>
        <v>052-56: Paintings, Originals: Oil, Acrylic, Water Color, etc.</v>
      </c>
    </row>
    <row r="454" spans="1:7" x14ac:dyDescent="0.25">
      <c r="A454" s="1" t="str">
        <f t="shared" si="30"/>
        <v>052</v>
      </c>
      <c r="B454" s="1" t="str">
        <f>TEXT(64,"00")</f>
        <v>64</v>
      </c>
      <c r="C454" s="1" t="str">
        <f t="shared" si="31"/>
        <v>052-64</v>
      </c>
      <c r="D454" t="s">
        <v>453</v>
      </c>
      <c r="E454" t="b">
        <f>IF(COUNTIF(D454,"*"&amp;'Keyword Search'!$C$5&amp;"*"),TRUE,FALSE)</f>
        <v>1</v>
      </c>
      <c r="G454" t="str">
        <f t="shared" si="32"/>
        <v>052-64: Photographs</v>
      </c>
    </row>
    <row r="455" spans="1:7" x14ac:dyDescent="0.25">
      <c r="A455" s="1" t="str">
        <f t="shared" si="30"/>
        <v>052</v>
      </c>
      <c r="B455" s="1" t="str">
        <f>TEXT(72,"00")</f>
        <v>72</v>
      </c>
      <c r="C455" s="1" t="str">
        <f t="shared" si="31"/>
        <v>052-72</v>
      </c>
      <c r="D455" t="s">
        <v>454</v>
      </c>
      <c r="E455" t="b">
        <f>IF(COUNTIF(D455,"*"&amp;'Keyword Search'!$C$5&amp;"*"),TRUE,FALSE)</f>
        <v>1</v>
      </c>
      <c r="G455" t="str">
        <f t="shared" si="32"/>
        <v>052-72: Posters and Prints, Not Originals</v>
      </c>
    </row>
    <row r="456" spans="1:7" x14ac:dyDescent="0.25">
      <c r="A456" s="1" t="str">
        <f t="shared" si="30"/>
        <v>052</v>
      </c>
      <c r="B456" s="1" t="str">
        <f>TEXT(76,"00")</f>
        <v>76</v>
      </c>
      <c r="C456" s="1" t="str">
        <f t="shared" si="31"/>
        <v>052-76</v>
      </c>
      <c r="D456" t="s">
        <v>455</v>
      </c>
      <c r="E456" t="b">
        <f>IF(COUNTIF(D456,"*"&amp;'Keyword Search'!$C$5&amp;"*"),TRUE,FALSE)</f>
        <v>1</v>
      </c>
      <c r="G456" t="str">
        <f t="shared" si="32"/>
        <v>052-76: Recycled Art Objects</v>
      </c>
    </row>
    <row r="457" spans="1:7" x14ac:dyDescent="0.25">
      <c r="A457" s="1" t="str">
        <f t="shared" si="30"/>
        <v>052</v>
      </c>
      <c r="B457" s="1" t="str">
        <f>TEXT(80,"00")</f>
        <v>80</v>
      </c>
      <c r="C457" s="1" t="str">
        <f t="shared" si="31"/>
        <v>052-80</v>
      </c>
      <c r="D457" t="s">
        <v>456</v>
      </c>
      <c r="E457" t="b">
        <f>IF(COUNTIF(D457,"*"&amp;'Keyword Search'!$C$5&amp;"*"),TRUE,FALSE)</f>
        <v>1</v>
      </c>
      <c r="G457" t="str">
        <f t="shared" si="32"/>
        <v>052-80: Sculptures: Marble, Metal, Plastic, etc.</v>
      </c>
    </row>
    <row r="458" spans="1:7" x14ac:dyDescent="0.25">
      <c r="A458" s="1" t="str">
        <f t="shared" si="30"/>
        <v>052</v>
      </c>
      <c r="B458" s="1" t="str">
        <f>TEXT(88,"00")</f>
        <v>88</v>
      </c>
      <c r="C458" s="1" t="str">
        <f t="shared" si="31"/>
        <v>052-88</v>
      </c>
      <c r="D458" t="s">
        <v>457</v>
      </c>
      <c r="E458" t="b">
        <f>IF(COUNTIF(D458,"*"&amp;'Keyword Search'!$C$5&amp;"*"),TRUE,FALSE)</f>
        <v>1</v>
      </c>
      <c r="G458" t="str">
        <f t="shared" si="32"/>
        <v>052-88: Wood Carvings and Woodcuts</v>
      </c>
    </row>
    <row r="459" spans="1:7" x14ac:dyDescent="0.25">
      <c r="A459" s="5" t="str">
        <f t="shared" ref="A459:A517" si="33">TEXT(55,"000")</f>
        <v>055</v>
      </c>
      <c r="B459" s="5" t="str">
        <f>TEXT(0,"00")</f>
        <v>00</v>
      </c>
      <c r="C459" s="1"/>
      <c r="D459" s="2" t="s">
        <v>458</v>
      </c>
    </row>
    <row r="460" spans="1:7" x14ac:dyDescent="0.25">
      <c r="A460" s="1" t="str">
        <f t="shared" si="33"/>
        <v>055</v>
      </c>
      <c r="B460" s="1" t="str">
        <f>TEXT(2,"00")</f>
        <v>02</v>
      </c>
      <c r="C460" s="1" t="str">
        <f t="shared" si="31"/>
        <v>055-02</v>
      </c>
      <c r="D460" t="s">
        <v>459</v>
      </c>
      <c r="E460" t="b">
        <f>IF(COUNTIF(D460,"*"&amp;'Keyword Search'!$C$5&amp;"*"),TRUE,FALSE)</f>
        <v>1</v>
      </c>
      <c r="G460" t="str">
        <f t="shared" si="32"/>
        <v>055-02: Air Bags, Automotive</v>
      </c>
    </row>
    <row r="461" spans="1:7" x14ac:dyDescent="0.25">
      <c r="A461" s="1" t="str">
        <f t="shared" si="33"/>
        <v>055</v>
      </c>
      <c r="B461" s="1" t="str">
        <f>TEXT(4,"00")</f>
        <v>04</v>
      </c>
      <c r="C461" s="1" t="str">
        <f t="shared" si="31"/>
        <v>055-04</v>
      </c>
      <c r="D461" t="s">
        <v>460</v>
      </c>
      <c r="E461" t="b">
        <f>IF(COUNTIF(D461,"*"&amp;'Keyword Search'!$C$5&amp;"*"),TRUE,FALSE)</f>
        <v>1</v>
      </c>
      <c r="G461" t="str">
        <f t="shared" si="32"/>
        <v>055-04: Air Conditioners, Automotive, Including Parts and Accessories</v>
      </c>
    </row>
    <row r="462" spans="1:7" x14ac:dyDescent="0.25">
      <c r="A462" s="1" t="str">
        <f t="shared" si="33"/>
        <v>055</v>
      </c>
      <c r="B462" s="1" t="str">
        <f>TEXT(5,"00")</f>
        <v>05</v>
      </c>
      <c r="C462" s="1" t="str">
        <f t="shared" si="31"/>
        <v>055-05</v>
      </c>
      <c r="D462" t="s">
        <v>461</v>
      </c>
      <c r="E462" t="b">
        <f>IF(COUNTIF(D462,"*"&amp;'Keyword Search'!$C$5&amp;"*"),TRUE,FALSE)</f>
        <v>1</v>
      </c>
      <c r="G462" t="str">
        <f t="shared" si="32"/>
        <v>055-05: Anti-theft and Security Devices, Automotive</v>
      </c>
    </row>
    <row r="463" spans="1:7" x14ac:dyDescent="0.25">
      <c r="A463" s="1" t="str">
        <f t="shared" si="33"/>
        <v>055</v>
      </c>
      <c r="B463" s="1" t="str">
        <f>TEXT(6,"00")</f>
        <v>06</v>
      </c>
      <c r="C463" s="1" t="str">
        <f t="shared" si="31"/>
        <v>055-06</v>
      </c>
      <c r="D463" t="s">
        <v>462</v>
      </c>
      <c r="E463" t="b">
        <f>IF(COUNTIF(D463,"*"&amp;'Keyword Search'!$C$5&amp;"*"),TRUE,FALSE)</f>
        <v>1</v>
      </c>
      <c r="G463" t="str">
        <f t="shared" si="32"/>
        <v>055-06: Top Carriers, Automotive</v>
      </c>
    </row>
    <row r="464" spans="1:7" x14ac:dyDescent="0.25">
      <c r="A464" s="1" t="str">
        <f t="shared" si="33"/>
        <v>055</v>
      </c>
      <c r="B464" s="1" t="str">
        <f>TEXT(8,"00")</f>
        <v>08</v>
      </c>
      <c r="C464" s="1" t="str">
        <f t="shared" si="31"/>
        <v>055-08</v>
      </c>
      <c r="D464" t="s">
        <v>463</v>
      </c>
      <c r="E464" t="b">
        <f>IF(COUNTIF(D464,"*"&amp;'Keyword Search'!$C$5&amp;"*"),TRUE,FALSE)</f>
        <v>1</v>
      </c>
      <c r="G464" t="str">
        <f t="shared" si="32"/>
        <v>055-08: Belts, Safety, Child Restraint Systems, Car Seats, Automotive</v>
      </c>
    </row>
    <row r="465" spans="1:7" x14ac:dyDescent="0.25">
      <c r="A465" s="1" t="str">
        <f t="shared" si="33"/>
        <v>055</v>
      </c>
      <c r="B465" s="1" t="str">
        <f>TEXT(10,"00")</f>
        <v>10</v>
      </c>
      <c r="C465" s="1" t="str">
        <f t="shared" si="31"/>
        <v>055-10</v>
      </c>
      <c r="D465" t="s">
        <v>464</v>
      </c>
      <c r="E465" t="b">
        <f>IF(COUNTIF(D465,"*"&amp;'Keyword Search'!$C$5&amp;"*"),TRUE,FALSE)</f>
        <v>1</v>
      </c>
      <c r="G465" t="str">
        <f t="shared" si="32"/>
        <v>055-10: Brake Adjusters (Inactive, please see commodity code 060-14 effective January 1, 2016)</v>
      </c>
    </row>
    <row r="466" spans="1:7" x14ac:dyDescent="0.25">
      <c r="A466" s="1" t="str">
        <f t="shared" si="33"/>
        <v>055</v>
      </c>
      <c r="B466" s="1" t="str">
        <f>TEXT(11,"00")</f>
        <v>11</v>
      </c>
      <c r="C466" s="1" t="str">
        <f t="shared" si="31"/>
        <v>055-11</v>
      </c>
      <c r="D466" t="s">
        <v>465</v>
      </c>
      <c r="E466" t="b">
        <f>IF(COUNTIF(D466,"*"&amp;'Keyword Search'!$C$5&amp;"*"),TRUE,FALSE)</f>
        <v>1</v>
      </c>
      <c r="G466" t="str">
        <f t="shared" si="32"/>
        <v>055-11: Bug Screens and Protective Shields, Automotive</v>
      </c>
    </row>
    <row r="467" spans="1:7" x14ac:dyDescent="0.25">
      <c r="A467" s="1" t="str">
        <f t="shared" si="33"/>
        <v>055</v>
      </c>
      <c r="B467" s="1" t="str">
        <f>TEXT(12,"00")</f>
        <v>12</v>
      </c>
      <c r="C467" s="1" t="str">
        <f t="shared" si="31"/>
        <v>055-12</v>
      </c>
      <c r="D467" t="s">
        <v>466</v>
      </c>
      <c r="E467" t="b">
        <f>IF(COUNTIF(D467,"*"&amp;'Keyword Search'!$C$5&amp;"*"),TRUE,FALSE)</f>
        <v>1</v>
      </c>
      <c r="G467" t="str">
        <f t="shared" si="32"/>
        <v>055-12: Cameras, Video, Automotive</v>
      </c>
    </row>
    <row r="468" spans="1:7" x14ac:dyDescent="0.25">
      <c r="A468" s="1" t="str">
        <f t="shared" si="33"/>
        <v>055</v>
      </c>
      <c r="B468" s="1" t="str">
        <f>TEXT(13,"00")</f>
        <v>13</v>
      </c>
      <c r="C468" s="1" t="str">
        <f t="shared" si="31"/>
        <v>055-13</v>
      </c>
      <c r="D468" t="s">
        <v>467</v>
      </c>
      <c r="E468" t="b">
        <f>IF(COUNTIF(D468,"*"&amp;'Keyword Search'!$C$5&amp;"*"),TRUE,FALSE)</f>
        <v>1</v>
      </c>
      <c r="G468" t="str">
        <f t="shared" si="32"/>
        <v>055-13: Car Seats for Infants (Inactive, please see commodity code 055-08 effective January 1, 2016)</v>
      </c>
    </row>
    <row r="469" spans="1:7" x14ac:dyDescent="0.25">
      <c r="A469" s="1" t="str">
        <f t="shared" si="33"/>
        <v>055</v>
      </c>
      <c r="B469" s="1" t="str">
        <f>TEXT(15,"00")</f>
        <v>15</v>
      </c>
      <c r="C469" s="1" t="str">
        <f t="shared" si="31"/>
        <v>055-15</v>
      </c>
      <c r="D469" t="s">
        <v>468</v>
      </c>
      <c r="E469" t="b">
        <f>IF(COUNTIF(D469,"*"&amp;'Keyword Search'!$C$5&amp;"*"),TRUE,FALSE)</f>
        <v>1</v>
      </c>
      <c r="G469" t="str">
        <f t="shared" si="32"/>
        <v>055-15: Chains and Traction Belts, Tire, Automotive</v>
      </c>
    </row>
    <row r="470" spans="1:7" x14ac:dyDescent="0.25">
      <c r="A470" s="1" t="str">
        <f t="shared" si="33"/>
        <v>055</v>
      </c>
      <c r="B470" s="1" t="str">
        <f>TEXT(16,"00")</f>
        <v>16</v>
      </c>
      <c r="C470" s="1" t="str">
        <f t="shared" si="31"/>
        <v>055-16</v>
      </c>
      <c r="D470" t="s">
        <v>469</v>
      </c>
      <c r="E470" t="b">
        <f>IF(COUNTIF(D470,"*"&amp;'Keyword Search'!$C$5&amp;"*"),TRUE,FALSE)</f>
        <v>1</v>
      </c>
      <c r="G470" t="str">
        <f t="shared" si="32"/>
        <v>055-16: Consoles, Police, Automobiles (Includes Controls for P.A., Sirens, Warning Devices)</v>
      </c>
    </row>
    <row r="471" spans="1:7" x14ac:dyDescent="0.25">
      <c r="A471" s="1" t="str">
        <f t="shared" si="33"/>
        <v>055</v>
      </c>
      <c r="B471" s="1" t="str">
        <f>TEXT(17,"00")</f>
        <v>17</v>
      </c>
      <c r="C471" s="1" t="str">
        <f t="shared" si="31"/>
        <v>055-17</v>
      </c>
      <c r="D471" t="s">
        <v>470</v>
      </c>
      <c r="E471" t="b">
        <f>IF(COUNTIF(D471,"*"&amp;'Keyword Search'!$C$5&amp;"*"),TRUE,FALSE)</f>
        <v>1</v>
      </c>
      <c r="G471" t="str">
        <f t="shared" si="32"/>
        <v>055-17: Console Accessories, Emergency Response Automobiles</v>
      </c>
    </row>
    <row r="472" spans="1:7" x14ac:dyDescent="0.25">
      <c r="A472" s="1" t="str">
        <f t="shared" si="33"/>
        <v>055</v>
      </c>
      <c r="B472" s="1" t="str">
        <f>TEXT(18,"00")</f>
        <v>18</v>
      </c>
      <c r="C472" s="1" t="str">
        <f t="shared" si="31"/>
        <v>055-18</v>
      </c>
      <c r="D472" t="s">
        <v>471</v>
      </c>
      <c r="E472" t="b">
        <f>IF(COUNTIF(D472,"*"&amp;'Keyword Search'!$C$5&amp;"*"),TRUE,FALSE)</f>
        <v>1</v>
      </c>
      <c r="G472" t="str">
        <f t="shared" si="32"/>
        <v>055-18: Controls, Physically Impaired, Automotive</v>
      </c>
    </row>
    <row r="473" spans="1:7" x14ac:dyDescent="0.25">
      <c r="A473" s="1" t="str">
        <f t="shared" si="33"/>
        <v>055</v>
      </c>
      <c r="B473" s="1" t="str">
        <f>TEXT(20,"00")</f>
        <v>20</v>
      </c>
      <c r="C473" s="1" t="str">
        <f t="shared" si="31"/>
        <v>055-20</v>
      </c>
      <c r="D473" t="s">
        <v>472</v>
      </c>
      <c r="E473" t="b">
        <f>IF(COUNTIF(D473,"*"&amp;'Keyword Search'!$C$5&amp;"*"),TRUE,FALSE)</f>
        <v>1</v>
      </c>
      <c r="G473" t="str">
        <f t="shared" si="32"/>
        <v>055-20: Conversion Kits and Systems: CNG, LPG, etc. Gases, Automotive</v>
      </c>
    </row>
    <row r="474" spans="1:7" x14ac:dyDescent="0.25">
      <c r="A474" s="1" t="str">
        <f t="shared" si="33"/>
        <v>055</v>
      </c>
      <c r="B474" s="1" t="str">
        <f>TEXT(21,"00")</f>
        <v>21</v>
      </c>
      <c r="C474" s="1" t="str">
        <f t="shared" si="31"/>
        <v>055-21</v>
      </c>
      <c r="D474" t="s">
        <v>473</v>
      </c>
      <c r="E474" t="b">
        <f>IF(COUNTIF(D474,"*"&amp;'Keyword Search'!$C$5&amp;"*"),TRUE,FALSE)</f>
        <v>1</v>
      </c>
      <c r="G474" t="str">
        <f t="shared" si="32"/>
        <v>055-21: Couplings and Hitches, Automotive</v>
      </c>
    </row>
    <row r="475" spans="1:7" x14ac:dyDescent="0.25">
      <c r="A475" s="1" t="str">
        <f t="shared" si="33"/>
        <v>055</v>
      </c>
      <c r="B475" s="1" t="str">
        <f>TEXT(24,"00")</f>
        <v>24</v>
      </c>
      <c r="C475" s="1" t="str">
        <f t="shared" si="31"/>
        <v>055-24</v>
      </c>
      <c r="D475" t="s">
        <v>474</v>
      </c>
      <c r="E475" t="b">
        <f>IF(COUNTIF(D475,"*"&amp;'Keyword Search'!$C$5&amp;"*"),TRUE,FALSE)</f>
        <v>1</v>
      </c>
      <c r="G475" t="str">
        <f t="shared" si="32"/>
        <v>055-24: Cushions and Covers, Seat, Automotive</v>
      </c>
    </row>
    <row r="476" spans="1:7" x14ac:dyDescent="0.25">
      <c r="A476" s="1" t="str">
        <f t="shared" si="33"/>
        <v>055</v>
      </c>
      <c r="B476" s="1" t="str">
        <f>TEXT(27,"00")</f>
        <v>27</v>
      </c>
      <c r="C476" s="1" t="str">
        <f t="shared" si="31"/>
        <v>055-27</v>
      </c>
      <c r="D476" t="s">
        <v>475</v>
      </c>
      <c r="E476" t="b">
        <f>IF(COUNTIF(D476,"*"&amp;'Keyword Search'!$C$5&amp;"*"),TRUE,FALSE)</f>
        <v>1</v>
      </c>
      <c r="G476" t="str">
        <f t="shared" si="32"/>
        <v>055-27: Emergency Kits: First Aid Kit, Tools, etc., Automotive</v>
      </c>
    </row>
    <row r="477" spans="1:7" x14ac:dyDescent="0.25">
      <c r="A477" s="1" t="str">
        <f t="shared" si="33"/>
        <v>055</v>
      </c>
      <c r="B477" s="1" t="str">
        <f>TEXT(28,"00")</f>
        <v>28</v>
      </c>
      <c r="C477" s="1" t="str">
        <f t="shared" si="31"/>
        <v>055-28</v>
      </c>
      <c r="D477" t="s">
        <v>476</v>
      </c>
      <c r="E477" t="b">
        <f>IF(COUNTIF(D477,"*"&amp;'Keyword Search'!$C$5&amp;"*"),TRUE,FALSE)</f>
        <v>1</v>
      </c>
      <c r="G477" t="str">
        <f t="shared" si="32"/>
        <v>055-28: Fans, Cab (Inactive, effective January 1, 2016)</v>
      </c>
    </row>
    <row r="478" spans="1:7" x14ac:dyDescent="0.25">
      <c r="A478" s="1" t="str">
        <f t="shared" si="33"/>
        <v>055</v>
      </c>
      <c r="B478" s="1" t="str">
        <f>TEXT(30,"00")</f>
        <v>30</v>
      </c>
      <c r="C478" s="1" t="str">
        <f t="shared" si="31"/>
        <v>055-30</v>
      </c>
      <c r="D478" t="s">
        <v>477</v>
      </c>
      <c r="E478" t="b">
        <f>IF(COUNTIF(D478,"*"&amp;'Keyword Search'!$C$5&amp;"*"),TRUE,FALSE)</f>
        <v>1</v>
      </c>
      <c r="G478" t="str">
        <f t="shared" si="32"/>
        <v>055-30: Fifth Wheels (Inactive, effective January 1, 2016)</v>
      </c>
    </row>
    <row r="479" spans="1:7" x14ac:dyDescent="0.25">
      <c r="A479" s="1" t="str">
        <f t="shared" si="33"/>
        <v>055</v>
      </c>
      <c r="B479" s="1" t="str">
        <f>TEXT(32,"00")</f>
        <v>32</v>
      </c>
      <c r="C479" s="1" t="str">
        <f t="shared" si="31"/>
        <v>055-32</v>
      </c>
      <c r="D479" t="s">
        <v>478</v>
      </c>
      <c r="E479" t="b">
        <f>IF(COUNTIF(D479,"*"&amp;'Keyword Search'!$C$5&amp;"*"),TRUE,FALSE)</f>
        <v>1</v>
      </c>
      <c r="G479" t="str">
        <f t="shared" si="32"/>
        <v>055-32: Gauges, Automotive, Including Speedometers</v>
      </c>
    </row>
    <row r="480" spans="1:7" x14ac:dyDescent="0.25">
      <c r="A480" s="1" t="str">
        <f t="shared" si="33"/>
        <v>055</v>
      </c>
      <c r="B480" s="1" t="str">
        <f>TEXT(33,"00")</f>
        <v>33</v>
      </c>
      <c r="C480" s="1" t="str">
        <f t="shared" si="31"/>
        <v>055-33</v>
      </c>
      <c r="D480" t="s">
        <v>479</v>
      </c>
      <c r="E480" t="b">
        <f>IF(COUNTIF(D480,"*"&amp;'Keyword Search'!$C$5&amp;"*"),TRUE,FALSE)</f>
        <v>1</v>
      </c>
      <c r="G480" t="str">
        <f t="shared" si="32"/>
        <v>055-33: Grease Guns, Automotive</v>
      </c>
    </row>
    <row r="481" spans="1:7" x14ac:dyDescent="0.25">
      <c r="A481" s="1" t="str">
        <f t="shared" si="33"/>
        <v>055</v>
      </c>
      <c r="B481" s="1" t="str">
        <f>TEXT(34,"00")</f>
        <v>34</v>
      </c>
      <c r="C481" s="1" t="str">
        <f t="shared" si="31"/>
        <v>055-34</v>
      </c>
      <c r="D481" t="s">
        <v>480</v>
      </c>
      <c r="E481" t="b">
        <f>IF(COUNTIF(D481,"*"&amp;'Keyword Search'!$C$5&amp;"*"),TRUE,FALSE)</f>
        <v>1</v>
      </c>
      <c r="G481" t="str">
        <f t="shared" si="32"/>
        <v>055-34: Generators, 110V, Attached to and Operated by Automotive Engine</v>
      </c>
    </row>
    <row r="482" spans="1:7" x14ac:dyDescent="0.25">
      <c r="A482" s="1" t="str">
        <f t="shared" si="33"/>
        <v>055</v>
      </c>
      <c r="B482" s="1" t="str">
        <f>TEXT(35,"00")</f>
        <v>35</v>
      </c>
      <c r="C482" s="1" t="str">
        <f t="shared" si="31"/>
        <v>055-35</v>
      </c>
      <c r="D482" t="s">
        <v>481</v>
      </c>
      <c r="E482" t="b">
        <f>IF(COUNTIF(D482,"*"&amp;'Keyword Search'!$C$5&amp;"*"),TRUE,FALSE)</f>
        <v>1</v>
      </c>
      <c r="G482" t="str">
        <f t="shared" si="32"/>
        <v>055-35: *Global Positioning Systems for Tracking Vehicles</v>
      </c>
    </row>
    <row r="483" spans="1:7" x14ac:dyDescent="0.25">
      <c r="A483" s="1" t="str">
        <f t="shared" si="33"/>
        <v>055</v>
      </c>
      <c r="B483" s="1" t="str">
        <f>TEXT(36,"00")</f>
        <v>36</v>
      </c>
      <c r="C483" s="1" t="str">
        <f t="shared" si="31"/>
        <v>055-36</v>
      </c>
      <c r="D483" t="s">
        <v>482</v>
      </c>
      <c r="E483" t="b">
        <f>IF(COUNTIF(D483,"*"&amp;'Keyword Search'!$C$5&amp;"*"),TRUE,FALSE)</f>
        <v>1</v>
      </c>
      <c r="G483" t="str">
        <f t="shared" si="32"/>
        <v>055-36: Grille Guards and Crash Cushions, Automotive</v>
      </c>
    </row>
    <row r="484" spans="1:7" x14ac:dyDescent="0.25">
      <c r="A484" s="1" t="str">
        <f t="shared" si="33"/>
        <v>055</v>
      </c>
      <c r="B484" s="1" t="str">
        <f>TEXT(37,"00")</f>
        <v>37</v>
      </c>
      <c r="C484" s="1" t="str">
        <f t="shared" si="31"/>
        <v>055-37</v>
      </c>
      <c r="D484" t="s">
        <v>483</v>
      </c>
      <c r="E484" t="b">
        <f>IF(COUNTIF(D484,"*"&amp;'Keyword Search'!$C$5&amp;"*"),TRUE,FALSE)</f>
        <v>1</v>
      </c>
      <c r="G484" t="str">
        <f t="shared" si="32"/>
        <v>055-37: Headlights, Lamps, Automotive, Including Parts and Accessories</v>
      </c>
    </row>
    <row r="485" spans="1:7" x14ac:dyDescent="0.25">
      <c r="A485" s="1" t="str">
        <f t="shared" si="33"/>
        <v>055</v>
      </c>
      <c r="B485" s="1" t="str">
        <f>TEXT(38,"00")</f>
        <v>38</v>
      </c>
      <c r="C485" s="1" t="str">
        <f t="shared" si="31"/>
        <v>055-38</v>
      </c>
      <c r="D485" t="s">
        <v>484</v>
      </c>
      <c r="E485" t="b">
        <f>IF(COUNTIF(D485,"*"&amp;'Keyword Search'!$C$5&amp;"*"),TRUE,FALSE)</f>
        <v>1</v>
      </c>
      <c r="G485" t="str">
        <f t="shared" si="32"/>
        <v>055-38: Heaters, Defrosters, and Defogging Systems, Automotive</v>
      </c>
    </row>
    <row r="486" spans="1:7" x14ac:dyDescent="0.25">
      <c r="A486" s="1" t="str">
        <f t="shared" si="33"/>
        <v>055</v>
      </c>
      <c r="B486" s="1" t="str">
        <f>TEXT(39,"00")</f>
        <v>39</v>
      </c>
      <c r="C486" s="1" t="str">
        <f t="shared" si="31"/>
        <v>055-39</v>
      </c>
      <c r="D486" t="s">
        <v>485</v>
      </c>
      <c r="E486" t="b">
        <f>IF(COUNTIF(D486,"*"&amp;'Keyword Search'!$C$5&amp;"*"),TRUE,FALSE)</f>
        <v>1</v>
      </c>
      <c r="G486" t="str">
        <f t="shared" si="32"/>
        <v>055-39: Immobilizer Devices, Automotive</v>
      </c>
    </row>
    <row r="487" spans="1:7" x14ac:dyDescent="0.25">
      <c r="A487" s="1" t="str">
        <f t="shared" si="33"/>
        <v>055</v>
      </c>
      <c r="B487" s="1" t="str">
        <f>TEXT(40,"00")</f>
        <v>40</v>
      </c>
      <c r="C487" s="1" t="str">
        <f t="shared" si="31"/>
        <v>055-40</v>
      </c>
      <c r="D487" t="s">
        <v>486</v>
      </c>
      <c r="E487" t="b">
        <f>IF(COUNTIF(D487,"*"&amp;'Keyword Search'!$C$5&amp;"*"),TRUE,FALSE)</f>
        <v>1</v>
      </c>
      <c r="G487" t="str">
        <f t="shared" si="32"/>
        <v>055-40: Interior Trim Items, Automotive</v>
      </c>
    </row>
    <row r="488" spans="1:7" x14ac:dyDescent="0.25">
      <c r="A488" s="1" t="str">
        <f t="shared" si="33"/>
        <v>055</v>
      </c>
      <c r="B488" s="1" t="str">
        <f>TEXT(43,"00")</f>
        <v>43</v>
      </c>
      <c r="C488" s="1" t="str">
        <f t="shared" si="31"/>
        <v>055-43</v>
      </c>
      <c r="D488" t="s">
        <v>487</v>
      </c>
      <c r="E488" t="b">
        <f>IF(COUNTIF(D488,"*"&amp;'Keyword Search'!$C$5&amp;"*"),TRUE,FALSE)</f>
        <v>1</v>
      </c>
      <c r="G488" t="str">
        <f t="shared" si="32"/>
        <v>055-43: Labeling Systems, Automotive</v>
      </c>
    </row>
    <row r="489" spans="1:7" x14ac:dyDescent="0.25">
      <c r="A489" s="1" t="str">
        <f t="shared" si="33"/>
        <v>055</v>
      </c>
      <c r="B489" s="1" t="str">
        <f>TEXT(46,"00")</f>
        <v>46</v>
      </c>
      <c r="C489" s="1" t="str">
        <f t="shared" si="31"/>
        <v>055-46</v>
      </c>
      <c r="D489" t="s">
        <v>488</v>
      </c>
      <c r="E489" t="b">
        <f>IF(COUNTIF(D489,"*"&amp;'Keyword Search'!$C$5&amp;"*"),TRUE,FALSE)</f>
        <v>1</v>
      </c>
      <c r="G489" t="str">
        <f t="shared" si="32"/>
        <v>055-46: Lights and Lens: Back-up, Stop, Tail, and Parking, Automotive</v>
      </c>
    </row>
    <row r="490" spans="1:7" x14ac:dyDescent="0.25">
      <c r="A490" s="1" t="str">
        <f t="shared" si="33"/>
        <v>055</v>
      </c>
      <c r="B490" s="1" t="str">
        <f>TEXT(48,"00")</f>
        <v>48</v>
      </c>
      <c r="C490" s="1" t="str">
        <f t="shared" si="31"/>
        <v>055-48</v>
      </c>
      <c r="D490" t="s">
        <v>489</v>
      </c>
      <c r="E490" t="b">
        <f>IF(COUNTIF(D490,"*"&amp;'Keyword Search'!$C$5&amp;"*"),TRUE,FALSE)</f>
        <v>1</v>
      </c>
      <c r="G490" t="str">
        <f t="shared" si="32"/>
        <v>055-48: Lights and Lens: Clearance and Marker, Including License Plate Lights, Automotive</v>
      </c>
    </row>
    <row r="491" spans="1:7" x14ac:dyDescent="0.25">
      <c r="A491" s="1" t="str">
        <f t="shared" si="33"/>
        <v>055</v>
      </c>
      <c r="B491" s="1" t="str">
        <f>TEXT(51,"00")</f>
        <v>51</v>
      </c>
      <c r="C491" s="1" t="str">
        <f t="shared" si="31"/>
        <v>055-51</v>
      </c>
      <c r="D491" t="s">
        <v>490</v>
      </c>
      <c r="E491" t="b">
        <f>IF(COUNTIF(D491,"*"&amp;'Keyword Search'!$C$5&amp;"*"),TRUE,FALSE)</f>
        <v>1</v>
      </c>
      <c r="G491" t="str">
        <f t="shared" si="32"/>
        <v>055-51: Lights and Lens: Directional and Turn Signal, Automotive</v>
      </c>
    </row>
    <row r="492" spans="1:7" x14ac:dyDescent="0.25">
      <c r="A492" s="1" t="str">
        <f t="shared" si="33"/>
        <v>055</v>
      </c>
      <c r="B492" s="1" t="str">
        <f>TEXT(54,"00")</f>
        <v>54</v>
      </c>
      <c r="C492" s="1" t="str">
        <f t="shared" si="31"/>
        <v>055-54</v>
      </c>
      <c r="D492" t="s">
        <v>491</v>
      </c>
      <c r="E492" t="b">
        <f>IF(COUNTIF(D492,"*"&amp;'Keyword Search'!$C$5&amp;"*"),TRUE,FALSE)</f>
        <v>1</v>
      </c>
      <c r="G492" t="str">
        <f t="shared" si="32"/>
        <v>055-54: Lights and Lens: Emergency, Flood, Trouble and Spotlights, Automotive</v>
      </c>
    </row>
    <row r="493" spans="1:7" x14ac:dyDescent="0.25">
      <c r="A493" s="1" t="str">
        <f t="shared" si="33"/>
        <v>055</v>
      </c>
      <c r="B493" s="1" t="str">
        <f>TEXT(56,"00")</f>
        <v>56</v>
      </c>
      <c r="C493" s="1" t="str">
        <f t="shared" si="31"/>
        <v>055-56</v>
      </c>
      <c r="D493" t="s">
        <v>492</v>
      </c>
      <c r="E493" t="b">
        <f>IF(COUNTIF(D493,"*"&amp;'Keyword Search'!$C$5&amp;"*"),TRUE,FALSE)</f>
        <v>1</v>
      </c>
      <c r="G493" t="str">
        <f t="shared" si="32"/>
        <v>055-56: Lights and Lens: Miniature, Automotive</v>
      </c>
    </row>
    <row r="494" spans="1:7" x14ac:dyDescent="0.25">
      <c r="A494" s="1" t="str">
        <f t="shared" si="33"/>
        <v>055</v>
      </c>
      <c r="B494" s="1" t="str">
        <f>TEXT(57,"00")</f>
        <v>57</v>
      </c>
      <c r="C494" s="1" t="str">
        <f t="shared" si="31"/>
        <v>055-57</v>
      </c>
      <c r="D494" t="s">
        <v>493</v>
      </c>
      <c r="E494" t="b">
        <f>IF(COUNTIF(D494,"*"&amp;'Keyword Search'!$C$5&amp;"*"),TRUE,FALSE)</f>
        <v>1</v>
      </c>
      <c r="G494" t="str">
        <f t="shared" si="32"/>
        <v>055-57: Lights and Accessories: Flashing, Light Bars, Revolving, and Warning, Including Strobe/Warning Lights, Automotive</v>
      </c>
    </row>
    <row r="495" spans="1:7" x14ac:dyDescent="0.25">
      <c r="A495" s="1" t="str">
        <f t="shared" si="33"/>
        <v>055</v>
      </c>
      <c r="B495" s="1" t="str">
        <f>TEXT(58,"00")</f>
        <v>58</v>
      </c>
      <c r="C495" s="1" t="str">
        <f t="shared" si="31"/>
        <v>055-58</v>
      </c>
      <c r="D495" t="s">
        <v>494</v>
      </c>
      <c r="E495" t="b">
        <f>IF(COUNTIF(D495,"*"&amp;'Keyword Search'!$C$5&amp;"*"),TRUE,FALSE)</f>
        <v>1</v>
      </c>
      <c r="G495" t="str">
        <f t="shared" si="32"/>
        <v>055-58: Lights and Lens, Automotive (Not Otherwise Classified)</v>
      </c>
    </row>
    <row r="496" spans="1:7" x14ac:dyDescent="0.25">
      <c r="A496" s="1" t="str">
        <f t="shared" si="33"/>
        <v>055</v>
      </c>
      <c r="B496" s="1" t="str">
        <f>TEXT(61,"00")</f>
        <v>61</v>
      </c>
      <c r="C496" s="1" t="str">
        <f t="shared" si="31"/>
        <v>055-61</v>
      </c>
      <c r="D496" t="s">
        <v>495</v>
      </c>
      <c r="E496" t="b">
        <f>IF(COUNTIF(D496,"*"&amp;'Keyword Search'!$C$5&amp;"*"),TRUE,FALSE)</f>
        <v>1</v>
      </c>
      <c r="G496" t="str">
        <f t="shared" si="32"/>
        <v>055-61: Mats, Floor (See 760-56 for Heavy Equipment Type), Automotive</v>
      </c>
    </row>
    <row r="497" spans="1:7" x14ac:dyDescent="0.25">
      <c r="A497" s="1" t="str">
        <f t="shared" si="33"/>
        <v>055</v>
      </c>
      <c r="B497" s="1" t="str">
        <f>TEXT(64,"00")</f>
        <v>64</v>
      </c>
      <c r="C497" s="1" t="str">
        <f t="shared" si="31"/>
        <v>055-64</v>
      </c>
      <c r="D497" t="s">
        <v>496</v>
      </c>
      <c r="E497" t="b">
        <f>IF(COUNTIF(D497,"*"&amp;'Keyword Search'!$C$5&amp;"*"),TRUE,FALSE)</f>
        <v>1</v>
      </c>
      <c r="G497" t="str">
        <f t="shared" si="32"/>
        <v>055-64: Mirrors: Rearview, Interior and Exterior, Automotive</v>
      </c>
    </row>
    <row r="498" spans="1:7" x14ac:dyDescent="0.25">
      <c r="A498" s="1" t="str">
        <f t="shared" si="33"/>
        <v>055</v>
      </c>
      <c r="B498" s="1" t="str">
        <f>TEXT(66,"00")</f>
        <v>66</v>
      </c>
      <c r="C498" s="1" t="str">
        <f t="shared" si="31"/>
        <v>055-66</v>
      </c>
      <c r="D498" t="s">
        <v>497</v>
      </c>
      <c r="E498" t="b">
        <f>IF(COUNTIF(D498,"*"&amp;'Keyword Search'!$C$5&amp;"*"),TRUE,FALSE)</f>
        <v>1</v>
      </c>
      <c r="G498" t="str">
        <f t="shared" si="32"/>
        <v>055-66: Moisture Separators, Automotive</v>
      </c>
    </row>
    <row r="499" spans="1:7" x14ac:dyDescent="0.25">
      <c r="A499" s="1" t="str">
        <f t="shared" si="33"/>
        <v>055</v>
      </c>
      <c r="B499" s="1" t="str">
        <f>TEXT(67,"00")</f>
        <v>67</v>
      </c>
      <c r="C499" s="1" t="str">
        <f t="shared" si="31"/>
        <v>055-67</v>
      </c>
      <c r="D499" t="s">
        <v>498</v>
      </c>
      <c r="E499" t="b">
        <f>IF(COUNTIF(D499,"*"&amp;'Keyword Search'!$C$5&amp;"*"),TRUE,FALSE)</f>
        <v>1</v>
      </c>
      <c r="G499" t="str">
        <f t="shared" si="32"/>
        <v>055-67: Mounting Hardware: Laptops, GPS, Cameras, Electronic Devices, etc. Automotive.</v>
      </c>
    </row>
    <row r="500" spans="1:7" x14ac:dyDescent="0.25">
      <c r="A500" s="1" t="str">
        <f t="shared" si="33"/>
        <v>055</v>
      </c>
      <c r="B500" s="1" t="str">
        <f>TEXT(68,"00")</f>
        <v>68</v>
      </c>
      <c r="C500" s="1" t="str">
        <f t="shared" si="31"/>
        <v>055-68</v>
      </c>
      <c r="D500" t="s">
        <v>499</v>
      </c>
      <c r="E500" t="b">
        <f>IF(COUNTIF(D500,"*"&amp;'Keyword Search'!$C$5&amp;"*"),TRUE,FALSE)</f>
        <v>1</v>
      </c>
      <c r="G500" t="str">
        <f t="shared" si="32"/>
        <v>055-68: Monitors, Computerized and Wireless, Including Equipment Utilization, Engine/Driver Performance, Brakes, Lights, RPM, Temperature, etc.</v>
      </c>
    </row>
    <row r="501" spans="1:7" x14ac:dyDescent="0.25">
      <c r="A501" s="1" t="str">
        <f t="shared" si="33"/>
        <v>055</v>
      </c>
      <c r="B501" s="1" t="str">
        <f>TEXT(69,"00")</f>
        <v>69</v>
      </c>
      <c r="C501" s="1" t="str">
        <f t="shared" si="31"/>
        <v>055-69</v>
      </c>
      <c r="D501" t="s">
        <v>500</v>
      </c>
      <c r="E501" t="b">
        <f>IF(COUNTIF(D501,"*"&amp;'Keyword Search'!$C$5&amp;"*"),TRUE,FALSE)</f>
        <v>1</v>
      </c>
      <c r="G501" t="str">
        <f t="shared" si="32"/>
        <v>055-69: Organizers: Cup Holders, Tissue Dispenser, etc., Automotive</v>
      </c>
    </row>
    <row r="502" spans="1:7" x14ac:dyDescent="0.25">
      <c r="A502" s="1" t="str">
        <f t="shared" si="33"/>
        <v>055</v>
      </c>
      <c r="B502" s="1" t="str">
        <f>TEXT(70,"00")</f>
        <v>70</v>
      </c>
      <c r="C502" s="1" t="str">
        <f t="shared" si="31"/>
        <v>055-70</v>
      </c>
      <c r="D502" t="s">
        <v>501</v>
      </c>
      <c r="E502" t="b">
        <f>IF(COUNTIF(D502,"*"&amp;'Keyword Search'!$C$5&amp;"*"),TRUE,FALSE)</f>
        <v>1</v>
      </c>
      <c r="G502" t="str">
        <f t="shared" si="32"/>
        <v>055-70: Power Takeoff, Automotive</v>
      </c>
    </row>
    <row r="503" spans="1:7" x14ac:dyDescent="0.25">
      <c r="A503" s="1" t="str">
        <f t="shared" si="33"/>
        <v>055</v>
      </c>
      <c r="B503" s="1" t="str">
        <f>TEXT(72,"00")</f>
        <v>72</v>
      </c>
      <c r="C503" s="1" t="str">
        <f t="shared" si="31"/>
        <v>055-72</v>
      </c>
      <c r="D503" t="s">
        <v>502</v>
      </c>
      <c r="E503" t="b">
        <f>IF(COUNTIF(D503,"*"&amp;'Keyword Search'!$C$5&amp;"*"),TRUE,FALSE)</f>
        <v>1</v>
      </c>
      <c r="G503" t="str">
        <f t="shared" si="32"/>
        <v>055-72: Propane/Butane or Natural Gas Conversion Equipment, Automotive</v>
      </c>
    </row>
    <row r="504" spans="1:7" x14ac:dyDescent="0.25">
      <c r="A504" s="1" t="str">
        <f t="shared" si="33"/>
        <v>055</v>
      </c>
      <c r="B504" s="1" t="str">
        <f>TEXT(74,"00")</f>
        <v>74</v>
      </c>
      <c r="C504" s="1" t="str">
        <f t="shared" si="31"/>
        <v>055-74</v>
      </c>
      <c r="D504" t="s">
        <v>503</v>
      </c>
      <c r="E504" t="b">
        <f>IF(COUNTIF(D504,"*"&amp;'Keyword Search'!$C$5&amp;"*"),TRUE,FALSE)</f>
        <v>1</v>
      </c>
      <c r="G504" t="str">
        <f t="shared" si="32"/>
        <v>055-74: Racks: Gun, Hat, etc., Automotive</v>
      </c>
    </row>
    <row r="505" spans="1:7" x14ac:dyDescent="0.25">
      <c r="A505" s="1" t="str">
        <f t="shared" si="33"/>
        <v>055</v>
      </c>
      <c r="B505" s="1" t="str">
        <f>TEXT(75,"00")</f>
        <v>75</v>
      </c>
      <c r="C505" s="1" t="str">
        <f t="shared" si="31"/>
        <v>055-75</v>
      </c>
      <c r="D505" t="s">
        <v>504</v>
      </c>
      <c r="E505" t="b">
        <f>IF(COUNTIF(D505,"*"&amp;'Keyword Search'!$C$5&amp;"*"),TRUE,FALSE)</f>
        <v>1</v>
      </c>
      <c r="G505" t="str">
        <f t="shared" si="32"/>
        <v>055-75: Reel Assembly, Cable, Mounted, Automotive</v>
      </c>
    </row>
    <row r="506" spans="1:7" x14ac:dyDescent="0.25">
      <c r="A506" s="1" t="str">
        <f t="shared" si="33"/>
        <v>055</v>
      </c>
      <c r="B506" s="1" t="str">
        <f>TEXT(76,"00")</f>
        <v>76</v>
      </c>
      <c r="C506" s="1" t="str">
        <f t="shared" si="31"/>
        <v>055-76</v>
      </c>
      <c r="D506" t="s">
        <v>505</v>
      </c>
      <c r="E506" t="b">
        <f>IF(COUNTIF(D506,"*"&amp;'Keyword Search'!$C$5&amp;"*"),TRUE,FALSE)</f>
        <v>1</v>
      </c>
      <c r="G506" t="str">
        <f t="shared" si="32"/>
        <v>055-76: Reflectors, Automotive</v>
      </c>
    </row>
    <row r="507" spans="1:7" x14ac:dyDescent="0.25">
      <c r="A507" s="1" t="str">
        <f t="shared" si="33"/>
        <v>055</v>
      </c>
      <c r="B507" s="1" t="str">
        <f>TEXT(78,"00")</f>
        <v>78</v>
      </c>
      <c r="C507" s="1" t="str">
        <f t="shared" si="31"/>
        <v>055-78</v>
      </c>
      <c r="D507" t="s">
        <v>506</v>
      </c>
      <c r="E507" t="b">
        <f>IF(COUNTIF(D507,"*"&amp;'Keyword Search'!$C$5&amp;"*"),TRUE,FALSE)</f>
        <v>1</v>
      </c>
      <c r="G507" t="str">
        <f t="shared" si="32"/>
        <v>055-78: Seats, Including Parts and Accessories, Automotive</v>
      </c>
    </row>
    <row r="508" spans="1:7" x14ac:dyDescent="0.25">
      <c r="A508" s="1" t="str">
        <f t="shared" si="33"/>
        <v>055</v>
      </c>
      <c r="B508" s="1" t="str">
        <f>TEXT(79,"00")</f>
        <v>79</v>
      </c>
      <c r="C508" s="1" t="str">
        <f t="shared" si="31"/>
        <v>055-79</v>
      </c>
      <c r="D508" t="s">
        <v>507</v>
      </c>
      <c r="E508" t="b">
        <f>IF(COUNTIF(D508,"*"&amp;'Keyword Search'!$C$5&amp;"*"),TRUE,FALSE)</f>
        <v>1</v>
      </c>
      <c r="G508" t="str">
        <f t="shared" si="32"/>
        <v>055-79: Sirens, Horns and Back-up Alarms, Automotive</v>
      </c>
    </row>
    <row r="509" spans="1:7" x14ac:dyDescent="0.25">
      <c r="A509" s="1" t="str">
        <f t="shared" si="33"/>
        <v>055</v>
      </c>
      <c r="B509" s="1" t="str">
        <f>TEXT(82,"00")</f>
        <v>82</v>
      </c>
      <c r="C509" s="1" t="str">
        <f t="shared" si="31"/>
        <v>055-82</v>
      </c>
      <c r="D509" t="s">
        <v>508</v>
      </c>
      <c r="E509" t="b">
        <f>IF(COUNTIF(D509,"*"&amp;'Keyword Search'!$C$5&amp;"*"),TRUE,FALSE)</f>
        <v>1</v>
      </c>
      <c r="G509" t="str">
        <f t="shared" si="32"/>
        <v>055-82: Splash Guards, Automotive</v>
      </c>
    </row>
    <row r="510" spans="1:7" x14ac:dyDescent="0.25">
      <c r="A510" s="1" t="str">
        <f t="shared" si="33"/>
        <v>055</v>
      </c>
      <c r="B510" s="1" t="str">
        <f>TEXT(83,"00")</f>
        <v>83</v>
      </c>
      <c r="C510" s="1" t="str">
        <f t="shared" si="31"/>
        <v>055-83</v>
      </c>
      <c r="D510" t="s">
        <v>509</v>
      </c>
      <c r="E510" t="b">
        <f>IF(COUNTIF(D510,"*"&amp;'Keyword Search'!$C$5&amp;"*"),TRUE,FALSE)</f>
        <v>1</v>
      </c>
      <c r="G510" t="str">
        <f t="shared" si="32"/>
        <v>055-83: Switches and Flashers, Automotive</v>
      </c>
    </row>
    <row r="511" spans="1:7" x14ac:dyDescent="0.25">
      <c r="A511" s="1" t="str">
        <f t="shared" si="33"/>
        <v>055</v>
      </c>
      <c r="B511" s="1" t="str">
        <f>TEXT(85,"00")</f>
        <v>85</v>
      </c>
      <c r="C511" s="1" t="str">
        <f t="shared" si="31"/>
        <v>055-85</v>
      </c>
      <c r="D511" t="s">
        <v>510</v>
      </c>
      <c r="E511" t="b">
        <f>IF(COUNTIF(D511,"*"&amp;'Keyword Search'!$C$5&amp;"*"),TRUE,FALSE)</f>
        <v>1</v>
      </c>
      <c r="G511" t="str">
        <f t="shared" si="32"/>
        <v>055-85: Tanks, Fuel, Auxiliary, Automotive</v>
      </c>
    </row>
    <row r="512" spans="1:7" x14ac:dyDescent="0.25">
      <c r="A512" s="1" t="str">
        <f t="shared" si="33"/>
        <v>055</v>
      </c>
      <c r="B512" s="1" t="str">
        <f>TEXT(86,"00")</f>
        <v>86</v>
      </c>
      <c r="C512" s="1" t="str">
        <f t="shared" si="31"/>
        <v>055-86</v>
      </c>
      <c r="D512" t="s">
        <v>511</v>
      </c>
      <c r="E512" t="b">
        <f>IF(COUNTIF(D512,"*"&amp;'Keyword Search'!$C$5&amp;"*"),TRUE,FALSE)</f>
        <v>1</v>
      </c>
      <c r="G512" t="str">
        <f t="shared" si="32"/>
        <v>055-86: Tanks, Miscellaneous, Including Parts and Accessories (Not Otherwise Classified)</v>
      </c>
    </row>
    <row r="513" spans="1:7" x14ac:dyDescent="0.25">
      <c r="A513" s="1" t="str">
        <f t="shared" si="33"/>
        <v>055</v>
      </c>
      <c r="B513" s="1" t="str">
        <f>TEXT(88,"00")</f>
        <v>88</v>
      </c>
      <c r="C513" s="1" t="str">
        <f t="shared" si="31"/>
        <v>055-88</v>
      </c>
      <c r="D513" t="s">
        <v>512</v>
      </c>
      <c r="E513" t="b">
        <f>IF(COUNTIF(D513,"*"&amp;'Keyword Search'!$C$5&amp;"*"),TRUE,FALSE)</f>
        <v>1</v>
      </c>
      <c r="G513" t="str">
        <f t="shared" si="32"/>
        <v>055-88: Tops and Covers, Short Wheelbase Vehicles</v>
      </c>
    </row>
    <row r="514" spans="1:7" x14ac:dyDescent="0.25">
      <c r="A514" s="1" t="str">
        <f t="shared" si="33"/>
        <v>055</v>
      </c>
      <c r="B514" s="1" t="str">
        <f>TEXT(89,"00")</f>
        <v>89</v>
      </c>
      <c r="C514" s="1" t="str">
        <f t="shared" si="31"/>
        <v>055-89</v>
      </c>
      <c r="D514" t="s">
        <v>513</v>
      </c>
      <c r="E514" t="b">
        <f>IF(COUNTIF(D514,"*"&amp;'Keyword Search'!$C$5&amp;"*"),TRUE,FALSE)</f>
        <v>1</v>
      </c>
      <c r="G514" t="str">
        <f t="shared" si="32"/>
        <v>055-89: Warning Devices, Triangular, Including Slow Moving Vehicle Signs</v>
      </c>
    </row>
    <row r="515" spans="1:7" x14ac:dyDescent="0.25">
      <c r="A515" s="1" t="str">
        <f t="shared" si="33"/>
        <v>055</v>
      </c>
      <c r="B515" s="1" t="str">
        <f>TEXT(90,"00")</f>
        <v>90</v>
      </c>
      <c r="C515" s="1" t="str">
        <f t="shared" ref="C515:C578" si="34">CONCATENATE(A515,"-",B515)</f>
        <v>055-90</v>
      </c>
      <c r="D515" t="s">
        <v>514</v>
      </c>
      <c r="E515" t="b">
        <f>IF(COUNTIF(D515,"*"&amp;'Keyword Search'!$C$5&amp;"*"),TRUE,FALSE)</f>
        <v>1</v>
      </c>
      <c r="G515" t="str">
        <f t="shared" si="32"/>
        <v>055-90: Wheelchair Lift and Accessories, Vehicle-Mounted</v>
      </c>
    </row>
    <row r="516" spans="1:7" x14ac:dyDescent="0.25">
      <c r="A516" s="1" t="str">
        <f t="shared" si="33"/>
        <v>055</v>
      </c>
      <c r="B516" s="1" t="str">
        <f>TEXT(91,"00")</f>
        <v>91</v>
      </c>
      <c r="C516" s="1" t="str">
        <f t="shared" si="34"/>
        <v>055-91</v>
      </c>
      <c r="D516" t="s">
        <v>515</v>
      </c>
      <c r="E516" t="b">
        <f>IF(COUNTIF(D516,"*"&amp;'Keyword Search'!$C$5&amp;"*"),TRUE,FALSE)</f>
        <v>1</v>
      </c>
      <c r="G516" t="str">
        <f t="shared" ref="G516:G579" si="35">CONCATENATE(C516,": ",D516)</f>
        <v>055-91: Vehicle Safety Systems: Collision Avoidance and Impact Sensing, Automotive</v>
      </c>
    </row>
    <row r="517" spans="1:7" x14ac:dyDescent="0.25">
      <c r="A517" s="1" t="str">
        <f t="shared" si="33"/>
        <v>055</v>
      </c>
      <c r="B517" s="1" t="str">
        <f>TEXT(95,"00")</f>
        <v>95</v>
      </c>
      <c r="C517" s="1" t="str">
        <f t="shared" si="34"/>
        <v>055-95</v>
      </c>
      <c r="D517" t="s">
        <v>516</v>
      </c>
      <c r="E517" t="b">
        <f>IF(COUNTIF(D517,"*"&amp;'Keyword Search'!$C$5&amp;"*"),TRUE,FALSE)</f>
        <v>1</v>
      </c>
      <c r="G517" t="str">
        <f t="shared" si="35"/>
        <v>055-95: Recycled Automotive Accessory Items</v>
      </c>
    </row>
    <row r="518" spans="1:7" x14ac:dyDescent="0.25">
      <c r="A518" s="5" t="str">
        <f t="shared" ref="A518:A573" si="36">TEXT(60,"000")</f>
        <v>060</v>
      </c>
      <c r="B518" s="5" t="str">
        <f>TEXT(0,"00")</f>
        <v>00</v>
      </c>
      <c r="C518" s="1"/>
      <c r="D518" s="2" t="s">
        <v>517</v>
      </c>
    </row>
    <row r="519" spans="1:7" x14ac:dyDescent="0.25">
      <c r="A519" s="1" t="str">
        <f t="shared" si="36"/>
        <v>060</v>
      </c>
      <c r="B519" s="1" t="str">
        <f>TEXT(1,"00")</f>
        <v>01</v>
      </c>
      <c r="C519" s="1" t="str">
        <f t="shared" si="34"/>
        <v>060-01</v>
      </c>
      <c r="D519" t="s">
        <v>518</v>
      </c>
      <c r="E519" t="b">
        <f>IF(COUNTIF(D519,"*"&amp;'Keyword Search'!$C$5&amp;"*"),TRUE,FALSE)</f>
        <v>1</v>
      </c>
      <c r="G519" t="str">
        <f t="shared" si="35"/>
        <v>060-01: Adapters and Clevises, Automotive Parts</v>
      </c>
    </row>
    <row r="520" spans="1:7" x14ac:dyDescent="0.25">
      <c r="A520" s="1" t="str">
        <f t="shared" si="36"/>
        <v>060</v>
      </c>
      <c r="B520" s="1" t="str">
        <f>TEXT(2,"00")</f>
        <v>02</v>
      </c>
      <c r="C520" s="1" t="str">
        <f t="shared" si="34"/>
        <v>060-02</v>
      </c>
      <c r="D520" t="s">
        <v>519</v>
      </c>
      <c r="E520" t="b">
        <f>IF(COUNTIF(D520,"*"&amp;'Keyword Search'!$C$5&amp;"*"),TRUE,FALSE)</f>
        <v>1</v>
      </c>
      <c r="G520" t="str">
        <f t="shared" si="35"/>
        <v>060-02: Accessories, Freightliner</v>
      </c>
    </row>
    <row r="521" spans="1:7" x14ac:dyDescent="0.25">
      <c r="A521" s="1" t="str">
        <f t="shared" si="36"/>
        <v>060</v>
      </c>
      <c r="B521" s="1" t="str">
        <f>TEXT(3,"00")</f>
        <v>03</v>
      </c>
      <c r="C521" s="1" t="str">
        <f t="shared" si="34"/>
        <v>060-03</v>
      </c>
      <c r="D521" t="s">
        <v>520</v>
      </c>
      <c r="E521" t="b">
        <f>IF(COUNTIF(D521,"*"&amp;'Keyword Search'!$C$5&amp;"*"),TRUE,FALSE)</f>
        <v>1</v>
      </c>
      <c r="G521" t="str">
        <f t="shared" si="35"/>
        <v>060-03: Antifreeze</v>
      </c>
    </row>
    <row r="522" spans="1:7" x14ac:dyDescent="0.25">
      <c r="A522" s="1" t="str">
        <f t="shared" si="36"/>
        <v>060</v>
      </c>
      <c r="B522" s="1" t="str">
        <f>TEXT(6,"00")</f>
        <v>06</v>
      </c>
      <c r="C522" s="1" t="str">
        <f t="shared" si="34"/>
        <v>060-06</v>
      </c>
      <c r="D522" t="s">
        <v>521</v>
      </c>
      <c r="E522" t="b">
        <f>IF(COUNTIF(D522,"*"&amp;'Keyword Search'!$C$5&amp;"*"),TRUE,FALSE)</f>
        <v>1</v>
      </c>
      <c r="G522" t="str">
        <f t="shared" si="35"/>
        <v>060-06: Axles, Trailers and Trucks, Tandem and Single</v>
      </c>
    </row>
    <row r="523" spans="1:7" x14ac:dyDescent="0.25">
      <c r="A523" s="1" t="str">
        <f t="shared" si="36"/>
        <v>060</v>
      </c>
      <c r="B523" s="1" t="str">
        <f>TEXT(9,"00")</f>
        <v>09</v>
      </c>
      <c r="C523" s="1" t="str">
        <f t="shared" si="34"/>
        <v>060-09</v>
      </c>
      <c r="D523" t="s">
        <v>522</v>
      </c>
      <c r="E523" t="b">
        <f>IF(COUNTIF(D523,"*"&amp;'Keyword Search'!$C$5&amp;"*"),TRUE,FALSE)</f>
        <v>1</v>
      </c>
      <c r="G523" t="str">
        <f t="shared" si="35"/>
        <v>060-09: Batteries and Charging Stations for Electric Automobiles, Including Recycled Types</v>
      </c>
    </row>
    <row r="524" spans="1:7" x14ac:dyDescent="0.25">
      <c r="A524" s="1" t="str">
        <f t="shared" si="36"/>
        <v>060</v>
      </c>
      <c r="B524" s="1" t="str">
        <f>TEXT(12,"00")</f>
        <v>12</v>
      </c>
      <c r="C524" s="1" t="str">
        <f t="shared" si="34"/>
        <v>060-12</v>
      </c>
      <c r="D524" t="s">
        <v>523</v>
      </c>
      <c r="E524" t="b">
        <f>IF(COUNTIF(D524,"*"&amp;'Keyword Search'!$C$5&amp;"*"),TRUE,FALSE)</f>
        <v>1</v>
      </c>
      <c r="G524" t="str">
        <f t="shared" si="35"/>
        <v>060-12: Batteries, Storage, Including Electrolyte and Recycled Types, Automotive</v>
      </c>
    </row>
    <row r="525" spans="1:7" x14ac:dyDescent="0.25">
      <c r="A525" s="1" t="str">
        <f t="shared" si="36"/>
        <v>060</v>
      </c>
      <c r="B525" s="1" t="str">
        <f>TEXT(14,"00")</f>
        <v>14</v>
      </c>
      <c r="C525" s="1" t="str">
        <f t="shared" si="34"/>
        <v>060-14</v>
      </c>
      <c r="D525" t="s">
        <v>524</v>
      </c>
      <c r="E525" t="b">
        <f>IF(COUNTIF(D525,"*"&amp;'Keyword Search'!$C$5&amp;"*"),TRUE,FALSE)</f>
        <v>1</v>
      </c>
      <c r="G525" t="str">
        <f t="shared" si="35"/>
        <v>060-14: Brake Adjusters</v>
      </c>
    </row>
    <row r="526" spans="1:7" x14ac:dyDescent="0.25">
      <c r="A526" s="1" t="str">
        <f t="shared" si="36"/>
        <v>060</v>
      </c>
      <c r="B526" s="1" t="str">
        <f>TEXT(15,"00")</f>
        <v>15</v>
      </c>
      <c r="C526" s="1" t="str">
        <f t="shared" si="34"/>
        <v>060-15</v>
      </c>
      <c r="D526" t="s">
        <v>525</v>
      </c>
      <c r="E526" t="b">
        <f>IF(COUNTIF(D526,"*"&amp;'Keyword Search'!$C$5&amp;"*"),TRUE,FALSE)</f>
        <v>1</v>
      </c>
      <c r="G526" t="str">
        <f t="shared" si="35"/>
        <v>060-15: Brakes, Electric Controller</v>
      </c>
    </row>
    <row r="527" spans="1:7" x14ac:dyDescent="0.25">
      <c r="A527" s="1" t="str">
        <f t="shared" si="36"/>
        <v>060</v>
      </c>
      <c r="B527" s="1" t="str">
        <f>TEXT(18,"00")</f>
        <v>18</v>
      </c>
      <c r="C527" s="1" t="str">
        <f t="shared" si="34"/>
        <v>060-18</v>
      </c>
      <c r="D527" t="s">
        <v>526</v>
      </c>
      <c r="E527" t="b">
        <f>IF(COUNTIF(D527,"*"&amp;'Keyword Search'!$C$5&amp;"*"),TRUE,FALSE)</f>
        <v>1</v>
      </c>
      <c r="G527" t="str">
        <f t="shared" si="35"/>
        <v>060-18: Brake Fluid, Hydraulic</v>
      </c>
    </row>
    <row r="528" spans="1:7" x14ac:dyDescent="0.25">
      <c r="A528" s="1" t="str">
        <f t="shared" si="36"/>
        <v>060</v>
      </c>
      <c r="B528" s="1" t="str">
        <f>TEXT(21,"00")</f>
        <v>21</v>
      </c>
      <c r="C528" s="1" t="str">
        <f t="shared" si="34"/>
        <v>060-21</v>
      </c>
      <c r="D528" t="s">
        <v>527</v>
      </c>
      <c r="E528" t="b">
        <f>IF(COUNTIF(D528,"*"&amp;'Keyword Search'!$C$5&amp;"*"),TRUE,FALSE)</f>
        <v>1</v>
      </c>
      <c r="G528" t="str">
        <f t="shared" si="35"/>
        <v>060-21: Brakes, Repairs, and Replacements, Not Electric Controller</v>
      </c>
    </row>
    <row r="529" spans="1:7" x14ac:dyDescent="0.25">
      <c r="A529" s="1" t="str">
        <f t="shared" si="36"/>
        <v>060</v>
      </c>
      <c r="B529" s="1" t="str">
        <f>TEXT(23,"00")</f>
        <v>23</v>
      </c>
      <c r="C529" s="1" t="str">
        <f t="shared" si="34"/>
        <v>060-23</v>
      </c>
      <c r="D529" t="s">
        <v>528</v>
      </c>
      <c r="E529" t="b">
        <f>IF(COUNTIF(D529,"*"&amp;'Keyword Search'!$C$5&amp;"*"),TRUE,FALSE)</f>
        <v>1</v>
      </c>
      <c r="G529" t="str">
        <f t="shared" si="35"/>
        <v>060-23: Bushings and Related Items</v>
      </c>
    </row>
    <row r="530" spans="1:7" x14ac:dyDescent="0.25">
      <c r="A530" s="1" t="str">
        <f t="shared" si="36"/>
        <v>060</v>
      </c>
      <c r="B530" s="1" t="str">
        <f>TEXT(24,"00")</f>
        <v>24</v>
      </c>
      <c r="C530" s="1" t="str">
        <f t="shared" si="34"/>
        <v>060-24</v>
      </c>
      <c r="D530" t="s">
        <v>529</v>
      </c>
      <c r="E530" t="b">
        <f>IF(COUNTIF(D530,"*"&amp;'Keyword Search'!$C$5&amp;"*"),TRUE,FALSE)</f>
        <v>1</v>
      </c>
      <c r="G530" t="str">
        <f t="shared" si="35"/>
        <v>060-24: Cables, Looms, and Terminals, Including Fuse Holders, (See 280-75 for Cable and Wire Ties)</v>
      </c>
    </row>
    <row r="531" spans="1:7" x14ac:dyDescent="0.25">
      <c r="A531" s="1" t="str">
        <f t="shared" si="36"/>
        <v>060</v>
      </c>
      <c r="B531" s="1" t="str">
        <f>TEXT(27,"00")</f>
        <v>27</v>
      </c>
      <c r="C531" s="1" t="str">
        <f t="shared" si="34"/>
        <v>060-27</v>
      </c>
      <c r="D531" t="s">
        <v>530</v>
      </c>
      <c r="E531" t="b">
        <f>IF(COUNTIF(D531,"*"&amp;'Keyword Search'!$C$5&amp;"*"),TRUE,FALSE)</f>
        <v>1</v>
      </c>
      <c r="G531" t="str">
        <f t="shared" si="35"/>
        <v>060-27: Cement, Radiator</v>
      </c>
    </row>
    <row r="532" spans="1:7" x14ac:dyDescent="0.25">
      <c r="A532" s="1" t="str">
        <f t="shared" si="36"/>
        <v>060</v>
      </c>
      <c r="B532" s="1" t="str">
        <f>TEXT(33,"00")</f>
        <v>33</v>
      </c>
      <c r="C532" s="1" t="str">
        <f t="shared" si="34"/>
        <v>060-33</v>
      </c>
      <c r="D532" t="s">
        <v>531</v>
      </c>
      <c r="E532" t="b">
        <f>IF(COUNTIF(D532,"*"&amp;'Keyword Search'!$C$5&amp;"*"),TRUE,FALSE)</f>
        <v>1</v>
      </c>
      <c r="G532" t="str">
        <f t="shared" si="35"/>
        <v>060-33: Clamps, Hose</v>
      </c>
    </row>
    <row r="533" spans="1:7" x14ac:dyDescent="0.25">
      <c r="A533" s="1" t="str">
        <f t="shared" si="36"/>
        <v>060</v>
      </c>
      <c r="B533" s="1" t="str">
        <f>TEXT(35,"00")</f>
        <v>35</v>
      </c>
      <c r="C533" s="1" t="str">
        <f t="shared" si="34"/>
        <v>060-35</v>
      </c>
      <c r="D533" t="s">
        <v>532</v>
      </c>
      <c r="E533" t="b">
        <f>IF(COUNTIF(D533,"*"&amp;'Keyword Search'!$C$5&amp;"*"),TRUE,FALSE)</f>
        <v>1</v>
      </c>
      <c r="G533" t="str">
        <f t="shared" si="35"/>
        <v>060-35: Cooling System: Radiators, Complete and Cores; Thermostats; Water Pumps; etc.</v>
      </c>
    </row>
    <row r="534" spans="1:7" x14ac:dyDescent="0.25">
      <c r="A534" s="1" t="str">
        <f t="shared" si="36"/>
        <v>060</v>
      </c>
      <c r="B534" s="1" t="str">
        <f>TEXT(36,"00")</f>
        <v>36</v>
      </c>
      <c r="C534" s="1" t="str">
        <f t="shared" si="34"/>
        <v>060-36</v>
      </c>
      <c r="D534" t="s">
        <v>533</v>
      </c>
      <c r="E534" t="b">
        <f>IF(COUNTIF(D534,"*"&amp;'Keyword Search'!$C$5&amp;"*"),TRUE,FALSE)</f>
        <v>1</v>
      </c>
      <c r="G534" t="str">
        <f t="shared" si="35"/>
        <v>060-36: Electrical Accessories: Alternators, Ammeters, Distributors, Generators, Regulators, Starters, etc.</v>
      </c>
    </row>
    <row r="535" spans="1:7" x14ac:dyDescent="0.25">
      <c r="A535" s="1" t="str">
        <f t="shared" si="36"/>
        <v>060</v>
      </c>
      <c r="B535" s="1" t="str">
        <f>TEXT(37,"00")</f>
        <v>37</v>
      </c>
      <c r="C535" s="1" t="str">
        <f t="shared" si="34"/>
        <v>060-37</v>
      </c>
      <c r="D535" t="s">
        <v>534</v>
      </c>
      <c r="E535" t="b">
        <f>IF(COUNTIF(D535,"*"&amp;'Keyword Search'!$C$5&amp;"*"),TRUE,FALSE)</f>
        <v>1</v>
      </c>
      <c r="G535" t="str">
        <f t="shared" si="35"/>
        <v>060-37: Electrical Parts, Not Ignition, (Not Otherwise Classified)</v>
      </c>
    </row>
    <row r="536" spans="1:7" x14ac:dyDescent="0.25">
      <c r="A536" s="1" t="str">
        <f t="shared" si="36"/>
        <v>060</v>
      </c>
      <c r="B536" s="1" t="str">
        <f>TEXT(38,"00")</f>
        <v>38</v>
      </c>
      <c r="C536" s="1" t="str">
        <f t="shared" si="34"/>
        <v>060-38</v>
      </c>
      <c r="D536" t="s">
        <v>535</v>
      </c>
      <c r="E536" t="b">
        <f>IF(COUNTIF(D536,"*"&amp;'Keyword Search'!$C$5&amp;"*"),TRUE,FALSE)</f>
        <v>1</v>
      </c>
      <c r="G536" t="str">
        <f t="shared" si="35"/>
        <v>060-38: Engines, Diesel, Including Replacement Parts, Automotive</v>
      </c>
    </row>
    <row r="537" spans="1:7" x14ac:dyDescent="0.25">
      <c r="A537" s="1" t="str">
        <f t="shared" si="36"/>
        <v>060</v>
      </c>
      <c r="B537" s="1" t="str">
        <f>TEXT(39,"00")</f>
        <v>39</v>
      </c>
      <c r="C537" s="1" t="str">
        <f t="shared" si="34"/>
        <v>060-39</v>
      </c>
      <c r="D537" t="s">
        <v>536</v>
      </c>
      <c r="E537" t="b">
        <f>IF(COUNTIF(D537,"*"&amp;'Keyword Search'!$C$5&amp;"*"),TRUE,FALSE)</f>
        <v>1</v>
      </c>
      <c r="G537" t="str">
        <f t="shared" si="35"/>
        <v>060-39: Engines, Dual Fuel, Including Replacement Part, Automotive</v>
      </c>
    </row>
    <row r="538" spans="1:7" x14ac:dyDescent="0.25">
      <c r="A538" s="1" t="str">
        <f t="shared" si="36"/>
        <v>060</v>
      </c>
      <c r="B538" s="1" t="str">
        <f>TEXT(40,"00")</f>
        <v>40</v>
      </c>
      <c r="C538" s="1" t="str">
        <f t="shared" si="34"/>
        <v>060-40</v>
      </c>
      <c r="D538" t="s">
        <v>537</v>
      </c>
      <c r="E538" t="b">
        <f>IF(COUNTIF(D538,"*"&amp;'Keyword Search'!$C$5&amp;"*"),TRUE,FALSE)</f>
        <v>1</v>
      </c>
      <c r="G538" t="str">
        <f t="shared" si="35"/>
        <v>060-40: Engines, Gasoline: Complete, Short Block, and Parts</v>
      </c>
    </row>
    <row r="539" spans="1:7" x14ac:dyDescent="0.25">
      <c r="A539" s="1" t="str">
        <f t="shared" si="36"/>
        <v>060</v>
      </c>
      <c r="B539" s="1" t="str">
        <f>TEXT(41,"00")</f>
        <v>41</v>
      </c>
      <c r="C539" s="1" t="str">
        <f t="shared" si="34"/>
        <v>060-41</v>
      </c>
      <c r="D539" t="s">
        <v>538</v>
      </c>
      <c r="E539" t="b">
        <f>IF(COUNTIF(D539,"*"&amp;'Keyword Search'!$C$5&amp;"*"),TRUE,FALSE)</f>
        <v>1</v>
      </c>
      <c r="G539" t="str">
        <f t="shared" si="35"/>
        <v>060-41: Exhaust System: Clamps, Exhaust Pipes, Mufflers, Tailpipes, Catalytic Converters, etc.</v>
      </c>
    </row>
    <row r="540" spans="1:7" x14ac:dyDescent="0.25">
      <c r="A540" s="1" t="str">
        <f t="shared" si="36"/>
        <v>060</v>
      </c>
      <c r="B540" s="1" t="str">
        <f>TEXT(42,"00")</f>
        <v>42</v>
      </c>
      <c r="C540" s="1" t="str">
        <f t="shared" si="34"/>
        <v>060-42</v>
      </c>
      <c r="D540" t="s">
        <v>539</v>
      </c>
      <c r="E540" t="b">
        <f>IF(COUNTIF(D540,"*"&amp;'Keyword Search'!$C$5&amp;"*"),TRUE,FALSE)</f>
        <v>1</v>
      </c>
      <c r="G540" t="str">
        <f t="shared" si="35"/>
        <v>060-42: Filters, Air, Fuel, Oil, Power Steering, Transmission and Water, and PCV Valves</v>
      </c>
    </row>
    <row r="541" spans="1:7" x14ac:dyDescent="0.25">
      <c r="A541" s="1" t="str">
        <f t="shared" si="36"/>
        <v>060</v>
      </c>
      <c r="B541" s="1" t="str">
        <f>TEXT(43,"00")</f>
        <v>43</v>
      </c>
      <c r="C541" s="1" t="str">
        <f t="shared" si="34"/>
        <v>060-43</v>
      </c>
      <c r="D541" t="s">
        <v>540</v>
      </c>
      <c r="E541" t="b">
        <f>IF(COUNTIF(D541,"*"&amp;'Keyword Search'!$C$5&amp;"*"),TRUE,FALSE)</f>
        <v>1</v>
      </c>
      <c r="G541" t="str">
        <f t="shared" si="35"/>
        <v>060-43: ENGINES, LPG, INCLUDING REPLACEMENT PARTS, AUTOMOTIVE</v>
      </c>
    </row>
    <row r="542" spans="1:7" x14ac:dyDescent="0.25">
      <c r="A542" s="1" t="str">
        <f t="shared" si="36"/>
        <v>060</v>
      </c>
      <c r="B542" s="1" t="str">
        <f>TEXT(45,"00")</f>
        <v>45</v>
      </c>
      <c r="C542" s="1" t="str">
        <f t="shared" si="34"/>
        <v>060-45</v>
      </c>
      <c r="D542" t="s">
        <v>541</v>
      </c>
      <c r="E542" t="b">
        <f>IF(COUNTIF(D542,"*"&amp;'Keyword Search'!$C$5&amp;"*"),TRUE,FALSE)</f>
        <v>1</v>
      </c>
      <c r="G542" t="str">
        <f t="shared" si="35"/>
        <v>060-45: Fittings, For Copper Tubing</v>
      </c>
    </row>
    <row r="543" spans="1:7" x14ac:dyDescent="0.25">
      <c r="A543" s="1" t="str">
        <f t="shared" si="36"/>
        <v>060</v>
      </c>
      <c r="B543" s="1" t="str">
        <f>TEXT(46,"00")</f>
        <v>46</v>
      </c>
      <c r="C543" s="1" t="str">
        <f t="shared" si="34"/>
        <v>060-46</v>
      </c>
      <c r="D543" t="s">
        <v>542</v>
      </c>
      <c r="E543" t="b">
        <f>IF(COUNTIF(D543,"*"&amp;'Keyword Search'!$C$5&amp;"*"),TRUE,FALSE)</f>
        <v>1</v>
      </c>
      <c r="G543" t="str">
        <f t="shared" si="35"/>
        <v>060-46: Front End Alignment Parts and Accessories (See 075 for Equipment)</v>
      </c>
    </row>
    <row r="544" spans="1:7" x14ac:dyDescent="0.25">
      <c r="A544" s="1" t="str">
        <f t="shared" si="36"/>
        <v>060</v>
      </c>
      <c r="B544" s="1" t="str">
        <f>TEXT(47,"00")</f>
        <v>47</v>
      </c>
      <c r="C544" s="1" t="str">
        <f t="shared" si="34"/>
        <v>060-47</v>
      </c>
      <c r="D544" t="s">
        <v>543</v>
      </c>
      <c r="E544" t="b">
        <f>IF(COUNTIF(D544,"*"&amp;'Keyword Search'!$C$5&amp;"*"),TRUE,FALSE)</f>
        <v>1</v>
      </c>
      <c r="G544" t="str">
        <f t="shared" si="35"/>
        <v>060-47: Fuel System: Carburetors and Kits, Fuel Pumps, Tanks and Caps, etc.</v>
      </c>
    </row>
    <row r="545" spans="1:7" x14ac:dyDescent="0.25">
      <c r="A545" s="1" t="str">
        <f t="shared" si="36"/>
        <v>060</v>
      </c>
      <c r="B545" s="1" t="str">
        <f>TEXT(50,"00")</f>
        <v>50</v>
      </c>
      <c r="C545" s="1" t="str">
        <f t="shared" si="34"/>
        <v>060-50</v>
      </c>
      <c r="D545" t="s">
        <v>544</v>
      </c>
      <c r="E545" t="b">
        <f>IF(COUNTIF(D545,"*"&amp;'Keyword Search'!$C$5&amp;"*"),TRUE,FALSE)</f>
        <v>1</v>
      </c>
      <c r="G545" t="str">
        <f t="shared" si="35"/>
        <v>060-50: Fuses, Automotive</v>
      </c>
    </row>
    <row r="546" spans="1:7" x14ac:dyDescent="0.25">
      <c r="A546" s="1" t="str">
        <f t="shared" si="36"/>
        <v>060</v>
      </c>
      <c r="B546" s="1" t="str">
        <f>TEXT(54,"00")</f>
        <v>54</v>
      </c>
      <c r="C546" s="1" t="str">
        <f t="shared" si="34"/>
        <v>060-54</v>
      </c>
      <c r="D546" t="s">
        <v>545</v>
      </c>
      <c r="E546" t="b">
        <f>IF(COUNTIF(D546,"*"&amp;'Keyword Search'!$C$5&amp;"*"),TRUE,FALSE)</f>
        <v>1</v>
      </c>
      <c r="G546" t="str">
        <f t="shared" si="35"/>
        <v>060-54: Gaskets and Gasket Material, Automotive</v>
      </c>
    </row>
    <row r="547" spans="1:7" x14ac:dyDescent="0.25">
      <c r="A547" s="1" t="str">
        <f t="shared" si="36"/>
        <v>060</v>
      </c>
      <c r="B547" s="1" t="str">
        <f>TEXT(57,"00")</f>
        <v>57</v>
      </c>
      <c r="C547" s="1" t="str">
        <f t="shared" si="34"/>
        <v>060-57</v>
      </c>
      <c r="D547" t="s">
        <v>546</v>
      </c>
      <c r="E547" t="b">
        <f>IF(COUNTIF(D547,"*"&amp;'Keyword Search'!$C$5&amp;"*"),TRUE,FALSE)</f>
        <v>1</v>
      </c>
      <c r="G547" t="str">
        <f t="shared" si="35"/>
        <v>060-57: Glass and Supplies: Door, Windshield, etc., Automotive</v>
      </c>
    </row>
    <row r="548" spans="1:7" x14ac:dyDescent="0.25">
      <c r="A548" s="1" t="str">
        <f t="shared" si="36"/>
        <v>060</v>
      </c>
      <c r="B548" s="1" t="str">
        <f>TEXT(58,"00")</f>
        <v>58</v>
      </c>
      <c r="C548" s="1" t="str">
        <f t="shared" si="34"/>
        <v>060-58</v>
      </c>
      <c r="D548" t="s">
        <v>547</v>
      </c>
      <c r="E548" t="b">
        <f>IF(COUNTIF(D548,"*"&amp;'Keyword Search'!$C$5&amp;"*"),TRUE,FALSE)</f>
        <v>1</v>
      </c>
      <c r="G548" t="str">
        <f t="shared" si="35"/>
        <v>060-58: Governors, Engine and Road Speed</v>
      </c>
    </row>
    <row r="549" spans="1:7" x14ac:dyDescent="0.25">
      <c r="A549" s="1" t="str">
        <f t="shared" si="36"/>
        <v>060</v>
      </c>
      <c r="B549" s="1" t="str">
        <f>TEXT(60,"00")</f>
        <v>60</v>
      </c>
      <c r="C549" s="1" t="str">
        <f t="shared" si="34"/>
        <v>060-60</v>
      </c>
      <c r="D549" t="s">
        <v>548</v>
      </c>
      <c r="E549" t="b">
        <f>IF(COUNTIF(D549,"*"&amp;'Keyword Search'!$C$5&amp;"*"),TRUE,FALSE)</f>
        <v>1</v>
      </c>
      <c r="G549" t="str">
        <f t="shared" si="35"/>
        <v>060-60: Hose and Hose Fittings: Brake, Heater, Radiator, Vacuum, Washer, Wiper, etc.</v>
      </c>
    </row>
    <row r="550" spans="1:7" x14ac:dyDescent="0.25">
      <c r="A550" s="1" t="str">
        <f t="shared" si="36"/>
        <v>060</v>
      </c>
      <c r="B550" s="1" t="str">
        <f>TEXT(61,"00")</f>
        <v>61</v>
      </c>
      <c r="C550" s="1" t="str">
        <f t="shared" si="34"/>
        <v>060-61</v>
      </c>
      <c r="D550" t="s">
        <v>549</v>
      </c>
      <c r="E550" t="b">
        <f>IF(COUNTIF(D550,"*"&amp;'Keyword Search'!$C$5&amp;"*"),TRUE,FALSE)</f>
        <v>1</v>
      </c>
      <c r="G550" t="str">
        <f t="shared" si="35"/>
        <v>060-61: Hydraulic System Components and Parts</v>
      </c>
    </row>
    <row r="551" spans="1:7" x14ac:dyDescent="0.25">
      <c r="A551" s="1" t="str">
        <f t="shared" si="36"/>
        <v>060</v>
      </c>
      <c r="B551" s="1" t="str">
        <f>TEXT(63,"00")</f>
        <v>63</v>
      </c>
      <c r="C551" s="1" t="str">
        <f t="shared" si="34"/>
        <v>060-63</v>
      </c>
      <c r="D551" t="s">
        <v>550</v>
      </c>
      <c r="E551" t="b">
        <f>IF(COUNTIF(D551,"*"&amp;'Keyword Search'!$C$5&amp;"*"),TRUE,FALSE)</f>
        <v>1</v>
      </c>
      <c r="G551" t="str">
        <f t="shared" si="35"/>
        <v>060-63: Ignition System: Coils, Condensers, Points, Rotors, Spark Plugs (Not Aircraft), Spark Plug Wires, etc.</v>
      </c>
    </row>
    <row r="552" spans="1:7" x14ac:dyDescent="0.25">
      <c r="A552" s="1" t="str">
        <f t="shared" si="36"/>
        <v>060</v>
      </c>
      <c r="B552" s="1" t="str">
        <f>TEXT(64,"00")</f>
        <v>64</v>
      </c>
      <c r="C552" s="1" t="str">
        <f t="shared" si="34"/>
        <v>060-64</v>
      </c>
      <c r="D552" t="s">
        <v>551</v>
      </c>
      <c r="E552" t="b">
        <f>IF(COUNTIF(D552,"*"&amp;'Keyword Search'!$C$5&amp;"*"),TRUE,FALSE)</f>
        <v>1</v>
      </c>
      <c r="G552" t="str">
        <f t="shared" si="35"/>
        <v>060-64: Lubricating System and Parts (See 060-42 for Filters and Class 075 for Equipment)</v>
      </c>
    </row>
    <row r="553" spans="1:7" x14ac:dyDescent="0.25">
      <c r="A553" s="1" t="str">
        <f t="shared" si="36"/>
        <v>060</v>
      </c>
      <c r="B553" s="1" t="str">
        <f>TEXT(65,"00")</f>
        <v>65</v>
      </c>
      <c r="C553" s="1" t="str">
        <f t="shared" si="34"/>
        <v>060-65</v>
      </c>
      <c r="D553" t="s">
        <v>552</v>
      </c>
      <c r="E553" t="b">
        <f>IF(COUNTIF(D553,"*"&amp;'Keyword Search'!$C$5&amp;"*"),TRUE,FALSE)</f>
        <v>1</v>
      </c>
      <c r="G553" t="str">
        <f t="shared" si="35"/>
        <v>060-65: Power and Drive Train Components and Parts</v>
      </c>
    </row>
    <row r="554" spans="1:7" x14ac:dyDescent="0.25">
      <c r="A554" s="1" t="str">
        <f t="shared" si="36"/>
        <v>060</v>
      </c>
      <c r="B554" s="1" t="str">
        <f>TEXT(66,"00")</f>
        <v>66</v>
      </c>
      <c r="C554" s="1" t="str">
        <f t="shared" si="34"/>
        <v>060-66</v>
      </c>
      <c r="D554" t="s">
        <v>553</v>
      </c>
      <c r="E554" t="b">
        <f>IF(COUNTIF(D554,"*"&amp;'Keyword Search'!$C$5&amp;"*"),TRUE,FALSE)</f>
        <v>1</v>
      </c>
      <c r="G554" t="str">
        <f t="shared" si="35"/>
        <v>060-66: Parts and Accessories, Automotive, Miscellaneous (Not Otherwise Classified)</v>
      </c>
    </row>
    <row r="555" spans="1:7" x14ac:dyDescent="0.25">
      <c r="A555" s="1" t="str">
        <f t="shared" si="36"/>
        <v>060</v>
      </c>
      <c r="B555" s="1" t="str">
        <f>TEXT(67,"00")</f>
        <v>67</v>
      </c>
      <c r="C555" s="1" t="str">
        <f t="shared" si="34"/>
        <v>060-67</v>
      </c>
      <c r="D555" t="s">
        <v>554</v>
      </c>
      <c r="E555" t="b">
        <f>IF(COUNTIF(D555,"*"&amp;'Keyword Search'!$C$5&amp;"*"),TRUE,FALSE)</f>
        <v>1</v>
      </c>
      <c r="G555" t="str">
        <f t="shared" si="35"/>
        <v>060-67: Recycled Automotive Parts</v>
      </c>
    </row>
    <row r="556" spans="1:7" x14ac:dyDescent="0.25">
      <c r="A556" s="1" t="str">
        <f t="shared" si="36"/>
        <v>060</v>
      </c>
      <c r="B556" s="1" t="str">
        <f>TEXT(69,"00")</f>
        <v>69</v>
      </c>
      <c r="C556" s="1" t="str">
        <f t="shared" si="34"/>
        <v>060-69</v>
      </c>
      <c r="D556" t="s">
        <v>555</v>
      </c>
      <c r="E556" t="b">
        <f>IF(COUNTIF(D556,"*"&amp;'Keyword Search'!$C$5&amp;"*"),TRUE,FALSE)</f>
        <v>1</v>
      </c>
      <c r="G556" t="str">
        <f t="shared" si="35"/>
        <v>060-69: Remanufactured Engines, Transmissions, Differentials and Rear Axle Assemblies</v>
      </c>
    </row>
    <row r="557" spans="1:7" x14ac:dyDescent="0.25">
      <c r="A557" s="1" t="str">
        <f t="shared" si="36"/>
        <v>060</v>
      </c>
      <c r="B557" s="1" t="str">
        <f>TEXT(70,"00")</f>
        <v>70</v>
      </c>
      <c r="C557" s="1" t="str">
        <f t="shared" si="34"/>
        <v>060-70</v>
      </c>
      <c r="D557" t="s">
        <v>556</v>
      </c>
      <c r="E557" t="b">
        <f>IF(COUNTIF(D557,"*"&amp;'Keyword Search'!$C$5&amp;"*"),TRUE,FALSE)</f>
        <v>1</v>
      </c>
      <c r="G557" t="str">
        <f t="shared" si="35"/>
        <v>060-70: Replacement Parts for Chrysler (Mopar)</v>
      </c>
    </row>
    <row r="558" spans="1:7" x14ac:dyDescent="0.25">
      <c r="A558" s="1" t="str">
        <f t="shared" si="36"/>
        <v>060</v>
      </c>
      <c r="B558" s="1" t="str">
        <f>TEXT(71,"00")</f>
        <v>71</v>
      </c>
      <c r="C558" s="1" t="str">
        <f t="shared" si="34"/>
        <v>060-71</v>
      </c>
      <c r="D558" t="s">
        <v>557</v>
      </c>
      <c r="E558" t="b">
        <f>IF(COUNTIF(D558,"*"&amp;'Keyword Search'!$C$5&amp;"*"),TRUE,FALSE)</f>
        <v>1</v>
      </c>
      <c r="G558" t="str">
        <f t="shared" si="35"/>
        <v>060-71: Replacement Parts for Ford</v>
      </c>
    </row>
    <row r="559" spans="1:7" x14ac:dyDescent="0.25">
      <c r="A559" s="1" t="str">
        <f t="shared" si="36"/>
        <v>060</v>
      </c>
      <c r="B559" s="1" t="str">
        <f>TEXT(72,"00")</f>
        <v>72</v>
      </c>
      <c r="C559" s="1" t="str">
        <f t="shared" si="34"/>
        <v>060-72</v>
      </c>
      <c r="D559" t="s">
        <v>558</v>
      </c>
      <c r="E559" t="b">
        <f>IF(COUNTIF(D559,"*"&amp;'Keyword Search'!$C$5&amp;"*"),TRUE,FALSE)</f>
        <v>1</v>
      </c>
      <c r="G559" t="str">
        <f t="shared" si="35"/>
        <v>060-72: Replacement Parts for General Motors</v>
      </c>
    </row>
    <row r="560" spans="1:7" x14ac:dyDescent="0.25">
      <c r="A560" s="1" t="str">
        <f t="shared" si="36"/>
        <v>060</v>
      </c>
      <c r="B560" s="1" t="str">
        <f>TEXT(73,"00")</f>
        <v>73</v>
      </c>
      <c r="C560" s="1" t="str">
        <f t="shared" si="34"/>
        <v>060-73</v>
      </c>
      <c r="D560" t="s">
        <v>559</v>
      </c>
      <c r="E560" t="b">
        <f>IF(COUNTIF(D560,"*"&amp;'Keyword Search'!$C$5&amp;"*"),TRUE,FALSE)</f>
        <v>1</v>
      </c>
      <c r="G560" t="str">
        <f t="shared" si="35"/>
        <v>060-73: Replacement Parts for International Harvester</v>
      </c>
    </row>
    <row r="561" spans="1:7" x14ac:dyDescent="0.25">
      <c r="A561" s="1" t="str">
        <f t="shared" si="36"/>
        <v>060</v>
      </c>
      <c r="B561" s="1" t="str">
        <f>TEXT(74,"00")</f>
        <v>74</v>
      </c>
      <c r="C561" s="1" t="str">
        <f t="shared" si="34"/>
        <v>060-74</v>
      </c>
      <c r="D561" t="s">
        <v>560</v>
      </c>
      <c r="E561" t="b">
        <f>IF(COUNTIF(D561,"*"&amp;'Keyword Search'!$C$5&amp;"*"),TRUE,FALSE)</f>
        <v>1</v>
      </c>
      <c r="G561" t="str">
        <f t="shared" si="35"/>
        <v>060-74: Replacement Parts for other than Chrysler, Ford, General Motors, and International Harvester</v>
      </c>
    </row>
    <row r="562" spans="1:7" x14ac:dyDescent="0.25">
      <c r="A562" s="1" t="str">
        <f t="shared" si="36"/>
        <v>060</v>
      </c>
      <c r="B562" s="1" t="str">
        <f>TEXT(75,"00")</f>
        <v>75</v>
      </c>
      <c r="C562" s="1" t="str">
        <f t="shared" si="34"/>
        <v>060-75</v>
      </c>
      <c r="D562" t="s">
        <v>561</v>
      </c>
      <c r="E562" t="b">
        <f>IF(COUNTIF(D562,"*"&amp;'Keyword Search'!$C$5&amp;"*"),TRUE,FALSE)</f>
        <v>1</v>
      </c>
      <c r="G562" t="str">
        <f t="shared" si="35"/>
        <v>060-75: Retread Rubber</v>
      </c>
    </row>
    <row r="563" spans="1:7" x14ac:dyDescent="0.25">
      <c r="A563" s="1" t="str">
        <f t="shared" si="36"/>
        <v>060</v>
      </c>
      <c r="B563" s="1" t="str">
        <f>TEXT(78,"00")</f>
        <v>78</v>
      </c>
      <c r="C563" s="1" t="str">
        <f t="shared" si="34"/>
        <v>060-78</v>
      </c>
      <c r="D563" t="s">
        <v>562</v>
      </c>
      <c r="E563" t="b">
        <f>IF(COUNTIF(D563,"*"&amp;'Keyword Search'!$C$5&amp;"*"),TRUE,FALSE)</f>
        <v>1</v>
      </c>
      <c r="G563" t="str">
        <f t="shared" si="35"/>
        <v>060-78: Retreading Equipment</v>
      </c>
    </row>
    <row r="564" spans="1:7" x14ac:dyDescent="0.25">
      <c r="A564" s="1" t="str">
        <f t="shared" si="36"/>
        <v>060</v>
      </c>
      <c r="B564" s="1" t="str">
        <f>TEXT(79,"00")</f>
        <v>79</v>
      </c>
      <c r="C564" s="1" t="str">
        <f t="shared" si="34"/>
        <v>060-79</v>
      </c>
      <c r="D564" t="s">
        <v>563</v>
      </c>
      <c r="E564" t="b">
        <f>IF(COUNTIF(D564,"*"&amp;'Keyword Search'!$C$5&amp;"*"),TRUE,FALSE)</f>
        <v>1</v>
      </c>
      <c r="G564" t="str">
        <f t="shared" si="35"/>
        <v>060-79: Seals and O-Rings</v>
      </c>
    </row>
    <row r="565" spans="1:7" x14ac:dyDescent="0.25">
      <c r="A565" s="1" t="str">
        <f t="shared" si="36"/>
        <v>060</v>
      </c>
      <c r="B565" s="1" t="str">
        <f>TEXT(83,"00")</f>
        <v>83</v>
      </c>
      <c r="C565" s="1" t="str">
        <f t="shared" si="34"/>
        <v>060-83</v>
      </c>
      <c r="D565" t="s">
        <v>564</v>
      </c>
      <c r="E565" t="b">
        <f>IF(COUNTIF(D565,"*"&amp;'Keyword Search'!$C$5&amp;"*"),TRUE,FALSE)</f>
        <v>1</v>
      </c>
      <c r="G565" t="str">
        <f t="shared" si="35"/>
        <v>060-83: Shock Absorbers, Struts, etc.</v>
      </c>
    </row>
    <row r="566" spans="1:7" x14ac:dyDescent="0.25">
      <c r="A566" s="1" t="str">
        <f t="shared" si="36"/>
        <v>060</v>
      </c>
      <c r="B566" s="1" t="str">
        <f>TEXT(84,"00")</f>
        <v>84</v>
      </c>
      <c r="C566" s="1" t="str">
        <f t="shared" si="34"/>
        <v>060-84</v>
      </c>
      <c r="D566" t="s">
        <v>565</v>
      </c>
      <c r="E566" t="b">
        <f>IF(COUNTIF(D566,"*"&amp;'Keyword Search'!$C$5&amp;"*"),TRUE,FALSE)</f>
        <v>1</v>
      </c>
      <c r="G566" t="str">
        <f t="shared" si="35"/>
        <v>060-84: Springs, Leaves, Suspensions, etc., Including Sway Bars</v>
      </c>
    </row>
    <row r="567" spans="1:7" x14ac:dyDescent="0.25">
      <c r="A567" s="1" t="str">
        <f t="shared" si="36"/>
        <v>060</v>
      </c>
      <c r="B567" s="1" t="str">
        <f>TEXT(86,"00")</f>
        <v>86</v>
      </c>
      <c r="C567" s="1" t="str">
        <f t="shared" si="34"/>
        <v>060-86</v>
      </c>
      <c r="D567" t="s">
        <v>566</v>
      </c>
      <c r="E567" t="b">
        <f>IF(COUNTIF(D567,"*"&amp;'Keyword Search'!$C$5&amp;"*"),TRUE,FALSE)</f>
        <v>1</v>
      </c>
      <c r="G567" t="str">
        <f t="shared" si="35"/>
        <v>060-86: Steering Components and Parts</v>
      </c>
    </row>
    <row r="568" spans="1:7" x14ac:dyDescent="0.25">
      <c r="A568" s="1" t="str">
        <f t="shared" si="36"/>
        <v>060</v>
      </c>
      <c r="B568" s="1" t="str">
        <f>TEXT(87,"00")</f>
        <v>87</v>
      </c>
      <c r="C568" s="1" t="str">
        <f t="shared" si="34"/>
        <v>060-87</v>
      </c>
      <c r="D568" t="s">
        <v>567</v>
      </c>
      <c r="E568" t="b">
        <f>IF(COUNTIF(D568,"*"&amp;'Keyword Search'!$C$5&amp;"*"),TRUE,FALSE)</f>
        <v>1</v>
      </c>
      <c r="G568" t="str">
        <f t="shared" si="35"/>
        <v>060-87: Tire and Tube Repair Items and Vulcanizers</v>
      </c>
    </row>
    <row r="569" spans="1:7" x14ac:dyDescent="0.25">
      <c r="A569" s="1" t="str">
        <f t="shared" si="36"/>
        <v>060</v>
      </c>
      <c r="B569" s="1" t="str">
        <f>TEXT(93,"00")</f>
        <v>93</v>
      </c>
      <c r="C569" s="1" t="str">
        <f t="shared" si="34"/>
        <v>060-93</v>
      </c>
      <c r="D569" t="s">
        <v>568</v>
      </c>
      <c r="E569" t="b">
        <f>IF(COUNTIF(D569,"*"&amp;'Keyword Search'!$C$5&amp;"*"),TRUE,FALSE)</f>
        <v>1</v>
      </c>
      <c r="G569" t="str">
        <f t="shared" si="35"/>
        <v>060-93: Tire Sealing Compound</v>
      </c>
    </row>
    <row r="570" spans="1:7" x14ac:dyDescent="0.25">
      <c r="A570" s="1" t="str">
        <f t="shared" si="36"/>
        <v>060</v>
      </c>
      <c r="B570" s="1" t="str">
        <f>TEXT(94,"00")</f>
        <v>94</v>
      </c>
      <c r="C570" s="1" t="str">
        <f t="shared" si="34"/>
        <v>060-94</v>
      </c>
      <c r="D570" t="s">
        <v>569</v>
      </c>
      <c r="E570" t="b">
        <f>IF(COUNTIF(D570,"*"&amp;'Keyword Search'!$C$5&amp;"*"),TRUE,FALSE)</f>
        <v>1</v>
      </c>
      <c r="G570" t="str">
        <f t="shared" si="35"/>
        <v>060-94: Transmissions, Standard and Automatic, Including Clutch Assemblies and Parts</v>
      </c>
    </row>
    <row r="571" spans="1:7" x14ac:dyDescent="0.25">
      <c r="A571" s="1" t="str">
        <f t="shared" si="36"/>
        <v>060</v>
      </c>
      <c r="B571" s="1" t="str">
        <f>TEXT(95,"00")</f>
        <v>95</v>
      </c>
      <c r="C571" s="1" t="str">
        <f t="shared" si="34"/>
        <v>060-95</v>
      </c>
      <c r="D571" t="s">
        <v>570</v>
      </c>
      <c r="E571" t="b">
        <f>IF(COUNTIF(D571,"*"&amp;'Keyword Search'!$C$5&amp;"*"),TRUE,FALSE)</f>
        <v>1</v>
      </c>
      <c r="G571" t="str">
        <f t="shared" si="35"/>
        <v>060-95: Wheel Bearings and Seals</v>
      </c>
    </row>
    <row r="572" spans="1:7" x14ac:dyDescent="0.25">
      <c r="A572" s="1" t="str">
        <f t="shared" si="36"/>
        <v>060</v>
      </c>
      <c r="B572" s="1" t="str">
        <f>TEXT(96,"00")</f>
        <v>96</v>
      </c>
      <c r="C572" s="1" t="str">
        <f t="shared" si="34"/>
        <v>060-96</v>
      </c>
      <c r="D572" t="s">
        <v>571</v>
      </c>
      <c r="E572" t="b">
        <f>IF(COUNTIF(D572,"*"&amp;'Keyword Search'!$C$5&amp;"*"),TRUE,FALSE)</f>
        <v>1</v>
      </c>
      <c r="G572" t="str">
        <f t="shared" si="35"/>
        <v>060-96: Wheels and Rims, Including Wheel Covers and Hubcaps</v>
      </c>
    </row>
    <row r="573" spans="1:7" x14ac:dyDescent="0.25">
      <c r="A573" s="1" t="str">
        <f t="shared" si="36"/>
        <v>060</v>
      </c>
      <c r="B573" s="1" t="str">
        <f>TEXT(97,"00")</f>
        <v>97</v>
      </c>
      <c r="C573" s="1" t="str">
        <f t="shared" si="34"/>
        <v>060-97</v>
      </c>
      <c r="D573" t="s">
        <v>572</v>
      </c>
      <c r="E573" t="b">
        <f>IF(COUNTIF(D573,"*"&amp;'Keyword Search'!$C$5&amp;"*"),TRUE,FALSE)</f>
        <v>1</v>
      </c>
      <c r="G573" t="str">
        <f t="shared" si="35"/>
        <v>060-97: Windshield Wiper and Washer Assemblies, and Parts, Including Windshield Washer Fluid</v>
      </c>
    </row>
    <row r="574" spans="1:7" x14ac:dyDescent="0.25">
      <c r="A574" s="5" t="str">
        <f t="shared" ref="A574:A617" si="37">TEXT(65,"000")</f>
        <v>065</v>
      </c>
      <c r="B574" s="5" t="str">
        <f>TEXT(0,"00")</f>
        <v>00</v>
      </c>
      <c r="C574" s="1"/>
      <c r="D574" s="2" t="s">
        <v>573</v>
      </c>
    </row>
    <row r="575" spans="1:7" x14ac:dyDescent="0.25">
      <c r="A575" s="1" t="str">
        <f t="shared" si="37"/>
        <v>065</v>
      </c>
      <c r="B575" s="1" t="str">
        <f>TEXT(5,"00")</f>
        <v>05</v>
      </c>
      <c r="C575" s="1" t="str">
        <f t="shared" si="34"/>
        <v>065-05</v>
      </c>
      <c r="D575" t="s">
        <v>574</v>
      </c>
      <c r="E575" t="b">
        <f>IF(COUNTIF(D575,"*"&amp;'Keyword Search'!$C$5&amp;"*"),TRUE,FALSE)</f>
        <v>1</v>
      </c>
      <c r="G575" t="str">
        <f t="shared" si="35"/>
        <v>065-05: Aerial Ladders and Towers, Including Buckets for Personnel</v>
      </c>
    </row>
    <row r="576" spans="1:7" x14ac:dyDescent="0.25">
      <c r="A576" s="1" t="str">
        <f t="shared" si="37"/>
        <v>065</v>
      </c>
      <c r="B576" s="1" t="str">
        <f>TEXT(7,"00")</f>
        <v>07</v>
      </c>
      <c r="C576" s="1" t="str">
        <f t="shared" si="34"/>
        <v>065-07</v>
      </c>
      <c r="D576" t="s">
        <v>575</v>
      </c>
      <c r="E576" t="b">
        <f>IF(COUNTIF(D576,"*"&amp;'Keyword Search'!$C$5&amp;"*"),TRUE,FALSE)</f>
        <v>1</v>
      </c>
      <c r="G576" t="str">
        <f t="shared" si="35"/>
        <v>065-07: Bodies, Including Parts and Accessories, Passenger Automobiles</v>
      </c>
    </row>
    <row r="577" spans="1:7" x14ac:dyDescent="0.25">
      <c r="A577" s="1" t="str">
        <f t="shared" si="37"/>
        <v>065</v>
      </c>
      <c r="B577" s="1" t="str">
        <f>TEXT(8,"00")</f>
        <v>08</v>
      </c>
      <c r="C577" s="1" t="str">
        <f t="shared" si="34"/>
        <v>065-08</v>
      </c>
      <c r="D577" t="s">
        <v>576</v>
      </c>
      <c r="E577" t="b">
        <f>IF(COUNTIF(D577,"*"&amp;'Keyword Search'!$C$5&amp;"*"),TRUE,FALSE)</f>
        <v>1</v>
      </c>
      <c r="G577" t="str">
        <f t="shared" si="35"/>
        <v>065-08: Bodies, Animal Control</v>
      </c>
    </row>
    <row r="578" spans="1:7" x14ac:dyDescent="0.25">
      <c r="A578" s="1" t="str">
        <f t="shared" si="37"/>
        <v>065</v>
      </c>
      <c r="B578" s="1" t="str">
        <f>TEXT(10,"00")</f>
        <v>10</v>
      </c>
      <c r="C578" s="1" t="str">
        <f t="shared" si="34"/>
        <v>065-10</v>
      </c>
      <c r="D578" t="s">
        <v>577</v>
      </c>
      <c r="E578" t="b">
        <f>IF(COUNTIF(D578,"*"&amp;'Keyword Search'!$C$5&amp;"*"),TRUE,FALSE)</f>
        <v>1</v>
      </c>
      <c r="G578" t="str">
        <f t="shared" si="35"/>
        <v>065-10: Bodies, Utility</v>
      </c>
    </row>
    <row r="579" spans="1:7" x14ac:dyDescent="0.25">
      <c r="A579" s="1" t="str">
        <f t="shared" si="37"/>
        <v>065</v>
      </c>
      <c r="B579" s="1" t="str">
        <f>TEXT(12,"00")</f>
        <v>12</v>
      </c>
      <c r="C579" s="1" t="str">
        <f t="shared" ref="C579:C642" si="38">CONCATENATE(A579,"-",B579)</f>
        <v>065-12</v>
      </c>
      <c r="D579" t="s">
        <v>578</v>
      </c>
      <c r="E579" t="b">
        <f>IF(COUNTIF(D579,"*"&amp;'Keyword Search'!$C$5&amp;"*"),TRUE,FALSE)</f>
        <v>1</v>
      </c>
      <c r="G579" t="str">
        <f t="shared" si="35"/>
        <v>065-12: Body and Frame Parts, Including Bed Extenders (Not Otherwise Classified)</v>
      </c>
    </row>
    <row r="580" spans="1:7" x14ac:dyDescent="0.25">
      <c r="A580" s="1" t="str">
        <f t="shared" si="37"/>
        <v>065</v>
      </c>
      <c r="B580" s="1" t="str">
        <f>TEXT(15,"00")</f>
        <v>15</v>
      </c>
      <c r="C580" s="1" t="str">
        <f t="shared" si="38"/>
        <v>065-15</v>
      </c>
      <c r="D580" t="s">
        <v>579</v>
      </c>
      <c r="E580" t="b">
        <f>IF(COUNTIF(D580,"*"&amp;'Keyword Search'!$C$5&amp;"*"),TRUE,FALSE)</f>
        <v>1</v>
      </c>
      <c r="G580" t="str">
        <f t="shared" ref="G580:G643" si="39">CONCATENATE(C580,": ",D580)</f>
        <v>065-15: Bookmobile Bodies</v>
      </c>
    </row>
    <row r="581" spans="1:7" x14ac:dyDescent="0.25">
      <c r="A581" s="1" t="str">
        <f t="shared" si="37"/>
        <v>065</v>
      </c>
      <c r="B581" s="1" t="str">
        <f>TEXT(16,"00")</f>
        <v>16</v>
      </c>
      <c r="C581" s="1" t="str">
        <f t="shared" si="38"/>
        <v>065-16</v>
      </c>
      <c r="D581" t="s">
        <v>580</v>
      </c>
      <c r="E581" t="b">
        <f>IF(COUNTIF(D581,"*"&amp;'Keyword Search'!$C$5&amp;"*"),TRUE,FALSE)</f>
        <v>1</v>
      </c>
      <c r="G581" t="str">
        <f t="shared" si="39"/>
        <v>065-16: Brush Guards, Truck</v>
      </c>
    </row>
    <row r="582" spans="1:7" x14ac:dyDescent="0.25">
      <c r="A582" s="1" t="str">
        <f t="shared" si="37"/>
        <v>065</v>
      </c>
      <c r="B582" s="1" t="str">
        <f>TEXT(17,"00")</f>
        <v>17</v>
      </c>
      <c r="C582" s="1" t="str">
        <f t="shared" si="38"/>
        <v>065-17</v>
      </c>
      <c r="D582" t="s">
        <v>581</v>
      </c>
      <c r="E582" t="b">
        <f>IF(COUNTIF(D582,"*"&amp;'Keyword Search'!$C$5&amp;"*"),TRUE,FALSE)</f>
        <v>1</v>
      </c>
      <c r="G582" t="str">
        <f t="shared" si="39"/>
        <v>065-17: Bus Bodies, School</v>
      </c>
    </row>
    <row r="583" spans="1:7" x14ac:dyDescent="0.25">
      <c r="A583" s="1" t="str">
        <f t="shared" si="37"/>
        <v>065</v>
      </c>
      <c r="B583" s="1" t="str">
        <f>TEXT(23,"00")</f>
        <v>23</v>
      </c>
      <c r="C583" s="1" t="str">
        <f t="shared" si="38"/>
        <v>065-23</v>
      </c>
      <c r="D583" t="s">
        <v>582</v>
      </c>
      <c r="E583" t="b">
        <f>IF(COUNTIF(D583,"*"&amp;'Keyword Search'!$C$5&amp;"*"),TRUE,FALSE)</f>
        <v>1</v>
      </c>
      <c r="G583" t="str">
        <f t="shared" si="39"/>
        <v>065-23: Cement Truck Bodies</v>
      </c>
    </row>
    <row r="584" spans="1:7" x14ac:dyDescent="0.25">
      <c r="A584" s="1" t="str">
        <f t="shared" si="37"/>
        <v>065</v>
      </c>
      <c r="B584" s="1" t="str">
        <f>TEXT(25,"00")</f>
        <v>25</v>
      </c>
      <c r="C584" s="1" t="str">
        <f t="shared" si="38"/>
        <v>065-25</v>
      </c>
      <c r="D584" t="s">
        <v>583</v>
      </c>
      <c r="E584" t="b">
        <f>IF(COUNTIF(D584,"*"&amp;'Keyword Search'!$C$5&amp;"*"),TRUE,FALSE)</f>
        <v>1</v>
      </c>
      <c r="G584" t="str">
        <f t="shared" si="39"/>
        <v>065-25: Covers, Camper Shells, Load Covers, etc., For Trucks</v>
      </c>
    </row>
    <row r="585" spans="1:7" x14ac:dyDescent="0.25">
      <c r="A585" s="1" t="str">
        <f t="shared" si="37"/>
        <v>065</v>
      </c>
      <c r="B585" s="1" t="str">
        <f>TEXT(27,"00")</f>
        <v>27</v>
      </c>
      <c r="C585" s="1" t="str">
        <f t="shared" si="38"/>
        <v>065-27</v>
      </c>
      <c r="D585" t="s">
        <v>584</v>
      </c>
      <c r="E585" t="b">
        <f>IF(COUNTIF(D585,"*"&amp;'Keyword Search'!$C$5&amp;"*"),TRUE,FALSE)</f>
        <v>1</v>
      </c>
      <c r="G585" t="str">
        <f t="shared" si="39"/>
        <v>065-27: Derrick, Digger, Truck Mounted</v>
      </c>
    </row>
    <row r="586" spans="1:7" x14ac:dyDescent="0.25">
      <c r="A586" s="1" t="str">
        <f t="shared" si="37"/>
        <v>065</v>
      </c>
      <c r="B586" s="1" t="str">
        <f>TEXT(30,"00")</f>
        <v>30</v>
      </c>
      <c r="C586" s="1" t="str">
        <f t="shared" si="38"/>
        <v>065-30</v>
      </c>
      <c r="D586" t="s">
        <v>585</v>
      </c>
      <c r="E586" t="b">
        <f>IF(COUNTIF(D586,"*"&amp;'Keyword Search'!$C$5&amp;"*"),TRUE,FALSE)</f>
        <v>1</v>
      </c>
      <c r="G586" t="str">
        <f t="shared" si="39"/>
        <v>065-30: Dump Bodies, Hoist Subframes, etc.</v>
      </c>
    </row>
    <row r="587" spans="1:7" x14ac:dyDescent="0.25">
      <c r="A587" s="1" t="str">
        <f t="shared" si="37"/>
        <v>065</v>
      </c>
      <c r="B587" s="1" t="str">
        <f>TEXT(34,"00")</f>
        <v>34</v>
      </c>
      <c r="C587" s="1" t="str">
        <f t="shared" si="38"/>
        <v>065-34</v>
      </c>
      <c r="D587" t="s">
        <v>586</v>
      </c>
      <c r="E587" t="b">
        <f>IF(COUNTIF(D587,"*"&amp;'Keyword Search'!$C$5&amp;"*"),TRUE,FALSE)</f>
        <v>1</v>
      </c>
      <c r="G587" t="str">
        <f t="shared" si="39"/>
        <v>065-34: Fire Protection and Crash Rescue Bodies</v>
      </c>
    </row>
    <row r="588" spans="1:7" x14ac:dyDescent="0.25">
      <c r="A588" s="1" t="str">
        <f t="shared" si="37"/>
        <v>065</v>
      </c>
      <c r="B588" s="1" t="str">
        <f>TEXT(35,"00")</f>
        <v>35</v>
      </c>
      <c r="C588" s="1" t="str">
        <f t="shared" si="38"/>
        <v>065-35</v>
      </c>
      <c r="D588" t="s">
        <v>587</v>
      </c>
      <c r="E588" t="b">
        <f>IF(COUNTIF(D588,"*"&amp;'Keyword Search'!$C$5&amp;"*"),TRUE,FALSE)</f>
        <v>1</v>
      </c>
      <c r="G588" t="str">
        <f t="shared" si="39"/>
        <v>065-35: Flat Bed Bodies</v>
      </c>
    </row>
    <row r="589" spans="1:7" x14ac:dyDescent="0.25">
      <c r="A589" s="1" t="str">
        <f t="shared" si="37"/>
        <v>065</v>
      </c>
      <c r="B589" s="1" t="str">
        <f>TEXT(40,"00")</f>
        <v>40</v>
      </c>
      <c r="C589" s="1" t="str">
        <f t="shared" si="38"/>
        <v>065-40</v>
      </c>
      <c r="D589" t="s">
        <v>588</v>
      </c>
      <c r="E589" t="b">
        <f>IF(COUNTIF(D589,"*"&amp;'Keyword Search'!$C$5&amp;"*"),TRUE,FALSE)</f>
        <v>1</v>
      </c>
      <c r="G589" t="str">
        <f t="shared" si="39"/>
        <v>065-40: Grain Bodies</v>
      </c>
    </row>
    <row r="590" spans="1:7" x14ac:dyDescent="0.25">
      <c r="A590" s="1" t="str">
        <f t="shared" si="37"/>
        <v>065</v>
      </c>
      <c r="B590" s="1" t="str">
        <f>TEXT(43,"00")</f>
        <v>43</v>
      </c>
      <c r="C590" s="1" t="str">
        <f t="shared" si="38"/>
        <v>065-43</v>
      </c>
      <c r="D590" t="s">
        <v>589</v>
      </c>
      <c r="E590" t="b">
        <f>IF(COUNTIF(D590,"*"&amp;'Keyword Search'!$C$5&amp;"*"),TRUE,FALSE)</f>
        <v>1</v>
      </c>
      <c r="G590" t="str">
        <f t="shared" si="39"/>
        <v>065-43: Handles, Grab</v>
      </c>
    </row>
    <row r="591" spans="1:7" x14ac:dyDescent="0.25">
      <c r="A591" s="1" t="str">
        <f t="shared" si="37"/>
        <v>065</v>
      </c>
      <c r="B591" s="1" t="str">
        <f>TEXT(44,"00")</f>
        <v>44</v>
      </c>
      <c r="C591" s="1" t="str">
        <f t="shared" si="38"/>
        <v>065-44</v>
      </c>
      <c r="D591" t="s">
        <v>590</v>
      </c>
      <c r="E591" t="b">
        <f>IF(COUNTIF(D591,"*"&amp;'Keyword Search'!$C$5&amp;"*"),TRUE,FALSE)</f>
        <v>1</v>
      </c>
      <c r="G591" t="str">
        <f t="shared" si="39"/>
        <v>065-44: Hatches, Roof, Ventilation, Emergency Exit, etc.</v>
      </c>
    </row>
    <row r="592" spans="1:7" x14ac:dyDescent="0.25">
      <c r="A592" s="1" t="str">
        <f t="shared" si="37"/>
        <v>065</v>
      </c>
      <c r="B592" s="1" t="str">
        <f>TEXT(45,"00")</f>
        <v>45</v>
      </c>
      <c r="C592" s="1" t="str">
        <f t="shared" si="38"/>
        <v>065-45</v>
      </c>
      <c r="D592" t="s">
        <v>591</v>
      </c>
      <c r="E592" t="b">
        <f>IF(COUNTIF(D592,"*"&amp;'Keyword Search'!$C$5&amp;"*"),TRUE,FALSE)</f>
        <v>1</v>
      </c>
      <c r="G592" t="str">
        <f t="shared" si="39"/>
        <v>065-45: Headache Racks, Truck Bodies</v>
      </c>
    </row>
    <row r="593" spans="1:7" x14ac:dyDescent="0.25">
      <c r="A593" s="1" t="str">
        <f t="shared" si="37"/>
        <v>065</v>
      </c>
      <c r="B593" s="1" t="str">
        <f>TEXT(50,"00")</f>
        <v>50</v>
      </c>
      <c r="C593" s="1" t="str">
        <f t="shared" si="38"/>
        <v>065-50</v>
      </c>
      <c r="D593" t="s">
        <v>592</v>
      </c>
      <c r="E593" t="b">
        <f>IF(COUNTIF(D593,"*"&amp;'Keyword Search'!$C$5&amp;"*"),TRUE,FALSE)</f>
        <v>1</v>
      </c>
      <c r="G593" t="str">
        <f t="shared" si="39"/>
        <v>065-50: Ladder Rack Bodies</v>
      </c>
    </row>
    <row r="594" spans="1:7" x14ac:dyDescent="0.25">
      <c r="A594" s="1" t="str">
        <f t="shared" si="37"/>
        <v>065</v>
      </c>
      <c r="B594" s="1" t="str">
        <f>TEXT(55,"00")</f>
        <v>55</v>
      </c>
      <c r="C594" s="1" t="str">
        <f t="shared" si="38"/>
        <v>065-55</v>
      </c>
      <c r="D594" t="s">
        <v>593</v>
      </c>
      <c r="E594" t="b">
        <f>IF(COUNTIF(D594,"*"&amp;'Keyword Search'!$C$5&amp;"*"),TRUE,FALSE)</f>
        <v>1</v>
      </c>
      <c r="G594" t="str">
        <f t="shared" si="39"/>
        <v>065-55: Livestock Bodies</v>
      </c>
    </row>
    <row r="595" spans="1:7" x14ac:dyDescent="0.25">
      <c r="A595" s="1" t="str">
        <f t="shared" si="37"/>
        <v>065</v>
      </c>
      <c r="B595" s="1" t="str">
        <f>TEXT(60,"00")</f>
        <v>60</v>
      </c>
      <c r="C595" s="1" t="str">
        <f t="shared" si="38"/>
        <v>065-60</v>
      </c>
      <c r="D595" t="s">
        <v>594</v>
      </c>
      <c r="E595" t="b">
        <f>IF(COUNTIF(D595,"*"&amp;'Keyword Search'!$C$5&amp;"*"),TRUE,FALSE)</f>
        <v>1</v>
      </c>
      <c r="G595" t="str">
        <f t="shared" si="39"/>
        <v>065-60: Milk Delivery Bodies</v>
      </c>
    </row>
    <row r="596" spans="1:7" x14ac:dyDescent="0.25">
      <c r="A596" s="1" t="str">
        <f t="shared" si="37"/>
        <v>065</v>
      </c>
      <c r="B596" s="1" t="str">
        <f>TEXT(62,"00")</f>
        <v>62</v>
      </c>
      <c r="C596" s="1" t="str">
        <f t="shared" si="38"/>
        <v>065-62</v>
      </c>
      <c r="D596" t="s">
        <v>595</v>
      </c>
      <c r="E596" t="b">
        <f>IF(COUNTIF(D596,"*"&amp;'Keyword Search'!$C$5&amp;"*"),TRUE,FALSE)</f>
        <v>1</v>
      </c>
      <c r="G596" t="str">
        <f t="shared" si="39"/>
        <v>065-62: Mobile Service and Lubrication Bodies</v>
      </c>
    </row>
    <row r="597" spans="1:7" x14ac:dyDescent="0.25">
      <c r="A597" s="1" t="str">
        <f t="shared" si="37"/>
        <v>065</v>
      </c>
      <c r="B597" s="1" t="str">
        <f>TEXT(65,"00")</f>
        <v>65</v>
      </c>
      <c r="C597" s="1" t="str">
        <f t="shared" si="38"/>
        <v>065-65</v>
      </c>
      <c r="D597" t="s">
        <v>596</v>
      </c>
      <c r="E597" t="b">
        <f>IF(COUNTIF(D597,"*"&amp;'Keyword Search'!$C$5&amp;"*"),TRUE,FALSE)</f>
        <v>1</v>
      </c>
      <c r="G597" t="str">
        <f t="shared" si="39"/>
        <v>065-65: Oil Field Bodies</v>
      </c>
    </row>
    <row r="598" spans="1:7" x14ac:dyDescent="0.25">
      <c r="A598" s="1" t="str">
        <f t="shared" si="37"/>
        <v>065</v>
      </c>
      <c r="B598" s="1" t="str">
        <f>TEXT(66,"00")</f>
        <v>66</v>
      </c>
      <c r="C598" s="1" t="str">
        <f t="shared" si="38"/>
        <v>065-66</v>
      </c>
      <c r="D598" t="s">
        <v>597</v>
      </c>
      <c r="E598" t="b">
        <f>IF(COUNTIF(D598,"*"&amp;'Keyword Search'!$C$5&amp;"*"),TRUE,FALSE)</f>
        <v>1</v>
      </c>
      <c r="G598" t="str">
        <f t="shared" si="39"/>
        <v>065-66: Ordnance, Explosive, Disposal Bodies</v>
      </c>
    </row>
    <row r="599" spans="1:7" x14ac:dyDescent="0.25">
      <c r="A599" s="1" t="str">
        <f t="shared" si="37"/>
        <v>065</v>
      </c>
      <c r="B599" s="1" t="str">
        <f>TEXT(67,"00")</f>
        <v>67</v>
      </c>
      <c r="C599" s="1" t="str">
        <f t="shared" si="38"/>
        <v>065-67</v>
      </c>
      <c r="D599" t="s">
        <v>598</v>
      </c>
      <c r="E599" t="b">
        <f>IF(COUNTIF(D599,"*"&amp;'Keyword Search'!$C$5&amp;"*"),TRUE,FALSE)</f>
        <v>1</v>
      </c>
      <c r="G599" t="str">
        <f t="shared" si="39"/>
        <v>065-67: Platform Bodies, Including Elevating Type</v>
      </c>
    </row>
    <row r="600" spans="1:7" x14ac:dyDescent="0.25">
      <c r="A600" s="1" t="str">
        <f t="shared" si="37"/>
        <v>065</v>
      </c>
      <c r="B600" s="1" t="str">
        <f>TEXT(68,"00")</f>
        <v>68</v>
      </c>
      <c r="C600" s="1" t="str">
        <f t="shared" si="38"/>
        <v>065-68</v>
      </c>
      <c r="D600" t="s">
        <v>599</v>
      </c>
      <c r="E600" t="b">
        <f>IF(COUNTIF(D600,"*"&amp;'Keyword Search'!$C$5&amp;"*"),TRUE,FALSE)</f>
        <v>1</v>
      </c>
      <c r="G600" t="str">
        <f t="shared" si="39"/>
        <v>065-68: Powerlift Tailgate</v>
      </c>
    </row>
    <row r="601" spans="1:7" x14ac:dyDescent="0.25">
      <c r="A601" s="1" t="str">
        <f t="shared" si="37"/>
        <v>065</v>
      </c>
      <c r="B601" s="1" t="str">
        <f>TEXT(69,"00")</f>
        <v>69</v>
      </c>
      <c r="C601" s="1" t="str">
        <f t="shared" si="38"/>
        <v>065-69</v>
      </c>
      <c r="D601" t="s">
        <v>600</v>
      </c>
      <c r="E601" t="b">
        <f>IF(COUNTIF(D601,"*"&amp;'Keyword Search'!$C$5&amp;"*"),TRUE,FALSE)</f>
        <v>1</v>
      </c>
      <c r="G601" t="str">
        <f t="shared" si="39"/>
        <v>065-69: Pickup Truck Bodies</v>
      </c>
    </row>
    <row r="602" spans="1:7" x14ac:dyDescent="0.25">
      <c r="A602" s="1" t="str">
        <f t="shared" si="37"/>
        <v>065</v>
      </c>
      <c r="B602" s="1" t="str">
        <f>TEXT(70,"00")</f>
        <v>70</v>
      </c>
      <c r="C602" s="1" t="str">
        <f t="shared" si="38"/>
        <v>065-70</v>
      </c>
      <c r="D602" t="s">
        <v>601</v>
      </c>
      <c r="E602" t="b">
        <f>IF(COUNTIF(D602,"*"&amp;'Keyword Search'!$C$5&amp;"*"),TRUE,FALSE)</f>
        <v>1</v>
      </c>
      <c r="G602" t="str">
        <f t="shared" si="39"/>
        <v>065-70: Refrigerated Bodies</v>
      </c>
    </row>
    <row r="603" spans="1:7" x14ac:dyDescent="0.25">
      <c r="A603" s="1" t="str">
        <f t="shared" si="37"/>
        <v>065</v>
      </c>
      <c r="B603" s="1" t="str">
        <f>TEXT(72,"00")</f>
        <v>72</v>
      </c>
      <c r="C603" s="1" t="str">
        <f t="shared" si="38"/>
        <v>065-72</v>
      </c>
      <c r="D603" t="s">
        <v>602</v>
      </c>
      <c r="E603" t="b">
        <f>IF(COUNTIF(D603,"*"&amp;'Keyword Search'!$C$5&amp;"*"),TRUE,FALSE)</f>
        <v>1</v>
      </c>
      <c r="G603" t="str">
        <f t="shared" si="39"/>
        <v>065-72: Recycled Automotive Bodies, Including Parts and Accessories</v>
      </c>
    </row>
    <row r="604" spans="1:7" x14ac:dyDescent="0.25">
      <c r="A604" s="1" t="str">
        <f t="shared" si="37"/>
        <v>065</v>
      </c>
      <c r="B604" s="1" t="str">
        <f>TEXT(75,"00")</f>
        <v>75</v>
      </c>
      <c r="C604" s="1" t="str">
        <f t="shared" si="38"/>
        <v>065-75</v>
      </c>
      <c r="D604" t="s">
        <v>603</v>
      </c>
      <c r="E604" t="b">
        <f>IF(COUNTIF(D604,"*"&amp;'Keyword Search'!$C$5&amp;"*"),TRUE,FALSE)</f>
        <v>1</v>
      </c>
      <c r="G604" t="str">
        <f t="shared" si="39"/>
        <v>065-75: Refuse/Garbage Collection Bodies, Including Parts and Accessories</v>
      </c>
    </row>
    <row r="605" spans="1:7" x14ac:dyDescent="0.25">
      <c r="A605" s="1" t="str">
        <f t="shared" si="37"/>
        <v>065</v>
      </c>
      <c r="B605" s="1" t="str">
        <f>TEXT(78,"00")</f>
        <v>78</v>
      </c>
      <c r="C605" s="1" t="str">
        <f t="shared" si="38"/>
        <v>065-78</v>
      </c>
      <c r="D605" t="s">
        <v>604</v>
      </c>
      <c r="E605" t="b">
        <f>IF(COUNTIF(D605,"*"&amp;'Keyword Search'!$C$5&amp;"*"),TRUE,FALSE)</f>
        <v>1</v>
      </c>
      <c r="G605" t="str">
        <f t="shared" si="39"/>
        <v>065-78: Sewer/Catch Basin Cleaning Body and Equipment</v>
      </c>
    </row>
    <row r="606" spans="1:7" x14ac:dyDescent="0.25">
      <c r="A606" s="1" t="str">
        <f t="shared" si="37"/>
        <v>065</v>
      </c>
      <c r="B606" s="1" t="str">
        <f>TEXT(79,"00")</f>
        <v>79</v>
      </c>
      <c r="C606" s="1" t="str">
        <f t="shared" si="38"/>
        <v>065-79</v>
      </c>
      <c r="D606" t="s">
        <v>605</v>
      </c>
      <c r="E606" t="b">
        <f>IF(COUNTIF(D606,"*"&amp;'Keyword Search'!$C$5&amp;"*"),TRUE,FALSE)</f>
        <v>1</v>
      </c>
      <c r="G606" t="str">
        <f t="shared" si="39"/>
        <v>065-79: Spreader Boxes</v>
      </c>
    </row>
    <row r="607" spans="1:7" x14ac:dyDescent="0.25">
      <c r="A607" s="1" t="str">
        <f t="shared" si="37"/>
        <v>065</v>
      </c>
      <c r="B607" s="1" t="str">
        <f>TEXT(80,"00")</f>
        <v>80</v>
      </c>
      <c r="C607" s="1" t="str">
        <f t="shared" si="38"/>
        <v>065-80</v>
      </c>
      <c r="D607" t="s">
        <v>606</v>
      </c>
      <c r="E607" t="b">
        <f>IF(COUNTIF(D607,"*"&amp;'Keyword Search'!$C$5&amp;"*"),TRUE,FALSE)</f>
        <v>1</v>
      </c>
      <c r="G607" t="str">
        <f t="shared" si="39"/>
        <v>065-80: Stake Bodies, Including Parts and Accessories</v>
      </c>
    </row>
    <row r="608" spans="1:7" x14ac:dyDescent="0.25">
      <c r="A608" s="1" t="str">
        <f t="shared" si="37"/>
        <v>065</v>
      </c>
      <c r="B608" s="1" t="str">
        <f>TEXT(83,"00")</f>
        <v>83</v>
      </c>
      <c r="C608" s="1" t="str">
        <f t="shared" si="38"/>
        <v>065-83</v>
      </c>
      <c r="D608" t="s">
        <v>607</v>
      </c>
      <c r="E608" t="b">
        <f>IF(COUNTIF(D608,"*"&amp;'Keyword Search'!$C$5&amp;"*"),TRUE,FALSE)</f>
        <v>1</v>
      </c>
      <c r="G608" t="str">
        <f t="shared" si="39"/>
        <v>065-83: Tanker Truck Bodies</v>
      </c>
    </row>
    <row r="609" spans="1:7" x14ac:dyDescent="0.25">
      <c r="A609" s="1" t="str">
        <f t="shared" si="37"/>
        <v>065</v>
      </c>
      <c r="B609" s="1" t="str">
        <f>TEXT(84,"00")</f>
        <v>84</v>
      </c>
      <c r="C609" s="1" t="str">
        <f t="shared" si="38"/>
        <v>065-84</v>
      </c>
      <c r="D609" t="s">
        <v>608</v>
      </c>
      <c r="E609" t="b">
        <f>IF(COUNTIF(D609,"*"&amp;'Keyword Search'!$C$5&amp;"*"),TRUE,FALSE)</f>
        <v>1</v>
      </c>
      <c r="G609" t="str">
        <f t="shared" si="39"/>
        <v>065-84: Tarpaulins for Truck Bodies (See 450-15 and 77 for Other Types)</v>
      </c>
    </row>
    <row r="610" spans="1:7" x14ac:dyDescent="0.25">
      <c r="A610" s="1" t="str">
        <f t="shared" si="37"/>
        <v>065</v>
      </c>
      <c r="B610" s="1" t="str">
        <f>TEXT(85,"00")</f>
        <v>85</v>
      </c>
      <c r="C610" s="1" t="str">
        <f t="shared" si="38"/>
        <v>065-85</v>
      </c>
      <c r="D610" t="s">
        <v>609</v>
      </c>
      <c r="E610" t="b">
        <f>IF(COUNTIF(D610,"*"&amp;'Keyword Search'!$C$5&amp;"*"),TRUE,FALSE)</f>
        <v>1</v>
      </c>
      <c r="G610" t="str">
        <f t="shared" si="39"/>
        <v>065-85: Tool Compartment Boxes, Trucks</v>
      </c>
    </row>
    <row r="611" spans="1:7" x14ac:dyDescent="0.25">
      <c r="A611" s="1" t="str">
        <f t="shared" si="37"/>
        <v>065</v>
      </c>
      <c r="B611" s="1" t="str">
        <f>TEXT(86,"00")</f>
        <v>86</v>
      </c>
      <c r="C611" s="1" t="str">
        <f t="shared" si="38"/>
        <v>065-86</v>
      </c>
      <c r="D611" t="s">
        <v>610</v>
      </c>
      <c r="E611" t="b">
        <f>IF(COUNTIF(D611,"*"&amp;'Keyword Search'!$C$5&amp;"*"),TRUE,FALSE)</f>
        <v>1</v>
      </c>
      <c r="G611" t="str">
        <f t="shared" si="39"/>
        <v>065-86: Class 8 Trucks (33,001 lb. GVWR and Over)</v>
      </c>
    </row>
    <row r="612" spans="1:7" x14ac:dyDescent="0.25">
      <c r="A612" s="1" t="str">
        <f t="shared" si="37"/>
        <v>065</v>
      </c>
      <c r="B612" s="1" t="str">
        <f>TEXT(87,"00")</f>
        <v>87</v>
      </c>
      <c r="C612" s="1" t="str">
        <f t="shared" si="38"/>
        <v>065-87</v>
      </c>
      <c r="D612" t="s">
        <v>611</v>
      </c>
      <c r="E612" t="b">
        <f>IF(COUNTIF(D612,"*"&amp;'Keyword Search'!$C$5&amp;"*"),TRUE,FALSE)</f>
        <v>1</v>
      </c>
      <c r="G612" t="str">
        <f t="shared" si="39"/>
        <v>065-87: Truck Bed Liners</v>
      </c>
    </row>
    <row r="613" spans="1:7" x14ac:dyDescent="0.25">
      <c r="A613" s="1" t="str">
        <f t="shared" si="37"/>
        <v>065</v>
      </c>
      <c r="B613" s="1" t="str">
        <f>TEXT(88,"00")</f>
        <v>88</v>
      </c>
      <c r="C613" s="1" t="str">
        <f t="shared" si="38"/>
        <v>065-88</v>
      </c>
      <c r="D613" t="s">
        <v>612</v>
      </c>
      <c r="E613" t="b">
        <f>IF(COUNTIF(D613,"*"&amp;'Keyword Search'!$C$5&amp;"*"),TRUE,FALSE)</f>
        <v>1</v>
      </c>
      <c r="G613" t="str">
        <f t="shared" si="39"/>
        <v>065-88: Trailer Bodies and Parts, Including Access Steps and Ladders</v>
      </c>
    </row>
    <row r="614" spans="1:7" x14ac:dyDescent="0.25">
      <c r="A614" s="1" t="str">
        <f t="shared" si="37"/>
        <v>065</v>
      </c>
      <c r="B614" s="1" t="str">
        <f>TEXT(90,"00")</f>
        <v>90</v>
      </c>
      <c r="C614" s="1" t="str">
        <f t="shared" si="38"/>
        <v>065-90</v>
      </c>
      <c r="D614" t="s">
        <v>613</v>
      </c>
      <c r="E614" t="b">
        <f>IF(COUNTIF(D614,"*"&amp;'Keyword Search'!$C$5&amp;"*"),TRUE,FALSE)</f>
        <v>1</v>
      </c>
      <c r="G614" t="str">
        <f t="shared" si="39"/>
        <v>065-90: Van Truck Bodies</v>
      </c>
    </row>
    <row r="615" spans="1:7" x14ac:dyDescent="0.25">
      <c r="A615" s="1" t="str">
        <f t="shared" si="37"/>
        <v>065</v>
      </c>
      <c r="B615" s="1" t="str">
        <f>TEXT(92,"00")</f>
        <v>92</v>
      </c>
      <c r="C615" s="1" t="str">
        <f t="shared" si="38"/>
        <v>065-92</v>
      </c>
      <c r="D615" t="s">
        <v>614</v>
      </c>
      <c r="E615" t="b">
        <f>IF(COUNTIF(D615,"*"&amp;'Keyword Search'!$C$5&amp;"*"),TRUE,FALSE)</f>
        <v>1</v>
      </c>
      <c r="G615" t="str">
        <f t="shared" si="39"/>
        <v>065-92: Water Tank Bodies</v>
      </c>
    </row>
    <row r="616" spans="1:7" x14ac:dyDescent="0.25">
      <c r="A616" s="1" t="str">
        <f t="shared" si="37"/>
        <v>065</v>
      </c>
      <c r="B616" s="1" t="str">
        <f>TEXT(94,"00")</f>
        <v>94</v>
      </c>
      <c r="C616" s="1" t="str">
        <f t="shared" si="38"/>
        <v>065-94</v>
      </c>
      <c r="D616" t="s">
        <v>615</v>
      </c>
      <c r="E616" t="b">
        <f>IF(COUNTIF(D616,"*"&amp;'Keyword Search'!$C$5&amp;"*"),TRUE,FALSE)</f>
        <v>1</v>
      </c>
      <c r="G616" t="str">
        <f t="shared" si="39"/>
        <v>065-94: Winches and Cranes, Automotive</v>
      </c>
    </row>
    <row r="617" spans="1:7" x14ac:dyDescent="0.25">
      <c r="A617" s="1" t="str">
        <f t="shared" si="37"/>
        <v>065</v>
      </c>
      <c r="B617" s="1" t="str">
        <f>TEXT(95,"00")</f>
        <v>95</v>
      </c>
      <c r="C617" s="1" t="str">
        <f t="shared" si="38"/>
        <v>065-95</v>
      </c>
      <c r="D617" t="s">
        <v>616</v>
      </c>
      <c r="E617" t="b">
        <f>IF(COUNTIF(D617,"*"&amp;'Keyword Search'!$C$5&amp;"*"),TRUE,FALSE)</f>
        <v>1</v>
      </c>
      <c r="G617" t="str">
        <f t="shared" si="39"/>
        <v>065-95: Wrecker Bodies</v>
      </c>
    </row>
    <row r="618" spans="1:7" x14ac:dyDescent="0.25">
      <c r="A618" s="5" t="str">
        <f t="shared" ref="A618:A637" si="40">TEXT(71,"000")</f>
        <v>071</v>
      </c>
      <c r="B618" s="5" t="str">
        <f>TEXT(0,"00")</f>
        <v>00</v>
      </c>
      <c r="C618" s="1"/>
      <c r="D618" s="2" t="s">
        <v>617</v>
      </c>
    </row>
    <row r="619" spans="1:7" x14ac:dyDescent="0.25">
      <c r="A619" s="1" t="str">
        <f t="shared" si="40"/>
        <v>071</v>
      </c>
      <c r="B619" s="1" t="str">
        <f>TEXT(2,"00")</f>
        <v>02</v>
      </c>
      <c r="C619" s="1" t="str">
        <f t="shared" si="38"/>
        <v>071-02</v>
      </c>
      <c r="D619" t="s">
        <v>618</v>
      </c>
      <c r="E619" t="b">
        <f>IF(COUNTIF(D619,"*"&amp;'Keyword Search'!$C$5&amp;"*"),TRUE,FALSE)</f>
        <v>1</v>
      </c>
      <c r="G619" t="str">
        <f t="shared" si="39"/>
        <v>071-02: All Terrain Amphibious Vehicles, Search and Rescue</v>
      </c>
    </row>
    <row r="620" spans="1:7" x14ac:dyDescent="0.25">
      <c r="A620" s="1" t="str">
        <f t="shared" si="40"/>
        <v>071</v>
      </c>
      <c r="B620" s="1" t="str">
        <f>TEXT(3,"00")</f>
        <v>03</v>
      </c>
      <c r="C620" s="1" t="str">
        <f t="shared" si="38"/>
        <v>071-03</v>
      </c>
      <c r="D620" t="s">
        <v>619</v>
      </c>
      <c r="E620" t="b">
        <f>IF(COUNTIF(D620,"*"&amp;'Keyword Search'!$C$5&amp;"*"),TRUE,FALSE)</f>
        <v>1</v>
      </c>
      <c r="G620" t="str">
        <f t="shared" si="39"/>
        <v>071-03: Ambulances and Rescue Vehicles (See 072-30 for Fire Protection and Crash Rescue Trucks)</v>
      </c>
    </row>
    <row r="621" spans="1:7" x14ac:dyDescent="0.25">
      <c r="A621" s="1" t="str">
        <f t="shared" si="40"/>
        <v>071</v>
      </c>
      <c r="B621" s="1" t="str">
        <f>TEXT(4,"00")</f>
        <v>04</v>
      </c>
      <c r="C621" s="1" t="str">
        <f t="shared" si="38"/>
        <v>071-04</v>
      </c>
      <c r="D621" t="s">
        <v>620</v>
      </c>
      <c r="E621" t="b">
        <f>IF(COUNTIF(D621,"*"&amp;'Keyword Search'!$C$5&amp;"*"),TRUE,FALSE)</f>
        <v>1</v>
      </c>
      <c r="G621" t="str">
        <f t="shared" si="39"/>
        <v>071-04: Automobiles</v>
      </c>
    </row>
    <row r="622" spans="1:7" x14ac:dyDescent="0.25">
      <c r="A622" s="1" t="str">
        <f t="shared" si="40"/>
        <v>071</v>
      </c>
      <c r="B622" s="1" t="str">
        <f>TEXT(5,"00")</f>
        <v>05</v>
      </c>
      <c r="C622" s="1" t="str">
        <f t="shared" si="38"/>
        <v>071-05</v>
      </c>
      <c r="D622" t="s">
        <v>621</v>
      </c>
      <c r="E622" t="b">
        <f>IF(COUNTIF(D622,"*"&amp;'Keyword Search'!$C$5&amp;"*"),TRUE,FALSE)</f>
        <v>1</v>
      </c>
      <c r="G622" t="str">
        <f t="shared" si="39"/>
        <v>071-05: Automobiles, Police and Security Equipped</v>
      </c>
    </row>
    <row r="623" spans="1:7" x14ac:dyDescent="0.25">
      <c r="A623" s="1" t="str">
        <f t="shared" si="40"/>
        <v>071</v>
      </c>
      <c r="B623" s="1" t="str">
        <f>TEXT(14,"00")</f>
        <v>14</v>
      </c>
      <c r="C623" s="1" t="str">
        <f t="shared" si="38"/>
        <v>071-14</v>
      </c>
      <c r="D623" t="s">
        <v>622</v>
      </c>
      <c r="E623" t="b">
        <f>IF(COUNTIF(D623,"*"&amp;'Keyword Search'!$C$5&amp;"*"),TRUE,FALSE)</f>
        <v>1</v>
      </c>
      <c r="G623" t="str">
        <f t="shared" si="39"/>
        <v>071-14: Bus Chassis, School</v>
      </c>
    </row>
    <row r="624" spans="1:7" x14ac:dyDescent="0.25">
      <c r="A624" s="1" t="str">
        <f t="shared" si="40"/>
        <v>071</v>
      </c>
      <c r="B624" s="1" t="str">
        <f>TEXT(15,"00")</f>
        <v>15</v>
      </c>
      <c r="C624" s="1" t="str">
        <f t="shared" si="38"/>
        <v>071-15</v>
      </c>
      <c r="D624" t="s">
        <v>623</v>
      </c>
      <c r="E624" t="b">
        <f>IF(COUNTIF(D624,"*"&amp;'Keyword Search'!$C$5&amp;"*"),TRUE,FALSE)</f>
        <v>1</v>
      </c>
      <c r="G624" t="str">
        <f t="shared" si="39"/>
        <v>071-15: Buses Complete, School, Conventional Type, (See Classes 556 thru 559 for Mass Transit Vehicles)</v>
      </c>
    </row>
    <row r="625" spans="1:7" x14ac:dyDescent="0.25">
      <c r="A625" s="1" t="str">
        <f t="shared" si="40"/>
        <v>071</v>
      </c>
      <c r="B625" s="1" t="str">
        <f>TEXT(16,"00")</f>
        <v>16</v>
      </c>
      <c r="C625" s="1" t="str">
        <f t="shared" si="38"/>
        <v>071-16</v>
      </c>
      <c r="D625" t="s">
        <v>624</v>
      </c>
      <c r="E625" t="b">
        <f>IF(COUNTIF(D625,"*"&amp;'Keyword Search'!$C$5&amp;"*"),TRUE,FALSE)</f>
        <v>1</v>
      </c>
      <c r="G625" t="str">
        <f t="shared" si="39"/>
        <v>071-16: Buses Complete, School (Small Vehicle Type)</v>
      </c>
    </row>
    <row r="626" spans="1:7" x14ac:dyDescent="0.25">
      <c r="A626" s="1" t="str">
        <f t="shared" si="40"/>
        <v>071</v>
      </c>
      <c r="B626" s="1" t="str">
        <f>TEXT(17,"00")</f>
        <v>17</v>
      </c>
      <c r="C626" s="1" t="str">
        <f t="shared" si="38"/>
        <v>071-17</v>
      </c>
      <c r="D626" t="s">
        <v>625</v>
      </c>
      <c r="E626" t="b">
        <f>IF(COUNTIF(D626,"*"&amp;'Keyword Search'!$C$5&amp;"*"),TRUE,FALSE)</f>
        <v>1</v>
      </c>
      <c r="G626" t="str">
        <f t="shared" si="39"/>
        <v>071-17: Buses and Vans, Inmate Transport (Incl. Special Components)</v>
      </c>
    </row>
    <row r="627" spans="1:7" x14ac:dyDescent="0.25">
      <c r="A627" s="1" t="str">
        <f t="shared" si="40"/>
        <v>071</v>
      </c>
      <c r="B627" s="1" t="str">
        <f>TEXT(20,"00")</f>
        <v>20</v>
      </c>
      <c r="C627" s="1" t="str">
        <f t="shared" si="38"/>
        <v>071-20</v>
      </c>
      <c r="D627" t="s">
        <v>626</v>
      </c>
      <c r="E627" t="b">
        <f>IF(COUNTIF(D627,"*"&amp;'Keyword Search'!$C$5&amp;"*"),TRUE,FALSE)</f>
        <v>1</v>
      </c>
      <c r="G627" t="str">
        <f t="shared" si="39"/>
        <v>071-20: Electric Personal Assisted Mobility Device (EPAMD)</v>
      </c>
    </row>
    <row r="628" spans="1:7" x14ac:dyDescent="0.25">
      <c r="A628" s="1" t="str">
        <f t="shared" si="40"/>
        <v>071</v>
      </c>
      <c r="B628" s="1" t="str">
        <f>TEXT(53,"00")</f>
        <v>53</v>
      </c>
      <c r="C628" s="1" t="str">
        <f t="shared" si="38"/>
        <v>071-53</v>
      </c>
      <c r="D628" t="s">
        <v>627</v>
      </c>
      <c r="E628" t="b">
        <f>IF(COUNTIF(D628,"*"&amp;'Keyword Search'!$C$5&amp;"*"),TRUE,FALSE)</f>
        <v>1</v>
      </c>
      <c r="G628" t="str">
        <f t="shared" si="39"/>
        <v>071-53: Motor Scooters and Trucksters, Including All Terrain Types, Golf Carts, etc.</v>
      </c>
    </row>
    <row r="629" spans="1:7" x14ac:dyDescent="0.25">
      <c r="A629" s="1" t="str">
        <f t="shared" si="40"/>
        <v>071</v>
      </c>
      <c r="B629" s="1" t="str">
        <f>TEXT(55,"00")</f>
        <v>55</v>
      </c>
      <c r="C629" s="1" t="str">
        <f t="shared" si="38"/>
        <v>071-55</v>
      </c>
      <c r="D629" t="s">
        <v>628</v>
      </c>
      <c r="E629" t="b">
        <f>IF(COUNTIF(D629,"*"&amp;'Keyword Search'!$C$5&amp;"*"),TRUE,FALSE)</f>
        <v>1</v>
      </c>
      <c r="G629" t="str">
        <f t="shared" si="39"/>
        <v>071-55: Motor Homes, Including Bookmobiles, Mobile and Field Offices, etc.</v>
      </c>
    </row>
    <row r="630" spans="1:7" x14ac:dyDescent="0.25">
      <c r="A630" s="1" t="str">
        <f t="shared" si="40"/>
        <v>071</v>
      </c>
      <c r="B630" s="1" t="str">
        <f>TEXT(56,"00")</f>
        <v>56</v>
      </c>
      <c r="C630" s="1" t="str">
        <f t="shared" si="38"/>
        <v>071-56</v>
      </c>
      <c r="D630" t="s">
        <v>629</v>
      </c>
      <c r="E630" t="b">
        <f>IF(COUNTIF(D630,"*"&amp;'Keyword Search'!$C$5&amp;"*"),TRUE,FALSE)</f>
        <v>1</v>
      </c>
      <c r="G630" t="str">
        <f t="shared" si="39"/>
        <v>071-56: Motorcycles</v>
      </c>
    </row>
    <row r="631" spans="1:7" x14ac:dyDescent="0.25">
      <c r="A631" s="1" t="str">
        <f t="shared" si="40"/>
        <v>071</v>
      </c>
      <c r="B631" s="1" t="str">
        <f>TEXT(76,"00")</f>
        <v>76</v>
      </c>
      <c r="C631" s="1" t="str">
        <f t="shared" si="38"/>
        <v>071-76</v>
      </c>
      <c r="D631" t="s">
        <v>630</v>
      </c>
      <c r="E631" t="b">
        <f>IF(COUNTIF(D631,"*"&amp;'Keyword Search'!$C$5&amp;"*"),TRUE,FALSE)</f>
        <v>1</v>
      </c>
      <c r="G631" t="str">
        <f t="shared" si="39"/>
        <v>071-76: Snowmobiles (See Class 765 for Snow Blowers and Plows)</v>
      </c>
    </row>
    <row r="632" spans="1:7" x14ac:dyDescent="0.25">
      <c r="A632" s="1" t="str">
        <f t="shared" si="40"/>
        <v>071</v>
      </c>
      <c r="B632" s="1" t="str">
        <f>TEXT(77,"00")</f>
        <v>77</v>
      </c>
      <c r="C632" s="1" t="str">
        <f t="shared" si="38"/>
        <v>071-77</v>
      </c>
      <c r="D632" t="s">
        <v>631</v>
      </c>
      <c r="E632" t="b">
        <f>IF(COUNTIF(D632,"*"&amp;'Keyword Search'!$C$5&amp;"*"),TRUE,FALSE)</f>
        <v>1</v>
      </c>
      <c r="G632" t="str">
        <f t="shared" si="39"/>
        <v>071-77: Specialty Vehicles</v>
      </c>
    </row>
    <row r="633" spans="1:7" x14ac:dyDescent="0.25">
      <c r="A633" s="1" t="str">
        <f t="shared" si="40"/>
        <v>071</v>
      </c>
      <c r="B633" s="1" t="str">
        <f>TEXT(80,"00")</f>
        <v>80</v>
      </c>
      <c r="C633" s="1" t="str">
        <f t="shared" si="38"/>
        <v>071-80</v>
      </c>
      <c r="D633" t="s">
        <v>632</v>
      </c>
      <c r="E633" t="b">
        <f>IF(COUNTIF(D633,"*"&amp;'Keyword Search'!$C$5&amp;"*"),TRUE,FALSE)</f>
        <v>1</v>
      </c>
      <c r="G633" t="str">
        <f t="shared" si="39"/>
        <v>071-80: SUV Type Vehicles, Including Carryalls</v>
      </c>
    </row>
    <row r="634" spans="1:7" x14ac:dyDescent="0.25">
      <c r="A634" s="1" t="str">
        <f t="shared" si="40"/>
        <v>071</v>
      </c>
      <c r="B634" s="1" t="str">
        <f>TEXT(86,"00")</f>
        <v>86</v>
      </c>
      <c r="C634" s="1" t="str">
        <f t="shared" si="38"/>
        <v>071-86</v>
      </c>
      <c r="D634" t="s">
        <v>633</v>
      </c>
      <c r="E634" t="b">
        <f>IF(COUNTIF(D634,"*"&amp;'Keyword Search'!$C$5&amp;"*"),TRUE,FALSE)</f>
        <v>1</v>
      </c>
      <c r="G634" t="str">
        <f t="shared" si="39"/>
        <v>071-86: Trams, Touring</v>
      </c>
    </row>
    <row r="635" spans="1:7" x14ac:dyDescent="0.25">
      <c r="A635" s="1" t="str">
        <f t="shared" si="40"/>
        <v>071</v>
      </c>
      <c r="B635" s="1" t="str">
        <f>TEXT(90,"00")</f>
        <v>90</v>
      </c>
      <c r="C635" s="1" t="str">
        <f t="shared" si="38"/>
        <v>071-90</v>
      </c>
      <c r="D635" t="s">
        <v>634</v>
      </c>
      <c r="E635" t="b">
        <f>IF(COUNTIF(D635,"*"&amp;'Keyword Search'!$C$5&amp;"*"),TRUE,FALSE)</f>
        <v>1</v>
      </c>
      <c r="G635" t="str">
        <f t="shared" si="39"/>
        <v>071-90: Vans, Cargo</v>
      </c>
    </row>
    <row r="636" spans="1:7" x14ac:dyDescent="0.25">
      <c r="A636" s="1" t="str">
        <f t="shared" si="40"/>
        <v>071</v>
      </c>
      <c r="B636" s="1" t="str">
        <f>TEXT(91,"00")</f>
        <v>91</v>
      </c>
      <c r="C636" s="1" t="str">
        <f t="shared" si="38"/>
        <v>071-91</v>
      </c>
      <c r="D636" t="s">
        <v>635</v>
      </c>
      <c r="E636" t="b">
        <f>IF(COUNTIF(D636,"*"&amp;'Keyword Search'!$C$5&amp;"*"),TRUE,FALSE)</f>
        <v>1</v>
      </c>
      <c r="G636" t="str">
        <f t="shared" si="39"/>
        <v>071-91: Vans, Customized</v>
      </c>
    </row>
    <row r="637" spans="1:7" x14ac:dyDescent="0.25">
      <c r="A637" s="1" t="str">
        <f t="shared" si="40"/>
        <v>071</v>
      </c>
      <c r="B637" s="1" t="str">
        <f>TEXT(92,"00")</f>
        <v>92</v>
      </c>
      <c r="C637" s="1" t="str">
        <f t="shared" si="38"/>
        <v>071-92</v>
      </c>
      <c r="D637" t="s">
        <v>636</v>
      </c>
      <c r="E637" t="b">
        <f>IF(COUNTIF(D637,"*"&amp;'Keyword Search'!$C$5&amp;"*"),TRUE,FALSE)</f>
        <v>1</v>
      </c>
      <c r="G637" t="str">
        <f t="shared" si="39"/>
        <v>071-92: Vans, Passenger, Regular and Handicapped Equipped</v>
      </c>
    </row>
    <row r="638" spans="1:7" x14ac:dyDescent="0.25">
      <c r="A638" s="5" t="str">
        <f t="shared" ref="A638:A649" si="41">TEXT(72,"000")</f>
        <v>072</v>
      </c>
      <c r="B638" s="5" t="str">
        <f>TEXT(0,"00")</f>
        <v>00</v>
      </c>
      <c r="C638" s="1"/>
      <c r="D638" s="2" t="s">
        <v>637</v>
      </c>
    </row>
    <row r="639" spans="1:7" x14ac:dyDescent="0.25">
      <c r="A639" s="1" t="str">
        <f t="shared" si="41"/>
        <v>072</v>
      </c>
      <c r="B639" s="1" t="str">
        <f>TEXT(1,"00")</f>
        <v>01</v>
      </c>
      <c r="C639" s="1" t="str">
        <f t="shared" si="38"/>
        <v>072-01</v>
      </c>
      <c r="D639" t="s">
        <v>638</v>
      </c>
      <c r="E639" t="b">
        <f>IF(COUNTIF(D639,"*"&amp;'Keyword Search'!$C$5&amp;"*"),TRUE,FALSE)</f>
        <v>1</v>
      </c>
      <c r="G639" t="str">
        <f t="shared" si="39"/>
        <v>072-01: Class 1 Trucks (6,000 lb. GVWR or less)</v>
      </c>
    </row>
    <row r="640" spans="1:7" x14ac:dyDescent="0.25">
      <c r="A640" s="1" t="str">
        <f t="shared" si="41"/>
        <v>072</v>
      </c>
      <c r="B640" s="1" t="str">
        <f>TEXT(2,"00")</f>
        <v>02</v>
      </c>
      <c r="C640" s="1" t="str">
        <f t="shared" si="38"/>
        <v>072-02</v>
      </c>
      <c r="D640" t="s">
        <v>639</v>
      </c>
      <c r="E640" t="b">
        <f>IF(COUNTIF(D640,"*"&amp;'Keyword Search'!$C$5&amp;"*"),TRUE,FALSE)</f>
        <v>1</v>
      </c>
      <c r="G640" t="str">
        <f t="shared" si="39"/>
        <v>072-02: Class 2 Trucks (6,001 - 10,000 lb. GVWR)</v>
      </c>
    </row>
    <row r="641" spans="1:7" x14ac:dyDescent="0.25">
      <c r="A641" s="1" t="str">
        <f t="shared" si="41"/>
        <v>072</v>
      </c>
      <c r="B641" s="1" t="str">
        <f>TEXT(3,"00")</f>
        <v>03</v>
      </c>
      <c r="C641" s="1" t="str">
        <f t="shared" si="38"/>
        <v>072-03</v>
      </c>
      <c r="D641" t="s">
        <v>640</v>
      </c>
      <c r="E641" t="b">
        <f>IF(COUNTIF(D641,"*"&amp;'Keyword Search'!$C$5&amp;"*"),TRUE,FALSE)</f>
        <v>1</v>
      </c>
      <c r="G641" t="str">
        <f t="shared" si="39"/>
        <v>072-03: Class 3 Trucks (10,001 - 14,000 lb. GVWR)</v>
      </c>
    </row>
    <row r="642" spans="1:7" x14ac:dyDescent="0.25">
      <c r="A642" s="1" t="str">
        <f t="shared" si="41"/>
        <v>072</v>
      </c>
      <c r="B642" s="1" t="str">
        <f>TEXT(4,"00")</f>
        <v>04</v>
      </c>
      <c r="C642" s="1" t="str">
        <f t="shared" si="38"/>
        <v>072-04</v>
      </c>
      <c r="D642" t="s">
        <v>641</v>
      </c>
      <c r="E642" t="b">
        <f>IF(COUNTIF(D642,"*"&amp;'Keyword Search'!$C$5&amp;"*"),TRUE,FALSE)</f>
        <v>1</v>
      </c>
      <c r="G642" t="str">
        <f t="shared" si="39"/>
        <v>072-04: Class 4 Trucks (14,001 - 16,000 lb. GVWR)</v>
      </c>
    </row>
    <row r="643" spans="1:7" x14ac:dyDescent="0.25">
      <c r="A643" s="1" t="str">
        <f t="shared" si="41"/>
        <v>072</v>
      </c>
      <c r="B643" s="1" t="str">
        <f>TEXT(5,"00")</f>
        <v>05</v>
      </c>
      <c r="C643" s="1" t="str">
        <f t="shared" ref="C643:C706" si="42">CONCATENATE(A643,"-",B643)</f>
        <v>072-05</v>
      </c>
      <c r="D643" t="s">
        <v>642</v>
      </c>
      <c r="E643" t="b">
        <f>IF(COUNTIF(D643,"*"&amp;'Keyword Search'!$C$5&amp;"*"),TRUE,FALSE)</f>
        <v>1</v>
      </c>
      <c r="G643" t="str">
        <f t="shared" si="39"/>
        <v>072-05: Class 5 Trucks (16,001 - 19,500 lb. GVWR)</v>
      </c>
    </row>
    <row r="644" spans="1:7" x14ac:dyDescent="0.25">
      <c r="A644" s="1" t="str">
        <f t="shared" si="41"/>
        <v>072</v>
      </c>
      <c r="B644" s="1" t="str">
        <f>TEXT(6,"00")</f>
        <v>06</v>
      </c>
      <c r="C644" s="1" t="str">
        <f t="shared" si="42"/>
        <v>072-06</v>
      </c>
      <c r="D644" t="s">
        <v>643</v>
      </c>
      <c r="E644" t="b">
        <f>IF(COUNTIF(D644,"*"&amp;'Keyword Search'!$C$5&amp;"*"),TRUE,FALSE)</f>
        <v>1</v>
      </c>
      <c r="G644" t="str">
        <f t="shared" ref="G644:G707" si="43">CONCATENATE(C644,": ",D644)</f>
        <v>072-06: Class 6 Trucks (19,501 - 26,000 lb. GVWR)</v>
      </c>
    </row>
    <row r="645" spans="1:7" x14ac:dyDescent="0.25">
      <c r="A645" s="1" t="str">
        <f t="shared" si="41"/>
        <v>072</v>
      </c>
      <c r="B645" s="1" t="str">
        <f>TEXT(7,"00")</f>
        <v>07</v>
      </c>
      <c r="C645" s="1" t="str">
        <f t="shared" si="42"/>
        <v>072-07</v>
      </c>
      <c r="D645" t="s">
        <v>644</v>
      </c>
      <c r="E645" t="b">
        <f>IF(COUNTIF(D645,"*"&amp;'Keyword Search'!$C$5&amp;"*"),TRUE,FALSE)</f>
        <v>1</v>
      </c>
      <c r="G645" t="str">
        <f t="shared" si="43"/>
        <v>072-07: Class 7 Trucks (26,001 - 33,000 lb. GVWR)</v>
      </c>
    </row>
    <row r="646" spans="1:7" x14ac:dyDescent="0.25">
      <c r="A646" s="1" t="str">
        <f t="shared" si="41"/>
        <v>072</v>
      </c>
      <c r="B646" s="1" t="str">
        <f>TEXT(8,"00")</f>
        <v>08</v>
      </c>
      <c r="C646" s="1" t="str">
        <f t="shared" si="42"/>
        <v>072-08</v>
      </c>
      <c r="D646" t="s">
        <v>610</v>
      </c>
      <c r="E646" t="b">
        <f>IF(COUNTIF(D646,"*"&amp;'Keyword Search'!$C$5&amp;"*"),TRUE,FALSE)</f>
        <v>1</v>
      </c>
      <c r="G646" t="str">
        <f t="shared" si="43"/>
        <v>072-08: Class 8 Trucks (33,001 lb. GVWR and Over)</v>
      </c>
    </row>
    <row r="647" spans="1:7" x14ac:dyDescent="0.25">
      <c r="A647" s="1" t="str">
        <f t="shared" si="41"/>
        <v>072</v>
      </c>
      <c r="B647" s="1" t="str">
        <f>TEXT(30,"00")</f>
        <v>30</v>
      </c>
      <c r="C647" s="1" t="str">
        <f t="shared" si="42"/>
        <v>072-30</v>
      </c>
      <c r="D647" t="s">
        <v>645</v>
      </c>
      <c r="E647" t="b">
        <f>IF(COUNTIF(D647,"*"&amp;'Keyword Search'!$C$5&amp;"*"),TRUE,FALSE)</f>
        <v>1</v>
      </c>
      <c r="G647" t="str">
        <f t="shared" si="43"/>
        <v>072-30: Trucks, Fire Protection and Crash Rescue</v>
      </c>
    </row>
    <row r="648" spans="1:7" x14ac:dyDescent="0.25">
      <c r="A648" s="1" t="str">
        <f t="shared" si="41"/>
        <v>072</v>
      </c>
      <c r="B648" s="1" t="str">
        <f>TEXT(35,"00")</f>
        <v>35</v>
      </c>
      <c r="C648" s="1" t="str">
        <f t="shared" si="42"/>
        <v>072-35</v>
      </c>
      <c r="D648" t="s">
        <v>646</v>
      </c>
      <c r="E648" t="b">
        <f>IF(COUNTIF(D648,"*"&amp;'Keyword Search'!$C$5&amp;"*"),TRUE,FALSE)</f>
        <v>1</v>
      </c>
      <c r="G648" t="str">
        <f t="shared" si="43"/>
        <v>072-35: Trucks, Training Simulator</v>
      </c>
    </row>
    <row r="649" spans="1:7" x14ac:dyDescent="0.25">
      <c r="A649" s="1" t="str">
        <f t="shared" si="41"/>
        <v>072</v>
      </c>
      <c r="B649" s="1" t="str">
        <f>TEXT(94,"00")</f>
        <v>94</v>
      </c>
      <c r="C649" s="1" t="str">
        <f t="shared" si="42"/>
        <v>072-94</v>
      </c>
      <c r="D649" t="s">
        <v>647</v>
      </c>
      <c r="E649" t="b">
        <f>IF(COUNTIF(D649,"*"&amp;'Keyword Search'!$C$5&amp;"*"),TRUE,FALSE)</f>
        <v>1</v>
      </c>
      <c r="G649" t="str">
        <f t="shared" si="43"/>
        <v>072-94: Wreckers, Complete (See 065-95 for Wrecker Bodies)</v>
      </c>
    </row>
    <row r="650" spans="1:7" x14ac:dyDescent="0.25">
      <c r="A650" s="5" t="str">
        <f t="shared" ref="A650:A665" si="44">TEXT(73,"000")</f>
        <v>073</v>
      </c>
      <c r="B650" s="5" t="str">
        <f>TEXT(0,"00")</f>
        <v>00</v>
      </c>
      <c r="C650" s="1"/>
      <c r="D650" s="2" t="s">
        <v>648</v>
      </c>
    </row>
    <row r="651" spans="1:7" x14ac:dyDescent="0.25">
      <c r="A651" s="1" t="str">
        <f t="shared" si="44"/>
        <v>073</v>
      </c>
      <c r="B651" s="1" t="str">
        <f>TEXT(5,"00")</f>
        <v>05</v>
      </c>
      <c r="C651" s="1" t="str">
        <f t="shared" si="42"/>
        <v>073-05</v>
      </c>
      <c r="D651" t="s">
        <v>649</v>
      </c>
      <c r="E651" t="b">
        <f>IF(COUNTIF(D651,"*"&amp;'Keyword Search'!$C$5&amp;"*"),TRUE,FALSE)</f>
        <v>1</v>
      </c>
      <c r="G651" t="str">
        <f t="shared" si="43"/>
        <v>073-05: Trailers, Cargo, Enclosed</v>
      </c>
    </row>
    <row r="652" spans="1:7" x14ac:dyDescent="0.25">
      <c r="A652" s="1" t="str">
        <f t="shared" si="44"/>
        <v>073</v>
      </c>
      <c r="B652" s="1" t="str">
        <f>TEXT(8,"00")</f>
        <v>08</v>
      </c>
      <c r="C652" s="1" t="str">
        <f t="shared" si="42"/>
        <v>073-08</v>
      </c>
      <c r="D652" t="s">
        <v>650</v>
      </c>
      <c r="E652" t="b">
        <f>IF(COUNTIF(D652,"*"&amp;'Keyword Search'!$C$5&amp;"*"),TRUE,FALSE)</f>
        <v>1</v>
      </c>
      <c r="G652" t="str">
        <f t="shared" si="43"/>
        <v>073-08: Trailers, With Enclosed Refrigeration Unit</v>
      </c>
    </row>
    <row r="653" spans="1:7" x14ac:dyDescent="0.25">
      <c r="A653" s="1" t="str">
        <f t="shared" si="44"/>
        <v>073</v>
      </c>
      <c r="B653" s="1" t="str">
        <f>TEXT(10,"00")</f>
        <v>10</v>
      </c>
      <c r="C653" s="1" t="str">
        <f t="shared" si="42"/>
        <v>073-10</v>
      </c>
      <c r="D653" t="s">
        <v>651</v>
      </c>
      <c r="E653" t="b">
        <f>IF(COUNTIF(D653,"*"&amp;'Keyword Search'!$C$5&amp;"*"),TRUE,FALSE)</f>
        <v>1</v>
      </c>
      <c r="G653" t="str">
        <f t="shared" si="43"/>
        <v>073-10: Trailers, Semi, Enclosed</v>
      </c>
    </row>
    <row r="654" spans="1:7" x14ac:dyDescent="0.25">
      <c r="A654" s="1" t="str">
        <f t="shared" si="44"/>
        <v>073</v>
      </c>
      <c r="B654" s="1" t="str">
        <f>TEXT(14,"00")</f>
        <v>14</v>
      </c>
      <c r="C654" s="1" t="str">
        <f t="shared" si="42"/>
        <v>073-14</v>
      </c>
      <c r="D654" t="s">
        <v>652</v>
      </c>
      <c r="E654" t="b">
        <f>IF(COUNTIF(D654,"*"&amp;'Keyword Search'!$C$5&amp;"*"),TRUE,FALSE)</f>
        <v>1</v>
      </c>
      <c r="G654" t="str">
        <f t="shared" si="43"/>
        <v>073-14: Trailers, Specialty, Enclosed, Tag-Along</v>
      </c>
    </row>
    <row r="655" spans="1:7" x14ac:dyDescent="0.25">
      <c r="A655" s="1" t="str">
        <f t="shared" si="44"/>
        <v>073</v>
      </c>
      <c r="B655" s="1" t="str">
        <f>TEXT(15,"00")</f>
        <v>15</v>
      </c>
      <c r="C655" s="1" t="str">
        <f t="shared" si="42"/>
        <v>073-15</v>
      </c>
      <c r="D655" t="s">
        <v>653</v>
      </c>
      <c r="E655" t="b">
        <f>IF(COUNTIF(D655,"*"&amp;'Keyword Search'!$C$5&amp;"*"),TRUE,FALSE)</f>
        <v>1</v>
      </c>
      <c r="G655" t="str">
        <f t="shared" si="43"/>
        <v>073-15: Trailers, Specialty, Frame, Tag-Along</v>
      </c>
    </row>
    <row r="656" spans="1:7" x14ac:dyDescent="0.25">
      <c r="A656" s="1" t="str">
        <f t="shared" si="44"/>
        <v>073</v>
      </c>
      <c r="B656" s="1" t="str">
        <f>TEXT(24,"00")</f>
        <v>24</v>
      </c>
      <c r="C656" s="1" t="str">
        <f t="shared" si="42"/>
        <v>073-24</v>
      </c>
      <c r="D656" t="s">
        <v>654</v>
      </c>
      <c r="E656" t="b">
        <f>IF(COUNTIF(D656,"*"&amp;'Keyword Search'!$C$5&amp;"*"),TRUE,FALSE)</f>
        <v>1</v>
      </c>
      <c r="G656" t="str">
        <f t="shared" si="43"/>
        <v>073-24: Trailers, Transport, Dry Bulk</v>
      </c>
    </row>
    <row r="657" spans="1:7" x14ac:dyDescent="0.25">
      <c r="A657" s="1" t="str">
        <f t="shared" si="44"/>
        <v>073</v>
      </c>
      <c r="B657" s="1" t="str">
        <f>TEXT(27,"00")</f>
        <v>27</v>
      </c>
      <c r="C657" s="1" t="str">
        <f t="shared" si="42"/>
        <v>073-27</v>
      </c>
      <c r="D657" t="s">
        <v>655</v>
      </c>
      <c r="E657" t="b">
        <f>IF(COUNTIF(D657,"*"&amp;'Keyword Search'!$C$5&amp;"*"),TRUE,FALSE)</f>
        <v>1</v>
      </c>
      <c r="G657" t="str">
        <f t="shared" si="43"/>
        <v>073-27: Trailers, Transport, Equipment, Fixed Deck, Tag-Along</v>
      </c>
    </row>
    <row r="658" spans="1:7" x14ac:dyDescent="0.25">
      <c r="A658" s="1" t="str">
        <f t="shared" si="44"/>
        <v>073</v>
      </c>
      <c r="B658" s="1" t="str">
        <f>TEXT(28,"00")</f>
        <v>28</v>
      </c>
      <c r="C658" s="1" t="str">
        <f t="shared" si="42"/>
        <v>073-28</v>
      </c>
      <c r="D658" t="s">
        <v>656</v>
      </c>
      <c r="E658" t="b">
        <f>IF(COUNTIF(D658,"*"&amp;'Keyword Search'!$C$5&amp;"*"),TRUE,FALSE)</f>
        <v>1</v>
      </c>
      <c r="G658" t="str">
        <f t="shared" si="43"/>
        <v>073-28: Trailers, Transport, Equipment, Tilt Deck, Tag-Along</v>
      </c>
    </row>
    <row r="659" spans="1:7" x14ac:dyDescent="0.25">
      <c r="A659" s="1" t="str">
        <f t="shared" si="44"/>
        <v>073</v>
      </c>
      <c r="B659" s="1" t="str">
        <f>TEXT(30,"00")</f>
        <v>30</v>
      </c>
      <c r="C659" s="1" t="str">
        <f t="shared" si="42"/>
        <v>073-30</v>
      </c>
      <c r="D659" t="s">
        <v>657</v>
      </c>
      <c r="E659" t="b">
        <f>IF(COUNTIF(D659,"*"&amp;'Keyword Search'!$C$5&amp;"*"),TRUE,FALSE)</f>
        <v>1</v>
      </c>
      <c r="G659" t="str">
        <f t="shared" si="43"/>
        <v>073-30: Trailers, Transport, Machinery</v>
      </c>
    </row>
    <row r="660" spans="1:7" x14ac:dyDescent="0.25">
      <c r="A660" s="1" t="str">
        <f t="shared" si="44"/>
        <v>073</v>
      </c>
      <c r="B660" s="1" t="str">
        <f>TEXT(32,"00")</f>
        <v>32</v>
      </c>
      <c r="C660" s="1" t="str">
        <f t="shared" si="42"/>
        <v>073-32</v>
      </c>
      <c r="D660" t="s">
        <v>658</v>
      </c>
      <c r="E660" t="b">
        <f>IF(COUNTIF(D660,"*"&amp;'Keyword Search'!$C$5&amp;"*"),TRUE,FALSE)</f>
        <v>1</v>
      </c>
      <c r="G660" t="str">
        <f t="shared" si="43"/>
        <v>073-32: Trailers, Transport, Tank</v>
      </c>
    </row>
    <row r="661" spans="1:7" x14ac:dyDescent="0.25">
      <c r="A661" s="1" t="str">
        <f t="shared" si="44"/>
        <v>073</v>
      </c>
      <c r="B661" s="1" t="str">
        <f>TEXT(43,"00")</f>
        <v>43</v>
      </c>
      <c r="C661" s="1" t="str">
        <f t="shared" si="42"/>
        <v>073-43</v>
      </c>
      <c r="D661" t="s">
        <v>659</v>
      </c>
      <c r="E661" t="b">
        <f>IF(COUNTIF(D661,"*"&amp;'Keyword Search'!$C$5&amp;"*"),TRUE,FALSE)</f>
        <v>1</v>
      </c>
      <c r="G661" t="str">
        <f t="shared" si="43"/>
        <v>073-43: Trailers, Utility, Enclosed, Tag-Along</v>
      </c>
    </row>
    <row r="662" spans="1:7" x14ac:dyDescent="0.25">
      <c r="A662" s="1" t="str">
        <f t="shared" si="44"/>
        <v>073</v>
      </c>
      <c r="B662" s="1" t="str">
        <f>TEXT(45,"00")</f>
        <v>45</v>
      </c>
      <c r="C662" s="1" t="str">
        <f t="shared" si="42"/>
        <v>073-45</v>
      </c>
      <c r="D662" t="s">
        <v>660</v>
      </c>
      <c r="E662" t="b">
        <f>IF(COUNTIF(D662,"*"&amp;'Keyword Search'!$C$5&amp;"*"),TRUE,FALSE)</f>
        <v>1</v>
      </c>
      <c r="G662" t="str">
        <f t="shared" si="43"/>
        <v>073-45: Trailers, Utility, Flatbed, Tag-Along</v>
      </c>
    </row>
    <row r="663" spans="1:7" x14ac:dyDescent="0.25">
      <c r="A663" s="1" t="str">
        <f t="shared" si="44"/>
        <v>073</v>
      </c>
      <c r="B663" s="1" t="str">
        <f>TEXT(47,"00")</f>
        <v>47</v>
      </c>
      <c r="C663" s="1" t="str">
        <f t="shared" si="42"/>
        <v>073-47</v>
      </c>
      <c r="D663" t="s">
        <v>661</v>
      </c>
      <c r="E663" t="b">
        <f>IF(COUNTIF(D663,"*"&amp;'Keyword Search'!$C$5&amp;"*"),TRUE,FALSE)</f>
        <v>1</v>
      </c>
      <c r="G663" t="str">
        <f t="shared" si="43"/>
        <v>073-47: Trailers, Utility, Gooseneck</v>
      </c>
    </row>
    <row r="664" spans="1:7" x14ac:dyDescent="0.25">
      <c r="A664" s="1" t="str">
        <f t="shared" si="44"/>
        <v>073</v>
      </c>
      <c r="B664" s="1" t="str">
        <f>TEXT(50,"00")</f>
        <v>50</v>
      </c>
      <c r="C664" s="1" t="str">
        <f t="shared" si="42"/>
        <v>073-50</v>
      </c>
      <c r="D664" t="s">
        <v>662</v>
      </c>
      <c r="E664" t="b">
        <f>IF(COUNTIF(D664,"*"&amp;'Keyword Search'!$C$5&amp;"*"),TRUE,FALSE)</f>
        <v>1</v>
      </c>
      <c r="G664" t="str">
        <f t="shared" si="43"/>
        <v>073-50: Trailers, Utility, Tilt Deck, Tag-Along</v>
      </c>
    </row>
    <row r="665" spans="1:7" x14ac:dyDescent="0.25">
      <c r="A665" s="1" t="str">
        <f t="shared" si="44"/>
        <v>073</v>
      </c>
      <c r="B665" s="1" t="str">
        <f>TEXT(60,"00")</f>
        <v>60</v>
      </c>
      <c r="C665" s="1" t="str">
        <f t="shared" si="42"/>
        <v>073-60</v>
      </c>
      <c r="D665" t="s">
        <v>663</v>
      </c>
      <c r="E665" t="b">
        <f>IF(COUNTIF(D665,"*"&amp;'Keyword Search'!$C$5&amp;"*"),TRUE,FALSE)</f>
        <v>1</v>
      </c>
      <c r="G665" t="str">
        <f t="shared" si="43"/>
        <v>073-60: Trailers, Various Types (Not Otherwise Classified)</v>
      </c>
    </row>
    <row r="666" spans="1:7" x14ac:dyDescent="0.25">
      <c r="A666" s="5" t="str">
        <f t="shared" ref="A666:A725" si="45">TEXT(75,"000")</f>
        <v>075</v>
      </c>
      <c r="B666" s="5" t="str">
        <f>TEXT(0,"00")</f>
        <v>00</v>
      </c>
      <c r="C666" s="1"/>
      <c r="D666" s="2" t="s">
        <v>664</v>
      </c>
    </row>
    <row r="667" spans="1:7" x14ac:dyDescent="0.25">
      <c r="A667" s="1" t="str">
        <f t="shared" si="45"/>
        <v>075</v>
      </c>
      <c r="B667" s="1" t="str">
        <f>TEXT(1,"00")</f>
        <v>01</v>
      </c>
      <c r="C667" s="1" t="str">
        <f t="shared" si="42"/>
        <v>075-01</v>
      </c>
      <c r="D667" t="s">
        <v>665</v>
      </c>
      <c r="E667" t="b">
        <f>IF(COUNTIF(D667,"*"&amp;'Keyword Search'!$C$5&amp;"*"),TRUE,FALSE)</f>
        <v>1</v>
      </c>
      <c r="G667" t="str">
        <f t="shared" si="43"/>
        <v>075-01: Air Powered Shop Tools, Regulators, Including Parts and Accessories</v>
      </c>
    </row>
    <row r="668" spans="1:7" x14ac:dyDescent="0.25">
      <c r="A668" s="1" t="str">
        <f t="shared" si="45"/>
        <v>075</v>
      </c>
      <c r="B668" s="1" t="str">
        <f>TEXT(2,"00")</f>
        <v>02</v>
      </c>
      <c r="C668" s="1" t="str">
        <f t="shared" si="42"/>
        <v>075-02</v>
      </c>
      <c r="D668" t="s">
        <v>666</v>
      </c>
      <c r="E668" t="b">
        <f>IF(COUNTIF(D668,"*"&amp;'Keyword Search'!$C$5&amp;"*"),TRUE,FALSE)</f>
        <v>1</v>
      </c>
      <c r="G668" t="str">
        <f t="shared" si="43"/>
        <v>075-02: Alarm Systems, Visual and Audio, Electrically and Mechanically Operated Doors</v>
      </c>
    </row>
    <row r="669" spans="1:7" x14ac:dyDescent="0.25">
      <c r="A669" s="1" t="str">
        <f t="shared" si="45"/>
        <v>075</v>
      </c>
      <c r="B669" s="1" t="str">
        <f>TEXT(3,"00")</f>
        <v>03</v>
      </c>
      <c r="C669" s="1" t="str">
        <f t="shared" si="42"/>
        <v>075-03</v>
      </c>
      <c r="D669" t="s">
        <v>667</v>
      </c>
      <c r="E669" t="b">
        <f>IF(COUNTIF(D669,"*"&amp;'Keyword Search'!$C$5&amp;"*"),TRUE,FALSE)</f>
        <v>1</v>
      </c>
      <c r="G669" t="str">
        <f t="shared" si="43"/>
        <v>075-03: Aligners, Balancers, Including Parts and Accessories, Wheel</v>
      </c>
    </row>
    <row r="670" spans="1:7" x14ac:dyDescent="0.25">
      <c r="A670" s="1" t="str">
        <f t="shared" si="45"/>
        <v>075</v>
      </c>
      <c r="B670" s="1" t="str">
        <f>TEXT(6,"00")</f>
        <v>06</v>
      </c>
      <c r="C670" s="1" t="str">
        <f t="shared" si="42"/>
        <v>075-06</v>
      </c>
      <c r="D670" t="s">
        <v>668</v>
      </c>
      <c r="E670" t="b">
        <f>IF(COUNTIF(D670,"*"&amp;'Keyword Search'!$C$5&amp;"*"),TRUE,FALSE)</f>
        <v>1</v>
      </c>
      <c r="G670" t="str">
        <f t="shared" si="43"/>
        <v>075-06: Battery Chargers and Testers, Automotive (See Also Class 726)</v>
      </c>
    </row>
    <row r="671" spans="1:7" x14ac:dyDescent="0.25">
      <c r="A671" s="1" t="str">
        <f t="shared" si="45"/>
        <v>075</v>
      </c>
      <c r="B671" s="1" t="str">
        <f>TEXT(8,"00")</f>
        <v>08</v>
      </c>
      <c r="C671" s="1" t="str">
        <f t="shared" si="42"/>
        <v>075-08</v>
      </c>
      <c r="D671" t="s">
        <v>669</v>
      </c>
      <c r="E671" t="b">
        <f>IF(COUNTIF(D671,"*"&amp;'Keyword Search'!$C$5&amp;"*"),TRUE,FALSE)</f>
        <v>1</v>
      </c>
      <c r="G671" t="str">
        <f t="shared" si="43"/>
        <v>075-08: Brake Bench Stands</v>
      </c>
    </row>
    <row r="672" spans="1:7" x14ac:dyDescent="0.25">
      <c r="A672" s="1" t="str">
        <f t="shared" si="45"/>
        <v>075</v>
      </c>
      <c r="B672" s="1" t="str">
        <f>TEXT(10,"00")</f>
        <v>10</v>
      </c>
      <c r="C672" s="1" t="str">
        <f t="shared" si="42"/>
        <v>075-10</v>
      </c>
      <c r="D672" t="s">
        <v>670</v>
      </c>
      <c r="E672" t="b">
        <f>IF(COUNTIF(D672,"*"&amp;'Keyword Search'!$C$5&amp;"*"),TRUE,FALSE)</f>
        <v>1</v>
      </c>
      <c r="G672" t="str">
        <f t="shared" si="43"/>
        <v>075-10: Brushes and Cleaning Compounds, Automotive Cleaning</v>
      </c>
    </row>
    <row r="673" spans="1:7" x14ac:dyDescent="0.25">
      <c r="A673" s="1" t="str">
        <f t="shared" si="45"/>
        <v>075</v>
      </c>
      <c r="B673" s="1" t="str">
        <f>TEXT(12,"00")</f>
        <v>12</v>
      </c>
      <c r="C673" s="1" t="str">
        <f t="shared" si="42"/>
        <v>075-12</v>
      </c>
      <c r="D673" t="s">
        <v>671</v>
      </c>
      <c r="E673" t="b">
        <f>IF(COUNTIF(D673,"*"&amp;'Keyword Search'!$C$5&amp;"*"),TRUE,FALSE)</f>
        <v>1</v>
      </c>
      <c r="G673" t="str">
        <f t="shared" si="43"/>
        <v>075-12: Carbon Removing Tools</v>
      </c>
    </row>
    <row r="674" spans="1:7" x14ac:dyDescent="0.25">
      <c r="A674" s="1" t="str">
        <f t="shared" si="45"/>
        <v>075</v>
      </c>
      <c r="B674" s="1" t="str">
        <f>TEXT(14,"00")</f>
        <v>14</v>
      </c>
      <c r="C674" s="1" t="str">
        <f t="shared" si="42"/>
        <v>075-14</v>
      </c>
      <c r="D674" t="s">
        <v>672</v>
      </c>
      <c r="E674" t="b">
        <f>IF(COUNTIF(D674,"*"&amp;'Keyword Search'!$C$5&amp;"*"),TRUE,FALSE)</f>
        <v>1</v>
      </c>
      <c r="G674" t="str">
        <f t="shared" si="43"/>
        <v>075-14: Cements, For Chromatid Felt, Gaskets, Trim, and Weather Strip, and Gasket Shellac</v>
      </c>
    </row>
    <row r="675" spans="1:7" x14ac:dyDescent="0.25">
      <c r="A675" s="1" t="str">
        <f t="shared" si="45"/>
        <v>075</v>
      </c>
      <c r="B675" s="1" t="str">
        <f>TEXT(17,"00")</f>
        <v>17</v>
      </c>
      <c r="C675" s="1" t="str">
        <f t="shared" si="42"/>
        <v>075-17</v>
      </c>
      <c r="D675" t="s">
        <v>673</v>
      </c>
      <c r="E675" t="b">
        <f>IF(COUNTIF(D675,"*"&amp;'Keyword Search'!$C$5&amp;"*"),TRUE,FALSE)</f>
        <v>1</v>
      </c>
      <c r="G675" t="str">
        <f t="shared" si="43"/>
        <v>075-17: Chamois and Sponges, Including Car Wash Mittens and Windshield Squeegees</v>
      </c>
    </row>
    <row r="676" spans="1:7" x14ac:dyDescent="0.25">
      <c r="A676" s="1" t="str">
        <f t="shared" si="45"/>
        <v>075</v>
      </c>
      <c r="B676" s="1" t="str">
        <f>TEXT(19,"00")</f>
        <v>19</v>
      </c>
      <c r="C676" s="1" t="str">
        <f t="shared" si="42"/>
        <v>075-19</v>
      </c>
      <c r="D676" t="s">
        <v>674</v>
      </c>
      <c r="E676" t="b">
        <f>IF(COUNTIF(D676,"*"&amp;'Keyword Search'!$C$5&amp;"*"),TRUE,FALSE)</f>
        <v>1</v>
      </c>
      <c r="G676" t="str">
        <f t="shared" si="43"/>
        <v>075-19: Cleaning and Washing Equipment: Steam, Cold and Hot Water Pressure and Jet Types, Portable and Stationary (Also See 075-49)</v>
      </c>
    </row>
    <row r="677" spans="1:7" x14ac:dyDescent="0.25">
      <c r="A677" s="1" t="str">
        <f t="shared" si="45"/>
        <v>075</v>
      </c>
      <c r="B677" s="1" t="str">
        <f>TEXT(20,"00")</f>
        <v>20</v>
      </c>
      <c r="C677" s="1" t="str">
        <f t="shared" si="42"/>
        <v>075-20</v>
      </c>
      <c r="D677" t="s">
        <v>675</v>
      </c>
      <c r="E677" t="b">
        <f>IF(COUNTIF(D677,"*"&amp;'Keyword Search'!$C$5&amp;"*"),TRUE,FALSE)</f>
        <v>1</v>
      </c>
      <c r="G677" t="str">
        <f t="shared" si="43"/>
        <v>075-20: Crankshaft Truing and Engine Stands</v>
      </c>
    </row>
    <row r="678" spans="1:7" x14ac:dyDescent="0.25">
      <c r="A678" s="1" t="str">
        <f t="shared" si="45"/>
        <v>075</v>
      </c>
      <c r="B678" s="1" t="str">
        <f>TEXT(22,"00")</f>
        <v>22</v>
      </c>
      <c r="C678" s="1" t="str">
        <f t="shared" si="42"/>
        <v>075-22</v>
      </c>
      <c r="D678" t="s">
        <v>676</v>
      </c>
      <c r="E678" t="b">
        <f>IF(COUNTIF(D678,"*"&amp;'Keyword Search'!$C$5&amp;"*"),TRUE,FALSE)</f>
        <v>1</v>
      </c>
      <c r="G678" t="str">
        <f t="shared" si="43"/>
        <v>075-22: Creepers</v>
      </c>
    </row>
    <row r="679" spans="1:7" x14ac:dyDescent="0.25">
      <c r="A679" s="1" t="str">
        <f t="shared" si="45"/>
        <v>075</v>
      </c>
      <c r="B679" s="1" t="str">
        <f>TEXT(24,"00")</f>
        <v>24</v>
      </c>
      <c r="C679" s="1" t="str">
        <f t="shared" si="42"/>
        <v>075-24</v>
      </c>
      <c r="D679" t="s">
        <v>677</v>
      </c>
      <c r="E679" t="b">
        <f>IF(COUNTIF(D679,"*"&amp;'Keyword Search'!$C$5&amp;"*"),TRUE,FALSE)</f>
        <v>1</v>
      </c>
      <c r="G679" t="str">
        <f t="shared" si="43"/>
        <v>075-24: Diagnostic Instrument System, Emission Testing, Automotive</v>
      </c>
    </row>
    <row r="680" spans="1:7" x14ac:dyDescent="0.25">
      <c r="A680" s="1" t="str">
        <f t="shared" si="45"/>
        <v>075</v>
      </c>
      <c r="B680" s="1" t="str">
        <f>TEXT(25,"00")</f>
        <v>25</v>
      </c>
      <c r="C680" s="1" t="str">
        <f t="shared" si="42"/>
        <v>075-25</v>
      </c>
      <c r="D680" t="s">
        <v>678</v>
      </c>
      <c r="E680" t="b">
        <f>IF(COUNTIF(D680,"*"&amp;'Keyword Search'!$C$5&amp;"*"),TRUE,FALSE)</f>
        <v>1</v>
      </c>
      <c r="G680" t="str">
        <f t="shared" si="43"/>
        <v>075-25: Dynamometers</v>
      </c>
    </row>
    <row r="681" spans="1:7" x14ac:dyDescent="0.25">
      <c r="A681" s="1" t="str">
        <f t="shared" si="45"/>
        <v>075</v>
      </c>
      <c r="B681" s="1" t="str">
        <f>TEXT(27,"00")</f>
        <v>27</v>
      </c>
      <c r="C681" s="1" t="str">
        <f t="shared" si="42"/>
        <v>075-27</v>
      </c>
      <c r="D681" t="s">
        <v>679</v>
      </c>
      <c r="E681" t="b">
        <f>IF(COUNTIF(D681,"*"&amp;'Keyword Search'!$C$5&amp;"*"),TRUE,FALSE)</f>
        <v>1</v>
      </c>
      <c r="G681" t="str">
        <f t="shared" si="43"/>
        <v>075-27: Fender Covers</v>
      </c>
    </row>
    <row r="682" spans="1:7" x14ac:dyDescent="0.25">
      <c r="A682" s="1" t="str">
        <f t="shared" si="45"/>
        <v>075</v>
      </c>
      <c r="B682" s="1" t="str">
        <f>TEXT(28,"00")</f>
        <v>28</v>
      </c>
      <c r="C682" s="1" t="str">
        <f t="shared" si="42"/>
        <v>075-28</v>
      </c>
      <c r="D682" t="s">
        <v>680</v>
      </c>
      <c r="E682" t="b">
        <f>IF(COUNTIF(D682,"*"&amp;'Keyword Search'!$C$5&amp;"*"),TRUE,FALSE)</f>
        <v>1</v>
      </c>
      <c r="G682" t="str">
        <f t="shared" si="43"/>
        <v>075-28: Files, Ignition, Tungsten Point</v>
      </c>
    </row>
    <row r="683" spans="1:7" x14ac:dyDescent="0.25">
      <c r="A683" s="1" t="str">
        <f t="shared" si="45"/>
        <v>075</v>
      </c>
      <c r="B683" s="1" t="str">
        <f>TEXT(29,"00")</f>
        <v>29</v>
      </c>
      <c r="C683" s="1" t="str">
        <f t="shared" si="42"/>
        <v>075-29</v>
      </c>
      <c r="D683" t="s">
        <v>681</v>
      </c>
      <c r="E683" t="b">
        <f>IF(COUNTIF(D683,"*"&amp;'Keyword Search'!$C$5&amp;"*"),TRUE,FALSE)</f>
        <v>1</v>
      </c>
      <c r="G683" t="str">
        <f t="shared" si="43"/>
        <v>075-29: Flush and Fill Equipment and Tools: Automatic Transmissions, Cooling Systems, Power Steering Systems, etc.</v>
      </c>
    </row>
    <row r="684" spans="1:7" x14ac:dyDescent="0.25">
      <c r="A684" s="1" t="str">
        <f t="shared" si="45"/>
        <v>075</v>
      </c>
      <c r="B684" s="1" t="str">
        <f>TEXT(31,"00")</f>
        <v>31</v>
      </c>
      <c r="C684" s="1" t="str">
        <f t="shared" si="42"/>
        <v>075-31</v>
      </c>
      <c r="D684" t="s">
        <v>682</v>
      </c>
      <c r="E684" t="b">
        <f>IF(COUNTIF(D684,"*"&amp;'Keyword Search'!$C$5&amp;"*"),TRUE,FALSE)</f>
        <v>1</v>
      </c>
      <c r="G684" t="str">
        <f t="shared" si="43"/>
        <v>075-31: Grinders, Cylinder Hone and Valve Seat: Portable Boring Machines; Hones; and Boring Bars</v>
      </c>
    </row>
    <row r="685" spans="1:7" x14ac:dyDescent="0.25">
      <c r="A685" s="1" t="str">
        <f t="shared" si="45"/>
        <v>075</v>
      </c>
      <c r="B685" s="1" t="str">
        <f>TEXT(33,"00")</f>
        <v>33</v>
      </c>
      <c r="C685" s="1" t="str">
        <f t="shared" si="42"/>
        <v>075-33</v>
      </c>
      <c r="D685" t="s">
        <v>683</v>
      </c>
      <c r="E685" t="b">
        <f>IF(COUNTIF(D685,"*"&amp;'Keyword Search'!$C$5&amp;"*"),TRUE,FALSE)</f>
        <v>1</v>
      </c>
      <c r="G685" t="str">
        <f t="shared" si="43"/>
        <v>075-33: Hand Tools, Air Conditioning, Including Refrigerant Charging Equipment, Automotive</v>
      </c>
    </row>
    <row r="686" spans="1:7" x14ac:dyDescent="0.25">
      <c r="A686" s="1" t="str">
        <f t="shared" si="45"/>
        <v>075</v>
      </c>
      <c r="B686" s="1" t="str">
        <f>TEXT(34,"00")</f>
        <v>34</v>
      </c>
      <c r="C686" s="1" t="str">
        <f t="shared" si="42"/>
        <v>075-34</v>
      </c>
      <c r="D686" t="s">
        <v>684</v>
      </c>
      <c r="E686" t="b">
        <f>IF(COUNTIF(D686,"*"&amp;'Keyword Search'!$C$5&amp;"*"),TRUE,FALSE)</f>
        <v>1</v>
      </c>
      <c r="G686" t="str">
        <f t="shared" si="43"/>
        <v>075-34: Hand Tools, Body Rebuilder's</v>
      </c>
    </row>
    <row r="687" spans="1:7" x14ac:dyDescent="0.25">
      <c r="A687" s="1" t="str">
        <f t="shared" si="45"/>
        <v>075</v>
      </c>
      <c r="B687" s="1" t="str">
        <f>TEXT(35,"00")</f>
        <v>35</v>
      </c>
      <c r="C687" s="1" t="str">
        <f t="shared" si="42"/>
        <v>075-35</v>
      </c>
      <c r="D687" t="s">
        <v>685</v>
      </c>
      <c r="E687" t="b">
        <f>IF(COUNTIF(D687,"*"&amp;'Keyword Search'!$C$5&amp;"*"),TRUE,FALSE)</f>
        <v>1</v>
      </c>
      <c r="G687" t="str">
        <f t="shared" si="43"/>
        <v>075-35: Hand Tools, Special Automotive: Brake Tools, Body and Fender Dollies, Hand Operated Pullers, Mechanic's Inspection Mirror, etc. (For Hardware See Class 450)</v>
      </c>
    </row>
    <row r="688" spans="1:7" x14ac:dyDescent="0.25">
      <c r="A688" s="1" t="str">
        <f t="shared" si="45"/>
        <v>075</v>
      </c>
      <c r="B688" s="1" t="str">
        <f>TEXT(36,"00")</f>
        <v>36</v>
      </c>
      <c r="C688" s="1" t="str">
        <f t="shared" si="42"/>
        <v>075-36</v>
      </c>
      <c r="D688" t="s">
        <v>686</v>
      </c>
      <c r="E688" t="b">
        <f>IF(COUNTIF(D688,"*"&amp;'Keyword Search'!$C$5&amp;"*"),TRUE,FALSE)</f>
        <v>1</v>
      </c>
      <c r="G688" t="str">
        <f t="shared" si="43"/>
        <v>075-36: Hose, Exhaust, Shop Use Only</v>
      </c>
    </row>
    <row r="689" spans="1:7" x14ac:dyDescent="0.25">
      <c r="A689" s="1" t="str">
        <f t="shared" si="45"/>
        <v>075</v>
      </c>
      <c r="B689" s="1" t="str">
        <f>TEXT(38,"00")</f>
        <v>38</v>
      </c>
      <c r="C689" s="1" t="str">
        <f t="shared" si="42"/>
        <v>075-38</v>
      </c>
      <c r="D689" t="s">
        <v>687</v>
      </c>
      <c r="E689" t="b">
        <f>IF(COUNTIF(D689,"*"&amp;'Keyword Search'!$C$5&amp;"*"),TRUE,FALSE)</f>
        <v>1</v>
      </c>
      <c r="G689" t="str">
        <f t="shared" si="43"/>
        <v>075-38: Hydrometers: Antifreeze and Battery</v>
      </c>
    </row>
    <row r="690" spans="1:7" x14ac:dyDescent="0.25">
      <c r="A690" s="1" t="str">
        <f t="shared" si="45"/>
        <v>075</v>
      </c>
      <c r="B690" s="1" t="str">
        <f>TEXT(39,"00")</f>
        <v>39</v>
      </c>
      <c r="C690" s="1" t="str">
        <f t="shared" si="42"/>
        <v>075-39</v>
      </c>
      <c r="D690" t="s">
        <v>688</v>
      </c>
      <c r="E690" t="b">
        <f>IF(COUNTIF(D690,"*"&amp;'Keyword Search'!$C$5&amp;"*"),TRUE,FALSE)</f>
        <v>1</v>
      </c>
      <c r="G690" t="str">
        <f t="shared" si="43"/>
        <v>075-39: Inspection Systems, Under Vehicle Type</v>
      </c>
    </row>
    <row r="691" spans="1:7" x14ac:dyDescent="0.25">
      <c r="A691" s="1" t="str">
        <f t="shared" si="45"/>
        <v>075</v>
      </c>
      <c r="B691" s="1" t="str">
        <f>TEXT(41,"00")</f>
        <v>41</v>
      </c>
      <c r="C691" s="1" t="str">
        <f t="shared" si="42"/>
        <v>075-41</v>
      </c>
      <c r="D691" t="s">
        <v>689</v>
      </c>
      <c r="E691" t="b">
        <f>IF(COUNTIF(D691,"*"&amp;'Keyword Search'!$C$5&amp;"*"),TRUE,FALSE)</f>
        <v>1</v>
      </c>
      <c r="G691" t="str">
        <f t="shared" si="43"/>
        <v>075-41: Jacks, Safety Stands, Portable Cranes, Including Parts and Accessories: Automobiles, Trailers, Trucks, and Transmissions</v>
      </c>
    </row>
    <row r="692" spans="1:7" x14ac:dyDescent="0.25">
      <c r="A692" s="1" t="str">
        <f t="shared" si="45"/>
        <v>075</v>
      </c>
      <c r="B692" s="1" t="str">
        <f>TEXT(42,"00")</f>
        <v>42</v>
      </c>
      <c r="C692" s="1" t="str">
        <f t="shared" si="42"/>
        <v>075-42</v>
      </c>
      <c r="D692" t="s">
        <v>690</v>
      </c>
      <c r="E692" t="b">
        <f>IF(COUNTIF(D692,"*"&amp;'Keyword Search'!$C$5&amp;"*"),TRUE,FALSE)</f>
        <v>1</v>
      </c>
      <c r="G692" t="str">
        <f t="shared" si="43"/>
        <v>075-42: Lights, Drop, and other Remote Work Lights, With Cords</v>
      </c>
    </row>
    <row r="693" spans="1:7" x14ac:dyDescent="0.25">
      <c r="A693" s="1" t="str">
        <f t="shared" si="45"/>
        <v>075</v>
      </c>
      <c r="B693" s="1" t="str">
        <f>TEXT(43,"00")</f>
        <v>43</v>
      </c>
      <c r="C693" s="1" t="str">
        <f t="shared" si="42"/>
        <v>075-43</v>
      </c>
      <c r="D693" t="s">
        <v>691</v>
      </c>
      <c r="E693" t="b">
        <f>IF(COUNTIF(D693,"*"&amp;'Keyword Search'!$C$5&amp;"*"),TRUE,FALSE)</f>
        <v>1</v>
      </c>
      <c r="G693" t="str">
        <f t="shared" si="43"/>
        <v>075-43: Lathes, Armature and Brake Drum</v>
      </c>
    </row>
    <row r="694" spans="1:7" x14ac:dyDescent="0.25">
      <c r="A694" s="1" t="str">
        <f t="shared" si="45"/>
        <v>075</v>
      </c>
      <c r="B694" s="1" t="str">
        <f>TEXT(44,"00")</f>
        <v>44</v>
      </c>
      <c r="C694" s="1" t="str">
        <f t="shared" si="42"/>
        <v>075-44</v>
      </c>
      <c r="D694" t="s">
        <v>692</v>
      </c>
      <c r="E694" t="b">
        <f>IF(COUNTIF(D694,"*"&amp;'Keyword Search'!$C$5&amp;"*"),TRUE,FALSE)</f>
        <v>1</v>
      </c>
      <c r="G694" t="str">
        <f t="shared" si="43"/>
        <v>075-44: Lifts and Hoists, Floor Type: Electric, Hydraulic, or Pneumatic</v>
      </c>
    </row>
    <row r="695" spans="1:7" x14ac:dyDescent="0.25">
      <c r="A695" s="1" t="str">
        <f t="shared" si="45"/>
        <v>075</v>
      </c>
      <c r="B695" s="1" t="str">
        <f>TEXT(46,"00")</f>
        <v>46</v>
      </c>
      <c r="C695" s="1" t="str">
        <f t="shared" si="42"/>
        <v>075-46</v>
      </c>
      <c r="D695" t="s">
        <v>693</v>
      </c>
      <c r="E695" t="b">
        <f>IF(COUNTIF(D695,"*"&amp;'Keyword Search'!$C$5&amp;"*"),TRUE,FALSE)</f>
        <v>1</v>
      </c>
      <c r="G695" t="str">
        <f t="shared" si="43"/>
        <v>075-46: Lubrication Equipment: Guns, Hoses, Fittings, Lubricators, Oil Pumps, etc., Including Oil Filter Presses</v>
      </c>
    </row>
    <row r="696" spans="1:7" x14ac:dyDescent="0.25">
      <c r="A696" s="1" t="str">
        <f t="shared" si="45"/>
        <v>075</v>
      </c>
      <c r="B696" s="1" t="str">
        <f>TEXT(47,"00")</f>
        <v>47</v>
      </c>
      <c r="C696" s="1" t="str">
        <f t="shared" si="42"/>
        <v>075-47</v>
      </c>
      <c r="D696" t="s">
        <v>694</v>
      </c>
      <c r="E696" t="b">
        <f>IF(COUNTIF(D696,"*"&amp;'Keyword Search'!$C$5&amp;"*"),TRUE,FALSE)</f>
        <v>1</v>
      </c>
      <c r="G696" t="str">
        <f t="shared" si="43"/>
        <v>075-47: Mechanic's Equipment and Tools (Not Otherwise Classified)</v>
      </c>
    </row>
    <row r="697" spans="1:7" x14ac:dyDescent="0.25">
      <c r="A697" s="1" t="str">
        <f t="shared" si="45"/>
        <v>075</v>
      </c>
      <c r="B697" s="1" t="str">
        <f>TEXT(48,"00")</f>
        <v>48</v>
      </c>
      <c r="C697" s="1" t="str">
        <f t="shared" si="42"/>
        <v>075-48</v>
      </c>
      <c r="D697" t="s">
        <v>695</v>
      </c>
      <c r="E697" t="b">
        <f>IF(COUNTIF(D697,"*"&amp;'Keyword Search'!$C$5&amp;"*"),TRUE,FALSE)</f>
        <v>1</v>
      </c>
      <c r="G697" t="str">
        <f t="shared" si="43"/>
        <v>075-48: Mechanic's Wire</v>
      </c>
    </row>
    <row r="698" spans="1:7" x14ac:dyDescent="0.25">
      <c r="A698" s="1" t="str">
        <f t="shared" si="45"/>
        <v>075</v>
      </c>
      <c r="B698" s="1" t="str">
        <f>TEXT(49,"00")</f>
        <v>49</v>
      </c>
      <c r="C698" s="1" t="str">
        <f t="shared" si="42"/>
        <v>075-49</v>
      </c>
      <c r="D698" t="s">
        <v>696</v>
      </c>
      <c r="E698" t="b">
        <f>IF(COUNTIF(D698,"*"&amp;'Keyword Search'!$C$5&amp;"*"),TRUE,FALSE)</f>
        <v>1</v>
      </c>
      <c r="G698" t="str">
        <f t="shared" si="43"/>
        <v>075-49: Parts Washing Equipment Including Air Agitated and Pump Agitated (Also See 075-19)</v>
      </c>
    </row>
    <row r="699" spans="1:7" x14ac:dyDescent="0.25">
      <c r="A699" s="1" t="str">
        <f t="shared" si="45"/>
        <v>075</v>
      </c>
      <c r="B699" s="1" t="str">
        <f>TEXT(50,"00")</f>
        <v>50</v>
      </c>
      <c r="C699" s="1" t="str">
        <f t="shared" si="42"/>
        <v>075-50</v>
      </c>
      <c r="D699" t="s">
        <v>697</v>
      </c>
      <c r="E699" t="b">
        <f>IF(COUNTIF(D699,"*"&amp;'Keyword Search'!$C$5&amp;"*"),TRUE,FALSE)</f>
        <v>1</v>
      </c>
      <c r="G699" t="str">
        <f t="shared" si="43"/>
        <v>075-50: Oil Analysis and Diagnostic Equipment</v>
      </c>
    </row>
    <row r="700" spans="1:7" x14ac:dyDescent="0.25">
      <c r="A700" s="1" t="str">
        <f t="shared" si="45"/>
        <v>075</v>
      </c>
      <c r="B700" s="1" t="str">
        <f>TEXT(54,"00")</f>
        <v>54</v>
      </c>
      <c r="C700" s="1" t="str">
        <f t="shared" si="42"/>
        <v>075-54</v>
      </c>
      <c r="D700" t="s">
        <v>698</v>
      </c>
      <c r="E700" t="b">
        <f>IF(COUNTIF(D700,"*"&amp;'Keyword Search'!$C$5&amp;"*"),TRUE,FALSE)</f>
        <v>1</v>
      </c>
      <c r="G700" t="str">
        <f t="shared" si="43"/>
        <v>075-54: Presses and Pullers, Machine Powered, Including Frame Alignment</v>
      </c>
    </row>
    <row r="701" spans="1:7" x14ac:dyDescent="0.25">
      <c r="A701" s="1" t="str">
        <f t="shared" si="45"/>
        <v>075</v>
      </c>
      <c r="B701" s="1" t="str">
        <f>TEXT(55,"00")</f>
        <v>55</v>
      </c>
      <c r="C701" s="1" t="str">
        <f t="shared" si="42"/>
        <v>075-55</v>
      </c>
      <c r="D701" t="s">
        <v>699</v>
      </c>
      <c r="E701" t="b">
        <f>IF(COUNTIF(D701,"*"&amp;'Keyword Search'!$C$5&amp;"*"),TRUE,FALSE)</f>
        <v>1</v>
      </c>
      <c r="G701" t="str">
        <f t="shared" si="43"/>
        <v>075-55: Reclamation Equipment, Automotive, Including Refrigerant Recovery</v>
      </c>
    </row>
    <row r="702" spans="1:7" x14ac:dyDescent="0.25">
      <c r="A702" s="1" t="str">
        <f t="shared" si="45"/>
        <v>075</v>
      </c>
      <c r="B702" s="1" t="str">
        <f>TEXT(56,"00")</f>
        <v>56</v>
      </c>
      <c r="C702" s="1" t="str">
        <f t="shared" si="42"/>
        <v>075-56</v>
      </c>
      <c r="D702" t="s">
        <v>700</v>
      </c>
      <c r="E702" t="b">
        <f>IF(COUNTIF(D702,"*"&amp;'Keyword Search'!$C$5&amp;"*"),TRUE,FALSE)</f>
        <v>1</v>
      </c>
      <c r="G702" t="str">
        <f t="shared" si="43"/>
        <v>075-56: Recycled Automotive Products (Not Otherwise Classified)</v>
      </c>
    </row>
    <row r="703" spans="1:7" x14ac:dyDescent="0.25">
      <c r="A703" s="1" t="str">
        <f t="shared" si="45"/>
        <v>075</v>
      </c>
      <c r="B703" s="1" t="str">
        <f>TEXT(57,"00")</f>
        <v>57</v>
      </c>
      <c r="C703" s="1" t="str">
        <f t="shared" si="42"/>
        <v>075-57</v>
      </c>
      <c r="D703" t="s">
        <v>701</v>
      </c>
      <c r="E703" t="b">
        <f>IF(COUNTIF(D703,"*"&amp;'Keyword Search'!$C$5&amp;"*"),TRUE,FALSE)</f>
        <v>1</v>
      </c>
      <c r="G703" t="str">
        <f t="shared" si="43"/>
        <v>075-57: Reel and Hose Assemblies, Air and Water Dispensing</v>
      </c>
    </row>
    <row r="704" spans="1:7" x14ac:dyDescent="0.25">
      <c r="A704" s="1" t="str">
        <f t="shared" si="45"/>
        <v>075</v>
      </c>
      <c r="B704" s="1" t="str">
        <f>TEXT(60,"00")</f>
        <v>60</v>
      </c>
      <c r="C704" s="1" t="str">
        <f t="shared" si="42"/>
        <v>075-60</v>
      </c>
      <c r="D704" t="s">
        <v>702</v>
      </c>
      <c r="E704" t="b">
        <f>IF(COUNTIF(D704,"*"&amp;'Keyword Search'!$C$5&amp;"*"),TRUE,FALSE)</f>
        <v>1</v>
      </c>
      <c r="G704" t="str">
        <f t="shared" si="43"/>
        <v>075-60: Refinisher Product, Including Polish and Body Filler, (See Class 630  For Paint)</v>
      </c>
    </row>
    <row r="705" spans="1:7" x14ac:dyDescent="0.25">
      <c r="A705" s="1" t="str">
        <f t="shared" si="45"/>
        <v>075</v>
      </c>
      <c r="B705" s="1" t="str">
        <f>TEXT(63,"00")</f>
        <v>63</v>
      </c>
      <c r="C705" s="1" t="str">
        <f t="shared" si="42"/>
        <v>075-63</v>
      </c>
      <c r="D705" t="s">
        <v>703</v>
      </c>
      <c r="E705" t="b">
        <f>IF(COUNTIF(D705,"*"&amp;'Keyword Search'!$C$5&amp;"*"),TRUE,FALSE)</f>
        <v>1</v>
      </c>
      <c r="G705" t="str">
        <f t="shared" si="43"/>
        <v>075-63: Relining Equipment, Brakes</v>
      </c>
    </row>
    <row r="706" spans="1:7" x14ac:dyDescent="0.25">
      <c r="A706" s="1" t="str">
        <f t="shared" si="45"/>
        <v>075</v>
      </c>
      <c r="B706" s="1" t="str">
        <f>TEXT(64,"00")</f>
        <v>64</v>
      </c>
      <c r="C706" s="1" t="str">
        <f t="shared" si="42"/>
        <v>075-64</v>
      </c>
      <c r="D706" t="s">
        <v>704</v>
      </c>
      <c r="E706" t="b">
        <f>IF(COUNTIF(D706,"*"&amp;'Keyword Search'!$C$5&amp;"*"),TRUE,FALSE)</f>
        <v>1</v>
      </c>
      <c r="G706" t="str">
        <f t="shared" si="43"/>
        <v>075-64: Shop and Mechanic's Equipment and Supplies, Recycled</v>
      </c>
    </row>
    <row r="707" spans="1:7" x14ac:dyDescent="0.25">
      <c r="A707" s="1" t="str">
        <f t="shared" si="45"/>
        <v>075</v>
      </c>
      <c r="B707" s="1" t="str">
        <f>TEXT(65,"00")</f>
        <v>65</v>
      </c>
      <c r="C707" s="1" t="str">
        <f t="shared" ref="C707:C770" si="46">CONCATENATE(A707,"-",B707)</f>
        <v>075-65</v>
      </c>
      <c r="D707" t="s">
        <v>705</v>
      </c>
      <c r="E707" t="b">
        <f>IF(COUNTIF(D707,"*"&amp;'Keyword Search'!$C$5&amp;"*"),TRUE,FALSE)</f>
        <v>1</v>
      </c>
      <c r="G707" t="str">
        <f t="shared" si="43"/>
        <v>075-65: Spark Plug Cleaner and Tester, Electric</v>
      </c>
    </row>
    <row r="708" spans="1:7" x14ac:dyDescent="0.25">
      <c r="A708" s="1" t="str">
        <f t="shared" si="45"/>
        <v>075</v>
      </c>
      <c r="B708" s="1" t="str">
        <f>TEXT(66,"00")</f>
        <v>66</v>
      </c>
      <c r="C708" s="1" t="str">
        <f t="shared" si="46"/>
        <v>075-66</v>
      </c>
      <c r="D708" t="s">
        <v>706</v>
      </c>
      <c r="E708" t="b">
        <f>IF(COUNTIF(D708,"*"&amp;'Keyword Search'!$C$5&amp;"*"),TRUE,FALSE)</f>
        <v>1</v>
      </c>
      <c r="G708" t="str">
        <f t="shared" ref="G708:G770" si="47">CONCATENATE(C708,": ",D708)</f>
        <v>075-66: Specialty Products: Carburetor Cleaning Compound, Radiator Flush and Stop Leak, Transmission Sealing Compound, Water Pump Lubricant, Windshield Washer Solvent, etc.</v>
      </c>
    </row>
    <row r="709" spans="1:7" x14ac:dyDescent="0.25">
      <c r="A709" s="1" t="str">
        <f t="shared" si="45"/>
        <v>075</v>
      </c>
      <c r="B709" s="1" t="str">
        <f>TEXT(67,"00")</f>
        <v>67</v>
      </c>
      <c r="C709" s="1" t="str">
        <f t="shared" si="46"/>
        <v>075-67</v>
      </c>
      <c r="D709" t="s">
        <v>707</v>
      </c>
      <c r="E709" t="b">
        <f>IF(COUNTIF(D709,"*"&amp;'Keyword Search'!$C$5&amp;"*"),TRUE,FALSE)</f>
        <v>1</v>
      </c>
      <c r="G709" t="str">
        <f t="shared" si="47"/>
        <v>075-67: Spring Tester, To Balance Valve Springs, etc.</v>
      </c>
    </row>
    <row r="710" spans="1:7" x14ac:dyDescent="0.25">
      <c r="A710" s="1" t="str">
        <f t="shared" si="45"/>
        <v>075</v>
      </c>
      <c r="B710" s="1" t="str">
        <f>TEXT(68,"00")</f>
        <v>68</v>
      </c>
      <c r="C710" s="1" t="str">
        <f t="shared" si="46"/>
        <v>075-68</v>
      </c>
      <c r="D710" t="s">
        <v>708</v>
      </c>
      <c r="E710" t="b">
        <f>IF(COUNTIF(D710,"*"&amp;'Keyword Search'!$C$5&amp;"*"),TRUE,FALSE)</f>
        <v>1</v>
      </c>
      <c r="G710" t="str">
        <f t="shared" si="47"/>
        <v>075-68: Spill Containment, Clean-Up, and Hazardous Waste Elimination System, Vehicle Maintenance and Repair Work</v>
      </c>
    </row>
    <row r="711" spans="1:7" x14ac:dyDescent="0.25">
      <c r="A711" s="1" t="str">
        <f t="shared" si="45"/>
        <v>075</v>
      </c>
      <c r="B711" s="1" t="str">
        <f>TEXT(69,"00")</f>
        <v>69</v>
      </c>
      <c r="C711" s="1" t="str">
        <f t="shared" si="46"/>
        <v>075-69</v>
      </c>
      <c r="D711" t="s">
        <v>709</v>
      </c>
      <c r="E711" t="b">
        <f>IF(COUNTIF(D711,"*"&amp;'Keyword Search'!$C$5&amp;"*"),TRUE,FALSE)</f>
        <v>1</v>
      </c>
      <c r="G711" t="str">
        <f t="shared" si="47"/>
        <v>075-69: Starting Equipment, Vehicle, Equipment Battery, Not Battery to Battery</v>
      </c>
    </row>
    <row r="712" spans="1:7" x14ac:dyDescent="0.25">
      <c r="A712" s="1" t="str">
        <f t="shared" si="45"/>
        <v>075</v>
      </c>
      <c r="B712" s="1" t="str">
        <f>TEXT(72,"00")</f>
        <v>72</v>
      </c>
      <c r="C712" s="1" t="str">
        <f t="shared" si="46"/>
        <v>075-72</v>
      </c>
      <c r="D712" t="s">
        <v>710</v>
      </c>
      <c r="E712" t="b">
        <f>IF(COUNTIF(D712,"*"&amp;'Keyword Search'!$C$5&amp;"*"),TRUE,FALSE)</f>
        <v>1</v>
      </c>
      <c r="G712" t="str">
        <f t="shared" si="47"/>
        <v>075-72: Tachometer, With Wheel for Speed Recording</v>
      </c>
    </row>
    <row r="713" spans="1:7" x14ac:dyDescent="0.25">
      <c r="A713" s="1" t="str">
        <f t="shared" si="45"/>
        <v>075</v>
      </c>
      <c r="B713" s="1" t="str">
        <f>TEXT(78,"00")</f>
        <v>78</v>
      </c>
      <c r="C713" s="1" t="str">
        <f t="shared" si="46"/>
        <v>075-78</v>
      </c>
      <c r="D713" t="s">
        <v>711</v>
      </c>
      <c r="E713" t="b">
        <f>IF(COUNTIF(D713,"*"&amp;'Keyword Search'!$C$5&amp;"*"),TRUE,FALSE)</f>
        <v>1</v>
      </c>
      <c r="G713" t="str">
        <f t="shared" si="47"/>
        <v>075-78: Testers: Engine Analysis, Headlight, Ignition, Timing, Compression, Oscilloscopes, Stroboscopes, etc.</v>
      </c>
    </row>
    <row r="714" spans="1:7" x14ac:dyDescent="0.25">
      <c r="A714" s="1" t="str">
        <f t="shared" si="45"/>
        <v>075</v>
      </c>
      <c r="B714" s="1" t="str">
        <f>TEXT(81,"00")</f>
        <v>81</v>
      </c>
      <c r="C714" s="1" t="str">
        <f t="shared" si="46"/>
        <v>075-81</v>
      </c>
      <c r="D714" t="s">
        <v>712</v>
      </c>
      <c r="E714" t="b">
        <f>IF(COUNTIF(D714,"*"&amp;'Keyword Search'!$C$5&amp;"*"),TRUE,FALSE)</f>
        <v>1</v>
      </c>
      <c r="G714" t="str">
        <f t="shared" si="47"/>
        <v>075-81: Tire Changing Equipment</v>
      </c>
    </row>
    <row r="715" spans="1:7" x14ac:dyDescent="0.25">
      <c r="A715" s="1" t="str">
        <f t="shared" si="45"/>
        <v>075</v>
      </c>
      <c r="B715" s="1" t="str">
        <f>TEXT(83,"00")</f>
        <v>83</v>
      </c>
      <c r="C715" s="1" t="str">
        <f t="shared" si="46"/>
        <v>075-83</v>
      </c>
      <c r="D715" t="s">
        <v>713</v>
      </c>
      <c r="E715" t="b">
        <f>IF(COUNTIF(D715,"*"&amp;'Keyword Search'!$C$5&amp;"*"),TRUE,FALSE)</f>
        <v>1</v>
      </c>
      <c r="G715" t="str">
        <f t="shared" si="47"/>
        <v>075-83: Tire Changing Tools and Accessories: Lug Wrenches, Tire Gauges, Tire Mounting Lubricant, Tire Pumps, etc.</v>
      </c>
    </row>
    <row r="716" spans="1:7" x14ac:dyDescent="0.25">
      <c r="A716" s="1" t="str">
        <f t="shared" si="45"/>
        <v>075</v>
      </c>
      <c r="B716" s="1" t="str">
        <f>TEXT(84,"00")</f>
        <v>84</v>
      </c>
      <c r="C716" s="1" t="str">
        <f t="shared" si="46"/>
        <v>075-84</v>
      </c>
      <c r="D716" t="s">
        <v>714</v>
      </c>
      <c r="E716" t="b">
        <f>IF(COUNTIF(D716,"*"&amp;'Keyword Search'!$C$5&amp;"*"),TRUE,FALSE)</f>
        <v>1</v>
      </c>
      <c r="G716" t="str">
        <f t="shared" si="47"/>
        <v>075-84: Tire Storage Racks</v>
      </c>
    </row>
    <row r="717" spans="1:7" x14ac:dyDescent="0.25">
      <c r="A717" s="1" t="str">
        <f t="shared" si="45"/>
        <v>075</v>
      </c>
      <c r="B717" s="1" t="str">
        <f>TEXT(85,"00")</f>
        <v>85</v>
      </c>
      <c r="C717" s="1" t="str">
        <f t="shared" si="46"/>
        <v>075-85</v>
      </c>
      <c r="D717" t="s">
        <v>715</v>
      </c>
      <c r="E717" t="b">
        <f>IF(COUNTIF(D717,"*"&amp;'Keyword Search'!$C$5&amp;"*"),TRUE,FALSE)</f>
        <v>1</v>
      </c>
      <c r="G717" t="str">
        <f t="shared" si="47"/>
        <v>075-85: Tire Treatments, Anti-skid</v>
      </c>
    </row>
    <row r="718" spans="1:7" x14ac:dyDescent="0.25">
      <c r="A718" s="1" t="str">
        <f t="shared" si="45"/>
        <v>075</v>
      </c>
      <c r="B718" s="1" t="str">
        <f>TEXT(87,"00")</f>
        <v>87</v>
      </c>
      <c r="C718" s="1" t="str">
        <f t="shared" si="46"/>
        <v>075-87</v>
      </c>
      <c r="D718" t="s">
        <v>716</v>
      </c>
      <c r="E718" t="b">
        <f>IF(COUNTIF(D718,"*"&amp;'Keyword Search'!$C$5&amp;"*"),TRUE,FALSE)</f>
        <v>1</v>
      </c>
      <c r="G718" t="str">
        <f t="shared" si="47"/>
        <v>075-87: Tow Bars, Chains, Ropes and Straps</v>
      </c>
    </row>
    <row r="719" spans="1:7" x14ac:dyDescent="0.25">
      <c r="A719" s="1" t="str">
        <f t="shared" si="45"/>
        <v>075</v>
      </c>
      <c r="B719" s="1" t="str">
        <f>TEXT(89,"00")</f>
        <v>89</v>
      </c>
      <c r="C719" s="1" t="str">
        <f t="shared" si="46"/>
        <v>075-89</v>
      </c>
      <c r="D719" t="s">
        <v>717</v>
      </c>
      <c r="E719" t="b">
        <f>IF(COUNTIF(D719,"*"&amp;'Keyword Search'!$C$5&amp;"*"),TRUE,FALSE)</f>
        <v>1</v>
      </c>
      <c r="G719" t="str">
        <f t="shared" si="47"/>
        <v>075-89: Training Aids and Instructional Equipment and Supplies, Automotive</v>
      </c>
    </row>
    <row r="720" spans="1:7" x14ac:dyDescent="0.25">
      <c r="A720" s="1" t="str">
        <f t="shared" si="45"/>
        <v>075</v>
      </c>
      <c r="B720" s="1" t="str">
        <f>TEXT(90,"00")</f>
        <v>90</v>
      </c>
      <c r="C720" s="1" t="str">
        <f t="shared" si="46"/>
        <v>075-90</v>
      </c>
      <c r="D720" t="s">
        <v>718</v>
      </c>
      <c r="E720" t="b">
        <f>IF(COUNTIF(D720,"*"&amp;'Keyword Search'!$C$5&amp;"*"),TRUE,FALSE)</f>
        <v>1</v>
      </c>
      <c r="G720" t="str">
        <f t="shared" si="47"/>
        <v>075-90: Undercoater Equipment and Accessories</v>
      </c>
    </row>
    <row r="721" spans="1:7" x14ac:dyDescent="0.25">
      <c r="A721" s="1" t="str">
        <f t="shared" si="45"/>
        <v>075</v>
      </c>
      <c r="B721" s="1" t="str">
        <f>TEXT(92,"00")</f>
        <v>92</v>
      </c>
      <c r="C721" s="1" t="str">
        <f t="shared" si="46"/>
        <v>075-92</v>
      </c>
      <c r="D721" t="s">
        <v>719</v>
      </c>
      <c r="E721" t="b">
        <f>IF(COUNTIF(D721,"*"&amp;'Keyword Search'!$C$5&amp;"*"),TRUE,FALSE)</f>
        <v>1</v>
      </c>
      <c r="G721" t="str">
        <f t="shared" si="47"/>
        <v>075-92: Undercoating Compounds</v>
      </c>
    </row>
    <row r="722" spans="1:7" x14ac:dyDescent="0.25">
      <c r="A722" s="1" t="str">
        <f t="shared" si="45"/>
        <v>075</v>
      </c>
      <c r="B722" s="1" t="str">
        <f>TEXT(94,"00")</f>
        <v>94</v>
      </c>
      <c r="C722" s="1" t="str">
        <f t="shared" si="46"/>
        <v>075-94</v>
      </c>
      <c r="D722" t="s">
        <v>720</v>
      </c>
      <c r="E722" t="b">
        <f>IF(COUNTIF(D722,"*"&amp;'Keyword Search'!$C$5&amp;"*"),TRUE,FALSE)</f>
        <v>1</v>
      </c>
      <c r="G722" t="str">
        <f t="shared" si="47"/>
        <v>075-94: Wheel Chocks, Blocks</v>
      </c>
    </row>
    <row r="723" spans="1:7" x14ac:dyDescent="0.25">
      <c r="A723" s="1" t="str">
        <f t="shared" si="45"/>
        <v>075</v>
      </c>
      <c r="B723" s="1" t="str">
        <f>TEXT(95,"00")</f>
        <v>95</v>
      </c>
      <c r="C723" s="1" t="str">
        <f t="shared" si="46"/>
        <v>075-95</v>
      </c>
      <c r="D723" t="s">
        <v>721</v>
      </c>
      <c r="E723" t="b">
        <f>IF(COUNTIF(D723,"*"&amp;'Keyword Search'!$C$5&amp;"*"),TRUE,FALSE)</f>
        <v>1</v>
      </c>
      <c r="G723" t="str">
        <f t="shared" si="47"/>
        <v>075-95: Valve Grinding Compounds</v>
      </c>
    </row>
    <row r="724" spans="1:7" x14ac:dyDescent="0.25">
      <c r="A724" s="1" t="str">
        <f t="shared" si="45"/>
        <v>075</v>
      </c>
      <c r="B724" s="1" t="str">
        <f>TEXT(96,"00")</f>
        <v>96</v>
      </c>
      <c r="C724" s="1" t="str">
        <f t="shared" si="46"/>
        <v>075-96</v>
      </c>
      <c r="D724" t="s">
        <v>722</v>
      </c>
      <c r="E724" t="b">
        <f>IF(COUNTIF(D724,"*"&amp;'Keyword Search'!$C$5&amp;"*"),TRUE,FALSE)</f>
        <v>1</v>
      </c>
      <c r="G724" t="str">
        <f t="shared" si="47"/>
        <v>075-96: Washing Systems, Automatic, Stationary, Automotive</v>
      </c>
    </row>
    <row r="725" spans="1:7" x14ac:dyDescent="0.25">
      <c r="A725" s="1" t="str">
        <f t="shared" si="45"/>
        <v>075</v>
      </c>
      <c r="B725" s="1" t="str">
        <f>TEXT(97,"00")</f>
        <v>97</v>
      </c>
      <c r="C725" s="1" t="str">
        <f t="shared" si="46"/>
        <v>075-97</v>
      </c>
      <c r="D725" t="s">
        <v>723</v>
      </c>
      <c r="E725" t="b">
        <f>IF(COUNTIF(D725,"*"&amp;'Keyword Search'!$C$5&amp;"*"),TRUE,FALSE)</f>
        <v>1</v>
      </c>
      <c r="G725" t="str">
        <f t="shared" si="47"/>
        <v>075-97: Windshield Replacement Tools</v>
      </c>
    </row>
    <row r="726" spans="1:7" x14ac:dyDescent="0.25">
      <c r="A726" s="5" t="str">
        <f t="shared" ref="A726:A748" si="48">TEXT(80,"000")</f>
        <v>080</v>
      </c>
      <c r="B726" s="5" t="str">
        <f>TEXT(0,"00")</f>
        <v>00</v>
      </c>
      <c r="C726" s="1"/>
      <c r="D726" s="2" t="s">
        <v>724</v>
      </c>
    </row>
    <row r="727" spans="1:7" x14ac:dyDescent="0.25">
      <c r="A727" s="1" t="str">
        <f t="shared" si="48"/>
        <v>080</v>
      </c>
      <c r="B727" s="1" t="str">
        <f>TEXT(10,"00")</f>
        <v>10</v>
      </c>
      <c r="C727" s="1" t="str">
        <f t="shared" si="46"/>
        <v>080-10</v>
      </c>
      <c r="D727" t="s">
        <v>725</v>
      </c>
      <c r="E727" t="b">
        <f>IF(COUNTIF(D727,"*"&amp;'Keyword Search'!$C$5&amp;"*"),TRUE,FALSE)</f>
        <v>1</v>
      </c>
      <c r="G727" t="str">
        <f t="shared" si="47"/>
        <v>080-10: Badges, Buttons, Emblems, and ID Cards, Celluloid and Plastic: Student, Faculty, Membership, Employee, etc.</v>
      </c>
    </row>
    <row r="728" spans="1:7" x14ac:dyDescent="0.25">
      <c r="A728" s="1" t="str">
        <f t="shared" si="48"/>
        <v>080</v>
      </c>
      <c r="B728" s="1" t="str">
        <f>TEXT(15,"00")</f>
        <v>15</v>
      </c>
      <c r="C728" s="1" t="str">
        <f t="shared" si="46"/>
        <v>080-15</v>
      </c>
      <c r="D728" t="s">
        <v>726</v>
      </c>
      <c r="E728" t="b">
        <f>IF(COUNTIF(D728,"*"&amp;'Keyword Search'!$C$5&amp;"*"),TRUE,FALSE)</f>
        <v>1</v>
      </c>
      <c r="G728" t="str">
        <f t="shared" si="47"/>
        <v>080-15: Badges, Buttons, Emblems, and Patches, Metal: Cap, Game Wardens', Officers', Service Awards, Uniform, etc.</v>
      </c>
    </row>
    <row r="729" spans="1:7" x14ac:dyDescent="0.25">
      <c r="A729" s="1" t="str">
        <f t="shared" si="48"/>
        <v>080</v>
      </c>
      <c r="B729" s="1" t="str">
        <f>TEXT(25,"00")</f>
        <v>25</v>
      </c>
      <c r="C729" s="1" t="str">
        <f t="shared" si="46"/>
        <v>080-25</v>
      </c>
      <c r="D729" t="s">
        <v>727</v>
      </c>
      <c r="E729" t="b">
        <f>IF(COUNTIF(D729,"*"&amp;'Keyword Search'!$C$5&amp;"*"),TRUE,FALSE)</f>
        <v>1</v>
      </c>
      <c r="G729" t="str">
        <f t="shared" si="47"/>
        <v>080-25: Card Holders, All Types (See Class 578 for Metal)</v>
      </c>
    </row>
    <row r="730" spans="1:7" x14ac:dyDescent="0.25">
      <c r="A730" s="1" t="str">
        <f t="shared" si="48"/>
        <v>080</v>
      </c>
      <c r="B730" s="1" t="str">
        <f>TEXT(30,"00")</f>
        <v>30</v>
      </c>
      <c r="C730" s="1" t="str">
        <f t="shared" si="46"/>
        <v>080-30</v>
      </c>
      <c r="D730" t="s">
        <v>728</v>
      </c>
      <c r="E730" t="b">
        <f>IF(COUNTIF(D730,"*"&amp;'Keyword Search'!$C$5&amp;"*"),TRUE,FALSE)</f>
        <v>1</v>
      </c>
      <c r="G730" t="str">
        <f t="shared" si="47"/>
        <v>080-30: Nameplates, Engraved and Easels</v>
      </c>
    </row>
    <row r="731" spans="1:7" x14ac:dyDescent="0.25">
      <c r="A731" s="1" t="str">
        <f t="shared" si="48"/>
        <v>080</v>
      </c>
      <c r="B731" s="1" t="str">
        <f>TEXT(35,"00")</f>
        <v>35</v>
      </c>
      <c r="C731" s="1" t="str">
        <f t="shared" si="46"/>
        <v>080-35</v>
      </c>
      <c r="D731" t="s">
        <v>729</v>
      </c>
      <c r="E731" t="b">
        <f>IF(COUNTIF(D731,"*"&amp;'Keyword Search'!$C$5&amp;"*"),TRUE,FALSE)</f>
        <v>1</v>
      </c>
      <c r="G731" t="str">
        <f t="shared" si="47"/>
        <v>080-35: Convention Badges and Name Tags, Adhesive Back</v>
      </c>
    </row>
    <row r="732" spans="1:7" x14ac:dyDescent="0.25">
      <c r="A732" s="1" t="str">
        <f t="shared" si="48"/>
        <v>080</v>
      </c>
      <c r="B732" s="1" t="str">
        <f>TEXT(38,"00")</f>
        <v>38</v>
      </c>
      <c r="C732" s="1" t="str">
        <f t="shared" si="46"/>
        <v>080-38</v>
      </c>
      <c r="D732" t="s">
        <v>730</v>
      </c>
      <c r="E732" t="b">
        <f>IF(COUNTIF(D732,"*"&amp;'Keyword Search'!$C$5&amp;"*"),TRUE,FALSE)</f>
        <v>1</v>
      </c>
      <c r="G732" t="str">
        <f t="shared" si="47"/>
        <v>080-38: Convention Badges and Name Tags, Nonadhesive type</v>
      </c>
    </row>
    <row r="733" spans="1:7" x14ac:dyDescent="0.25">
      <c r="A733" s="1" t="str">
        <f t="shared" si="48"/>
        <v>080</v>
      </c>
      <c r="B733" s="1" t="str">
        <f>TEXT(40,"00")</f>
        <v>40</v>
      </c>
      <c r="C733" s="1" t="str">
        <f t="shared" si="46"/>
        <v>080-40</v>
      </c>
      <c r="D733" t="s">
        <v>731</v>
      </c>
      <c r="E733" t="b">
        <f>IF(COUNTIF(D733,"*"&amp;'Keyword Search'!$C$5&amp;"*"),TRUE,FALSE)</f>
        <v>1</v>
      </c>
      <c r="G733" t="str">
        <f t="shared" si="47"/>
        <v>080-40: Holders, Metal: Card, Door Name Card, Label, etc.</v>
      </c>
    </row>
    <row r="734" spans="1:7" x14ac:dyDescent="0.25">
      <c r="A734" s="1" t="str">
        <f t="shared" si="48"/>
        <v>080</v>
      </c>
      <c r="B734" s="1" t="str">
        <f>TEXT(44,"00")</f>
        <v>44</v>
      </c>
      <c r="C734" s="1" t="str">
        <f t="shared" si="46"/>
        <v>080-44</v>
      </c>
      <c r="D734" t="s">
        <v>732</v>
      </c>
      <c r="E734" t="b">
        <f>IF(COUNTIF(D734,"*"&amp;'Keyword Search'!$C$5&amp;"*"),TRUE,FALSE)</f>
        <v>1</v>
      </c>
      <c r="G734" t="str">
        <f t="shared" si="47"/>
        <v>080-44: Fasteners, For Badges, etc.: Metal, Plastic, etc.</v>
      </c>
    </row>
    <row r="735" spans="1:7" x14ac:dyDescent="0.25">
      <c r="A735" s="1" t="str">
        <f t="shared" si="48"/>
        <v>080</v>
      </c>
      <c r="B735" s="1" t="str">
        <f>TEXT(45,"00")</f>
        <v>45</v>
      </c>
      <c r="C735" s="1" t="str">
        <f t="shared" si="46"/>
        <v>080-45</v>
      </c>
      <c r="D735" t="s">
        <v>733</v>
      </c>
      <c r="E735" t="b">
        <f>IF(COUNTIF(D735,"*"&amp;'Keyword Search'!$C$5&amp;"*"),TRUE,FALSE)</f>
        <v>1</v>
      </c>
      <c r="G735" t="str">
        <f t="shared" si="47"/>
        <v>080-45: Folders, Presentation</v>
      </c>
    </row>
    <row r="736" spans="1:7" x14ac:dyDescent="0.25">
      <c r="A736" s="1" t="str">
        <f t="shared" si="48"/>
        <v>080</v>
      </c>
      <c r="B736" s="1" t="str">
        <f>TEXT(46,"00")</f>
        <v>46</v>
      </c>
      <c r="C736" s="1" t="str">
        <f t="shared" si="46"/>
        <v>080-46</v>
      </c>
      <c r="D736" t="s">
        <v>731</v>
      </c>
      <c r="E736" t="b">
        <f>IF(COUNTIF(D736,"*"&amp;'Keyword Search'!$C$5&amp;"*"),TRUE,FALSE)</f>
        <v>1</v>
      </c>
      <c r="G736" t="str">
        <f t="shared" si="47"/>
        <v>080-46: Holders, Metal: Card, Door Name Card, Label, etc.</v>
      </c>
    </row>
    <row r="737" spans="1:7" x14ac:dyDescent="0.25">
      <c r="A737" s="1" t="str">
        <f t="shared" si="48"/>
        <v>080</v>
      </c>
      <c r="B737" s="1" t="str">
        <f>TEXT(50,"00")</f>
        <v>50</v>
      </c>
      <c r="C737" s="1" t="str">
        <f t="shared" si="46"/>
        <v>080-50</v>
      </c>
      <c r="D737" t="s">
        <v>734</v>
      </c>
      <c r="E737" t="b">
        <f>IF(COUNTIF(D737,"*"&amp;'Keyword Search'!$C$5&amp;"*"),TRUE,FALSE)</f>
        <v>1</v>
      </c>
      <c r="G737" t="str">
        <f t="shared" si="47"/>
        <v>080-50: Nameplates, Metal, Adhesive Back</v>
      </c>
    </row>
    <row r="738" spans="1:7" x14ac:dyDescent="0.25">
      <c r="A738" s="1" t="str">
        <f t="shared" si="48"/>
        <v>080</v>
      </c>
      <c r="B738" s="1" t="str">
        <f>TEXT(53,"00")</f>
        <v>53</v>
      </c>
      <c r="C738" s="1" t="str">
        <f t="shared" si="46"/>
        <v>080-53</v>
      </c>
      <c r="D738" t="s">
        <v>735</v>
      </c>
      <c r="E738" t="b">
        <f>IF(COUNTIF(D738,"*"&amp;'Keyword Search'!$C$5&amp;"*"),TRUE,FALSE)</f>
        <v>1</v>
      </c>
      <c r="G738" t="str">
        <f t="shared" si="47"/>
        <v>080-53: Nameplates, Metal, Non-adhesive Back</v>
      </c>
    </row>
    <row r="739" spans="1:7" x14ac:dyDescent="0.25">
      <c r="A739" s="1" t="str">
        <f t="shared" si="48"/>
        <v>080</v>
      </c>
      <c r="B739" s="1" t="str">
        <f>TEXT(55,"00")</f>
        <v>55</v>
      </c>
      <c r="C739" s="1" t="str">
        <f t="shared" si="46"/>
        <v>080-55</v>
      </c>
      <c r="D739" t="s">
        <v>736</v>
      </c>
      <c r="E739" t="b">
        <f>IF(COUNTIF(D739,"*"&amp;'Keyword Search'!$C$5&amp;"*"),TRUE,FALSE)</f>
        <v>1</v>
      </c>
      <c r="G739" t="str">
        <f t="shared" si="47"/>
        <v>080-55: Nameplates, Plastic</v>
      </c>
    </row>
    <row r="740" spans="1:7" x14ac:dyDescent="0.25">
      <c r="A740" s="1" t="str">
        <f t="shared" si="48"/>
        <v>080</v>
      </c>
      <c r="B740" s="1" t="str">
        <f>TEXT(56,"00")</f>
        <v>56</v>
      </c>
      <c r="C740" s="1" t="str">
        <f t="shared" si="46"/>
        <v>080-56</v>
      </c>
      <c r="D740" t="s">
        <v>737</v>
      </c>
      <c r="E740" t="b">
        <f>IF(COUNTIF(D740,"*"&amp;'Keyword Search'!$C$5&amp;"*"),TRUE,FALSE)</f>
        <v>1</v>
      </c>
      <c r="G740" t="str">
        <f t="shared" si="47"/>
        <v>080-56: Nameplates, Specialty, Including Clocks, Logos, Pen/Pencil Sets, etc.</v>
      </c>
    </row>
    <row r="741" spans="1:7" x14ac:dyDescent="0.25">
      <c r="A741" s="1" t="str">
        <f t="shared" si="48"/>
        <v>080</v>
      </c>
      <c r="B741" s="1" t="str">
        <f>TEXT(57,"00")</f>
        <v>57</v>
      </c>
      <c r="C741" s="1" t="str">
        <f t="shared" si="46"/>
        <v>080-57</v>
      </c>
      <c r="D741" t="s">
        <v>738</v>
      </c>
      <c r="E741" t="b">
        <f>IF(COUNTIF(D741,"*"&amp;'Keyword Search'!$C$5&amp;"*"),TRUE,FALSE)</f>
        <v>1</v>
      </c>
      <c r="G741" t="str">
        <f t="shared" si="47"/>
        <v>080-57: Ribbons and Rosettes, For Awards and Non-Award</v>
      </c>
    </row>
    <row r="742" spans="1:7" x14ac:dyDescent="0.25">
      <c r="A742" s="1" t="str">
        <f t="shared" si="48"/>
        <v>080</v>
      </c>
      <c r="B742" s="1" t="str">
        <f>TEXT(60,"00")</f>
        <v>60</v>
      </c>
      <c r="C742" s="1" t="str">
        <f t="shared" si="46"/>
        <v>080-60</v>
      </c>
      <c r="D742" t="s">
        <v>739</v>
      </c>
      <c r="E742" t="b">
        <f>IF(COUNTIF(D742,"*"&amp;'Keyword Search'!$C$5&amp;"*"),TRUE,FALSE)</f>
        <v>1</v>
      </c>
      <c r="G742" t="str">
        <f t="shared" si="47"/>
        <v>080-60: Recycled Awards, Convention Items, Trophies, etc.</v>
      </c>
    </row>
    <row r="743" spans="1:7" x14ac:dyDescent="0.25">
      <c r="A743" s="1" t="str">
        <f t="shared" si="48"/>
        <v>080</v>
      </c>
      <c r="B743" s="1" t="str">
        <f>TEXT(65,"00")</f>
        <v>65</v>
      </c>
      <c r="C743" s="1" t="str">
        <f t="shared" si="46"/>
        <v>080-65</v>
      </c>
      <c r="D743" t="s">
        <v>740</v>
      </c>
      <c r="E743" t="b">
        <f>IF(COUNTIF(D743,"*"&amp;'Keyword Search'!$C$5&amp;"*"),TRUE,FALSE)</f>
        <v>1</v>
      </c>
      <c r="G743" t="str">
        <f t="shared" si="47"/>
        <v>080-65: Service Awards, Specialty Type</v>
      </c>
    </row>
    <row r="744" spans="1:7" x14ac:dyDescent="0.25">
      <c r="A744" s="1" t="str">
        <f t="shared" si="48"/>
        <v>080</v>
      </c>
      <c r="B744" s="1" t="str">
        <f>TEXT(69,"00")</f>
        <v>69</v>
      </c>
      <c r="C744" s="1" t="str">
        <f t="shared" si="46"/>
        <v>080-69</v>
      </c>
      <c r="D744" t="s">
        <v>741</v>
      </c>
      <c r="E744" t="b">
        <f>IF(COUNTIF(D744,"*"&amp;'Keyword Search'!$C$5&amp;"*"),TRUE,FALSE)</f>
        <v>1</v>
      </c>
      <c r="G744" t="str">
        <f t="shared" si="47"/>
        <v>080-69: Tags: Luggage, Security, Identification</v>
      </c>
    </row>
    <row r="745" spans="1:7" x14ac:dyDescent="0.25">
      <c r="A745" s="1" t="str">
        <f t="shared" si="48"/>
        <v>080</v>
      </c>
      <c r="B745" s="1" t="str">
        <f>TEXT(70,"00")</f>
        <v>70</v>
      </c>
      <c r="C745" s="1" t="str">
        <f t="shared" si="46"/>
        <v>080-70</v>
      </c>
      <c r="D745" t="s">
        <v>742</v>
      </c>
      <c r="E745" t="b">
        <f>IF(COUNTIF(D745,"*"&amp;'Keyword Search'!$C$5&amp;"*"),TRUE,FALSE)</f>
        <v>1</v>
      </c>
      <c r="G745" t="str">
        <f t="shared" si="47"/>
        <v>080-70: Tags, Metal, Adhesive Back: Inventory, Property, Tool, etc.</v>
      </c>
    </row>
    <row r="746" spans="1:7" x14ac:dyDescent="0.25">
      <c r="A746" s="1" t="str">
        <f t="shared" si="48"/>
        <v>080</v>
      </c>
      <c r="B746" s="1" t="str">
        <f>TEXT(73,"00")</f>
        <v>73</v>
      </c>
      <c r="C746" s="1" t="str">
        <f t="shared" si="46"/>
        <v>080-73</v>
      </c>
      <c r="D746" t="s">
        <v>743</v>
      </c>
      <c r="E746" t="b">
        <f>IF(COUNTIF(D746,"*"&amp;'Keyword Search'!$C$5&amp;"*"),TRUE,FALSE)</f>
        <v>1</v>
      </c>
      <c r="G746" t="str">
        <f t="shared" si="47"/>
        <v>080-73: Tags, Metal, Non-adhesive Back: Inventory, Property, Skiff, Seine Trawl, etc.</v>
      </c>
    </row>
    <row r="747" spans="1:7" x14ac:dyDescent="0.25">
      <c r="A747" s="1" t="str">
        <f t="shared" si="48"/>
        <v>080</v>
      </c>
      <c r="B747" s="1" t="str">
        <f>TEXT(75,"00")</f>
        <v>75</v>
      </c>
      <c r="C747" s="1" t="str">
        <f t="shared" si="46"/>
        <v>080-75</v>
      </c>
      <c r="D747" t="s">
        <v>744</v>
      </c>
      <c r="E747" t="b">
        <f>IF(COUNTIF(D747,"*"&amp;'Keyword Search'!$C$5&amp;"*"),TRUE,FALSE)</f>
        <v>1</v>
      </c>
      <c r="G747" t="str">
        <f t="shared" si="47"/>
        <v>080-75: Tags, Pet Identification</v>
      </c>
    </row>
    <row r="748" spans="1:7" x14ac:dyDescent="0.25">
      <c r="A748" s="1" t="str">
        <f t="shared" si="48"/>
        <v>080</v>
      </c>
      <c r="B748" s="1" t="str">
        <f>TEXT(78,"00")</f>
        <v>78</v>
      </c>
      <c r="C748" s="1" t="str">
        <f t="shared" si="46"/>
        <v>080-78</v>
      </c>
      <c r="D748" t="s">
        <v>745</v>
      </c>
      <c r="E748" t="b">
        <f>IF(COUNTIF(D748,"*"&amp;'Keyword Search'!$C$5&amp;"*"),TRUE,FALSE)</f>
        <v>1</v>
      </c>
      <c r="G748" t="str">
        <f t="shared" si="47"/>
        <v>080-78: Trophies, Plaques, Awards, Certificates, etc. (Not Otherwise Classified)</v>
      </c>
    </row>
    <row r="749" spans="1:7" x14ac:dyDescent="0.25">
      <c r="A749" s="5" t="str">
        <f t="shared" ref="A749:A770" si="49">TEXT(85,"000")</f>
        <v>085</v>
      </c>
      <c r="B749" s="5" t="str">
        <f>TEXT(0,"00")</f>
        <v>00</v>
      </c>
      <c r="C749" s="1"/>
      <c r="D749" s="2" t="s">
        <v>746</v>
      </c>
    </row>
    <row r="750" spans="1:7" x14ac:dyDescent="0.25">
      <c r="A750" s="1" t="str">
        <f t="shared" si="49"/>
        <v>085</v>
      </c>
      <c r="B750" s="1" t="str">
        <f>TEXT(8,"00")</f>
        <v>08</v>
      </c>
      <c r="C750" s="1" t="str">
        <f t="shared" si="46"/>
        <v>085-08</v>
      </c>
      <c r="D750" t="s">
        <v>747</v>
      </c>
      <c r="E750" t="b">
        <f>IF(COUNTIF(D750,"*"&amp;'Keyword Search'!$C$5&amp;"*"),TRUE,FALSE)</f>
        <v>1</v>
      </c>
      <c r="G750" t="str">
        <f t="shared" si="47"/>
        <v>085-08: Bags, Biodegradable</v>
      </c>
    </row>
    <row r="751" spans="1:7" x14ac:dyDescent="0.25">
      <c r="A751" s="1" t="str">
        <f t="shared" si="49"/>
        <v>085</v>
      </c>
      <c r="B751" s="1" t="str">
        <f>TEXT(10,"00")</f>
        <v>10</v>
      </c>
      <c r="C751" s="1" t="str">
        <f t="shared" si="46"/>
        <v>085-10</v>
      </c>
      <c r="D751" t="s">
        <v>748</v>
      </c>
      <c r="E751" t="b">
        <f>IF(COUNTIF(D751,"*"&amp;'Keyword Search'!$C$5&amp;"*"),TRUE,FALSE)</f>
        <v>1</v>
      </c>
      <c r="G751" t="str">
        <f t="shared" si="47"/>
        <v>085-10: Bagging, Burlap, For Baling Cotton</v>
      </c>
    </row>
    <row r="752" spans="1:7" x14ac:dyDescent="0.25">
      <c r="A752" s="1" t="str">
        <f t="shared" si="49"/>
        <v>085</v>
      </c>
      <c r="B752" s="1" t="str">
        <f>TEXT(15,"00")</f>
        <v>15</v>
      </c>
      <c r="C752" s="1" t="str">
        <f t="shared" si="46"/>
        <v>085-15</v>
      </c>
      <c r="D752" t="s">
        <v>749</v>
      </c>
      <c r="E752" t="b">
        <f>IF(COUNTIF(D752,"*"&amp;'Keyword Search'!$C$5&amp;"*"),TRUE,FALSE)</f>
        <v>1</v>
      </c>
      <c r="G752" t="str">
        <f t="shared" si="47"/>
        <v>085-15: Bags, Burlap or Jute</v>
      </c>
    </row>
    <row r="753" spans="1:7" x14ac:dyDescent="0.25">
      <c r="A753" s="1" t="str">
        <f t="shared" si="49"/>
        <v>085</v>
      </c>
      <c r="B753" s="1" t="str">
        <f>TEXT(20,"00")</f>
        <v>20</v>
      </c>
      <c r="C753" s="1" t="str">
        <f t="shared" si="46"/>
        <v>085-20</v>
      </c>
      <c r="D753" t="s">
        <v>750</v>
      </c>
      <c r="E753" t="b">
        <f>IF(COUNTIF(D753,"*"&amp;'Keyword Search'!$C$5&amp;"*"),TRUE,FALSE)</f>
        <v>1</v>
      </c>
      <c r="G753" t="str">
        <f t="shared" si="47"/>
        <v>085-20: Bags, Canvas, Cotton or Duck, Except Mail</v>
      </c>
    </row>
    <row r="754" spans="1:7" x14ac:dyDescent="0.25">
      <c r="A754" s="1" t="str">
        <f t="shared" si="49"/>
        <v>085</v>
      </c>
      <c r="B754" s="1" t="str">
        <f>TEXT(25,"00")</f>
        <v>25</v>
      </c>
      <c r="C754" s="1" t="str">
        <f t="shared" si="46"/>
        <v>085-25</v>
      </c>
      <c r="D754" t="s">
        <v>751</v>
      </c>
      <c r="E754" t="b">
        <f>IF(COUNTIF(D754,"*"&amp;'Keyword Search'!$C$5&amp;"*"),TRUE,FALSE)</f>
        <v>1</v>
      </c>
      <c r="G754" t="str">
        <f t="shared" si="47"/>
        <v>085-25: Bags, Cement</v>
      </c>
    </row>
    <row r="755" spans="1:7" x14ac:dyDescent="0.25">
      <c r="A755" s="1" t="str">
        <f t="shared" si="49"/>
        <v>085</v>
      </c>
      <c r="B755" s="1" t="str">
        <f>TEXT(26,"00")</f>
        <v>26</v>
      </c>
      <c r="C755" s="1" t="str">
        <f t="shared" si="46"/>
        <v>085-26</v>
      </c>
      <c r="D755" t="s">
        <v>752</v>
      </c>
      <c r="E755" t="b">
        <f>IF(COUNTIF(D755,"*"&amp;'Keyword Search'!$C$5&amp;"*"),TRUE,FALSE)</f>
        <v>1</v>
      </c>
      <c r="G755" t="str">
        <f t="shared" si="47"/>
        <v>085-26: Bags, Dunnage</v>
      </c>
    </row>
    <row r="756" spans="1:7" x14ac:dyDescent="0.25">
      <c r="A756" s="1" t="str">
        <f t="shared" si="49"/>
        <v>085</v>
      </c>
      <c r="B756" s="1" t="str">
        <f>TEXT(27,"00")</f>
        <v>27</v>
      </c>
      <c r="C756" s="1" t="str">
        <f t="shared" si="46"/>
        <v>085-27</v>
      </c>
      <c r="D756" t="s">
        <v>753</v>
      </c>
      <c r="E756" t="b">
        <f>IF(COUNTIF(D756,"*"&amp;'Keyword Search'!$C$5&amp;"*"),TRUE,FALSE)</f>
        <v>1</v>
      </c>
      <c r="G756" t="str">
        <f t="shared" si="47"/>
        <v>085-27: Bags, Denim</v>
      </c>
    </row>
    <row r="757" spans="1:7" x14ac:dyDescent="0.25">
      <c r="A757" s="1" t="str">
        <f t="shared" si="49"/>
        <v>085</v>
      </c>
      <c r="B757" s="1" t="str">
        <f>TEXT(28,"00")</f>
        <v>28</v>
      </c>
      <c r="C757" s="1" t="str">
        <f t="shared" si="46"/>
        <v>085-28</v>
      </c>
      <c r="D757" t="s">
        <v>754</v>
      </c>
      <c r="E757" t="b">
        <f>IF(COUNTIF(D757,"*"&amp;'Keyword Search'!$C$5&amp;"*"),TRUE,FALSE)</f>
        <v>1</v>
      </c>
      <c r="G757" t="str">
        <f t="shared" si="47"/>
        <v>085-28: Bags, Hazardous Material</v>
      </c>
    </row>
    <row r="758" spans="1:7" x14ac:dyDescent="0.25">
      <c r="A758" s="1" t="str">
        <f t="shared" si="49"/>
        <v>085</v>
      </c>
      <c r="B758" s="1" t="str">
        <f>TEXT(30,"00")</f>
        <v>30</v>
      </c>
      <c r="C758" s="1" t="str">
        <f t="shared" si="46"/>
        <v>085-30</v>
      </c>
      <c r="D758" t="s">
        <v>755</v>
      </c>
      <c r="E758" t="b">
        <f>IF(COUNTIF(D758,"*"&amp;'Keyword Search'!$C$5&amp;"*"),TRUE,FALSE)</f>
        <v>1</v>
      </c>
      <c r="G758" t="str">
        <f t="shared" si="47"/>
        <v>085-30: Bags, Mail</v>
      </c>
    </row>
    <row r="759" spans="1:7" x14ac:dyDescent="0.25">
      <c r="A759" s="1" t="str">
        <f t="shared" si="49"/>
        <v>085</v>
      </c>
      <c r="B759" s="1" t="str">
        <f>TEXT(35,"00")</f>
        <v>35</v>
      </c>
      <c r="C759" s="1" t="str">
        <f t="shared" si="46"/>
        <v>085-35</v>
      </c>
      <c r="D759" t="s">
        <v>756</v>
      </c>
      <c r="E759" t="b">
        <f>IF(COUNTIF(D759,"*"&amp;'Keyword Search'!$C$5&amp;"*"),TRUE,FALSE)</f>
        <v>1</v>
      </c>
      <c r="G759" t="str">
        <f t="shared" si="47"/>
        <v>085-35: Bags, Muslin</v>
      </c>
    </row>
    <row r="760" spans="1:7" x14ac:dyDescent="0.25">
      <c r="A760" s="1" t="str">
        <f t="shared" si="49"/>
        <v>085</v>
      </c>
      <c r="B760" s="1" t="str">
        <f>TEXT(40,"00")</f>
        <v>40</v>
      </c>
      <c r="C760" s="1" t="str">
        <f t="shared" si="46"/>
        <v>085-40</v>
      </c>
      <c r="D760" t="s">
        <v>757</v>
      </c>
      <c r="E760" t="b">
        <f>IF(COUNTIF(D760,"*"&amp;'Keyword Search'!$C$5&amp;"*"),TRUE,FALSE)</f>
        <v>1</v>
      </c>
      <c r="G760" t="str">
        <f t="shared" si="47"/>
        <v>085-40: Bags, Osnaburg</v>
      </c>
    </row>
    <row r="761" spans="1:7" x14ac:dyDescent="0.25">
      <c r="A761" s="1" t="str">
        <f t="shared" si="49"/>
        <v>085</v>
      </c>
      <c r="B761" s="1" t="str">
        <f>TEXT(45,"00")</f>
        <v>45</v>
      </c>
      <c r="C761" s="1" t="str">
        <f t="shared" si="46"/>
        <v>085-45</v>
      </c>
      <c r="D761" t="s">
        <v>758</v>
      </c>
      <c r="E761" t="b">
        <f>IF(COUNTIF(D761,"*"&amp;'Keyword Search'!$C$5&amp;"*"),TRUE,FALSE)</f>
        <v>1</v>
      </c>
      <c r="G761" t="str">
        <f t="shared" si="47"/>
        <v>085-45: Bags: Nylon, Polyester, Polypropylene</v>
      </c>
    </row>
    <row r="762" spans="1:7" x14ac:dyDescent="0.25">
      <c r="A762" s="1" t="str">
        <f t="shared" si="49"/>
        <v>085</v>
      </c>
      <c r="B762" s="1" t="str">
        <f>TEXT(50,"00")</f>
        <v>50</v>
      </c>
      <c r="C762" s="1" t="str">
        <f t="shared" si="46"/>
        <v>085-50</v>
      </c>
      <c r="D762" t="s">
        <v>759</v>
      </c>
      <c r="E762" t="b">
        <f>IF(COUNTIF(D762,"*"&amp;'Keyword Search'!$C$5&amp;"*"),TRUE,FALSE)</f>
        <v>1</v>
      </c>
      <c r="G762" t="str">
        <f t="shared" si="47"/>
        <v>085-50: Bags, Potato</v>
      </c>
    </row>
    <row r="763" spans="1:7" x14ac:dyDescent="0.25">
      <c r="A763" s="1" t="str">
        <f t="shared" si="49"/>
        <v>085</v>
      </c>
      <c r="B763" s="1" t="str">
        <f>TEXT(55,"00")</f>
        <v>55</v>
      </c>
      <c r="C763" s="1" t="str">
        <f t="shared" si="46"/>
        <v>085-55</v>
      </c>
      <c r="D763" t="s">
        <v>760</v>
      </c>
      <c r="E763" t="b">
        <f>IF(COUNTIF(D763,"*"&amp;'Keyword Search'!$C$5&amp;"*"),TRUE,FALSE)</f>
        <v>1</v>
      </c>
      <c r="G763" t="str">
        <f t="shared" si="47"/>
        <v>085-55: Bags, Sand</v>
      </c>
    </row>
    <row r="764" spans="1:7" x14ac:dyDescent="0.25">
      <c r="A764" s="1" t="str">
        <f t="shared" si="49"/>
        <v>085</v>
      </c>
      <c r="B764" s="1" t="str">
        <f>TEXT(56,"00")</f>
        <v>56</v>
      </c>
      <c r="C764" s="1" t="str">
        <f t="shared" si="46"/>
        <v>085-56</v>
      </c>
      <c r="D764" t="s">
        <v>761</v>
      </c>
      <c r="E764" t="b">
        <f>IF(COUNTIF(D764,"*"&amp;'Keyword Search'!$C$5&amp;"*"),TRUE,FALSE)</f>
        <v>1</v>
      </c>
      <c r="G764" t="str">
        <f t="shared" si="47"/>
        <v>085-56: Bags, Straw</v>
      </c>
    </row>
    <row r="765" spans="1:7" x14ac:dyDescent="0.25">
      <c r="A765" s="1" t="str">
        <f t="shared" si="49"/>
        <v>085</v>
      </c>
      <c r="B765" s="1" t="str">
        <f>TEXT(65,"00")</f>
        <v>65</v>
      </c>
      <c r="C765" s="1" t="str">
        <f t="shared" si="46"/>
        <v>085-65</v>
      </c>
      <c r="D765" t="s">
        <v>762</v>
      </c>
      <c r="E765" t="b">
        <f>IF(COUNTIF(D765,"*"&amp;'Keyword Search'!$C$5&amp;"*"),TRUE,FALSE)</f>
        <v>1</v>
      </c>
      <c r="G765" t="str">
        <f t="shared" si="47"/>
        <v>085-65: Patterns, Cotton Bagging</v>
      </c>
    </row>
    <row r="766" spans="1:7" x14ac:dyDescent="0.25">
      <c r="A766" s="1" t="str">
        <f t="shared" si="49"/>
        <v>085</v>
      </c>
      <c r="B766" s="1" t="str">
        <f>TEXT(73,"00")</f>
        <v>73</v>
      </c>
      <c r="C766" s="1" t="str">
        <f t="shared" si="46"/>
        <v>085-73</v>
      </c>
      <c r="D766" t="s">
        <v>763</v>
      </c>
      <c r="E766" t="b">
        <f>IF(COUNTIF(D766,"*"&amp;'Keyword Search'!$C$5&amp;"*"),TRUE,FALSE)</f>
        <v>1</v>
      </c>
      <c r="G766" t="str">
        <f t="shared" si="47"/>
        <v>085-73: Recycled Bags and Erosion Control Items</v>
      </c>
    </row>
    <row r="767" spans="1:7" x14ac:dyDescent="0.25">
      <c r="A767" s="1" t="str">
        <f t="shared" si="49"/>
        <v>085</v>
      </c>
      <c r="B767" s="1" t="str">
        <f>TEXT(75,"00")</f>
        <v>75</v>
      </c>
      <c r="C767" s="1" t="str">
        <f t="shared" si="46"/>
        <v>085-75</v>
      </c>
      <c r="D767" t="s">
        <v>764</v>
      </c>
      <c r="E767" t="b">
        <f>IF(COUNTIF(D767,"*"&amp;'Keyword Search'!$C$5&amp;"*"),TRUE,FALSE)</f>
        <v>1</v>
      </c>
      <c r="G767" t="str">
        <f t="shared" si="47"/>
        <v>085-75: Sacks, Cotton Harvesting</v>
      </c>
    </row>
    <row r="768" spans="1:7" x14ac:dyDescent="0.25">
      <c r="A768" s="1" t="str">
        <f t="shared" si="49"/>
        <v>085</v>
      </c>
      <c r="B768" s="1" t="str">
        <f>TEXT(80,"00")</f>
        <v>80</v>
      </c>
      <c r="C768" s="1" t="str">
        <f t="shared" si="46"/>
        <v>085-80</v>
      </c>
      <c r="D768" t="s">
        <v>765</v>
      </c>
      <c r="E768" t="b">
        <f>IF(COUNTIF(D768,"*"&amp;'Keyword Search'!$C$5&amp;"*"),TRUE,FALSE)</f>
        <v>1</v>
      </c>
      <c r="G768" t="str">
        <f t="shared" si="47"/>
        <v>085-80: Seals, Mailbag, etc.</v>
      </c>
    </row>
    <row r="769" spans="1:7" x14ac:dyDescent="0.25">
      <c r="A769" s="1" t="str">
        <f t="shared" si="49"/>
        <v>085</v>
      </c>
      <c r="B769" s="1" t="str">
        <f>TEXT(85,"00")</f>
        <v>85</v>
      </c>
      <c r="C769" s="1" t="str">
        <f t="shared" si="46"/>
        <v>085-85</v>
      </c>
      <c r="D769" t="s">
        <v>766</v>
      </c>
      <c r="E769" t="b">
        <f>IF(COUNTIF(D769,"*"&amp;'Keyword Search'!$C$5&amp;"*"),TRUE,FALSE)</f>
        <v>1</v>
      </c>
      <c r="G769" t="str">
        <f t="shared" si="47"/>
        <v>085-85: Soil Erosion Sheeting Material, Including Silt Fencing: Asphalt, Biodegradable Paper, Burlap, Excelsior, Jute, Straw, etc.</v>
      </c>
    </row>
    <row r="770" spans="1:7" x14ac:dyDescent="0.25">
      <c r="A770" s="1" t="str">
        <f t="shared" si="49"/>
        <v>085</v>
      </c>
      <c r="B770" s="1" t="str">
        <f>TEXT(90,"00")</f>
        <v>90</v>
      </c>
      <c r="C770" s="1" t="str">
        <f t="shared" si="46"/>
        <v>085-90</v>
      </c>
      <c r="D770" t="s">
        <v>767</v>
      </c>
      <c r="E770" t="b">
        <f>IF(COUNTIF(D770,"*"&amp;'Keyword Search'!$C$5&amp;"*"),TRUE,FALSE)</f>
        <v>1</v>
      </c>
      <c r="G770" t="str">
        <f t="shared" si="47"/>
        <v>085-90: Ties For Bags and Cotton Bales</v>
      </c>
    </row>
    <row r="771" spans="1:7" x14ac:dyDescent="0.25">
      <c r="A771" s="5" t="str">
        <f t="shared" ref="A771:A784" si="50">TEXT(90,"000")</f>
        <v>090</v>
      </c>
      <c r="B771" s="5" t="str">
        <f>TEXT(0,"00")</f>
        <v>00</v>
      </c>
      <c r="C771" s="1"/>
      <c r="D771" s="2" t="s">
        <v>768</v>
      </c>
    </row>
    <row r="772" spans="1:7" x14ac:dyDescent="0.25">
      <c r="A772" s="1" t="str">
        <f t="shared" si="50"/>
        <v>090</v>
      </c>
      <c r="B772" s="1" t="str">
        <f>TEXT(16,"00")</f>
        <v>16</v>
      </c>
      <c r="C772" s="1" t="str">
        <f t="shared" ref="C772:C834" si="51">CONCATENATE(A772,"-",B772)</f>
        <v>090-16</v>
      </c>
      <c r="D772" t="s">
        <v>769</v>
      </c>
      <c r="E772" t="b">
        <f>IF(COUNTIF(D772,"*"&amp;'Keyword Search'!$C$5&amp;"*"),TRUE,FALSE)</f>
        <v>1</v>
      </c>
      <c r="G772" t="str">
        <f t="shared" ref="G772:G835" si="52">CONCATENATE(C772,": ",D772)</f>
        <v>090-16: Dough Mixers</v>
      </c>
    </row>
    <row r="773" spans="1:7" x14ac:dyDescent="0.25">
      <c r="A773" s="1" t="str">
        <f t="shared" si="50"/>
        <v>090</v>
      </c>
      <c r="B773" s="1" t="str">
        <f>TEXT(24,"00")</f>
        <v>24</v>
      </c>
      <c r="C773" s="1" t="str">
        <f t="shared" si="51"/>
        <v>090-24</v>
      </c>
      <c r="D773" t="s">
        <v>770</v>
      </c>
      <c r="E773" t="b">
        <f>IF(COUNTIF(D773,"*"&amp;'Keyword Search'!$C$5&amp;"*"),TRUE,FALSE)</f>
        <v>1</v>
      </c>
      <c r="G773" t="str">
        <f t="shared" si="52"/>
        <v>090-24: Dough Sheeters and Dividers</v>
      </c>
    </row>
    <row r="774" spans="1:7" x14ac:dyDescent="0.25">
      <c r="A774" s="1" t="str">
        <f t="shared" si="50"/>
        <v>090</v>
      </c>
      <c r="B774" s="1" t="str">
        <f>TEXT(32,"00")</f>
        <v>32</v>
      </c>
      <c r="C774" s="1" t="str">
        <f t="shared" si="51"/>
        <v>090-32</v>
      </c>
      <c r="D774" t="s">
        <v>771</v>
      </c>
      <c r="E774" t="b">
        <f>IF(COUNTIF(D774,"*"&amp;'Keyword Search'!$C$5&amp;"*"),TRUE,FALSE)</f>
        <v>1</v>
      </c>
      <c r="G774" t="str">
        <f t="shared" si="52"/>
        <v>090-32: Dough Troughs</v>
      </c>
    </row>
    <row r="775" spans="1:7" x14ac:dyDescent="0.25">
      <c r="A775" s="1" t="str">
        <f t="shared" si="50"/>
        <v>090</v>
      </c>
      <c r="B775" s="1" t="str">
        <f>TEXT(40,"00")</f>
        <v>40</v>
      </c>
      <c r="C775" s="1" t="str">
        <f t="shared" si="51"/>
        <v>090-40</v>
      </c>
      <c r="D775" t="s">
        <v>772</v>
      </c>
      <c r="E775" t="b">
        <f>IF(COUNTIF(D775,"*"&amp;'Keyword Search'!$C$5&amp;"*"),TRUE,FALSE)</f>
        <v>1</v>
      </c>
      <c r="G775" t="str">
        <f t="shared" si="52"/>
        <v>090-40: Dough Trucks</v>
      </c>
    </row>
    <row r="776" spans="1:7" x14ac:dyDescent="0.25">
      <c r="A776" s="1" t="str">
        <f t="shared" si="50"/>
        <v>090</v>
      </c>
      <c r="B776" s="1" t="str">
        <f>TEXT(48,"00")</f>
        <v>48</v>
      </c>
      <c r="C776" s="1" t="str">
        <f t="shared" si="51"/>
        <v>090-48</v>
      </c>
      <c r="D776" t="s">
        <v>773</v>
      </c>
      <c r="E776" t="b">
        <f>IF(COUNTIF(D776,"*"&amp;'Keyword Search'!$C$5&amp;"*"),TRUE,FALSE)</f>
        <v>1</v>
      </c>
      <c r="G776" t="str">
        <f t="shared" si="52"/>
        <v>090-48: Flour Sifters</v>
      </c>
    </row>
    <row r="777" spans="1:7" x14ac:dyDescent="0.25">
      <c r="A777" s="1" t="str">
        <f t="shared" si="50"/>
        <v>090</v>
      </c>
      <c r="B777" s="1" t="str">
        <f>TEXT(56,"00")</f>
        <v>56</v>
      </c>
      <c r="C777" s="1" t="str">
        <f t="shared" si="51"/>
        <v>090-56</v>
      </c>
      <c r="D777" t="s">
        <v>774</v>
      </c>
      <c r="E777" t="b">
        <f>IF(COUNTIF(D777,"*"&amp;'Keyword Search'!$C$5&amp;"*"),TRUE,FALSE)</f>
        <v>1</v>
      </c>
      <c r="G777" t="str">
        <f t="shared" si="52"/>
        <v>090-56: Ovens, Bakery</v>
      </c>
    </row>
    <row r="778" spans="1:7" x14ac:dyDescent="0.25">
      <c r="A778" s="1" t="str">
        <f t="shared" si="50"/>
        <v>090</v>
      </c>
      <c r="B778" s="1" t="str">
        <f>TEXT(60,"00")</f>
        <v>60</v>
      </c>
      <c r="C778" s="1" t="str">
        <f t="shared" si="51"/>
        <v>090-60</v>
      </c>
      <c r="D778" t="s">
        <v>775</v>
      </c>
      <c r="E778" t="b">
        <f>IF(COUNTIF(D778,"*"&amp;'Keyword Search'!$C$5&amp;"*"),TRUE,FALSE)</f>
        <v>1</v>
      </c>
      <c r="G778" t="str">
        <f t="shared" si="52"/>
        <v>090-60: Pins, Rolling</v>
      </c>
    </row>
    <row r="779" spans="1:7" x14ac:dyDescent="0.25">
      <c r="A779" s="1" t="str">
        <f t="shared" si="50"/>
        <v>090</v>
      </c>
      <c r="B779" s="1" t="str">
        <f>TEXT(64,"00")</f>
        <v>64</v>
      </c>
      <c r="C779" s="1" t="str">
        <f t="shared" si="51"/>
        <v>090-64</v>
      </c>
      <c r="D779" t="s">
        <v>776</v>
      </c>
      <c r="E779" t="b">
        <f>IF(COUNTIF(D779,"*"&amp;'Keyword Search'!$C$5&amp;"*"),TRUE,FALSE)</f>
        <v>1</v>
      </c>
      <c r="G779" t="str">
        <f t="shared" si="52"/>
        <v>090-64: Proof Boxes</v>
      </c>
    </row>
    <row r="780" spans="1:7" x14ac:dyDescent="0.25">
      <c r="A780" s="1" t="str">
        <f t="shared" si="50"/>
        <v>090</v>
      </c>
      <c r="B780" s="1" t="str">
        <f>TEXT(70,"00")</f>
        <v>70</v>
      </c>
      <c r="C780" s="1" t="str">
        <f t="shared" si="51"/>
        <v>090-70</v>
      </c>
      <c r="D780" t="s">
        <v>777</v>
      </c>
      <c r="E780" t="b">
        <f>IF(COUNTIF(D780,"*"&amp;'Keyword Search'!$C$5&amp;"*"),TRUE,FALSE)</f>
        <v>1</v>
      </c>
      <c r="G780" t="str">
        <f t="shared" si="52"/>
        <v>090-70: Refurbished Bakery Equipment and Supplies</v>
      </c>
    </row>
    <row r="781" spans="1:7" x14ac:dyDescent="0.25">
      <c r="A781" s="1" t="str">
        <f t="shared" si="50"/>
        <v>090</v>
      </c>
      <c r="B781" s="1" t="str">
        <f>TEXT(72,"00")</f>
        <v>72</v>
      </c>
      <c r="C781" s="1" t="str">
        <f t="shared" si="51"/>
        <v>090-72</v>
      </c>
      <c r="D781" t="s">
        <v>778</v>
      </c>
      <c r="E781" t="b">
        <f>IF(COUNTIF(D781,"*"&amp;'Keyword Search'!$C$5&amp;"*"),TRUE,FALSE)</f>
        <v>1</v>
      </c>
      <c r="G781" t="str">
        <f t="shared" si="52"/>
        <v>090-72: Roll Dividers and Rounders</v>
      </c>
    </row>
    <row r="782" spans="1:7" x14ac:dyDescent="0.25">
      <c r="A782" s="1" t="str">
        <f t="shared" si="50"/>
        <v>090</v>
      </c>
      <c r="B782" s="1" t="str">
        <f>TEXT(80,"00")</f>
        <v>80</v>
      </c>
      <c r="C782" s="1" t="str">
        <f t="shared" si="51"/>
        <v>090-80</v>
      </c>
      <c r="D782" t="s">
        <v>779</v>
      </c>
      <c r="E782" t="b">
        <f>IF(COUNTIF(D782,"*"&amp;'Keyword Search'!$C$5&amp;"*"),TRUE,FALSE)</f>
        <v>1</v>
      </c>
      <c r="G782" t="str">
        <f t="shared" si="52"/>
        <v>090-80: Slicers, Bread</v>
      </c>
    </row>
    <row r="783" spans="1:7" x14ac:dyDescent="0.25">
      <c r="A783" s="1" t="str">
        <f t="shared" si="50"/>
        <v>090</v>
      </c>
      <c r="B783" s="1" t="str">
        <f>TEXT(88,"00")</f>
        <v>88</v>
      </c>
      <c r="C783" s="1" t="str">
        <f t="shared" si="51"/>
        <v>090-88</v>
      </c>
      <c r="D783" t="s">
        <v>780</v>
      </c>
      <c r="E783" t="b">
        <f>IF(COUNTIF(D783,"*"&amp;'Keyword Search'!$C$5&amp;"*"),TRUE,FALSE)</f>
        <v>1</v>
      </c>
      <c r="G783" t="str">
        <f t="shared" si="52"/>
        <v>090-88: Tables, Bakers'</v>
      </c>
    </row>
    <row r="784" spans="1:7" x14ac:dyDescent="0.25">
      <c r="A784" s="1" t="str">
        <f t="shared" si="50"/>
        <v>090</v>
      </c>
      <c r="B784" s="1" t="str">
        <f>TEXT(96,"00")</f>
        <v>96</v>
      </c>
      <c r="C784" s="1" t="str">
        <f t="shared" si="51"/>
        <v>090-96</v>
      </c>
      <c r="D784" t="s">
        <v>781</v>
      </c>
      <c r="E784" t="b">
        <f>IF(COUNTIF(D784,"*"&amp;'Keyword Search'!$C$5&amp;"*"),TRUE,FALSE)</f>
        <v>1</v>
      </c>
      <c r="G784" t="str">
        <f t="shared" si="52"/>
        <v>090-96: Wrapping Machines, Bakery</v>
      </c>
    </row>
    <row r="785" spans="1:7" x14ac:dyDescent="0.25">
      <c r="A785" s="5" t="str">
        <f t="shared" ref="A785:A811" si="53">TEXT(95,"000")</f>
        <v>095</v>
      </c>
      <c r="B785" s="5" t="str">
        <f>TEXT(0,"00")</f>
        <v>00</v>
      </c>
      <c r="C785" s="1"/>
      <c r="D785" s="2" t="s">
        <v>782</v>
      </c>
    </row>
    <row r="786" spans="1:7" x14ac:dyDescent="0.25">
      <c r="A786" s="1" t="str">
        <f t="shared" si="53"/>
        <v>095</v>
      </c>
      <c r="B786" s="1" t="str">
        <f>TEXT(5,"00")</f>
        <v>05</v>
      </c>
      <c r="C786" s="1" t="str">
        <f t="shared" si="51"/>
        <v>095-05</v>
      </c>
      <c r="D786" t="s">
        <v>783</v>
      </c>
      <c r="E786" t="b">
        <f>IF(COUNTIF(D786,"*"&amp;'Keyword Search'!$C$5&amp;"*"),TRUE,FALSE)</f>
        <v>1</v>
      </c>
      <c r="G786" t="str">
        <f t="shared" si="52"/>
        <v>095-05: Barber Chairs and Parts</v>
      </c>
    </row>
    <row r="787" spans="1:7" x14ac:dyDescent="0.25">
      <c r="A787" s="1" t="str">
        <f t="shared" si="53"/>
        <v>095</v>
      </c>
      <c r="B787" s="1" t="str">
        <f>TEXT(8,"00")</f>
        <v>08</v>
      </c>
      <c r="C787" s="1" t="str">
        <f t="shared" si="51"/>
        <v>095-08</v>
      </c>
      <c r="D787" t="s">
        <v>784</v>
      </c>
      <c r="E787" t="b">
        <f>IF(COUNTIF(D787,"*"&amp;'Keyword Search'!$C$5&amp;"*"),TRUE,FALSE)</f>
        <v>1</v>
      </c>
      <c r="G787" t="str">
        <f t="shared" si="52"/>
        <v>095-08: Barber Jackets</v>
      </c>
    </row>
    <row r="788" spans="1:7" x14ac:dyDescent="0.25">
      <c r="A788" s="1" t="str">
        <f t="shared" si="53"/>
        <v>095</v>
      </c>
      <c r="B788" s="1" t="str">
        <f>TEXT(11,"00")</f>
        <v>11</v>
      </c>
      <c r="C788" s="1" t="str">
        <f t="shared" si="51"/>
        <v>095-11</v>
      </c>
      <c r="D788" t="s">
        <v>785</v>
      </c>
      <c r="E788" t="b">
        <f>IF(COUNTIF(D788,"*"&amp;'Keyword Search'!$C$5&amp;"*"),TRUE,FALSE)</f>
        <v>1</v>
      </c>
      <c r="G788" t="str">
        <f t="shared" si="52"/>
        <v>095-11: Barber Shop Basins, Bowls, and Fittings</v>
      </c>
    </row>
    <row r="789" spans="1:7" x14ac:dyDescent="0.25">
      <c r="A789" s="1" t="str">
        <f t="shared" si="53"/>
        <v>095</v>
      </c>
      <c r="B789" s="1" t="str">
        <f>TEXT(14,"00")</f>
        <v>14</v>
      </c>
      <c r="C789" s="1" t="str">
        <f t="shared" si="51"/>
        <v>095-14</v>
      </c>
      <c r="D789" t="s">
        <v>786</v>
      </c>
      <c r="E789" t="b">
        <f>IF(COUNTIF(D789,"*"&amp;'Keyword Search'!$C$5&amp;"*"),TRUE,FALSE)</f>
        <v>1</v>
      </c>
      <c r="G789" t="str">
        <f t="shared" si="52"/>
        <v>095-14: Barber Shop Cabinets and Parts</v>
      </c>
    </row>
    <row r="790" spans="1:7" x14ac:dyDescent="0.25">
      <c r="A790" s="1" t="str">
        <f t="shared" si="53"/>
        <v>095</v>
      </c>
      <c r="B790" s="1" t="str">
        <f>TEXT(17,"00")</f>
        <v>17</v>
      </c>
      <c r="C790" s="1" t="str">
        <f t="shared" si="51"/>
        <v>095-17</v>
      </c>
      <c r="D790" t="s">
        <v>787</v>
      </c>
      <c r="E790" t="b">
        <f>IF(COUNTIF(D790,"*"&amp;'Keyword Search'!$C$5&amp;"*"),TRUE,FALSE)</f>
        <v>1</v>
      </c>
      <c r="G790" t="str">
        <f t="shared" si="52"/>
        <v>095-17: Barber Shop Mirrors</v>
      </c>
    </row>
    <row r="791" spans="1:7" x14ac:dyDescent="0.25">
      <c r="A791" s="1" t="str">
        <f t="shared" si="53"/>
        <v>095</v>
      </c>
      <c r="B791" s="1" t="str">
        <f>TEXT(20,"00")</f>
        <v>20</v>
      </c>
      <c r="C791" s="1" t="str">
        <f t="shared" si="51"/>
        <v>095-20</v>
      </c>
      <c r="D791" t="s">
        <v>788</v>
      </c>
      <c r="E791" t="b">
        <f>IF(COUNTIF(D791,"*"&amp;'Keyword Search'!$C$5&amp;"*"),TRUE,FALSE)</f>
        <v>1</v>
      </c>
      <c r="G791" t="str">
        <f t="shared" si="52"/>
        <v>095-20: Barber Shop Sterilizers, and Sterilizing Jars</v>
      </c>
    </row>
    <row r="792" spans="1:7" x14ac:dyDescent="0.25">
      <c r="A792" s="1" t="str">
        <f t="shared" si="53"/>
        <v>095</v>
      </c>
      <c r="B792" s="1" t="str">
        <f>TEXT(21,"00")</f>
        <v>21</v>
      </c>
      <c r="C792" s="1" t="str">
        <f t="shared" si="51"/>
        <v>095-21</v>
      </c>
      <c r="D792" t="s">
        <v>789</v>
      </c>
      <c r="E792" t="b">
        <f>IF(COUNTIF(D792,"*"&amp;'Keyword Search'!$C$5&amp;"*"),TRUE,FALSE)</f>
        <v>1</v>
      </c>
      <c r="G792" t="str">
        <f t="shared" si="52"/>
        <v>095-21: Barber Shop and Beauty Shop Sundries: Clipper Lubricants, Disinfectants, Dispensing Bottles, Mugs, Neck Dusters, Trays, etc.</v>
      </c>
    </row>
    <row r="793" spans="1:7" x14ac:dyDescent="0.25">
      <c r="A793" s="1" t="str">
        <f t="shared" si="53"/>
        <v>095</v>
      </c>
      <c r="B793" s="1" t="str">
        <f>TEXT(23,"00")</f>
        <v>23</v>
      </c>
      <c r="C793" s="1" t="str">
        <f t="shared" si="51"/>
        <v>095-23</v>
      </c>
      <c r="D793" t="s">
        <v>790</v>
      </c>
      <c r="E793" t="b">
        <f>IF(COUNTIF(D793,"*"&amp;'Keyword Search'!$C$5&amp;"*"),TRUE,FALSE)</f>
        <v>1</v>
      </c>
      <c r="G793" t="str">
        <f t="shared" si="52"/>
        <v>095-23: Beauty Shop Basins, Bowls, and Fittings</v>
      </c>
    </row>
    <row r="794" spans="1:7" x14ac:dyDescent="0.25">
      <c r="A794" s="1" t="str">
        <f t="shared" si="53"/>
        <v>095</v>
      </c>
      <c r="B794" s="1" t="str">
        <f>TEXT(26,"00")</f>
        <v>26</v>
      </c>
      <c r="C794" s="1" t="str">
        <f t="shared" si="51"/>
        <v>095-26</v>
      </c>
      <c r="D794" t="s">
        <v>791</v>
      </c>
      <c r="E794" t="b">
        <f>IF(COUNTIF(D794,"*"&amp;'Keyword Search'!$C$5&amp;"*"),TRUE,FALSE)</f>
        <v>1</v>
      </c>
      <c r="G794" t="str">
        <f t="shared" si="52"/>
        <v>095-26: Beauty Shop Cabinets and Parts</v>
      </c>
    </row>
    <row r="795" spans="1:7" x14ac:dyDescent="0.25">
      <c r="A795" s="1" t="str">
        <f t="shared" si="53"/>
        <v>095</v>
      </c>
      <c r="B795" s="1" t="str">
        <f>TEXT(29,"00")</f>
        <v>29</v>
      </c>
      <c r="C795" s="1" t="str">
        <f t="shared" si="51"/>
        <v>095-29</v>
      </c>
      <c r="D795" t="s">
        <v>792</v>
      </c>
      <c r="E795" t="b">
        <f>IF(COUNTIF(D795,"*"&amp;'Keyword Search'!$C$5&amp;"*"),TRUE,FALSE)</f>
        <v>1</v>
      </c>
      <c r="G795" t="str">
        <f t="shared" si="52"/>
        <v>095-29: Beauty Shop Chairs and Parts</v>
      </c>
    </row>
    <row r="796" spans="1:7" x14ac:dyDescent="0.25">
      <c r="A796" s="1" t="str">
        <f t="shared" si="53"/>
        <v>095</v>
      </c>
      <c r="B796" s="1" t="str">
        <f>TEXT(32,"00")</f>
        <v>32</v>
      </c>
      <c r="C796" s="1" t="str">
        <f t="shared" si="51"/>
        <v>095-32</v>
      </c>
      <c r="D796" t="s">
        <v>793</v>
      </c>
      <c r="E796" t="b">
        <f>IF(COUNTIF(D796,"*"&amp;'Keyword Search'!$C$5&amp;"*"),TRUE,FALSE)</f>
        <v>1</v>
      </c>
      <c r="G796" t="str">
        <f t="shared" si="52"/>
        <v>095-32: Beauty Shop Foot Rests</v>
      </c>
    </row>
    <row r="797" spans="1:7" x14ac:dyDescent="0.25">
      <c r="A797" s="1" t="str">
        <f t="shared" si="53"/>
        <v>095</v>
      </c>
      <c r="B797" s="1" t="str">
        <f>TEXT(35,"00")</f>
        <v>35</v>
      </c>
      <c r="C797" s="1" t="str">
        <f t="shared" si="51"/>
        <v>095-35</v>
      </c>
      <c r="D797" t="s">
        <v>794</v>
      </c>
      <c r="E797" t="b">
        <f>IF(COUNTIF(D797,"*"&amp;'Keyword Search'!$C$5&amp;"*"),TRUE,FALSE)</f>
        <v>1</v>
      </c>
      <c r="G797" t="str">
        <f t="shared" si="52"/>
        <v>095-35: Beauty Shop Lamps and Parts</v>
      </c>
    </row>
    <row r="798" spans="1:7" x14ac:dyDescent="0.25">
      <c r="A798" s="1" t="str">
        <f t="shared" si="53"/>
        <v>095</v>
      </c>
      <c r="B798" s="1" t="str">
        <f>TEXT(38,"00")</f>
        <v>38</v>
      </c>
      <c r="C798" s="1" t="str">
        <f t="shared" si="51"/>
        <v>095-38</v>
      </c>
      <c r="D798" t="s">
        <v>795</v>
      </c>
      <c r="E798" t="b">
        <f>IF(COUNTIF(D798,"*"&amp;'Keyword Search'!$C$5&amp;"*"),TRUE,FALSE)</f>
        <v>1</v>
      </c>
      <c r="G798" t="str">
        <f t="shared" si="52"/>
        <v>095-38: Beauty Shop Mirrors</v>
      </c>
    </row>
    <row r="799" spans="1:7" x14ac:dyDescent="0.25">
      <c r="A799" s="1" t="str">
        <f t="shared" si="53"/>
        <v>095</v>
      </c>
      <c r="B799" s="1" t="str">
        <f>TEXT(41,"00")</f>
        <v>41</v>
      </c>
      <c r="C799" s="1" t="str">
        <f t="shared" si="51"/>
        <v>095-41</v>
      </c>
      <c r="D799" t="s">
        <v>796</v>
      </c>
      <c r="E799" t="b">
        <f>IF(COUNTIF(D799,"*"&amp;'Keyword Search'!$C$5&amp;"*"),TRUE,FALSE)</f>
        <v>1</v>
      </c>
      <c r="G799" t="str">
        <f t="shared" si="52"/>
        <v>095-41: Beauty Shop Stools</v>
      </c>
    </row>
    <row r="800" spans="1:7" x14ac:dyDescent="0.25">
      <c r="A800" s="1" t="str">
        <f t="shared" si="53"/>
        <v>095</v>
      </c>
      <c r="B800" s="1" t="str">
        <f>TEXT(44,"00")</f>
        <v>44</v>
      </c>
      <c r="C800" s="1" t="str">
        <f t="shared" si="51"/>
        <v>095-44</v>
      </c>
      <c r="D800" t="s">
        <v>797</v>
      </c>
      <c r="E800" t="b">
        <f>IF(COUNTIF(D800,"*"&amp;'Keyword Search'!$C$5&amp;"*"),TRUE,FALSE)</f>
        <v>1</v>
      </c>
      <c r="G800" t="str">
        <f t="shared" si="52"/>
        <v>095-44: Beauty Shop Tables</v>
      </c>
    </row>
    <row r="801" spans="1:7" x14ac:dyDescent="0.25">
      <c r="A801" s="1" t="str">
        <f t="shared" si="53"/>
        <v>095</v>
      </c>
      <c r="B801" s="1" t="str">
        <f>TEXT(48,"00")</f>
        <v>48</v>
      </c>
      <c r="C801" s="1" t="str">
        <f t="shared" si="51"/>
        <v>095-48</v>
      </c>
      <c r="D801" t="s">
        <v>798</v>
      </c>
      <c r="E801" t="b">
        <f>IF(COUNTIF(D801,"*"&amp;'Keyword Search'!$C$5&amp;"*"),TRUE,FALSE)</f>
        <v>1</v>
      </c>
      <c r="G801" t="str">
        <f t="shared" si="52"/>
        <v>095-48: Cases, For Barber and Beauty Kits</v>
      </c>
    </row>
    <row r="802" spans="1:7" x14ac:dyDescent="0.25">
      <c r="A802" s="1" t="str">
        <f t="shared" si="53"/>
        <v>095</v>
      </c>
      <c r="B802" s="1" t="str">
        <f>TEXT(50,"00")</f>
        <v>50</v>
      </c>
      <c r="C802" s="1" t="str">
        <f t="shared" si="51"/>
        <v>095-50</v>
      </c>
      <c r="D802" t="s">
        <v>799</v>
      </c>
      <c r="E802" t="b">
        <f>IF(COUNTIF(D802,"*"&amp;'Keyword Search'!$C$5&amp;"*"),TRUE,FALSE)</f>
        <v>1</v>
      </c>
      <c r="G802" t="str">
        <f t="shared" si="52"/>
        <v>095-50: Chair Cloths, Shampoo Capes, and Clips</v>
      </c>
    </row>
    <row r="803" spans="1:7" x14ac:dyDescent="0.25">
      <c r="A803" s="1" t="str">
        <f t="shared" si="53"/>
        <v>095</v>
      </c>
      <c r="B803" s="1" t="str">
        <f>TEXT(53,"00")</f>
        <v>53</v>
      </c>
      <c r="C803" s="1" t="str">
        <f t="shared" si="51"/>
        <v>095-53</v>
      </c>
      <c r="D803" t="s">
        <v>800</v>
      </c>
      <c r="E803" t="b">
        <f>IF(COUNTIF(D803,"*"&amp;'Keyword Search'!$C$5&amp;"*"),TRUE,FALSE)</f>
        <v>1</v>
      </c>
      <c r="G803" t="str">
        <f t="shared" si="52"/>
        <v>095-53: Clippers and Parts, Hair</v>
      </c>
    </row>
    <row r="804" spans="1:7" x14ac:dyDescent="0.25">
      <c r="A804" s="1" t="str">
        <f t="shared" si="53"/>
        <v>095</v>
      </c>
      <c r="B804" s="1" t="str">
        <f>TEXT(62,"00")</f>
        <v>62</v>
      </c>
      <c r="C804" s="1" t="str">
        <f t="shared" si="51"/>
        <v>095-62</v>
      </c>
      <c r="D804" t="s">
        <v>801</v>
      </c>
      <c r="E804" t="b">
        <f>IF(COUNTIF(D804,"*"&amp;'Keyword Search'!$C$5&amp;"*"),TRUE,FALSE)</f>
        <v>1</v>
      </c>
      <c r="G804" t="str">
        <f t="shared" si="52"/>
        <v>095-62: Dryers, Curling Irons, and Parts, Hair</v>
      </c>
    </row>
    <row r="805" spans="1:7" x14ac:dyDescent="0.25">
      <c r="A805" s="1" t="str">
        <f t="shared" si="53"/>
        <v>095</v>
      </c>
      <c r="B805" s="1" t="str">
        <f>TEXT(66,"00")</f>
        <v>66</v>
      </c>
      <c r="C805" s="1" t="str">
        <f t="shared" si="51"/>
        <v>095-66</v>
      </c>
      <c r="D805" t="s">
        <v>802</v>
      </c>
      <c r="E805" t="b">
        <f>IF(COUNTIF(D805,"*"&amp;'Keyword Search'!$C$5&amp;"*"),TRUE,FALSE)</f>
        <v>1</v>
      </c>
      <c r="G805" t="str">
        <f t="shared" si="52"/>
        <v>095-66: Make-Up Mirrors</v>
      </c>
    </row>
    <row r="806" spans="1:7" x14ac:dyDescent="0.25">
      <c r="A806" s="1" t="str">
        <f t="shared" si="53"/>
        <v>095</v>
      </c>
      <c r="B806" s="1" t="str">
        <f>TEXT(71,"00")</f>
        <v>71</v>
      </c>
      <c r="C806" s="1" t="str">
        <f t="shared" si="51"/>
        <v>095-71</v>
      </c>
      <c r="D806" t="s">
        <v>803</v>
      </c>
      <c r="E806" t="b">
        <f>IF(COUNTIF(D806,"*"&amp;'Keyword Search'!$C$5&amp;"*"),TRUE,FALSE)</f>
        <v>1</v>
      </c>
      <c r="G806" t="str">
        <f t="shared" si="52"/>
        <v>095-71: Lather Makers and Parts</v>
      </c>
    </row>
    <row r="807" spans="1:7" x14ac:dyDescent="0.25">
      <c r="A807" s="1" t="str">
        <f t="shared" si="53"/>
        <v>095</v>
      </c>
      <c r="B807" s="1" t="str">
        <f>TEXT(72,"00")</f>
        <v>72</v>
      </c>
      <c r="C807" s="1" t="str">
        <f t="shared" si="51"/>
        <v>095-72</v>
      </c>
      <c r="D807" t="s">
        <v>804</v>
      </c>
      <c r="E807" t="b">
        <f>IF(COUNTIF(D807,"*"&amp;'Keyword Search'!$C$5&amp;"*"),TRUE,FALSE)</f>
        <v>1</v>
      </c>
      <c r="G807" t="str">
        <f t="shared" si="52"/>
        <v>095-72: Mats, Barber Chair</v>
      </c>
    </row>
    <row r="808" spans="1:7" x14ac:dyDescent="0.25">
      <c r="A808" s="1" t="str">
        <f t="shared" si="53"/>
        <v>095</v>
      </c>
      <c r="B808" s="1" t="str">
        <f>TEXT(77,"00")</f>
        <v>77</v>
      </c>
      <c r="C808" s="1" t="str">
        <f t="shared" si="51"/>
        <v>095-77</v>
      </c>
      <c r="D808" t="s">
        <v>805</v>
      </c>
      <c r="E808" t="b">
        <f>IF(COUNTIF(D808,"*"&amp;'Keyword Search'!$C$5&amp;"*"),TRUE,FALSE)</f>
        <v>1</v>
      </c>
      <c r="G808" t="str">
        <f t="shared" si="52"/>
        <v>095-77: Recycled Barber and Beauty Shop Sundries, Accessories and Supplies</v>
      </c>
    </row>
    <row r="809" spans="1:7" x14ac:dyDescent="0.25">
      <c r="A809" s="1" t="str">
        <f t="shared" si="53"/>
        <v>095</v>
      </c>
      <c r="B809" s="1" t="str">
        <f>TEXT(89,"00")</f>
        <v>89</v>
      </c>
      <c r="C809" s="1" t="str">
        <f t="shared" si="51"/>
        <v>095-89</v>
      </c>
      <c r="D809" t="s">
        <v>806</v>
      </c>
      <c r="E809" t="b">
        <f>IF(COUNTIF(D809,"*"&amp;'Keyword Search'!$C$5&amp;"*"),TRUE,FALSE)</f>
        <v>1</v>
      </c>
      <c r="G809" t="str">
        <f t="shared" si="52"/>
        <v>095-89: Scissors, Shears and Tweezers</v>
      </c>
    </row>
    <row r="810" spans="1:7" x14ac:dyDescent="0.25">
      <c r="A810" s="1" t="str">
        <f t="shared" si="53"/>
        <v>095</v>
      </c>
      <c r="B810" s="1" t="str">
        <f>TEXT(92,"00")</f>
        <v>92</v>
      </c>
      <c r="C810" s="1" t="str">
        <f t="shared" si="51"/>
        <v>095-92</v>
      </c>
      <c r="D810" t="s">
        <v>807</v>
      </c>
      <c r="E810" t="b">
        <f>IF(COUNTIF(D810,"*"&amp;'Keyword Search'!$C$5&amp;"*"),TRUE,FALSE)</f>
        <v>1</v>
      </c>
      <c r="G810" t="str">
        <f t="shared" si="52"/>
        <v>095-92: Strops and Hones, Razor</v>
      </c>
    </row>
    <row r="811" spans="1:7" x14ac:dyDescent="0.25">
      <c r="A811" s="1" t="str">
        <f t="shared" si="53"/>
        <v>095</v>
      </c>
      <c r="B811" s="1" t="str">
        <f>TEXT(95,"00")</f>
        <v>95</v>
      </c>
      <c r="C811" s="1" t="str">
        <f t="shared" si="51"/>
        <v>095-95</v>
      </c>
      <c r="D811" t="s">
        <v>808</v>
      </c>
      <c r="E811" t="b">
        <f>IF(COUNTIF(D811,"*"&amp;'Keyword Search'!$C$5&amp;"*"),TRUE,FALSE)</f>
        <v>1</v>
      </c>
      <c r="G811" t="str">
        <f t="shared" si="52"/>
        <v>095-95: Vibrators, Massagers, and Parts</v>
      </c>
    </row>
    <row r="812" spans="1:7" x14ac:dyDescent="0.25">
      <c r="A812" s="5" t="str">
        <f t="shared" ref="A812:A838" si="54">TEXT(100,"000")</f>
        <v>100</v>
      </c>
      <c r="B812" s="5" t="str">
        <f>TEXT(0,"00")</f>
        <v>00</v>
      </c>
      <c r="C812" s="1"/>
      <c r="D812" s="2" t="s">
        <v>809</v>
      </c>
    </row>
    <row r="813" spans="1:7" x14ac:dyDescent="0.25">
      <c r="A813" s="1" t="str">
        <f t="shared" si="54"/>
        <v>100</v>
      </c>
      <c r="B813" s="1" t="str">
        <f>TEXT(4,"00")</f>
        <v>04</v>
      </c>
      <c r="C813" s="1" t="str">
        <f t="shared" si="51"/>
        <v>100-04</v>
      </c>
      <c r="D813" t="s">
        <v>810</v>
      </c>
      <c r="E813" t="b">
        <f>IF(COUNTIF(D813,"*"&amp;'Keyword Search'!$C$5&amp;"*"),TRUE,FALSE)</f>
        <v>1</v>
      </c>
      <c r="G813" t="str">
        <f t="shared" si="52"/>
        <v>100-04: Baskets, All Types (Not Otherwise Classified)</v>
      </c>
    </row>
    <row r="814" spans="1:7" x14ac:dyDescent="0.25">
      <c r="A814" s="1" t="str">
        <f t="shared" si="54"/>
        <v>100</v>
      </c>
      <c r="B814" s="1" t="str">
        <f>TEXT(5,"00")</f>
        <v>05</v>
      </c>
      <c r="C814" s="1" t="str">
        <f t="shared" si="51"/>
        <v>100-05</v>
      </c>
      <c r="D814" t="s">
        <v>811</v>
      </c>
      <c r="E814" t="b">
        <f>IF(COUNTIF(D814,"*"&amp;'Keyword Search'!$C$5&amp;"*"),TRUE,FALSE)</f>
        <v>1</v>
      </c>
      <c r="G814" t="str">
        <f t="shared" si="52"/>
        <v>100-05: Boxes, Crates, Baskets (Inactive, effective January 1, 2016)</v>
      </c>
    </row>
    <row r="815" spans="1:7" x14ac:dyDescent="0.25">
      <c r="A815" s="1" t="str">
        <f t="shared" si="54"/>
        <v>100</v>
      </c>
      <c r="B815" s="1" t="str">
        <f>TEXT(6,"00")</f>
        <v>06</v>
      </c>
      <c r="C815" s="1" t="str">
        <f t="shared" si="51"/>
        <v>100-06</v>
      </c>
      <c r="D815" t="s">
        <v>812</v>
      </c>
      <c r="E815" t="b">
        <f>IF(COUNTIF(D815,"*"&amp;'Keyword Search'!$C$5&amp;"*"),TRUE,FALSE)</f>
        <v>1</v>
      </c>
      <c r="G815" t="str">
        <f t="shared" si="52"/>
        <v>100-06: Containers, Plastic, All Purpose)</v>
      </c>
    </row>
    <row r="816" spans="1:7" x14ac:dyDescent="0.25">
      <c r="A816" s="1" t="str">
        <f t="shared" si="54"/>
        <v>100</v>
      </c>
      <c r="B816" s="1" t="str">
        <f>TEXT(7,"00")</f>
        <v>07</v>
      </c>
      <c r="C816" s="1" t="str">
        <f t="shared" si="51"/>
        <v>100-07</v>
      </c>
      <c r="D816" t="s">
        <v>813</v>
      </c>
      <c r="E816" t="b">
        <f>IF(COUNTIF(D816,"*"&amp;'Keyword Search'!$C$5&amp;"*"),TRUE,FALSE)</f>
        <v>1</v>
      </c>
      <c r="G816" t="str">
        <f t="shared" si="52"/>
        <v>100-07: Containers, Recycling</v>
      </c>
    </row>
    <row r="817" spans="1:7" x14ac:dyDescent="0.25">
      <c r="A817" s="1" t="str">
        <f t="shared" si="54"/>
        <v>100</v>
      </c>
      <c r="B817" s="1" t="str">
        <f>TEXT(8,"00")</f>
        <v>08</v>
      </c>
      <c r="C817" s="1" t="str">
        <f t="shared" si="51"/>
        <v>100-08</v>
      </c>
      <c r="D817" t="s">
        <v>814</v>
      </c>
      <c r="E817" t="b">
        <f>IF(COUNTIF(D817,"*"&amp;'Keyword Search'!$C$5&amp;"*"),TRUE,FALSE)</f>
        <v>1</v>
      </c>
      <c r="G817" t="str">
        <f t="shared" si="52"/>
        <v>100-08: Covers, Drum, All Types and Sizes</v>
      </c>
    </row>
    <row r="818" spans="1:7" x14ac:dyDescent="0.25">
      <c r="A818" s="1" t="str">
        <f t="shared" si="54"/>
        <v>100</v>
      </c>
      <c r="B818" s="1" t="str">
        <f>TEXT(9,"00")</f>
        <v>09</v>
      </c>
      <c r="C818" s="1" t="str">
        <f t="shared" si="51"/>
        <v>100-09</v>
      </c>
      <c r="D818" t="s">
        <v>815</v>
      </c>
      <c r="E818" t="b">
        <f>IF(COUNTIF(D818,"*"&amp;'Keyword Search'!$C$5&amp;"*"),TRUE,FALSE)</f>
        <v>1</v>
      </c>
      <c r="G818" t="str">
        <f t="shared" si="52"/>
        <v>100-09: Casks, All Types</v>
      </c>
    </row>
    <row r="819" spans="1:7" x14ac:dyDescent="0.25">
      <c r="A819" s="1" t="str">
        <f t="shared" si="54"/>
        <v>100</v>
      </c>
      <c r="B819" s="1" t="str">
        <f>TEXT(10,"00")</f>
        <v>10</v>
      </c>
      <c r="C819" s="1" t="str">
        <f t="shared" si="51"/>
        <v>100-10</v>
      </c>
      <c r="D819" t="s">
        <v>816</v>
      </c>
      <c r="E819" t="b">
        <f>IF(COUNTIF(D819,"*"&amp;'Keyword Search'!$C$5&amp;"*"),TRUE,FALSE)</f>
        <v>1</v>
      </c>
      <c r="G819" t="str">
        <f t="shared" si="52"/>
        <v>100-10: Drum Spigots, Metal or Plastic</v>
      </c>
    </row>
    <row r="820" spans="1:7" x14ac:dyDescent="0.25">
      <c r="A820" s="1" t="str">
        <f t="shared" si="54"/>
        <v>100</v>
      </c>
      <c r="B820" s="1" t="str">
        <f>TEXT(11,"00")</f>
        <v>11</v>
      </c>
      <c r="C820" s="1" t="str">
        <f t="shared" si="51"/>
        <v>100-11</v>
      </c>
      <c r="D820" t="s">
        <v>817</v>
      </c>
      <c r="E820" t="b">
        <f>IF(COUNTIF(D820,"*"&amp;'Keyword Search'!$C$5&amp;"*"),TRUE,FALSE)</f>
        <v>1</v>
      </c>
      <c r="G820" t="str">
        <f t="shared" si="52"/>
        <v>100-11: Crates, Plywood</v>
      </c>
    </row>
    <row r="821" spans="1:7" x14ac:dyDescent="0.25">
      <c r="A821" s="1" t="str">
        <f t="shared" si="54"/>
        <v>100</v>
      </c>
      <c r="B821" s="1" t="str">
        <f>TEXT(15,"00")</f>
        <v>15</v>
      </c>
      <c r="C821" s="1" t="str">
        <f t="shared" si="51"/>
        <v>100-15</v>
      </c>
      <c r="D821" t="s">
        <v>818</v>
      </c>
      <c r="E821" t="b">
        <f>IF(COUNTIF(D821,"*"&amp;'Keyword Search'!$C$5&amp;"*"),TRUE,FALSE)</f>
        <v>1</v>
      </c>
      <c r="G821" t="str">
        <f t="shared" si="52"/>
        <v>100-15: Drums, Miscellaneous</v>
      </c>
    </row>
    <row r="822" spans="1:7" x14ac:dyDescent="0.25">
      <c r="A822" s="1" t="str">
        <f t="shared" si="54"/>
        <v>100</v>
      </c>
      <c r="B822" s="1" t="str">
        <f>TEXT(20,"00")</f>
        <v>20</v>
      </c>
      <c r="C822" s="1" t="str">
        <f t="shared" si="51"/>
        <v>100-20</v>
      </c>
      <c r="D822" t="s">
        <v>819</v>
      </c>
      <c r="E822" t="b">
        <f>IF(COUNTIF(D822,"*"&amp;'Keyword Search'!$C$5&amp;"*"),TRUE,FALSE)</f>
        <v>1</v>
      </c>
      <c r="G822" t="str">
        <f t="shared" si="52"/>
        <v>100-20: Flip-top Cap Closures</v>
      </c>
    </row>
    <row r="823" spans="1:7" x14ac:dyDescent="0.25">
      <c r="A823" s="1" t="str">
        <f t="shared" si="54"/>
        <v>100</v>
      </c>
      <c r="B823" s="1" t="str">
        <f>TEXT(21,"00")</f>
        <v>21</v>
      </c>
      <c r="C823" s="1" t="str">
        <f t="shared" si="51"/>
        <v>100-21</v>
      </c>
      <c r="D823" t="s">
        <v>820</v>
      </c>
      <c r="E823" t="b">
        <f>IF(COUNTIF(D823,"*"&amp;'Keyword Search'!$C$5&amp;"*"),TRUE,FALSE)</f>
        <v>1</v>
      </c>
      <c r="G823" t="str">
        <f t="shared" si="52"/>
        <v>100-21: Freight and Cargo Containers, Shipping, (See Class 640 For Boxes)</v>
      </c>
    </row>
    <row r="824" spans="1:7" x14ac:dyDescent="0.25">
      <c r="A824" s="1" t="str">
        <f t="shared" si="54"/>
        <v>100</v>
      </c>
      <c r="B824" s="1" t="str">
        <f>TEXT(25,"00")</f>
        <v>25</v>
      </c>
      <c r="C824" s="1" t="str">
        <f t="shared" si="51"/>
        <v>100-25</v>
      </c>
      <c r="D824" t="s">
        <v>821</v>
      </c>
      <c r="E824" t="b">
        <f>IF(COUNTIF(D824,"*"&amp;'Keyword Search'!$C$5&amp;"*"),TRUE,FALSE)</f>
        <v>1</v>
      </c>
      <c r="G824" t="str">
        <f t="shared" si="52"/>
        <v>100-25: Gaskets, All Types: Barrels, Drums, Kegs, and Pails</v>
      </c>
    </row>
    <row r="825" spans="1:7" x14ac:dyDescent="0.25">
      <c r="A825" s="1" t="str">
        <f t="shared" si="54"/>
        <v>100</v>
      </c>
      <c r="B825" s="1" t="str">
        <f>TEXT(30,"00")</f>
        <v>30</v>
      </c>
      <c r="C825" s="1" t="str">
        <f t="shared" si="51"/>
        <v>100-30</v>
      </c>
      <c r="D825" t="s">
        <v>822</v>
      </c>
      <c r="E825" t="b">
        <f>IF(COUNTIF(D825,"*"&amp;'Keyword Search'!$C$5&amp;"*"),TRUE,FALSE)</f>
        <v>1</v>
      </c>
      <c r="G825" t="str">
        <f t="shared" si="52"/>
        <v>100-30: Hazardous Material Containment and Storage, Chemicals</v>
      </c>
    </row>
    <row r="826" spans="1:7" x14ac:dyDescent="0.25">
      <c r="A826" s="1" t="str">
        <f t="shared" si="54"/>
        <v>100</v>
      </c>
      <c r="B826" s="1" t="str">
        <f>TEXT(31,"00")</f>
        <v>31</v>
      </c>
      <c r="C826" s="1" t="str">
        <f t="shared" si="51"/>
        <v>100-31</v>
      </c>
      <c r="D826" t="s">
        <v>823</v>
      </c>
      <c r="E826" t="b">
        <f>IF(COUNTIF(D826,"*"&amp;'Keyword Search'!$C$5&amp;"*"),TRUE,FALSE)</f>
        <v>1</v>
      </c>
      <c r="G826" t="str">
        <f t="shared" si="52"/>
        <v>100-31: Hazardous Material Containment/Storage, Petroleum</v>
      </c>
    </row>
    <row r="827" spans="1:7" x14ac:dyDescent="0.25">
      <c r="A827" s="1" t="str">
        <f t="shared" si="54"/>
        <v>100</v>
      </c>
      <c r="B827" s="1" t="str">
        <f>TEXT(34,"00")</f>
        <v>34</v>
      </c>
      <c r="C827" s="1" t="str">
        <f t="shared" si="51"/>
        <v>100-34</v>
      </c>
      <c r="D827" t="s">
        <v>824</v>
      </c>
      <c r="E827" t="b">
        <f>IF(COUNTIF(D827,"*"&amp;'Keyword Search'!$C$5&amp;"*"),TRUE,FALSE)</f>
        <v>1</v>
      </c>
      <c r="G827" t="str">
        <f t="shared" si="52"/>
        <v>100-34: Holders and Containers. Compost</v>
      </c>
    </row>
    <row r="828" spans="1:7" x14ac:dyDescent="0.25">
      <c r="A828" s="1" t="str">
        <f t="shared" si="54"/>
        <v>100</v>
      </c>
      <c r="B828" s="1" t="str">
        <f>TEXT(37,"00")</f>
        <v>37</v>
      </c>
      <c r="C828" s="1" t="str">
        <f t="shared" si="51"/>
        <v>100-37</v>
      </c>
      <c r="D828" t="s">
        <v>825</v>
      </c>
      <c r="E828" t="b">
        <f>IF(COUNTIF(D828,"*"&amp;'Keyword Search'!$C$5&amp;"*"),TRUE,FALSE)</f>
        <v>1</v>
      </c>
      <c r="G828" t="str">
        <f t="shared" si="52"/>
        <v>100-37: Labels, Hazardous Material Container</v>
      </c>
    </row>
    <row r="829" spans="1:7" x14ac:dyDescent="0.25">
      <c r="A829" s="1" t="str">
        <f t="shared" si="54"/>
        <v>100</v>
      </c>
      <c r="B829" s="1" t="str">
        <f>TEXT(40,"00")</f>
        <v>40</v>
      </c>
      <c r="C829" s="1" t="str">
        <f t="shared" si="51"/>
        <v>100-40</v>
      </c>
      <c r="D829" t="s">
        <v>826</v>
      </c>
      <c r="E829" t="b">
        <f>IF(COUNTIF(D829,"*"&amp;'Keyword Search'!$C$5&amp;"*"),TRUE,FALSE)</f>
        <v>1</v>
      </c>
      <c r="G829" t="str">
        <f t="shared" si="52"/>
        <v>100-40: Pail-Type Containers, Steel</v>
      </c>
    </row>
    <row r="830" spans="1:7" x14ac:dyDescent="0.25">
      <c r="A830" s="1" t="str">
        <f t="shared" si="54"/>
        <v>100</v>
      </c>
      <c r="B830" s="1" t="str">
        <f>TEXT(45,"00")</f>
        <v>45</v>
      </c>
      <c r="C830" s="1" t="str">
        <f t="shared" si="51"/>
        <v>100-45</v>
      </c>
      <c r="D830" t="s">
        <v>827</v>
      </c>
      <c r="E830" t="b">
        <f>IF(COUNTIF(D830,"*"&amp;'Keyword Search'!$C$5&amp;"*"),TRUE,FALSE)</f>
        <v>1</v>
      </c>
      <c r="G830" t="str">
        <f t="shared" si="52"/>
        <v>100-45: Plastic Barrels and Drums, Reinforced</v>
      </c>
    </row>
    <row r="831" spans="1:7" x14ac:dyDescent="0.25">
      <c r="A831" s="1" t="str">
        <f t="shared" si="54"/>
        <v>100</v>
      </c>
      <c r="B831" s="1" t="str">
        <f>TEXT(49,"00")</f>
        <v>49</v>
      </c>
      <c r="C831" s="1" t="str">
        <f t="shared" si="51"/>
        <v>100-49</v>
      </c>
      <c r="D831" t="s">
        <v>828</v>
      </c>
      <c r="E831" t="b">
        <f>IF(COUNTIF(D831,"*"&amp;'Keyword Search'!$C$5&amp;"*"),TRUE,FALSE)</f>
        <v>1</v>
      </c>
      <c r="G831" t="str">
        <f t="shared" si="52"/>
        <v>100-49: Plugging Compounds, Chemically Resistant, Pre-Mixed or Dry, Temporarily Stops Leaks in Drums, Tanks, and Other Containers</v>
      </c>
    </row>
    <row r="832" spans="1:7" x14ac:dyDescent="0.25">
      <c r="A832" s="1" t="str">
        <f t="shared" si="54"/>
        <v>100</v>
      </c>
      <c r="B832" s="1" t="str">
        <f>TEXT(50,"00")</f>
        <v>50</v>
      </c>
      <c r="C832" s="1" t="str">
        <f t="shared" si="51"/>
        <v>100-50</v>
      </c>
      <c r="D832" t="s">
        <v>829</v>
      </c>
      <c r="E832" t="b">
        <f>IF(COUNTIF(D832,"*"&amp;'Keyword Search'!$C$5&amp;"*"),TRUE,FALSE)</f>
        <v>1</v>
      </c>
      <c r="G832" t="str">
        <f t="shared" si="52"/>
        <v>100-50: Plugs, Drum</v>
      </c>
    </row>
    <row r="833" spans="1:7" x14ac:dyDescent="0.25">
      <c r="A833" s="1" t="str">
        <f t="shared" si="54"/>
        <v>100</v>
      </c>
      <c r="B833" s="1" t="str">
        <f>TEXT(51,"00")</f>
        <v>51</v>
      </c>
      <c r="C833" s="1" t="str">
        <f t="shared" si="51"/>
        <v>100-51</v>
      </c>
      <c r="D833" t="s">
        <v>830</v>
      </c>
      <c r="E833" t="b">
        <f>IF(COUNTIF(D833,"*"&amp;'Keyword Search'!$C$5&amp;"*"),TRUE,FALSE)</f>
        <v>1</v>
      </c>
      <c r="G833" t="str">
        <f t="shared" si="52"/>
        <v>100-51: Pumps, Drum</v>
      </c>
    </row>
    <row r="834" spans="1:7" x14ac:dyDescent="0.25">
      <c r="A834" s="1" t="str">
        <f t="shared" si="54"/>
        <v>100</v>
      </c>
      <c r="B834" s="1" t="str">
        <f>TEXT(56,"00")</f>
        <v>56</v>
      </c>
      <c r="C834" s="1" t="str">
        <f t="shared" si="51"/>
        <v>100-56</v>
      </c>
      <c r="D834" t="s">
        <v>831</v>
      </c>
      <c r="E834" t="b">
        <f>IF(COUNTIF(D834,"*"&amp;'Keyword Search'!$C$5&amp;"*"),TRUE,FALSE)</f>
        <v>1</v>
      </c>
      <c r="G834" t="str">
        <f t="shared" si="52"/>
        <v>100-56: Recycled Containers, All Types</v>
      </c>
    </row>
    <row r="835" spans="1:7" x14ac:dyDescent="0.25">
      <c r="A835" s="1" t="str">
        <f t="shared" si="54"/>
        <v>100</v>
      </c>
      <c r="B835" s="1" t="str">
        <f>TEXT(57,"00")</f>
        <v>57</v>
      </c>
      <c r="C835" s="1" t="str">
        <f t="shared" ref="C835:C898" si="55">CONCATENATE(A835,"-",B835)</f>
        <v>100-57</v>
      </c>
      <c r="D835" t="s">
        <v>832</v>
      </c>
      <c r="E835" t="b">
        <f>IF(COUNTIF(D835,"*"&amp;'Keyword Search'!$C$5&amp;"*"),TRUE,FALSE)</f>
        <v>1</v>
      </c>
      <c r="G835" t="str">
        <f t="shared" si="52"/>
        <v>100-57: Repair Supplies and Equipment for all Types of Containers</v>
      </c>
    </row>
    <row r="836" spans="1:7" x14ac:dyDescent="0.25">
      <c r="A836" s="1" t="str">
        <f t="shared" si="54"/>
        <v>100</v>
      </c>
      <c r="B836" s="1" t="str">
        <f>TEXT(60,"00")</f>
        <v>60</v>
      </c>
      <c r="C836" s="1" t="str">
        <f t="shared" si="55"/>
        <v>100-60</v>
      </c>
      <c r="D836" t="s">
        <v>833</v>
      </c>
      <c r="E836" t="b">
        <f>IF(COUNTIF(D836,"*"&amp;'Keyword Search'!$C$5&amp;"*"),TRUE,FALSE)</f>
        <v>1</v>
      </c>
      <c r="G836" t="str">
        <f t="shared" ref="G836:G899" si="56">CONCATENATE(C836,": ",D836)</f>
        <v>100-60: Stainless Steel Drums</v>
      </c>
    </row>
    <row r="837" spans="1:7" x14ac:dyDescent="0.25">
      <c r="A837" s="1" t="str">
        <f t="shared" si="54"/>
        <v>100</v>
      </c>
      <c r="B837" s="1" t="str">
        <f>TEXT(67,"00")</f>
        <v>67</v>
      </c>
      <c r="C837" s="1" t="str">
        <f t="shared" si="55"/>
        <v>100-67</v>
      </c>
      <c r="D837" t="s">
        <v>834</v>
      </c>
      <c r="E837" t="b">
        <f>IF(COUNTIF(D837,"*"&amp;'Keyword Search'!$C$5&amp;"*"),TRUE,FALSE)</f>
        <v>1</v>
      </c>
      <c r="G837" t="str">
        <f t="shared" si="56"/>
        <v>100-67: Steel Barrels, Drums, and Kegs</v>
      </c>
    </row>
    <row r="838" spans="1:7" x14ac:dyDescent="0.25">
      <c r="A838" s="1" t="str">
        <f t="shared" si="54"/>
        <v>100</v>
      </c>
      <c r="B838" s="1" t="str">
        <f>TEXT(85,"00")</f>
        <v>85</v>
      </c>
      <c r="C838" s="1" t="str">
        <f t="shared" si="55"/>
        <v>100-85</v>
      </c>
      <c r="D838" t="s">
        <v>835</v>
      </c>
      <c r="E838" t="b">
        <f>IF(COUNTIF(D838,"*"&amp;'Keyword Search'!$C$5&amp;"*"),TRUE,FALSE)</f>
        <v>1</v>
      </c>
      <c r="G838" t="str">
        <f t="shared" si="56"/>
        <v>100-85: Wooden Barrels and Drums</v>
      </c>
    </row>
    <row r="839" spans="1:7" x14ac:dyDescent="0.25">
      <c r="A839" s="5" t="str">
        <f t="shared" ref="A839:A849" si="57">TEXT(105,"000")</f>
        <v>105</v>
      </c>
      <c r="B839" s="5" t="str">
        <f>TEXT(0,"00")</f>
        <v>00</v>
      </c>
      <c r="C839" s="1"/>
      <c r="D839" s="2" t="s">
        <v>836</v>
      </c>
    </row>
    <row r="840" spans="1:7" x14ac:dyDescent="0.25">
      <c r="A840" s="1" t="str">
        <f t="shared" si="57"/>
        <v>105</v>
      </c>
      <c r="B840" s="1" t="str">
        <f>TEXT(12,"00")</f>
        <v>12</v>
      </c>
      <c r="C840" s="1" t="str">
        <f t="shared" si="55"/>
        <v>105-12</v>
      </c>
      <c r="D840" t="s">
        <v>837</v>
      </c>
      <c r="E840" t="b">
        <f>IF(COUNTIF(D840,"*"&amp;'Keyword Search'!$C$5&amp;"*"),TRUE,FALSE)</f>
        <v>1</v>
      </c>
      <c r="G840" t="str">
        <f t="shared" si="56"/>
        <v>105-12: Ball Bearings and Parts</v>
      </c>
    </row>
    <row r="841" spans="1:7" x14ac:dyDescent="0.25">
      <c r="A841" s="1" t="str">
        <f t="shared" si="57"/>
        <v>105</v>
      </c>
      <c r="B841" s="1" t="str">
        <f>TEXT(18,"00")</f>
        <v>18</v>
      </c>
      <c r="C841" s="1" t="str">
        <f t="shared" si="55"/>
        <v>105-18</v>
      </c>
      <c r="D841" t="s">
        <v>838</v>
      </c>
      <c r="E841" t="b">
        <f>IF(COUNTIF(D841,"*"&amp;'Keyword Search'!$C$5&amp;"*"),TRUE,FALSE)</f>
        <v>1</v>
      </c>
      <c r="G841" t="str">
        <f t="shared" si="56"/>
        <v>105-18: Bearing Assemblies, Including Hanger Bearings and Custom-Made Bearings</v>
      </c>
    </row>
    <row r="842" spans="1:7" x14ac:dyDescent="0.25">
      <c r="A842" s="1" t="str">
        <f t="shared" si="57"/>
        <v>105</v>
      </c>
      <c r="B842" s="1" t="str">
        <f>TEXT(30,"00")</f>
        <v>30</v>
      </c>
      <c r="C842" s="1" t="str">
        <f t="shared" si="55"/>
        <v>105-30</v>
      </c>
      <c r="D842" t="s">
        <v>839</v>
      </c>
      <c r="E842" t="b">
        <f>IF(COUNTIF(D842,"*"&amp;'Keyword Search'!$C$5&amp;"*"),TRUE,FALSE)</f>
        <v>1</v>
      </c>
      <c r="G842" t="str">
        <f t="shared" si="56"/>
        <v>105-30: Bearings and Parts (For Marine Equipment)</v>
      </c>
    </row>
    <row r="843" spans="1:7" x14ac:dyDescent="0.25">
      <c r="A843" s="1" t="str">
        <f t="shared" si="57"/>
        <v>105</v>
      </c>
      <c r="B843" s="1" t="str">
        <f>TEXT(32,"00")</f>
        <v>32</v>
      </c>
      <c r="C843" s="1" t="str">
        <f t="shared" si="55"/>
        <v>105-32</v>
      </c>
      <c r="D843" t="s">
        <v>840</v>
      </c>
      <c r="E843" t="b">
        <f>IF(COUNTIF(D843,"*"&amp;'Keyword Search'!$C$5&amp;"*"),TRUE,FALSE)</f>
        <v>1</v>
      </c>
      <c r="G843" t="str">
        <f t="shared" si="56"/>
        <v>105-32: Bearings, Various Types (Not Otherwise Classified)</v>
      </c>
    </row>
    <row r="844" spans="1:7" x14ac:dyDescent="0.25">
      <c r="A844" s="1" t="str">
        <f t="shared" si="57"/>
        <v>105</v>
      </c>
      <c r="B844" s="1" t="str">
        <f>TEXT(36,"00")</f>
        <v>36</v>
      </c>
      <c r="C844" s="1" t="str">
        <f t="shared" si="55"/>
        <v>105-36</v>
      </c>
      <c r="D844" t="s">
        <v>841</v>
      </c>
      <c r="E844" t="b">
        <f>IF(COUNTIF(D844,"*"&amp;'Keyword Search'!$C$5&amp;"*"),TRUE,FALSE)</f>
        <v>1</v>
      </c>
      <c r="G844" t="str">
        <f t="shared" si="56"/>
        <v>105-36: Journal Boxes</v>
      </c>
    </row>
    <row r="845" spans="1:7" x14ac:dyDescent="0.25">
      <c r="A845" s="1" t="str">
        <f t="shared" si="57"/>
        <v>105</v>
      </c>
      <c r="B845" s="1" t="str">
        <f>TEXT(48,"00")</f>
        <v>48</v>
      </c>
      <c r="C845" s="1" t="str">
        <f t="shared" si="55"/>
        <v>105-48</v>
      </c>
      <c r="D845" t="s">
        <v>842</v>
      </c>
      <c r="E845" t="b">
        <f>IF(COUNTIF(D845,"*"&amp;'Keyword Search'!$C$5&amp;"*"),TRUE,FALSE)</f>
        <v>1</v>
      </c>
      <c r="G845" t="str">
        <f t="shared" si="56"/>
        <v>105-48: Pillow Blocks, For Bearings</v>
      </c>
    </row>
    <row r="846" spans="1:7" x14ac:dyDescent="0.25">
      <c r="A846" s="1" t="str">
        <f t="shared" si="57"/>
        <v>105</v>
      </c>
      <c r="B846" s="1" t="str">
        <f>TEXT(58,"00")</f>
        <v>58</v>
      </c>
      <c r="C846" s="1" t="str">
        <f t="shared" si="55"/>
        <v>105-58</v>
      </c>
      <c r="D846" t="s">
        <v>843</v>
      </c>
      <c r="E846" t="b">
        <f>IF(COUNTIF(D846,"*"&amp;'Keyword Search'!$C$5&amp;"*"),TRUE,FALSE)</f>
        <v>1</v>
      </c>
      <c r="G846" t="str">
        <f t="shared" si="56"/>
        <v>105-58: Recycled Bearings</v>
      </c>
    </row>
    <row r="847" spans="1:7" x14ac:dyDescent="0.25">
      <c r="A847" s="1" t="str">
        <f t="shared" si="57"/>
        <v>105</v>
      </c>
      <c r="B847" s="1" t="str">
        <f>TEXT(60,"00")</f>
        <v>60</v>
      </c>
      <c r="C847" s="1" t="str">
        <f t="shared" si="55"/>
        <v>105-60</v>
      </c>
      <c r="D847" t="s">
        <v>844</v>
      </c>
      <c r="E847" t="b">
        <f>IF(COUNTIF(D847,"*"&amp;'Keyword Search'!$C$5&amp;"*"),TRUE,FALSE)</f>
        <v>1</v>
      </c>
      <c r="G847" t="str">
        <f t="shared" si="56"/>
        <v>105-60: Roller and Needle Bearings and Parts, Straight</v>
      </c>
    </row>
    <row r="848" spans="1:7" x14ac:dyDescent="0.25">
      <c r="A848" s="1" t="str">
        <f t="shared" si="57"/>
        <v>105</v>
      </c>
      <c r="B848" s="1" t="str">
        <f>TEXT(72,"00")</f>
        <v>72</v>
      </c>
      <c r="C848" s="1" t="str">
        <f t="shared" si="55"/>
        <v>105-72</v>
      </c>
      <c r="D848" t="s">
        <v>845</v>
      </c>
      <c r="E848" t="b">
        <f>IF(COUNTIF(D848,"*"&amp;'Keyword Search'!$C$5&amp;"*"),TRUE,FALSE)</f>
        <v>1</v>
      </c>
      <c r="G848" t="str">
        <f t="shared" si="56"/>
        <v>105-72: Roller Taper Bearings and Parts</v>
      </c>
    </row>
    <row r="849" spans="1:7" x14ac:dyDescent="0.25">
      <c r="A849" s="1" t="str">
        <f t="shared" si="57"/>
        <v>105</v>
      </c>
      <c r="B849" s="1" t="str">
        <f>TEXT(84,"00")</f>
        <v>84</v>
      </c>
      <c r="C849" s="1" t="str">
        <f t="shared" si="55"/>
        <v>105-84</v>
      </c>
      <c r="D849" t="s">
        <v>846</v>
      </c>
      <c r="E849" t="b">
        <f>IF(COUNTIF(D849,"*"&amp;'Keyword Search'!$C$5&amp;"*"),TRUE,FALSE)</f>
        <v>1</v>
      </c>
      <c r="G849" t="str">
        <f t="shared" si="56"/>
        <v>105-84: Sleeve Bearings and Parts</v>
      </c>
    </row>
    <row r="850" spans="1:7" x14ac:dyDescent="0.25">
      <c r="A850" s="5" t="str">
        <f t="shared" ref="A850:A865" si="58">TEXT(110,"000")</f>
        <v>110</v>
      </c>
      <c r="B850" s="5" t="str">
        <f>TEXT(0,"00")</f>
        <v>00</v>
      </c>
      <c r="C850" s="1"/>
      <c r="D850" s="2" t="s">
        <v>847</v>
      </c>
    </row>
    <row r="851" spans="1:7" x14ac:dyDescent="0.25">
      <c r="A851" s="1" t="str">
        <f t="shared" si="58"/>
        <v>110</v>
      </c>
      <c r="B851" s="1" t="str">
        <f>TEXT(9,"00")</f>
        <v>09</v>
      </c>
      <c r="C851" s="1" t="str">
        <f t="shared" si="55"/>
        <v>110-09</v>
      </c>
      <c r="D851" t="s">
        <v>848</v>
      </c>
      <c r="E851" t="b">
        <f>IF(COUNTIF(D851,"*"&amp;'Keyword Search'!$C$5&amp;"*"),TRUE,FALSE)</f>
        <v>1</v>
      </c>
      <c r="G851" t="str">
        <f t="shared" si="56"/>
        <v>110-09: Accessories: Dressing, Hooks, Laces, etc.</v>
      </c>
    </row>
    <row r="852" spans="1:7" x14ac:dyDescent="0.25">
      <c r="A852" s="1" t="str">
        <f t="shared" si="58"/>
        <v>110</v>
      </c>
      <c r="B852" s="1" t="str">
        <f>TEXT(10,"00")</f>
        <v>10</v>
      </c>
      <c r="C852" s="1" t="str">
        <f t="shared" si="55"/>
        <v>110-10</v>
      </c>
      <c r="D852" t="s">
        <v>849</v>
      </c>
      <c r="E852" t="b">
        <f>IF(COUNTIF(D852,"*"&amp;'Keyword Search'!$C$5&amp;"*"),TRUE,FALSE)</f>
        <v>1</v>
      </c>
      <c r="G852" t="str">
        <f t="shared" si="56"/>
        <v>110-10: Belts, Ferry Equipment</v>
      </c>
    </row>
    <row r="853" spans="1:7" x14ac:dyDescent="0.25">
      <c r="A853" s="1" t="str">
        <f t="shared" si="58"/>
        <v>110</v>
      </c>
      <c r="B853" s="1" t="str">
        <f>TEXT(13,"00")</f>
        <v>13</v>
      </c>
      <c r="C853" s="1" t="str">
        <f t="shared" si="55"/>
        <v>110-13</v>
      </c>
      <c r="D853" t="s">
        <v>850</v>
      </c>
      <c r="E853" t="b">
        <f>IF(COUNTIF(D853,"*"&amp;'Keyword Search'!$C$5&amp;"*"),TRUE,FALSE)</f>
        <v>1</v>
      </c>
      <c r="G853" t="str">
        <f t="shared" si="56"/>
        <v>110-13: Belts, Recycled</v>
      </c>
    </row>
    <row r="854" spans="1:7" x14ac:dyDescent="0.25">
      <c r="A854" s="1" t="str">
        <f t="shared" si="58"/>
        <v>110</v>
      </c>
      <c r="B854" s="1" t="str">
        <f>TEXT(18,"00")</f>
        <v>18</v>
      </c>
      <c r="C854" s="1" t="str">
        <f t="shared" si="55"/>
        <v>110-18</v>
      </c>
      <c r="D854" t="s">
        <v>851</v>
      </c>
      <c r="E854" t="b">
        <f>IF(COUNTIF(D854,"*"&amp;'Keyword Search'!$C$5&amp;"*"),TRUE,FALSE)</f>
        <v>1</v>
      </c>
      <c r="G854" t="str">
        <f t="shared" si="56"/>
        <v>110-18: Conveyor and Elevator: Canvas and Duck</v>
      </c>
    </row>
    <row r="855" spans="1:7" x14ac:dyDescent="0.25">
      <c r="A855" s="1" t="str">
        <f t="shared" si="58"/>
        <v>110</v>
      </c>
      <c r="B855" s="1" t="str">
        <f>TEXT(22,"00")</f>
        <v>22</v>
      </c>
      <c r="C855" s="1" t="str">
        <f t="shared" si="55"/>
        <v>110-22</v>
      </c>
      <c r="D855" t="s">
        <v>852</v>
      </c>
      <c r="E855" t="b">
        <f>IF(COUNTIF(D855,"*"&amp;'Keyword Search'!$C$5&amp;"*"),TRUE,FALSE)</f>
        <v>1</v>
      </c>
      <c r="G855" t="str">
        <f t="shared" si="56"/>
        <v>110-22: Conveyor and Elevator: Neoprene, Plastic, and Rubber</v>
      </c>
    </row>
    <row r="856" spans="1:7" x14ac:dyDescent="0.25">
      <c r="A856" s="1" t="str">
        <f t="shared" si="58"/>
        <v>110</v>
      </c>
      <c r="B856" s="1" t="str">
        <f>TEXT(26,"00")</f>
        <v>26</v>
      </c>
      <c r="C856" s="1" t="str">
        <f t="shared" si="55"/>
        <v>110-26</v>
      </c>
      <c r="D856" t="s">
        <v>853</v>
      </c>
      <c r="E856" t="b">
        <f>IF(COUNTIF(D856,"*"&amp;'Keyword Search'!$C$5&amp;"*"),TRUE,FALSE)</f>
        <v>1</v>
      </c>
      <c r="G856" t="str">
        <f t="shared" si="56"/>
        <v>110-26: Conveyor, Food Processing: Neoprene, Plastic, and Rubber (Inactive, effective January 1, 2016)</v>
      </c>
    </row>
    <row r="857" spans="1:7" x14ac:dyDescent="0.25">
      <c r="A857" s="1" t="str">
        <f t="shared" si="58"/>
        <v>110</v>
      </c>
      <c r="B857" s="1" t="str">
        <f>TEXT(33,"00")</f>
        <v>33</v>
      </c>
      <c r="C857" s="1" t="str">
        <f t="shared" si="55"/>
        <v>110-33</v>
      </c>
      <c r="D857" t="s">
        <v>854</v>
      </c>
      <c r="E857" t="b">
        <f>IF(COUNTIF(D857,"*"&amp;'Keyword Search'!$C$5&amp;"*"),TRUE,FALSE)</f>
        <v>1</v>
      </c>
      <c r="G857" t="str">
        <f t="shared" si="56"/>
        <v>110-33: Flat Belts: Automotive and Lawn Mower, Serpentine, Plain and Grooved, Rubber</v>
      </c>
    </row>
    <row r="858" spans="1:7" x14ac:dyDescent="0.25">
      <c r="A858" s="1" t="str">
        <f t="shared" si="58"/>
        <v>110</v>
      </c>
      <c r="B858" s="1" t="str">
        <f>TEXT(40,"00")</f>
        <v>40</v>
      </c>
      <c r="C858" s="1" t="str">
        <f t="shared" si="55"/>
        <v>110-40</v>
      </c>
      <c r="D858" t="s">
        <v>855</v>
      </c>
      <c r="E858" t="b">
        <f>IF(COUNTIF(D858,"*"&amp;'Keyword Search'!$C$5&amp;"*"),TRUE,FALSE)</f>
        <v>1</v>
      </c>
      <c r="G858" t="str">
        <f t="shared" si="56"/>
        <v>110-40: Power Transmission, Canvas or Duck</v>
      </c>
    </row>
    <row r="859" spans="1:7" x14ac:dyDescent="0.25">
      <c r="A859" s="1" t="str">
        <f t="shared" si="58"/>
        <v>110</v>
      </c>
      <c r="B859" s="1" t="str">
        <f>TEXT(48,"00")</f>
        <v>48</v>
      </c>
      <c r="C859" s="1" t="str">
        <f t="shared" si="55"/>
        <v>110-48</v>
      </c>
      <c r="D859" t="s">
        <v>856</v>
      </c>
      <c r="E859" t="b">
        <f>IF(COUNTIF(D859,"*"&amp;'Keyword Search'!$C$5&amp;"*"),TRUE,FALSE)</f>
        <v>1</v>
      </c>
      <c r="G859" t="str">
        <f t="shared" si="56"/>
        <v>110-48: Power Transmission, Leather</v>
      </c>
    </row>
    <row r="860" spans="1:7" x14ac:dyDescent="0.25">
      <c r="A860" s="1" t="str">
        <f t="shared" si="58"/>
        <v>110</v>
      </c>
      <c r="B860" s="1" t="str">
        <f>TEXT(56,"00")</f>
        <v>56</v>
      </c>
      <c r="C860" s="1" t="str">
        <f t="shared" si="55"/>
        <v>110-56</v>
      </c>
      <c r="D860" t="s">
        <v>857</v>
      </c>
      <c r="E860" t="b">
        <f>IF(COUNTIF(D860,"*"&amp;'Keyword Search'!$C$5&amp;"*"),TRUE,FALSE)</f>
        <v>1</v>
      </c>
      <c r="G860" t="str">
        <f t="shared" si="56"/>
        <v>110-56: Power Transmission: Neoprene, Plastic, and Rubber</v>
      </c>
    </row>
    <row r="861" spans="1:7" x14ac:dyDescent="0.25">
      <c r="A861" s="1" t="str">
        <f t="shared" si="58"/>
        <v>110</v>
      </c>
      <c r="B861" s="1" t="str">
        <f>TEXT(63,"00")</f>
        <v>63</v>
      </c>
      <c r="C861" s="1" t="str">
        <f t="shared" si="55"/>
        <v>110-63</v>
      </c>
      <c r="D861" t="s">
        <v>858</v>
      </c>
      <c r="E861" t="b">
        <f>IF(COUNTIF(D861,"*"&amp;'Keyword Search'!$C$5&amp;"*"),TRUE,FALSE)</f>
        <v>1</v>
      </c>
      <c r="G861" t="str">
        <f t="shared" si="56"/>
        <v>110-63: Recycled Automotive and Industrial Belts</v>
      </c>
    </row>
    <row r="862" spans="1:7" x14ac:dyDescent="0.25">
      <c r="A862" s="1" t="str">
        <f t="shared" si="58"/>
        <v>110</v>
      </c>
      <c r="B862" s="1" t="str">
        <f>TEXT(74,"00")</f>
        <v>74</v>
      </c>
      <c r="C862" s="1" t="str">
        <f t="shared" si="55"/>
        <v>110-74</v>
      </c>
      <c r="D862" t="s">
        <v>859</v>
      </c>
      <c r="E862" t="b">
        <f>IF(COUNTIF(D862,"*"&amp;'Keyword Search'!$C$5&amp;"*"),TRUE,FALSE)</f>
        <v>1</v>
      </c>
      <c r="G862" t="str">
        <f t="shared" si="56"/>
        <v>110-74: V-Belts, Automotive Fan and Generator</v>
      </c>
    </row>
    <row r="863" spans="1:7" x14ac:dyDescent="0.25">
      <c r="A863" s="1" t="str">
        <f t="shared" si="58"/>
        <v>110</v>
      </c>
      <c r="B863" s="1" t="str">
        <f>TEXT(82,"00")</f>
        <v>82</v>
      </c>
      <c r="C863" s="1" t="str">
        <f t="shared" si="55"/>
        <v>110-82</v>
      </c>
      <c r="D863" t="s">
        <v>860</v>
      </c>
      <c r="E863" t="b">
        <f>IF(COUNTIF(D863,"*"&amp;'Keyword Search'!$C$5&amp;"*"),TRUE,FALSE)</f>
        <v>1</v>
      </c>
      <c r="G863" t="str">
        <f t="shared" si="56"/>
        <v>110-82: V-Belts, Industrial</v>
      </c>
    </row>
    <row r="864" spans="1:7" x14ac:dyDescent="0.25">
      <c r="A864" s="1" t="str">
        <f t="shared" si="58"/>
        <v>110</v>
      </c>
      <c r="B864" s="1" t="str">
        <f>TEXT(90,"00")</f>
        <v>90</v>
      </c>
      <c r="C864" s="1" t="str">
        <f t="shared" si="55"/>
        <v>110-90</v>
      </c>
      <c r="D864" t="s">
        <v>861</v>
      </c>
      <c r="E864" t="b">
        <f>IF(COUNTIF(D864,"*"&amp;'Keyword Search'!$C$5&amp;"*"),TRUE,FALSE)</f>
        <v>1</v>
      </c>
      <c r="G864" t="str">
        <f t="shared" si="56"/>
        <v>110-90: V-Belts, Fractional Horsepower</v>
      </c>
    </row>
    <row r="865" spans="1:7" x14ac:dyDescent="0.25">
      <c r="A865" s="1" t="str">
        <f t="shared" si="58"/>
        <v>110</v>
      </c>
      <c r="B865" s="1" t="str">
        <f>TEXT(95,"00")</f>
        <v>95</v>
      </c>
      <c r="C865" s="1" t="str">
        <f t="shared" si="55"/>
        <v>110-95</v>
      </c>
      <c r="D865" t="s">
        <v>862</v>
      </c>
      <c r="E865" t="b">
        <f>IF(COUNTIF(D865,"*"&amp;'Keyword Search'!$C$5&amp;"*"),TRUE,FALSE)</f>
        <v>1</v>
      </c>
      <c r="G865" t="str">
        <f t="shared" si="56"/>
        <v>110-95: V-Belts, Wedge Type, Oil and Heat Resistant, and Static Conducting</v>
      </c>
    </row>
    <row r="866" spans="1:7" x14ac:dyDescent="0.25">
      <c r="A866" s="5" t="str">
        <f t="shared" ref="A866:A877" si="59">TEXT(115,"000")</f>
        <v>115</v>
      </c>
      <c r="B866" s="5" t="str">
        <f>TEXT(0,"00")</f>
        <v>00</v>
      </c>
      <c r="C866" s="1"/>
      <c r="D866" s="2" t="s">
        <v>863</v>
      </c>
    </row>
    <row r="867" spans="1:7" x14ac:dyDescent="0.25">
      <c r="A867" s="1" t="str">
        <f t="shared" si="59"/>
        <v>115</v>
      </c>
      <c r="B867" s="1" t="str">
        <f>TEXT(5,"00")</f>
        <v>05</v>
      </c>
      <c r="C867" s="1" t="str">
        <f t="shared" si="55"/>
        <v>115-05</v>
      </c>
      <c r="D867" t="s">
        <v>864</v>
      </c>
      <c r="E867" t="b">
        <f>IF(COUNTIF(D867,"*"&amp;'Keyword Search'!$C$5&amp;"*"),TRUE,FALSE)</f>
        <v>1</v>
      </c>
      <c r="G867" t="str">
        <f t="shared" si="56"/>
        <v>115-05: Biochemical Reagents and Tests: Antibiotic Assays, Differentiation Discs, etc.</v>
      </c>
    </row>
    <row r="868" spans="1:7" x14ac:dyDescent="0.25">
      <c r="A868" s="1" t="str">
        <f t="shared" si="59"/>
        <v>115</v>
      </c>
      <c r="B868" s="1" t="str">
        <f>TEXT(10,"00")</f>
        <v>10</v>
      </c>
      <c r="C868" s="1" t="str">
        <f t="shared" si="55"/>
        <v>115-10</v>
      </c>
      <c r="D868" t="s">
        <v>865</v>
      </c>
      <c r="E868" t="b">
        <f>IF(COUNTIF(D868,"*"&amp;'Keyword Search'!$C$5&amp;"*"),TRUE,FALSE)</f>
        <v>1</v>
      </c>
      <c r="G868" t="str">
        <f t="shared" si="56"/>
        <v>115-10: Biochemicals: Amino Acids, Enzymes, Nucleotides, Peptides, etc.</v>
      </c>
    </row>
    <row r="869" spans="1:7" x14ac:dyDescent="0.25">
      <c r="A869" s="1" t="str">
        <f t="shared" si="59"/>
        <v>115</v>
      </c>
      <c r="B869" s="1" t="str">
        <f>TEXT(12,"00")</f>
        <v>12</v>
      </c>
      <c r="C869" s="1" t="str">
        <f t="shared" si="55"/>
        <v>115-12</v>
      </c>
      <c r="D869" t="s">
        <v>866</v>
      </c>
      <c r="E869" t="b">
        <f>IF(COUNTIF(D869,"*"&amp;'Keyword Search'!$C$5&amp;"*"),TRUE,FALSE)</f>
        <v>1</v>
      </c>
      <c r="G869" t="str">
        <f t="shared" si="56"/>
        <v>115-12: Blood Fractions, Not for Human Use: Antigens, Antiserums, Controls, Serums, etc.</v>
      </c>
    </row>
    <row r="870" spans="1:7" x14ac:dyDescent="0.25">
      <c r="A870" s="1" t="str">
        <f t="shared" si="59"/>
        <v>115</v>
      </c>
      <c r="B870" s="1" t="str">
        <f>TEXT(14,"00")</f>
        <v>14</v>
      </c>
      <c r="C870" s="1" t="str">
        <f t="shared" si="55"/>
        <v>115-14</v>
      </c>
      <c r="D870" t="s">
        <v>867</v>
      </c>
      <c r="E870" t="b">
        <f>IF(COUNTIF(D870,"*"&amp;'Keyword Search'!$C$5&amp;"*"),TRUE,FALSE)</f>
        <v>1</v>
      </c>
      <c r="G870" t="str">
        <f t="shared" si="56"/>
        <v>115-14: Catalysts, Biochemical</v>
      </c>
    </row>
    <row r="871" spans="1:7" x14ac:dyDescent="0.25">
      <c r="A871" s="1" t="str">
        <f t="shared" si="59"/>
        <v>115</v>
      </c>
      <c r="B871" s="1" t="str">
        <f>TEXT(15,"00")</f>
        <v>15</v>
      </c>
      <c r="C871" s="1" t="str">
        <f t="shared" si="55"/>
        <v>115-15</v>
      </c>
      <c r="D871" t="s">
        <v>868</v>
      </c>
      <c r="E871" t="b">
        <f>IF(COUNTIF(D871,"*"&amp;'Keyword Search'!$C$5&amp;"*"),TRUE,FALSE)</f>
        <v>1</v>
      </c>
      <c r="G871" t="str">
        <f t="shared" si="56"/>
        <v>115-15: Chemicals, Isotopically Labeled, With Deuterium, Radionuclides, etc.</v>
      </c>
    </row>
    <row r="872" spans="1:7" x14ac:dyDescent="0.25">
      <c r="A872" s="1" t="str">
        <f t="shared" si="59"/>
        <v>115</v>
      </c>
      <c r="B872" s="1" t="str">
        <f>TEXT(18,"00")</f>
        <v>18</v>
      </c>
      <c r="C872" s="1" t="str">
        <f t="shared" si="55"/>
        <v>115-18</v>
      </c>
      <c r="D872" t="s">
        <v>869</v>
      </c>
      <c r="E872" t="b">
        <f>IF(COUNTIF(D872,"*"&amp;'Keyword Search'!$C$5&amp;"*"),TRUE,FALSE)</f>
        <v>1</v>
      </c>
      <c r="G872" t="str">
        <f t="shared" si="56"/>
        <v>115-18: Culture Media, Dehydrated</v>
      </c>
    </row>
    <row r="873" spans="1:7" x14ac:dyDescent="0.25">
      <c r="A873" s="1" t="str">
        <f t="shared" si="59"/>
        <v>115</v>
      </c>
      <c r="B873" s="1" t="str">
        <f>TEXT(19,"00")</f>
        <v>19</v>
      </c>
      <c r="C873" s="1" t="str">
        <f t="shared" si="55"/>
        <v>115-19</v>
      </c>
      <c r="D873" t="s">
        <v>870</v>
      </c>
      <c r="E873" t="b">
        <f>IF(COUNTIF(D873,"*"&amp;'Keyword Search'!$C$5&amp;"*"),TRUE,FALSE)</f>
        <v>1</v>
      </c>
      <c r="G873" t="str">
        <f t="shared" si="56"/>
        <v>115-19: Culture Media, Prepared, (See 495-38 For Microbial Cultures)</v>
      </c>
    </row>
    <row r="874" spans="1:7" x14ac:dyDescent="0.25">
      <c r="A874" s="1" t="str">
        <f t="shared" si="59"/>
        <v>115</v>
      </c>
      <c r="B874" s="1" t="str">
        <f>TEXT(50,"00")</f>
        <v>50</v>
      </c>
      <c r="C874" s="1" t="str">
        <f t="shared" si="55"/>
        <v>115-50</v>
      </c>
      <c r="D874" t="s">
        <v>871</v>
      </c>
      <c r="E874" t="b">
        <f>IF(COUNTIF(D874,"*"&amp;'Keyword Search'!$C$5&amp;"*"),TRUE,FALSE)</f>
        <v>1</v>
      </c>
      <c r="G874" t="str">
        <f t="shared" si="56"/>
        <v>115-50: Nutritional Chemicals, Not For Human Use: Carbohydrates, Proteins, Vitamins, etc.</v>
      </c>
    </row>
    <row r="875" spans="1:7" x14ac:dyDescent="0.25">
      <c r="A875" s="1" t="str">
        <f t="shared" si="59"/>
        <v>115</v>
      </c>
      <c r="B875" s="1" t="str">
        <f>TEXT(67,"00")</f>
        <v>67</v>
      </c>
      <c r="C875" s="1" t="str">
        <f t="shared" si="55"/>
        <v>115-67</v>
      </c>
      <c r="D875" t="s">
        <v>872</v>
      </c>
      <c r="E875" t="b">
        <f>IF(COUNTIF(D875,"*"&amp;'Keyword Search'!$C$5&amp;"*"),TRUE,FALSE)</f>
        <v>1</v>
      </c>
      <c r="G875" t="str">
        <f t="shared" si="56"/>
        <v>115-67: Recycled Biochemicals</v>
      </c>
    </row>
    <row r="876" spans="1:7" x14ac:dyDescent="0.25">
      <c r="A876" s="1" t="str">
        <f t="shared" si="59"/>
        <v>115</v>
      </c>
      <c r="B876" s="1" t="str">
        <f>TEXT(70,"00")</f>
        <v>70</v>
      </c>
      <c r="C876" s="1" t="str">
        <f t="shared" si="55"/>
        <v>115-70</v>
      </c>
      <c r="D876" t="s">
        <v>873</v>
      </c>
      <c r="E876" t="b">
        <f>IF(COUNTIF(D876,"*"&amp;'Keyword Search'!$C$5&amp;"*"),TRUE,FALSE)</f>
        <v>1</v>
      </c>
      <c r="G876" t="str">
        <f t="shared" si="56"/>
        <v>115-70: Research Diets, Special Purpose, For Experimental Animals, Including Diets for Beneficial Insects</v>
      </c>
    </row>
    <row r="877" spans="1:7" x14ac:dyDescent="0.25">
      <c r="A877" s="1" t="str">
        <f t="shared" si="59"/>
        <v>115</v>
      </c>
      <c r="B877" s="1" t="str">
        <f>TEXT(90,"00")</f>
        <v>90</v>
      </c>
      <c r="C877" s="1" t="str">
        <f t="shared" si="55"/>
        <v>115-90</v>
      </c>
      <c r="D877" t="s">
        <v>874</v>
      </c>
      <c r="E877" t="b">
        <f>IF(COUNTIF(D877,"*"&amp;'Keyword Search'!$C$5&amp;"*"),TRUE,FALSE)</f>
        <v>1</v>
      </c>
      <c r="G877" t="str">
        <f t="shared" si="56"/>
        <v>115-90: Stains, Prepared</v>
      </c>
    </row>
    <row r="878" spans="1:7" x14ac:dyDescent="0.25">
      <c r="A878" s="5" t="str">
        <f t="shared" ref="A878:A941" si="60">TEXT(120,"000")</f>
        <v>120</v>
      </c>
      <c r="B878" s="5" t="str">
        <f>TEXT(0,"00")</f>
        <v>00</v>
      </c>
      <c r="C878" s="1"/>
      <c r="D878" s="2" t="s">
        <v>875</v>
      </c>
    </row>
    <row r="879" spans="1:7" x14ac:dyDescent="0.25">
      <c r="A879" s="1" t="str">
        <f t="shared" si="60"/>
        <v>120</v>
      </c>
      <c r="B879" s="1" t="str">
        <f>TEXT(5,"00")</f>
        <v>05</v>
      </c>
      <c r="C879" s="1" t="str">
        <f t="shared" si="55"/>
        <v>120-05</v>
      </c>
      <c r="D879" t="s">
        <v>876</v>
      </c>
      <c r="E879" t="b">
        <f>IF(COUNTIF(D879,"*"&amp;'Keyword Search'!$C$5&amp;"*"),TRUE,FALSE)</f>
        <v>1</v>
      </c>
      <c r="G879" t="str">
        <f t="shared" si="56"/>
        <v>120-05: Agitators, Fish Tank</v>
      </c>
    </row>
    <row r="880" spans="1:7" x14ac:dyDescent="0.25">
      <c r="A880" s="1" t="str">
        <f t="shared" si="60"/>
        <v>120</v>
      </c>
      <c r="B880" s="1" t="str">
        <f>TEXT(8,"00")</f>
        <v>08</v>
      </c>
      <c r="C880" s="1" t="str">
        <f t="shared" si="55"/>
        <v>120-08</v>
      </c>
      <c r="D880" t="s">
        <v>877</v>
      </c>
      <c r="E880" t="b">
        <f>IF(COUNTIF(D880,"*"&amp;'Keyword Search'!$C$5&amp;"*"),TRUE,FALSE)</f>
        <v>1</v>
      </c>
      <c r="G880" t="str">
        <f t="shared" si="56"/>
        <v>120-08: Airboats and Inflatable Boats</v>
      </c>
    </row>
    <row r="881" spans="1:7" x14ac:dyDescent="0.25">
      <c r="A881" s="1" t="str">
        <f t="shared" si="60"/>
        <v>120</v>
      </c>
      <c r="B881" s="1" t="str">
        <f>TEXT(9,"00")</f>
        <v>09</v>
      </c>
      <c r="C881" s="1" t="str">
        <f t="shared" si="55"/>
        <v>120-09</v>
      </c>
      <c r="D881" t="s">
        <v>878</v>
      </c>
      <c r="E881" t="b">
        <f>IF(COUNTIF(D881,"*"&amp;'Keyword Search'!$C$5&amp;"*"),TRUE,FALSE)</f>
        <v>1</v>
      </c>
      <c r="G881" t="str">
        <f t="shared" si="56"/>
        <v>120-09: Anodes, Including Parts and Accessories</v>
      </c>
    </row>
    <row r="882" spans="1:7" x14ac:dyDescent="0.25">
      <c r="A882" s="1" t="str">
        <f t="shared" si="60"/>
        <v>120</v>
      </c>
      <c r="B882" s="1" t="str">
        <f>TEXT(10,"00")</f>
        <v>10</v>
      </c>
      <c r="C882" s="1" t="str">
        <f t="shared" si="55"/>
        <v>120-10</v>
      </c>
      <c r="D882" t="s">
        <v>879</v>
      </c>
      <c r="E882" t="b">
        <f>IF(COUNTIF(D882,"*"&amp;'Keyword Search'!$C$5&amp;"*"),TRUE,FALSE)</f>
        <v>1</v>
      </c>
      <c r="G882" t="str">
        <f t="shared" si="56"/>
        <v>120-10: Anchors</v>
      </c>
    </row>
    <row r="883" spans="1:7" x14ac:dyDescent="0.25">
      <c r="A883" s="1" t="str">
        <f t="shared" si="60"/>
        <v>120</v>
      </c>
      <c r="B883" s="1" t="str">
        <f>TEXT(11,"00")</f>
        <v>11</v>
      </c>
      <c r="C883" s="1" t="str">
        <f t="shared" si="55"/>
        <v>120-11</v>
      </c>
      <c r="D883" t="s">
        <v>880</v>
      </c>
      <c r="E883" t="b">
        <f>IF(COUNTIF(D883,"*"&amp;'Keyword Search'!$C$5&amp;"*"),TRUE,FALSE)</f>
        <v>1</v>
      </c>
      <c r="G883" t="str">
        <f t="shared" si="56"/>
        <v>120-11: Animal Capture Guns and Accessories</v>
      </c>
    </row>
    <row r="884" spans="1:7" x14ac:dyDescent="0.25">
      <c r="A884" s="1" t="str">
        <f t="shared" si="60"/>
        <v>120</v>
      </c>
      <c r="B884" s="1" t="str">
        <f>TEXT(12,"00")</f>
        <v>12</v>
      </c>
      <c r="C884" s="1" t="str">
        <f t="shared" si="55"/>
        <v>120-12</v>
      </c>
      <c r="D884" t="s">
        <v>881</v>
      </c>
      <c r="E884" t="b">
        <f>IF(COUNTIF(D884,"*"&amp;'Keyword Search'!$C$5&amp;"*"),TRUE,FALSE)</f>
        <v>1</v>
      </c>
      <c r="G884" t="str">
        <f t="shared" si="56"/>
        <v>120-12: Bait, Fish</v>
      </c>
    </row>
    <row r="885" spans="1:7" x14ac:dyDescent="0.25">
      <c r="A885" s="1" t="str">
        <f t="shared" si="60"/>
        <v>120</v>
      </c>
      <c r="B885" s="1" t="str">
        <f>TEXT(13,"00")</f>
        <v>13</v>
      </c>
      <c r="C885" s="1" t="str">
        <f t="shared" si="55"/>
        <v>120-13</v>
      </c>
      <c r="D885" t="s">
        <v>882</v>
      </c>
      <c r="E885" t="b">
        <f>IF(COUNTIF(D885,"*"&amp;'Keyword Search'!$C$5&amp;"*"),TRUE,FALSE)</f>
        <v>1</v>
      </c>
      <c r="G885" t="str">
        <f t="shared" si="56"/>
        <v>120-13: Battery Boxes and Battery Chargers, Marine</v>
      </c>
    </row>
    <row r="886" spans="1:7" x14ac:dyDescent="0.25">
      <c r="A886" s="1" t="str">
        <f t="shared" si="60"/>
        <v>120</v>
      </c>
      <c r="B886" s="1" t="str">
        <f>TEXT(14,"00")</f>
        <v>14</v>
      </c>
      <c r="C886" s="1" t="str">
        <f t="shared" si="55"/>
        <v>120-14</v>
      </c>
      <c r="D886" t="s">
        <v>883</v>
      </c>
      <c r="E886" t="b">
        <f>IF(COUNTIF(D886,"*"&amp;'Keyword Search'!$C$5&amp;"*"),TRUE,FALSE)</f>
        <v>1</v>
      </c>
      <c r="G886" t="str">
        <f t="shared" si="56"/>
        <v>120-14: Barges</v>
      </c>
    </row>
    <row r="887" spans="1:7" x14ac:dyDescent="0.25">
      <c r="A887" s="1" t="str">
        <f t="shared" si="60"/>
        <v>120</v>
      </c>
      <c r="B887" s="1" t="str">
        <f>TEXT(15,"00")</f>
        <v>15</v>
      </c>
      <c r="C887" s="1" t="str">
        <f t="shared" si="55"/>
        <v>120-15</v>
      </c>
      <c r="D887" t="s">
        <v>884</v>
      </c>
      <c r="E887" t="b">
        <f>IF(COUNTIF(D887,"*"&amp;'Keyword Search'!$C$5&amp;"*"),TRUE,FALSE)</f>
        <v>1</v>
      </c>
      <c r="G887" t="str">
        <f t="shared" si="56"/>
        <v>120-15: Bells, Ship</v>
      </c>
    </row>
    <row r="888" spans="1:7" x14ac:dyDescent="0.25">
      <c r="A888" s="1" t="str">
        <f t="shared" si="60"/>
        <v>120</v>
      </c>
      <c r="B888" s="1" t="str">
        <f>TEXT(16,"00")</f>
        <v>16</v>
      </c>
      <c r="C888" s="1" t="str">
        <f t="shared" si="55"/>
        <v>120-16</v>
      </c>
      <c r="D888" t="s">
        <v>885</v>
      </c>
      <c r="E888" t="b">
        <f>IF(COUNTIF(D888,"*"&amp;'Keyword Search'!$C$5&amp;"*"),TRUE,FALSE)</f>
        <v>1</v>
      </c>
      <c r="G888" t="str">
        <f t="shared" si="56"/>
        <v>120-16: Bilge Pumps and Boat Bailers</v>
      </c>
    </row>
    <row r="889" spans="1:7" x14ac:dyDescent="0.25">
      <c r="A889" s="1" t="str">
        <f t="shared" si="60"/>
        <v>120</v>
      </c>
      <c r="B889" s="1" t="str">
        <f>TEXT(17,"00")</f>
        <v>17</v>
      </c>
      <c r="C889" s="1" t="str">
        <f t="shared" si="55"/>
        <v>120-17</v>
      </c>
      <c r="D889" t="s">
        <v>886</v>
      </c>
      <c r="E889" t="b">
        <f>IF(COUNTIF(D889,"*"&amp;'Keyword Search'!$C$5&amp;"*"),TRUE,FALSE)</f>
        <v>1</v>
      </c>
      <c r="G889" t="str">
        <f t="shared" si="56"/>
        <v>120-17: Control Systems, Boat, Ship, Marine, Environmental</v>
      </c>
    </row>
    <row r="890" spans="1:7" x14ac:dyDescent="0.25">
      <c r="A890" s="1" t="str">
        <f t="shared" si="60"/>
        <v>120</v>
      </c>
      <c r="B890" s="1" t="str">
        <f>TEXT(18,"00")</f>
        <v>18</v>
      </c>
      <c r="C890" s="1" t="str">
        <f t="shared" si="55"/>
        <v>120-18</v>
      </c>
      <c r="D890" t="s">
        <v>887</v>
      </c>
      <c r="E890" t="b">
        <f>IF(COUNTIF(D890,"*"&amp;'Keyword Search'!$C$5&amp;"*"),TRUE,FALSE)</f>
        <v>1</v>
      </c>
      <c r="G890" t="str">
        <f t="shared" si="56"/>
        <v>120-18: Boat Components (Not Otherwise Classified)</v>
      </c>
    </row>
    <row r="891" spans="1:7" x14ac:dyDescent="0.25">
      <c r="A891" s="1" t="str">
        <f t="shared" si="60"/>
        <v>120</v>
      </c>
      <c r="B891" s="1" t="str">
        <f>TEXT(19,"00")</f>
        <v>19</v>
      </c>
      <c r="C891" s="1" t="str">
        <f t="shared" si="55"/>
        <v>120-19</v>
      </c>
      <c r="D891" t="s">
        <v>888</v>
      </c>
      <c r="E891" t="b">
        <f>IF(COUNTIF(D891,"*"&amp;'Keyword Search'!$C$5&amp;"*"),TRUE,FALSE)</f>
        <v>1</v>
      </c>
      <c r="G891" t="str">
        <f t="shared" si="56"/>
        <v>120-19: Boat Fenders</v>
      </c>
    </row>
    <row r="892" spans="1:7" x14ac:dyDescent="0.25">
      <c r="A892" s="1" t="str">
        <f t="shared" si="60"/>
        <v>120</v>
      </c>
      <c r="B892" s="1" t="str">
        <f>TEXT(20,"00")</f>
        <v>20</v>
      </c>
      <c r="C892" s="1" t="str">
        <f t="shared" si="55"/>
        <v>120-20</v>
      </c>
      <c r="D892" t="s">
        <v>889</v>
      </c>
      <c r="E892" t="b">
        <f>IF(COUNTIF(D892,"*"&amp;'Keyword Search'!$C$5&amp;"*"),TRUE,FALSE)</f>
        <v>1</v>
      </c>
      <c r="G892" t="str">
        <f t="shared" si="56"/>
        <v>120-20: Boat Ramps and Parts</v>
      </c>
    </row>
    <row r="893" spans="1:7" x14ac:dyDescent="0.25">
      <c r="A893" s="1" t="str">
        <f t="shared" si="60"/>
        <v>120</v>
      </c>
      <c r="B893" s="1" t="str">
        <f>TEXT(21,"00")</f>
        <v>21</v>
      </c>
      <c r="C893" s="1" t="str">
        <f t="shared" si="55"/>
        <v>120-21</v>
      </c>
      <c r="D893" t="s">
        <v>890</v>
      </c>
      <c r="E893" t="b">
        <f>IF(COUNTIF(D893,"*"&amp;'Keyword Search'!$C$5&amp;"*"),TRUE,FALSE)</f>
        <v>1</v>
      </c>
      <c r="G893" t="str">
        <f t="shared" si="56"/>
        <v>120-21: Boats, 21 Feet and Under</v>
      </c>
    </row>
    <row r="894" spans="1:7" x14ac:dyDescent="0.25">
      <c r="A894" s="1" t="str">
        <f t="shared" si="60"/>
        <v>120</v>
      </c>
      <c r="B894" s="1" t="str">
        <f>TEXT(22,"00")</f>
        <v>22</v>
      </c>
      <c r="C894" s="1" t="str">
        <f t="shared" si="55"/>
        <v>120-22</v>
      </c>
      <c r="D894" t="s">
        <v>891</v>
      </c>
      <c r="E894" t="b">
        <f>IF(COUNTIF(D894,"*"&amp;'Keyword Search'!$C$5&amp;"*"),TRUE,FALSE)</f>
        <v>1</v>
      </c>
      <c r="G894" t="str">
        <f t="shared" si="56"/>
        <v>120-22: Boats, Recreational (Not Otherwise Classified)</v>
      </c>
    </row>
    <row r="895" spans="1:7" x14ac:dyDescent="0.25">
      <c r="A895" s="1" t="str">
        <f t="shared" si="60"/>
        <v>120</v>
      </c>
      <c r="B895" s="1" t="str">
        <f>TEXT(23,"00")</f>
        <v>23</v>
      </c>
      <c r="C895" s="1" t="str">
        <f t="shared" si="55"/>
        <v>120-23</v>
      </c>
      <c r="D895" t="s">
        <v>892</v>
      </c>
      <c r="E895" t="b">
        <f>IF(COUNTIF(D895,"*"&amp;'Keyword Search'!$C$5&amp;"*"),TRUE,FALSE)</f>
        <v>1</v>
      </c>
      <c r="G895" t="str">
        <f t="shared" si="56"/>
        <v>120-23: Boats, Over 21 Feet, Including Ferries</v>
      </c>
    </row>
    <row r="896" spans="1:7" x14ac:dyDescent="0.25">
      <c r="A896" s="1" t="str">
        <f t="shared" si="60"/>
        <v>120</v>
      </c>
      <c r="B896" s="1" t="str">
        <f>TEXT(24,"00")</f>
        <v>24</v>
      </c>
      <c r="C896" s="1" t="str">
        <f t="shared" si="55"/>
        <v>120-24</v>
      </c>
      <c r="D896" t="s">
        <v>893</v>
      </c>
      <c r="E896" t="b">
        <f>IF(COUNTIF(D896,"*"&amp;'Keyword Search'!$C$5&amp;"*"),TRUE,FALSE)</f>
        <v>1</v>
      </c>
      <c r="G896" t="str">
        <f t="shared" si="56"/>
        <v>120-24: Boats, Pedal and Pontoon</v>
      </c>
    </row>
    <row r="897" spans="1:7" x14ac:dyDescent="0.25">
      <c r="A897" s="1" t="str">
        <f t="shared" si="60"/>
        <v>120</v>
      </c>
      <c r="B897" s="1" t="str">
        <f>TEXT(25,"00")</f>
        <v>25</v>
      </c>
      <c r="C897" s="1" t="str">
        <f t="shared" si="55"/>
        <v>120-25</v>
      </c>
      <c r="D897" t="s">
        <v>894</v>
      </c>
      <c r="E897" t="b">
        <f>IF(COUNTIF(D897,"*"&amp;'Keyword Search'!$C$5&amp;"*"),TRUE,FALSE)</f>
        <v>1</v>
      </c>
      <c r="G897" t="str">
        <f t="shared" si="56"/>
        <v>120-25: Bridges, Passenger Loading</v>
      </c>
    </row>
    <row r="898" spans="1:7" x14ac:dyDescent="0.25">
      <c r="A898" s="1" t="str">
        <f t="shared" si="60"/>
        <v>120</v>
      </c>
      <c r="B898" s="1" t="str">
        <f>TEXT(26,"00")</f>
        <v>26</v>
      </c>
      <c r="C898" s="1" t="str">
        <f t="shared" si="55"/>
        <v>120-26</v>
      </c>
      <c r="D898" t="s">
        <v>895</v>
      </c>
      <c r="E898" t="b">
        <f>IF(COUNTIF(D898,"*"&amp;'Keyword Search'!$C$5&amp;"*"),TRUE,FALSE)</f>
        <v>1</v>
      </c>
      <c r="G898" t="str">
        <f t="shared" si="56"/>
        <v>120-26: Buoys, Marker</v>
      </c>
    </row>
    <row r="899" spans="1:7" x14ac:dyDescent="0.25">
      <c r="A899" s="1" t="str">
        <f t="shared" si="60"/>
        <v>120</v>
      </c>
      <c r="B899" s="1" t="str">
        <f>TEXT(27,"00")</f>
        <v>27</v>
      </c>
      <c r="C899" s="1" t="str">
        <f t="shared" ref="C899:C962" si="61">CONCATENATE(A899,"-",B899)</f>
        <v>120-27</v>
      </c>
      <c r="D899" t="s">
        <v>896</v>
      </c>
      <c r="E899" t="b">
        <f>IF(COUNTIF(D899,"*"&amp;'Keyword Search'!$C$5&amp;"*"),TRUE,FALSE)</f>
        <v>1</v>
      </c>
      <c r="G899" t="str">
        <f t="shared" si="56"/>
        <v>120-27: Bollards, Mooring Devices</v>
      </c>
    </row>
    <row r="900" spans="1:7" x14ac:dyDescent="0.25">
      <c r="A900" s="1" t="str">
        <f t="shared" si="60"/>
        <v>120</v>
      </c>
      <c r="B900" s="1" t="str">
        <f>TEXT(28,"00")</f>
        <v>28</v>
      </c>
      <c r="C900" s="1" t="str">
        <f t="shared" si="61"/>
        <v>120-28</v>
      </c>
      <c r="D900" t="s">
        <v>897</v>
      </c>
      <c r="E900" t="b">
        <f>IF(COUNTIF(D900,"*"&amp;'Keyword Search'!$C$5&amp;"*"),TRUE,FALSE)</f>
        <v>1</v>
      </c>
      <c r="G900" t="str">
        <f t="shared" ref="G900:G963" si="62">CONCATENATE(C900,": ",D900)</f>
        <v>120-28: Communications Equipment, Marine</v>
      </c>
    </row>
    <row r="901" spans="1:7" x14ac:dyDescent="0.25">
      <c r="A901" s="1" t="str">
        <f t="shared" si="60"/>
        <v>120</v>
      </c>
      <c r="B901" s="1" t="str">
        <f>TEXT(29,"00")</f>
        <v>29</v>
      </c>
      <c r="C901" s="1" t="str">
        <f t="shared" si="61"/>
        <v>120-29</v>
      </c>
      <c r="D901" t="s">
        <v>898</v>
      </c>
      <c r="E901" t="b">
        <f>IF(COUNTIF(D901,"*"&amp;'Keyword Search'!$C$5&amp;"*"),TRUE,FALSE)</f>
        <v>1</v>
      </c>
      <c r="G901" t="str">
        <f t="shared" si="62"/>
        <v>120-29: Camels, Structure to Lift Submerged Vessels</v>
      </c>
    </row>
    <row r="902" spans="1:7" x14ac:dyDescent="0.25">
      <c r="A902" s="1" t="str">
        <f t="shared" si="60"/>
        <v>120</v>
      </c>
      <c r="B902" s="1" t="str">
        <f>TEXT(30,"00")</f>
        <v>30</v>
      </c>
      <c r="C902" s="1" t="str">
        <f t="shared" si="61"/>
        <v>120-30</v>
      </c>
      <c r="D902" t="s">
        <v>899</v>
      </c>
      <c r="E902" t="b">
        <f>IF(COUNTIF(D902,"*"&amp;'Keyword Search'!$C$5&amp;"*"),TRUE,FALSE)</f>
        <v>1</v>
      </c>
      <c r="G902" t="str">
        <f t="shared" si="62"/>
        <v>120-30: Canoes and Kayaks</v>
      </c>
    </row>
    <row r="903" spans="1:7" x14ac:dyDescent="0.25">
      <c r="A903" s="1" t="str">
        <f t="shared" si="60"/>
        <v>120</v>
      </c>
      <c r="B903" s="1" t="str">
        <f>TEXT(31,"00")</f>
        <v>31</v>
      </c>
      <c r="C903" s="1" t="str">
        <f t="shared" si="61"/>
        <v>120-31</v>
      </c>
      <c r="D903" t="s">
        <v>900</v>
      </c>
      <c r="E903" t="b">
        <f>IF(COUNTIF(D903,"*"&amp;'Keyword Search'!$C$5&amp;"*"),TRUE,FALSE)</f>
        <v>1</v>
      </c>
      <c r="G903" t="str">
        <f t="shared" si="62"/>
        <v>120-31: Cranes, Container</v>
      </c>
    </row>
    <row r="904" spans="1:7" x14ac:dyDescent="0.25">
      <c r="A904" s="1" t="str">
        <f t="shared" si="60"/>
        <v>120</v>
      </c>
      <c r="B904" s="1" t="str">
        <f>TEXT(32,"00")</f>
        <v>32</v>
      </c>
      <c r="C904" s="1" t="str">
        <f t="shared" si="61"/>
        <v>120-32</v>
      </c>
      <c r="D904" t="s">
        <v>901</v>
      </c>
      <c r="E904" t="b">
        <f>IF(COUNTIF(D904,"*"&amp;'Keyword Search'!$C$5&amp;"*"),TRUE,FALSE)</f>
        <v>1</v>
      </c>
      <c r="G904" t="str">
        <f t="shared" si="62"/>
        <v>120-32: Chiller, Water, Large Flow Capacity to Chill Hatchery Water</v>
      </c>
    </row>
    <row r="905" spans="1:7" x14ac:dyDescent="0.25">
      <c r="A905" s="1" t="str">
        <f t="shared" si="60"/>
        <v>120</v>
      </c>
      <c r="B905" s="1" t="str">
        <f>TEXT(33,"00")</f>
        <v>33</v>
      </c>
      <c r="C905" s="1" t="str">
        <f t="shared" si="61"/>
        <v>120-33</v>
      </c>
      <c r="D905" t="s">
        <v>902</v>
      </c>
      <c r="E905" t="b">
        <f>IF(COUNTIF(D905,"*"&amp;'Keyword Search'!$C$5&amp;"*"),TRUE,FALSE)</f>
        <v>1</v>
      </c>
      <c r="G905" t="str">
        <f t="shared" si="62"/>
        <v>120-33: Depth Finders or Indicators</v>
      </c>
    </row>
    <row r="906" spans="1:7" x14ac:dyDescent="0.25">
      <c r="A906" s="1" t="str">
        <f t="shared" si="60"/>
        <v>120</v>
      </c>
      <c r="B906" s="1" t="str">
        <f>TEXT(34,"00")</f>
        <v>34</v>
      </c>
      <c r="C906" s="1" t="str">
        <f t="shared" si="61"/>
        <v>120-34</v>
      </c>
      <c r="D906" t="s">
        <v>903</v>
      </c>
      <c r="E906" t="b">
        <f>IF(COUNTIF(D906,"*"&amp;'Keyword Search'!$C$5&amp;"*"),TRUE,FALSE)</f>
        <v>1</v>
      </c>
      <c r="G906" t="str">
        <f t="shared" si="62"/>
        <v>120-34: Culture Equipment and Supplies, Fish, Aquaculture; Pisciculture</v>
      </c>
    </row>
    <row r="907" spans="1:7" x14ac:dyDescent="0.25">
      <c r="A907" s="1" t="str">
        <f t="shared" si="60"/>
        <v>120</v>
      </c>
      <c r="B907" s="1" t="str">
        <f>TEXT(35,"00")</f>
        <v>35</v>
      </c>
      <c r="C907" s="1" t="str">
        <f t="shared" si="61"/>
        <v>120-35</v>
      </c>
      <c r="D907" t="s">
        <v>904</v>
      </c>
      <c r="E907" t="b">
        <f>IF(COUNTIF(D907,"*"&amp;'Keyword Search'!$C$5&amp;"*"),TRUE,FALSE)</f>
        <v>1</v>
      </c>
      <c r="G907" t="str">
        <f t="shared" si="62"/>
        <v>120-35: Docks and Piers, Fixed and Floating: Dock Systems, Gangways, Marinas, Wharfs, etc.</v>
      </c>
    </row>
    <row r="908" spans="1:7" x14ac:dyDescent="0.25">
      <c r="A908" s="1" t="str">
        <f t="shared" si="60"/>
        <v>120</v>
      </c>
      <c r="B908" s="1" t="str">
        <f>TEXT(36,"00")</f>
        <v>36</v>
      </c>
      <c r="C908" s="1" t="str">
        <f t="shared" si="61"/>
        <v>120-36</v>
      </c>
      <c r="D908" t="s">
        <v>905</v>
      </c>
      <c r="E908" t="b">
        <f>IF(COUNTIF(D908,"*"&amp;'Keyword Search'!$C$5&amp;"*"),TRUE,FALSE)</f>
        <v>1</v>
      </c>
      <c r="G908" t="str">
        <f t="shared" si="62"/>
        <v>120-36: Electrical Parts and Accessories, Marine</v>
      </c>
    </row>
    <row r="909" spans="1:7" x14ac:dyDescent="0.25">
      <c r="A909" s="1" t="str">
        <f t="shared" si="60"/>
        <v>120</v>
      </c>
      <c r="B909" s="1" t="str">
        <f>TEXT(37,"00")</f>
        <v>37</v>
      </c>
      <c r="C909" s="1" t="str">
        <f t="shared" si="61"/>
        <v>120-37</v>
      </c>
      <c r="D909" t="s">
        <v>906</v>
      </c>
      <c r="E909" t="b">
        <f>IF(COUNTIF(D909,"*"&amp;'Keyword Search'!$C$5&amp;"*"),TRUE,FALSE)</f>
        <v>1</v>
      </c>
      <c r="G909" t="str">
        <f t="shared" si="62"/>
        <v>120-37: Fish Locators and Shockers</v>
      </c>
    </row>
    <row r="910" spans="1:7" x14ac:dyDescent="0.25">
      <c r="A910" s="1" t="str">
        <f t="shared" si="60"/>
        <v>120</v>
      </c>
      <c r="B910" s="1" t="str">
        <f>TEXT(38,"00")</f>
        <v>38</v>
      </c>
      <c r="C910" s="1" t="str">
        <f t="shared" si="61"/>
        <v>120-38</v>
      </c>
      <c r="D910" t="s">
        <v>907</v>
      </c>
      <c r="E910" t="b">
        <f>IF(COUNTIF(D910,"*"&amp;'Keyword Search'!$C$5&amp;"*"),TRUE,FALSE)</f>
        <v>1</v>
      </c>
      <c r="G910" t="str">
        <f t="shared" si="62"/>
        <v>120-38: Fish and Marine Life Incubators, Accessories and Related Equipment</v>
      </c>
    </row>
    <row r="911" spans="1:7" x14ac:dyDescent="0.25">
      <c r="A911" s="1" t="str">
        <f t="shared" si="60"/>
        <v>120</v>
      </c>
      <c r="B911" s="1" t="str">
        <f>TEXT(39,"00")</f>
        <v>39</v>
      </c>
      <c r="C911" s="1" t="str">
        <f t="shared" si="61"/>
        <v>120-39</v>
      </c>
      <c r="D911" t="s">
        <v>908</v>
      </c>
      <c r="E911" t="b">
        <f>IF(COUNTIF(D911,"*"&amp;'Keyword Search'!$C$5&amp;"*"),TRUE,FALSE)</f>
        <v>1</v>
      </c>
      <c r="G911" t="str">
        <f t="shared" si="62"/>
        <v>120-39: Fish Tanks, Holding and Transport</v>
      </c>
    </row>
    <row r="912" spans="1:7" x14ac:dyDescent="0.25">
      <c r="A912" s="1" t="str">
        <f t="shared" si="60"/>
        <v>120</v>
      </c>
      <c r="B912" s="1" t="str">
        <f>TEXT(40,"00")</f>
        <v>40</v>
      </c>
      <c r="C912" s="1" t="str">
        <f t="shared" si="61"/>
        <v>120-40</v>
      </c>
      <c r="D912" t="s">
        <v>909</v>
      </c>
      <c r="E912" t="b">
        <f>IF(COUNTIF(D912,"*"&amp;'Keyword Search'!$C$5&amp;"*"),TRUE,FALSE)</f>
        <v>1</v>
      </c>
      <c r="G912" t="str">
        <f t="shared" si="62"/>
        <v>120-40: Fuel Tanks, Boat</v>
      </c>
    </row>
    <row r="913" spans="1:7" x14ac:dyDescent="0.25">
      <c r="A913" s="1" t="str">
        <f t="shared" si="60"/>
        <v>120</v>
      </c>
      <c r="B913" s="1" t="str">
        <f>TEXT(41,"00")</f>
        <v>41</v>
      </c>
      <c r="C913" s="1" t="str">
        <f t="shared" si="61"/>
        <v>120-41</v>
      </c>
      <c r="D913" t="s">
        <v>910</v>
      </c>
      <c r="E913" t="b">
        <f>IF(COUNTIF(D913,"*"&amp;'Keyword Search'!$C$5&amp;"*"),TRUE,FALSE)</f>
        <v>1</v>
      </c>
      <c r="G913" t="str">
        <f t="shared" si="62"/>
        <v>120-41: Gates, Safety, Marine</v>
      </c>
    </row>
    <row r="914" spans="1:7" x14ac:dyDescent="0.25">
      <c r="A914" s="1" t="str">
        <f t="shared" si="60"/>
        <v>120</v>
      </c>
      <c r="B914" s="1" t="str">
        <f>TEXT(42,"00")</f>
        <v>42</v>
      </c>
      <c r="C914" s="1" t="str">
        <f t="shared" si="61"/>
        <v>120-42</v>
      </c>
      <c r="D914" t="s">
        <v>911</v>
      </c>
      <c r="E914" t="b">
        <f>IF(COUNTIF(D914,"*"&amp;'Keyword Search'!$C$5&amp;"*"),TRUE,FALSE)</f>
        <v>1</v>
      </c>
      <c r="G914" t="str">
        <f t="shared" si="62"/>
        <v>120-42: Gauges, Marine</v>
      </c>
    </row>
    <row r="915" spans="1:7" x14ac:dyDescent="0.25">
      <c r="A915" s="1" t="str">
        <f t="shared" si="60"/>
        <v>120</v>
      </c>
      <c r="B915" s="1" t="str">
        <f>TEXT(43,"00")</f>
        <v>43</v>
      </c>
      <c r="C915" s="1" t="str">
        <f t="shared" si="61"/>
        <v>120-43</v>
      </c>
      <c r="D915" t="s">
        <v>912</v>
      </c>
      <c r="E915" t="b">
        <f>IF(COUNTIF(D915,"*"&amp;'Keyword Search'!$C$5&amp;"*"),TRUE,FALSE)</f>
        <v>1</v>
      </c>
      <c r="G915" t="str">
        <f t="shared" si="62"/>
        <v>120-43: Hydraulic Systems, Marine</v>
      </c>
    </row>
    <row r="916" spans="1:7" x14ac:dyDescent="0.25">
      <c r="A916" s="1" t="str">
        <f t="shared" si="60"/>
        <v>120</v>
      </c>
      <c r="B916" s="1" t="str">
        <f>TEXT(44,"00")</f>
        <v>44</v>
      </c>
      <c r="C916" s="1" t="str">
        <f t="shared" si="61"/>
        <v>120-44</v>
      </c>
      <c r="D916" t="s">
        <v>913</v>
      </c>
      <c r="E916" t="b">
        <f>IF(COUNTIF(D916,"*"&amp;'Keyword Search'!$C$5&amp;"*"),TRUE,FALSE)</f>
        <v>1</v>
      </c>
      <c r="G916" t="str">
        <f t="shared" si="62"/>
        <v>120-44: Hardware, Fittings, Parts, and Supplies, Boat, Except Spark Plugs</v>
      </c>
    </row>
    <row r="917" spans="1:7" x14ac:dyDescent="0.25">
      <c r="A917" s="1" t="str">
        <f t="shared" si="60"/>
        <v>120</v>
      </c>
      <c r="B917" s="1" t="str">
        <f>TEXT(45,"00")</f>
        <v>45</v>
      </c>
      <c r="C917" s="1" t="str">
        <f t="shared" si="61"/>
        <v>120-45</v>
      </c>
      <c r="D917" t="s">
        <v>914</v>
      </c>
      <c r="E917" t="b">
        <f>IF(COUNTIF(D917,"*"&amp;'Keyword Search'!$C$5&amp;"*"),TRUE,FALSE)</f>
        <v>1</v>
      </c>
      <c r="G917" t="str">
        <f t="shared" si="62"/>
        <v>120-45: Hatcheries, Ranches, and other Fishery Resources</v>
      </c>
    </row>
    <row r="918" spans="1:7" x14ac:dyDescent="0.25">
      <c r="A918" s="1" t="str">
        <f t="shared" si="60"/>
        <v>120</v>
      </c>
      <c r="B918" s="1" t="str">
        <f>TEXT(46,"00")</f>
        <v>46</v>
      </c>
      <c r="C918" s="1" t="str">
        <f t="shared" si="61"/>
        <v>120-46</v>
      </c>
      <c r="D918" t="s">
        <v>915</v>
      </c>
      <c r="E918" t="b">
        <f>IF(COUNTIF(D918,"*"&amp;'Keyword Search'!$C$5&amp;"*"),TRUE,FALSE)</f>
        <v>1</v>
      </c>
      <c r="G918" t="str">
        <f t="shared" si="62"/>
        <v>120-46: Hatching Equipment, Fish, Including Jars and Standpipes</v>
      </c>
    </row>
    <row r="919" spans="1:7" x14ac:dyDescent="0.25">
      <c r="A919" s="1" t="str">
        <f t="shared" si="60"/>
        <v>120</v>
      </c>
      <c r="B919" s="1" t="str">
        <f>TEXT(47,"00")</f>
        <v>47</v>
      </c>
      <c r="C919" s="1" t="str">
        <f t="shared" si="61"/>
        <v>120-47</v>
      </c>
      <c r="D919" t="s">
        <v>916</v>
      </c>
      <c r="E919" t="b">
        <f>IF(COUNTIF(D919,"*"&amp;'Keyword Search'!$C$5&amp;"*"),TRUE,FALSE)</f>
        <v>1</v>
      </c>
      <c r="G919" t="str">
        <f t="shared" si="62"/>
        <v>120-47: Lifeboats, Sailboats and Dinghies</v>
      </c>
    </row>
    <row r="920" spans="1:7" x14ac:dyDescent="0.25">
      <c r="A920" s="1" t="str">
        <f t="shared" si="60"/>
        <v>120</v>
      </c>
      <c r="B920" s="1" t="str">
        <f>TEXT(48,"00")</f>
        <v>48</v>
      </c>
      <c r="C920" s="1" t="str">
        <f t="shared" si="61"/>
        <v>120-48</v>
      </c>
      <c r="D920" t="s">
        <v>917</v>
      </c>
      <c r="E920" t="b">
        <f>IF(COUNTIF(D920,"*"&amp;'Keyword Search'!$C$5&amp;"*"),TRUE,FALSE)</f>
        <v>1</v>
      </c>
      <c r="G920" t="str">
        <f t="shared" si="62"/>
        <v>120-48: Life Preservers</v>
      </c>
    </row>
    <row r="921" spans="1:7" x14ac:dyDescent="0.25">
      <c r="A921" s="1" t="str">
        <f t="shared" si="60"/>
        <v>120</v>
      </c>
      <c r="B921" s="1" t="str">
        <f>TEXT(50,"00")</f>
        <v>50</v>
      </c>
      <c r="C921" s="1" t="str">
        <f t="shared" si="61"/>
        <v>120-50</v>
      </c>
      <c r="D921" t="s">
        <v>918</v>
      </c>
      <c r="E921" t="b">
        <f>IF(COUNTIF(D921,"*"&amp;'Keyword Search'!$C$5&amp;"*"),TRUE,FALSE)</f>
        <v>1</v>
      </c>
      <c r="G921" t="str">
        <f t="shared" si="62"/>
        <v>120-50: Lights, Beacon and Signal</v>
      </c>
    </row>
    <row r="922" spans="1:7" x14ac:dyDescent="0.25">
      <c r="A922" s="1" t="str">
        <f t="shared" si="60"/>
        <v>120</v>
      </c>
      <c r="B922" s="1" t="str">
        <f>TEXT(52,"00")</f>
        <v>52</v>
      </c>
      <c r="C922" s="1" t="str">
        <f t="shared" si="61"/>
        <v>120-52</v>
      </c>
      <c r="D922" t="s">
        <v>919</v>
      </c>
      <c r="E922" t="b">
        <f>IF(COUNTIF(D922,"*"&amp;'Keyword Search'!$C$5&amp;"*"),TRUE,FALSE)</f>
        <v>1</v>
      </c>
      <c r="G922" t="str">
        <f t="shared" si="62"/>
        <v>120-52: Lights, Marine Navigation, Boat</v>
      </c>
    </row>
    <row r="923" spans="1:7" x14ac:dyDescent="0.25">
      <c r="A923" s="1" t="str">
        <f t="shared" si="60"/>
        <v>120</v>
      </c>
      <c r="B923" s="1" t="str">
        <f>TEXT(53,"00")</f>
        <v>53</v>
      </c>
      <c r="C923" s="1" t="str">
        <f t="shared" si="61"/>
        <v>120-53</v>
      </c>
      <c r="D923" t="s">
        <v>920</v>
      </c>
      <c r="E923" t="b">
        <f>IF(COUNTIF(D923,"*"&amp;'Keyword Search'!$C$5&amp;"*"),TRUE,FALSE)</f>
        <v>1</v>
      </c>
      <c r="G923" t="str">
        <f t="shared" si="62"/>
        <v>120-53: Line Throwing Apparatus, Rocket</v>
      </c>
    </row>
    <row r="924" spans="1:7" x14ac:dyDescent="0.25">
      <c r="A924" s="1" t="str">
        <f t="shared" si="60"/>
        <v>120</v>
      </c>
      <c r="B924" s="1" t="str">
        <f>TEXT(54,"00")</f>
        <v>54</v>
      </c>
      <c r="C924" s="1" t="str">
        <f t="shared" si="61"/>
        <v>120-54</v>
      </c>
      <c r="D924" t="s">
        <v>921</v>
      </c>
      <c r="E924" t="b">
        <f>IF(COUNTIF(D924,"*"&amp;'Keyword Search'!$C$5&amp;"*"),TRUE,FALSE)</f>
        <v>1</v>
      </c>
      <c r="G924" t="str">
        <f t="shared" si="62"/>
        <v>120-54: Marine Equipment and Supplies, Recycled</v>
      </c>
    </row>
    <row r="925" spans="1:7" x14ac:dyDescent="0.25">
      <c r="A925" s="1" t="str">
        <f t="shared" si="60"/>
        <v>120</v>
      </c>
      <c r="B925" s="1" t="str">
        <f>TEXT(55,"00")</f>
        <v>55</v>
      </c>
      <c r="C925" s="1" t="str">
        <f t="shared" si="61"/>
        <v>120-55</v>
      </c>
      <c r="D925" t="s">
        <v>922</v>
      </c>
      <c r="E925" t="b">
        <f>IF(COUNTIF(D925,"*"&amp;'Keyword Search'!$C$5&amp;"*"),TRUE,FALSE)</f>
        <v>1</v>
      </c>
      <c r="G925" t="str">
        <f t="shared" si="62"/>
        <v>120-55: Minnow Tanks</v>
      </c>
    </row>
    <row r="926" spans="1:7" x14ac:dyDescent="0.25">
      <c r="A926" s="1" t="str">
        <f t="shared" si="60"/>
        <v>120</v>
      </c>
      <c r="B926" s="1" t="str">
        <f>TEXT(56,"00")</f>
        <v>56</v>
      </c>
      <c r="C926" s="1" t="str">
        <f t="shared" si="61"/>
        <v>120-56</v>
      </c>
      <c r="D926" t="s">
        <v>923</v>
      </c>
      <c r="E926" t="b">
        <f>IF(COUNTIF(D926,"*"&amp;'Keyword Search'!$C$5&amp;"*"),TRUE,FALSE)</f>
        <v>1</v>
      </c>
      <c r="G926" t="str">
        <f t="shared" si="62"/>
        <v>120-56: Motor and Engine Parts and Accessories, Miscellaneous, Marine</v>
      </c>
    </row>
    <row r="927" spans="1:7" x14ac:dyDescent="0.25">
      <c r="A927" s="1" t="str">
        <f t="shared" si="60"/>
        <v>120</v>
      </c>
      <c r="B927" s="1" t="str">
        <f>TEXT(57,"00")</f>
        <v>57</v>
      </c>
      <c r="C927" s="1" t="str">
        <f t="shared" si="61"/>
        <v>120-57</v>
      </c>
      <c r="D927" t="s">
        <v>924</v>
      </c>
      <c r="E927" t="b">
        <f>IF(COUNTIF(D927,"*"&amp;'Keyword Search'!$C$5&amp;"*"),TRUE,FALSE)</f>
        <v>1</v>
      </c>
      <c r="G927" t="str">
        <f t="shared" si="62"/>
        <v>120-57: Motors, Marine, Electric</v>
      </c>
    </row>
    <row r="928" spans="1:7" x14ac:dyDescent="0.25">
      <c r="A928" s="1" t="str">
        <f t="shared" si="60"/>
        <v>120</v>
      </c>
      <c r="B928" s="1" t="str">
        <f>TEXT(58,"00")</f>
        <v>58</v>
      </c>
      <c r="C928" s="1" t="str">
        <f t="shared" si="61"/>
        <v>120-58</v>
      </c>
      <c r="D928" t="s">
        <v>925</v>
      </c>
      <c r="E928" t="b">
        <f>IF(COUNTIF(D928,"*"&amp;'Keyword Search'!$C$5&amp;"*"),TRUE,FALSE)</f>
        <v>1</v>
      </c>
      <c r="G928" t="str">
        <f t="shared" si="62"/>
        <v>120-58: Motors, Inboard, Diesel, Marine</v>
      </c>
    </row>
    <row r="929" spans="1:7" x14ac:dyDescent="0.25">
      <c r="A929" s="1" t="str">
        <f t="shared" si="60"/>
        <v>120</v>
      </c>
      <c r="B929" s="1" t="str">
        <f>TEXT(59,"00")</f>
        <v>59</v>
      </c>
      <c r="C929" s="1" t="str">
        <f t="shared" si="61"/>
        <v>120-59</v>
      </c>
      <c r="D929" t="s">
        <v>926</v>
      </c>
      <c r="E929" t="b">
        <f>IF(COUNTIF(D929,"*"&amp;'Keyword Search'!$C$5&amp;"*"),TRUE,FALSE)</f>
        <v>1</v>
      </c>
      <c r="G929" t="str">
        <f t="shared" si="62"/>
        <v>120-59: Motor Conversion Unit, Outboard Propeller to Jet Water Drive</v>
      </c>
    </row>
    <row r="930" spans="1:7" x14ac:dyDescent="0.25">
      <c r="A930" s="1" t="str">
        <f t="shared" si="60"/>
        <v>120</v>
      </c>
      <c r="B930" s="1" t="str">
        <f>TEXT(60,"00")</f>
        <v>60</v>
      </c>
      <c r="C930" s="1" t="str">
        <f t="shared" si="61"/>
        <v>120-60</v>
      </c>
      <c r="D930" t="s">
        <v>927</v>
      </c>
      <c r="E930" t="b">
        <f>IF(COUNTIF(D930,"*"&amp;'Keyword Search'!$C$5&amp;"*"),TRUE,FALSE)</f>
        <v>1</v>
      </c>
      <c r="G930" t="str">
        <f t="shared" si="62"/>
        <v>120-60: Motors, Inboard, Gasoline</v>
      </c>
    </row>
    <row r="931" spans="1:7" x14ac:dyDescent="0.25">
      <c r="A931" s="1" t="str">
        <f t="shared" si="60"/>
        <v>120</v>
      </c>
      <c r="B931" s="1" t="str">
        <f>TEXT(62,"00")</f>
        <v>62</v>
      </c>
      <c r="C931" s="1" t="str">
        <f t="shared" si="61"/>
        <v>120-62</v>
      </c>
      <c r="D931" t="s">
        <v>928</v>
      </c>
      <c r="E931" t="b">
        <f>IF(COUNTIF(D931,"*"&amp;'Keyword Search'!$C$5&amp;"*"),TRUE,FALSE)</f>
        <v>1</v>
      </c>
      <c r="G931" t="str">
        <f t="shared" si="62"/>
        <v>120-62: Motors, Outboard, Diesel</v>
      </c>
    </row>
    <row r="932" spans="1:7" x14ac:dyDescent="0.25">
      <c r="A932" s="1" t="str">
        <f t="shared" si="60"/>
        <v>120</v>
      </c>
      <c r="B932" s="1" t="str">
        <f>TEXT(63,"00")</f>
        <v>63</v>
      </c>
      <c r="C932" s="1" t="str">
        <f t="shared" si="61"/>
        <v>120-63</v>
      </c>
      <c r="D932" t="s">
        <v>929</v>
      </c>
      <c r="E932" t="b">
        <f>IF(COUNTIF(D932,"*"&amp;'Keyword Search'!$C$5&amp;"*"),TRUE,FALSE)</f>
        <v>1</v>
      </c>
      <c r="G932" t="str">
        <f t="shared" si="62"/>
        <v>120-63: Motors, Outboard, Gasoline</v>
      </c>
    </row>
    <row r="933" spans="1:7" x14ac:dyDescent="0.25">
      <c r="A933" s="1" t="str">
        <f t="shared" si="60"/>
        <v>120</v>
      </c>
      <c r="B933" s="1" t="str">
        <f>TEXT(64,"00")</f>
        <v>64</v>
      </c>
      <c r="C933" s="1" t="str">
        <f t="shared" si="61"/>
        <v>120-64</v>
      </c>
      <c r="D933" t="s">
        <v>930</v>
      </c>
      <c r="E933" t="b">
        <f>IF(COUNTIF(D933,"*"&amp;'Keyword Search'!$C$5&amp;"*"),TRUE,FALSE)</f>
        <v>1</v>
      </c>
      <c r="G933" t="str">
        <f t="shared" si="62"/>
        <v>120-64: Navigation Instruments, Marine: Compasses, Sextant, etc. (See Class 220 For Electronic Navigation Equipment)</v>
      </c>
    </row>
    <row r="934" spans="1:7" x14ac:dyDescent="0.25">
      <c r="A934" s="1" t="str">
        <f t="shared" si="60"/>
        <v>120</v>
      </c>
      <c r="B934" s="1" t="str">
        <f>TEXT(65,"00")</f>
        <v>65</v>
      </c>
      <c r="C934" s="1" t="str">
        <f t="shared" si="61"/>
        <v>120-65</v>
      </c>
      <c r="D934" t="s">
        <v>931</v>
      </c>
      <c r="E934" t="b">
        <f>IF(COUNTIF(D934,"*"&amp;'Keyword Search'!$C$5&amp;"*"),TRUE,FALSE)</f>
        <v>1</v>
      </c>
      <c r="G934" t="str">
        <f t="shared" si="62"/>
        <v>120-65: Nets and Repair Supplies, Marine</v>
      </c>
    </row>
    <row r="935" spans="1:7" x14ac:dyDescent="0.25">
      <c r="A935" s="1" t="str">
        <f t="shared" si="60"/>
        <v>120</v>
      </c>
      <c r="B935" s="1" t="str">
        <f>TEXT(67,"00")</f>
        <v>67</v>
      </c>
      <c r="C935" s="1" t="str">
        <f t="shared" si="61"/>
        <v>120-67</v>
      </c>
      <c r="D935" t="s">
        <v>932</v>
      </c>
      <c r="E935" t="b">
        <f>IF(COUNTIF(D935,"*"&amp;'Keyword Search'!$C$5&amp;"*"),TRUE,FALSE)</f>
        <v>1</v>
      </c>
      <c r="G935" t="str">
        <f t="shared" si="62"/>
        <v>120-67: Nets and Repair Supplies, Wildlife Trapping</v>
      </c>
    </row>
    <row r="936" spans="1:7" x14ac:dyDescent="0.25">
      <c r="A936" s="1" t="str">
        <f t="shared" si="60"/>
        <v>120</v>
      </c>
      <c r="B936" s="1" t="str">
        <f>TEXT(70,"00")</f>
        <v>70</v>
      </c>
      <c r="C936" s="1" t="str">
        <f t="shared" si="61"/>
        <v>120-70</v>
      </c>
      <c r="D936" t="s">
        <v>933</v>
      </c>
      <c r="E936" t="b">
        <f>IF(COUNTIF(D936,"*"&amp;'Keyword Search'!$C$5&amp;"*"),TRUE,FALSE)</f>
        <v>1</v>
      </c>
      <c r="G936" t="str">
        <f t="shared" si="62"/>
        <v>120-70: Paddles and Oars</v>
      </c>
    </row>
    <row r="937" spans="1:7" x14ac:dyDescent="0.25">
      <c r="A937" s="1" t="str">
        <f t="shared" si="60"/>
        <v>120</v>
      </c>
      <c r="B937" s="1" t="str">
        <f>TEXT(71,"00")</f>
        <v>71</v>
      </c>
      <c r="C937" s="1" t="str">
        <f t="shared" si="61"/>
        <v>120-71</v>
      </c>
      <c r="D937" t="s">
        <v>934</v>
      </c>
      <c r="E937" t="b">
        <f>IF(COUNTIF(D937,"*"&amp;'Keyword Search'!$C$5&amp;"*"),TRUE,FALSE)</f>
        <v>1</v>
      </c>
      <c r="G937" t="str">
        <f t="shared" si="62"/>
        <v>120-71: Pontoons, All Types</v>
      </c>
    </row>
    <row r="938" spans="1:7" x14ac:dyDescent="0.25">
      <c r="A938" s="1" t="str">
        <f t="shared" si="60"/>
        <v>120</v>
      </c>
      <c r="B938" s="1" t="str">
        <f>TEXT(72,"00")</f>
        <v>72</v>
      </c>
      <c r="C938" s="1" t="str">
        <f t="shared" si="61"/>
        <v>120-72</v>
      </c>
      <c r="D938" t="s">
        <v>935</v>
      </c>
      <c r="E938" t="b">
        <f>IF(COUNTIF(D938,"*"&amp;'Keyword Search'!$C$5&amp;"*"),TRUE,FALSE)</f>
        <v>1</v>
      </c>
      <c r="G938" t="str">
        <f t="shared" si="62"/>
        <v>120-72: Positioning Systems, Global, Marine</v>
      </c>
    </row>
    <row r="939" spans="1:7" x14ac:dyDescent="0.25">
      <c r="A939" s="1" t="str">
        <f t="shared" si="60"/>
        <v>120</v>
      </c>
      <c r="B939" s="1" t="str">
        <f>TEXT(73,"00")</f>
        <v>73</v>
      </c>
      <c r="C939" s="1" t="str">
        <f t="shared" si="61"/>
        <v>120-73</v>
      </c>
      <c r="D939" t="s">
        <v>936</v>
      </c>
      <c r="E939" t="b">
        <f>IF(COUNTIF(D939,"*"&amp;'Keyword Search'!$C$5&amp;"*"),TRUE,FALSE)</f>
        <v>1</v>
      </c>
      <c r="G939" t="str">
        <f t="shared" si="62"/>
        <v>120-73: Preservatives, Net</v>
      </c>
    </row>
    <row r="940" spans="1:7" x14ac:dyDescent="0.25">
      <c r="A940" s="1" t="str">
        <f t="shared" si="60"/>
        <v>120</v>
      </c>
      <c r="B940" s="1" t="str">
        <f>TEXT(74,"00")</f>
        <v>74</v>
      </c>
      <c r="C940" s="1" t="str">
        <f t="shared" si="61"/>
        <v>120-74</v>
      </c>
      <c r="D940" t="s">
        <v>937</v>
      </c>
      <c r="E940" t="b">
        <f>IF(COUNTIF(D940,"*"&amp;'Keyword Search'!$C$5&amp;"*"),TRUE,FALSE)</f>
        <v>1</v>
      </c>
      <c r="G940" t="str">
        <f t="shared" si="62"/>
        <v>120-74: Pumps, Marine</v>
      </c>
    </row>
    <row r="941" spans="1:7" x14ac:dyDescent="0.25">
      <c r="A941" s="1" t="str">
        <f t="shared" si="60"/>
        <v>120</v>
      </c>
      <c r="B941" s="1" t="str">
        <f>TEXT(75,"00")</f>
        <v>75</v>
      </c>
      <c r="C941" s="1" t="str">
        <f t="shared" si="61"/>
        <v>120-75</v>
      </c>
      <c r="D941" t="s">
        <v>938</v>
      </c>
      <c r="E941" t="b">
        <f>IF(COUNTIF(D941,"*"&amp;'Keyword Search'!$C$5&amp;"*"),TRUE,FALSE)</f>
        <v>1</v>
      </c>
      <c r="G941" t="str">
        <f t="shared" si="62"/>
        <v>120-75: Propellers (For Inboard and Outboard Motors)</v>
      </c>
    </row>
    <row r="942" spans="1:7" x14ac:dyDescent="0.25">
      <c r="A942" s="1" t="str">
        <f t="shared" ref="A942:A963" si="63">TEXT(120,"000")</f>
        <v>120</v>
      </c>
      <c r="B942" s="1" t="str">
        <f>TEXT(76,"00")</f>
        <v>76</v>
      </c>
      <c r="C942" s="1" t="str">
        <f t="shared" si="61"/>
        <v>120-76</v>
      </c>
      <c r="D942" t="s">
        <v>939</v>
      </c>
      <c r="E942" t="b">
        <f>IF(COUNTIF(D942,"*"&amp;'Keyword Search'!$C$5&amp;"*"),TRUE,FALSE)</f>
        <v>1</v>
      </c>
      <c r="G942" t="str">
        <f t="shared" si="62"/>
        <v>120-76: Rigging and Rigging Gear for Ships</v>
      </c>
    </row>
    <row r="943" spans="1:7" x14ac:dyDescent="0.25">
      <c r="A943" s="1" t="str">
        <f t="shared" si="63"/>
        <v>120</v>
      </c>
      <c r="B943" s="1" t="str">
        <f>TEXT(77,"00")</f>
        <v>77</v>
      </c>
      <c r="C943" s="1" t="str">
        <f t="shared" si="61"/>
        <v>120-77</v>
      </c>
      <c r="D943" t="s">
        <v>940</v>
      </c>
      <c r="E943" t="b">
        <f>IF(COUNTIF(D943,"*"&amp;'Keyword Search'!$C$5&amp;"*"),TRUE,FALSE)</f>
        <v>1</v>
      </c>
      <c r="G943" t="str">
        <f t="shared" si="62"/>
        <v>120-77: Rocket Charges and Cannons, Wildlife Trapping</v>
      </c>
    </row>
    <row r="944" spans="1:7" x14ac:dyDescent="0.25">
      <c r="A944" s="1" t="str">
        <f t="shared" si="63"/>
        <v>120</v>
      </c>
      <c r="B944" s="1" t="str">
        <f>TEXT(78,"00")</f>
        <v>78</v>
      </c>
      <c r="C944" s="1" t="str">
        <f t="shared" si="61"/>
        <v>120-78</v>
      </c>
      <c r="D944" t="s">
        <v>941</v>
      </c>
      <c r="E944" t="b">
        <f>IF(COUNTIF(D944,"*"&amp;'Keyword Search'!$C$5&amp;"*"),TRUE,FALSE)</f>
        <v>1</v>
      </c>
      <c r="G944" t="str">
        <f t="shared" si="62"/>
        <v>120-78: Rafts</v>
      </c>
    </row>
    <row r="945" spans="1:7" x14ac:dyDescent="0.25">
      <c r="A945" s="1" t="str">
        <f t="shared" si="63"/>
        <v>120</v>
      </c>
      <c r="B945" s="1" t="str">
        <f>TEXT(79,"00")</f>
        <v>79</v>
      </c>
      <c r="C945" s="1" t="str">
        <f t="shared" si="61"/>
        <v>120-79</v>
      </c>
      <c r="D945" t="s">
        <v>942</v>
      </c>
      <c r="E945" t="b">
        <f>IF(COUNTIF(D945,"*"&amp;'Keyword Search'!$C$5&amp;"*"),TRUE,FALSE)</f>
        <v>1</v>
      </c>
      <c r="G945" t="str">
        <f t="shared" si="62"/>
        <v>120-79: Reefer, Refrigerator Boat or Ship, Including Parts and Accessories</v>
      </c>
    </row>
    <row r="946" spans="1:7" x14ac:dyDescent="0.25">
      <c r="A946" s="1" t="str">
        <f t="shared" si="63"/>
        <v>120</v>
      </c>
      <c r="B946" s="1" t="str">
        <f>TEXT(80,"00")</f>
        <v>80</v>
      </c>
      <c r="C946" s="1" t="str">
        <f t="shared" si="61"/>
        <v>120-80</v>
      </c>
      <c r="D946" t="s">
        <v>943</v>
      </c>
      <c r="E946" t="b">
        <f>IF(COUNTIF(D946,"*"&amp;'Keyword Search'!$C$5&amp;"*"),TRUE,FALSE)</f>
        <v>1</v>
      </c>
      <c r="G946" t="str">
        <f t="shared" si="62"/>
        <v>120-80: Rods, Reels and Tackle Supplies</v>
      </c>
    </row>
    <row r="947" spans="1:7" x14ac:dyDescent="0.25">
      <c r="A947" s="1" t="str">
        <f t="shared" si="63"/>
        <v>120</v>
      </c>
      <c r="B947" s="1" t="str">
        <f>TEXT(81,"00")</f>
        <v>81</v>
      </c>
      <c r="C947" s="1" t="str">
        <f t="shared" si="61"/>
        <v>120-81</v>
      </c>
      <c r="D947" t="s">
        <v>944</v>
      </c>
      <c r="E947" t="b">
        <f>IF(COUNTIF(D947,"*"&amp;'Keyword Search'!$C$5&amp;"*"),TRUE,FALSE)</f>
        <v>1</v>
      </c>
      <c r="G947" t="str">
        <f t="shared" si="62"/>
        <v>120-81: Reach Stackers and Straddle Carriers, Marine</v>
      </c>
    </row>
    <row r="948" spans="1:7" x14ac:dyDescent="0.25">
      <c r="A948" s="1" t="str">
        <f t="shared" si="63"/>
        <v>120</v>
      </c>
      <c r="B948" s="1" t="str">
        <f>TEXT(82,"00")</f>
        <v>82</v>
      </c>
      <c r="C948" s="1" t="str">
        <f t="shared" si="61"/>
        <v>120-82</v>
      </c>
      <c r="D948" t="s">
        <v>945</v>
      </c>
      <c r="E948" t="b">
        <f>IF(COUNTIF(D948,"*"&amp;'Keyword Search'!$C$5&amp;"*"),TRUE,FALSE)</f>
        <v>1</v>
      </c>
      <c r="G948" t="str">
        <f t="shared" si="62"/>
        <v>120-82: Sails, Including Parts and Accessories</v>
      </c>
    </row>
    <row r="949" spans="1:7" x14ac:dyDescent="0.25">
      <c r="A949" s="1" t="str">
        <f t="shared" si="63"/>
        <v>120</v>
      </c>
      <c r="B949" s="1" t="str">
        <f>TEXT(83,"00")</f>
        <v>83</v>
      </c>
      <c r="C949" s="1" t="str">
        <f t="shared" si="61"/>
        <v>120-83</v>
      </c>
      <c r="D949" t="s">
        <v>946</v>
      </c>
      <c r="E949" t="b">
        <f>IF(COUNTIF(D949,"*"&amp;'Keyword Search'!$C$5&amp;"*"),TRUE,FALSE)</f>
        <v>1</v>
      </c>
      <c r="G949" t="str">
        <f t="shared" si="62"/>
        <v>120-83: Scuba and Skin Diving Equipment</v>
      </c>
    </row>
    <row r="950" spans="1:7" x14ac:dyDescent="0.25">
      <c r="A950" s="1" t="str">
        <f t="shared" si="63"/>
        <v>120</v>
      </c>
      <c r="B950" s="1" t="str">
        <f>TEXT(84,"00")</f>
        <v>84</v>
      </c>
      <c r="C950" s="1" t="str">
        <f t="shared" si="61"/>
        <v>120-84</v>
      </c>
      <c r="D950" t="s">
        <v>947</v>
      </c>
      <c r="E950" t="b">
        <f>IF(COUNTIF(D950,"*"&amp;'Keyword Search'!$C$5&amp;"*"),TRUE,FALSE)</f>
        <v>1</v>
      </c>
      <c r="G950" t="str">
        <f t="shared" si="62"/>
        <v>120-84: Ships, All Types: Cargo, Cruise, Salvage, etc.</v>
      </c>
    </row>
    <row r="951" spans="1:7" x14ac:dyDescent="0.25">
      <c r="A951" s="1" t="str">
        <f t="shared" si="63"/>
        <v>120</v>
      </c>
      <c r="B951" s="1" t="str">
        <f>TEXT(85,"00")</f>
        <v>85</v>
      </c>
      <c r="C951" s="1" t="str">
        <f t="shared" si="61"/>
        <v>120-85</v>
      </c>
      <c r="D951" t="s">
        <v>948</v>
      </c>
      <c r="E951" t="b">
        <f>IF(COUNTIF(D951,"*"&amp;'Keyword Search'!$C$5&amp;"*"),TRUE,FALSE)</f>
        <v>1</v>
      </c>
      <c r="G951" t="str">
        <f t="shared" si="62"/>
        <v>120-85: Skis, Jet</v>
      </c>
    </row>
    <row r="952" spans="1:7" x14ac:dyDescent="0.25">
      <c r="A952" s="1" t="str">
        <f t="shared" si="63"/>
        <v>120</v>
      </c>
      <c r="B952" s="1" t="str">
        <f>TEXT(86,"00")</f>
        <v>86</v>
      </c>
      <c r="C952" s="1" t="str">
        <f t="shared" si="61"/>
        <v>120-86</v>
      </c>
      <c r="D952" t="s">
        <v>949</v>
      </c>
      <c r="E952" t="b">
        <f>IF(COUNTIF(D952,"*"&amp;'Keyword Search'!$C$5&amp;"*"),TRUE,FALSE)</f>
        <v>1</v>
      </c>
      <c r="G952" t="str">
        <f t="shared" si="62"/>
        <v>120-86: Searchlights, Marine</v>
      </c>
    </row>
    <row r="953" spans="1:7" x14ac:dyDescent="0.25">
      <c r="A953" s="1" t="str">
        <f t="shared" si="63"/>
        <v>120</v>
      </c>
      <c r="B953" s="1" t="str">
        <f>TEXT(87,"00")</f>
        <v>87</v>
      </c>
      <c r="C953" s="1" t="str">
        <f t="shared" si="61"/>
        <v>120-87</v>
      </c>
      <c r="D953" t="s">
        <v>950</v>
      </c>
      <c r="E953" t="b">
        <f>IF(COUNTIF(D953,"*"&amp;'Keyword Search'!$C$5&amp;"*"),TRUE,FALSE)</f>
        <v>1</v>
      </c>
      <c r="G953" t="str">
        <f t="shared" si="62"/>
        <v>120-87: *Towers: Observation, Hunting, etc.</v>
      </c>
    </row>
    <row r="954" spans="1:7" x14ac:dyDescent="0.25">
      <c r="A954" s="1" t="str">
        <f t="shared" si="63"/>
        <v>120</v>
      </c>
      <c r="B954" s="1" t="str">
        <f>TEXT(88,"00")</f>
        <v>88</v>
      </c>
      <c r="C954" s="1" t="str">
        <f t="shared" si="61"/>
        <v>120-88</v>
      </c>
      <c r="D954" t="s">
        <v>951</v>
      </c>
      <c r="E954" t="b">
        <f>IF(COUNTIF(D954,"*"&amp;'Keyword Search'!$C$5&amp;"*"),TRUE,FALSE)</f>
        <v>1</v>
      </c>
      <c r="G954" t="str">
        <f t="shared" si="62"/>
        <v>120-88: Tools, Marine Hull and Engine</v>
      </c>
    </row>
    <row r="955" spans="1:7" x14ac:dyDescent="0.25">
      <c r="A955" s="1" t="str">
        <f t="shared" si="63"/>
        <v>120</v>
      </c>
      <c r="B955" s="1" t="str">
        <f>TEXT(89,"00")</f>
        <v>89</v>
      </c>
      <c r="C955" s="1" t="str">
        <f t="shared" si="61"/>
        <v>120-89</v>
      </c>
      <c r="D955" t="s">
        <v>952</v>
      </c>
      <c r="E955" t="b">
        <f>IF(COUNTIF(D955,"*"&amp;'Keyword Search'!$C$5&amp;"*"),TRUE,FALSE)</f>
        <v>1</v>
      </c>
      <c r="G955" t="str">
        <f t="shared" si="62"/>
        <v>120-89: Underwater Vehicles, Remote Operated (ROV)</v>
      </c>
    </row>
    <row r="956" spans="1:7" x14ac:dyDescent="0.25">
      <c r="A956" s="1" t="str">
        <f t="shared" si="63"/>
        <v>120</v>
      </c>
      <c r="B956" s="1" t="str">
        <f>TEXT(90,"00")</f>
        <v>90</v>
      </c>
      <c r="C956" s="1" t="str">
        <f t="shared" si="61"/>
        <v>120-90</v>
      </c>
      <c r="D956" t="s">
        <v>953</v>
      </c>
      <c r="E956" t="b">
        <f>IF(COUNTIF(D956,"*"&amp;'Keyword Search'!$C$5&amp;"*"),TRUE,FALSE)</f>
        <v>1</v>
      </c>
      <c r="G956" t="str">
        <f t="shared" si="62"/>
        <v>120-90: Trailers, Boat</v>
      </c>
    </row>
    <row r="957" spans="1:7" x14ac:dyDescent="0.25">
      <c r="A957" s="1" t="str">
        <f t="shared" si="63"/>
        <v>120</v>
      </c>
      <c r="B957" s="1" t="str">
        <f>TEXT(91,"00")</f>
        <v>91</v>
      </c>
      <c r="C957" s="1" t="str">
        <f t="shared" si="61"/>
        <v>120-91</v>
      </c>
      <c r="D957" t="s">
        <v>954</v>
      </c>
      <c r="E957" t="b">
        <f>IF(COUNTIF(D957,"*"&amp;'Keyword Search'!$C$5&amp;"*"),TRUE,FALSE)</f>
        <v>1</v>
      </c>
      <c r="G957" t="str">
        <f t="shared" si="62"/>
        <v>120-91: Submarines: Exploration, Recreation, etc., (See 257-47 for Military Type)</v>
      </c>
    </row>
    <row r="958" spans="1:7" x14ac:dyDescent="0.25">
      <c r="A958" s="1" t="str">
        <f t="shared" si="63"/>
        <v>120</v>
      </c>
      <c r="B958" s="1" t="str">
        <f>TEXT(92,"00")</f>
        <v>92</v>
      </c>
      <c r="C958" s="1" t="str">
        <f t="shared" si="61"/>
        <v>120-92</v>
      </c>
      <c r="D958" t="s">
        <v>955</v>
      </c>
      <c r="E958" t="b">
        <f>IF(COUNTIF(D958,"*"&amp;'Keyword Search'!$C$5&amp;"*"),TRUE,FALSE)</f>
        <v>1</v>
      </c>
      <c r="G958" t="str">
        <f t="shared" si="62"/>
        <v>120-92: Vegetation Control and Removal Equipment, Water</v>
      </c>
    </row>
    <row r="959" spans="1:7" x14ac:dyDescent="0.25">
      <c r="A959" s="1" t="str">
        <f t="shared" si="63"/>
        <v>120</v>
      </c>
      <c r="B959" s="1" t="str">
        <f>TEXT(93,"00")</f>
        <v>93</v>
      </c>
      <c r="C959" s="1" t="str">
        <f t="shared" si="61"/>
        <v>120-93</v>
      </c>
      <c r="D959" t="s">
        <v>956</v>
      </c>
      <c r="E959" t="b">
        <f>IF(COUNTIF(D959,"*"&amp;'Keyword Search'!$C$5&amp;"*"),TRUE,FALSE)</f>
        <v>1</v>
      </c>
      <c r="G959" t="str">
        <f t="shared" si="62"/>
        <v>120-93: Traps, Fish</v>
      </c>
    </row>
    <row r="960" spans="1:7" x14ac:dyDescent="0.25">
      <c r="A960" s="1" t="str">
        <f t="shared" si="63"/>
        <v>120</v>
      </c>
      <c r="B960" s="1" t="str">
        <f>TEXT(94,"00")</f>
        <v>94</v>
      </c>
      <c r="C960" s="1" t="str">
        <f t="shared" si="61"/>
        <v>120-94</v>
      </c>
      <c r="D960" t="s">
        <v>957</v>
      </c>
      <c r="E960" t="b">
        <f>IF(COUNTIF(D960,"*"&amp;'Keyword Search'!$C$5&amp;"*"),TRUE,FALSE)</f>
        <v>1</v>
      </c>
      <c r="G960" t="str">
        <f t="shared" si="62"/>
        <v>120-94: Wildlife Scare-Away Devices: Cannons, Exploders, etc.</v>
      </c>
    </row>
    <row r="961" spans="1:7" x14ac:dyDescent="0.25">
      <c r="A961" s="1" t="str">
        <f t="shared" si="63"/>
        <v>120</v>
      </c>
      <c r="B961" s="1" t="str">
        <f>TEXT(95,"00")</f>
        <v>95</v>
      </c>
      <c r="C961" s="1" t="str">
        <f t="shared" si="61"/>
        <v>120-95</v>
      </c>
      <c r="D961" t="s">
        <v>958</v>
      </c>
      <c r="E961" t="b">
        <f>IF(COUNTIF(D961,"*"&amp;'Keyword Search'!$C$5&amp;"*"),TRUE,FALSE)</f>
        <v>1</v>
      </c>
      <c r="G961" t="str">
        <f t="shared" si="62"/>
        <v>120-95: Wildlife Scare-Away Devices, Ultrasonic (Inactive, please see commodity code 120-94 effective January 1, 2016)</v>
      </c>
    </row>
    <row r="962" spans="1:7" x14ac:dyDescent="0.25">
      <c r="A962" s="1" t="str">
        <f t="shared" si="63"/>
        <v>120</v>
      </c>
      <c r="B962" s="1" t="str">
        <f>TEXT(96,"00")</f>
        <v>96</v>
      </c>
      <c r="C962" s="1" t="str">
        <f t="shared" si="61"/>
        <v>120-96</v>
      </c>
      <c r="D962" t="s">
        <v>959</v>
      </c>
      <c r="E962" t="b">
        <f>IF(COUNTIF(D962,"*"&amp;'Keyword Search'!$C$5&amp;"*"),TRUE,FALSE)</f>
        <v>1</v>
      </c>
      <c r="G962" t="str">
        <f t="shared" si="62"/>
        <v>120-96: Water Safety Equipment and Supplies: Rope, Float Lines, etc. (Not Otherwise Classified)</v>
      </c>
    </row>
    <row r="963" spans="1:7" x14ac:dyDescent="0.25">
      <c r="A963" s="1" t="str">
        <f t="shared" si="63"/>
        <v>120</v>
      </c>
      <c r="B963" s="1" t="str">
        <f>TEXT(97,"00")</f>
        <v>97</v>
      </c>
      <c r="C963" s="1" t="str">
        <f t="shared" ref="C963:C1026" si="64">CONCATENATE(A963,"-",B963)</f>
        <v>120-97</v>
      </c>
      <c r="D963" t="s">
        <v>960</v>
      </c>
      <c r="E963" t="b">
        <f>IF(COUNTIF(D963,"*"&amp;'Keyword Search'!$C$5&amp;"*"),TRUE,FALSE)</f>
        <v>1</v>
      </c>
      <c r="G963" t="str">
        <f t="shared" si="62"/>
        <v>120-97: Winches and Lifts, Boat, Including Windlasses</v>
      </c>
    </row>
    <row r="964" spans="1:7" x14ac:dyDescent="0.25">
      <c r="A964" s="5" t="str">
        <f t="shared" ref="A964:A986" si="65">TEXT(125,"000")</f>
        <v>125</v>
      </c>
      <c r="B964" s="5" t="str">
        <f>TEXT(0,"00")</f>
        <v>00</v>
      </c>
      <c r="C964" s="1"/>
      <c r="D964" s="2" t="s">
        <v>961</v>
      </c>
    </row>
    <row r="965" spans="1:7" x14ac:dyDescent="0.25">
      <c r="A965" s="1" t="str">
        <f t="shared" si="65"/>
        <v>125</v>
      </c>
      <c r="B965" s="1" t="str">
        <f>TEXT(5,"00")</f>
        <v>05</v>
      </c>
      <c r="C965" s="1" t="str">
        <f t="shared" si="64"/>
        <v>125-05</v>
      </c>
      <c r="D965" t="s">
        <v>962</v>
      </c>
      <c r="E965" t="b">
        <f>IF(COUNTIF(D965,"*"&amp;'Keyword Search'!$C$5&amp;"*"),TRUE,FALSE)</f>
        <v>1</v>
      </c>
      <c r="G965" t="str">
        <f t="shared" ref="G965:G1027" si="66">CONCATENATE(C965,": ",D965)</f>
        <v>125-05: Adhesives: Compounds, Glues, Pastes, Glue Pots, and Containers</v>
      </c>
    </row>
    <row r="966" spans="1:7" x14ac:dyDescent="0.25">
      <c r="A966" s="1" t="str">
        <f t="shared" si="65"/>
        <v>125</v>
      </c>
      <c r="B966" s="1" t="str">
        <f>TEXT(8,"00")</f>
        <v>08</v>
      </c>
      <c r="C966" s="1" t="str">
        <f t="shared" si="64"/>
        <v>125-08</v>
      </c>
      <c r="D966" t="s">
        <v>963</v>
      </c>
      <c r="E966" t="b">
        <f>IF(COUNTIF(D966,"*"&amp;'Keyword Search'!$C$5&amp;"*"),TRUE,FALSE)</f>
        <v>1</v>
      </c>
      <c r="G966" t="str">
        <f t="shared" si="66"/>
        <v>125-08: Base Compound</v>
      </c>
    </row>
    <row r="967" spans="1:7" x14ac:dyDescent="0.25">
      <c r="A967" s="1" t="str">
        <f t="shared" si="65"/>
        <v>125</v>
      </c>
      <c r="B967" s="1" t="str">
        <f>TEXT(10,"00")</f>
        <v>10</v>
      </c>
      <c r="C967" s="1" t="str">
        <f t="shared" si="64"/>
        <v>125-10</v>
      </c>
      <c r="D967" t="s">
        <v>964</v>
      </c>
      <c r="E967" t="b">
        <f>IF(COUNTIF(D967,"*"&amp;'Keyword Search'!$C$5&amp;"*"),TRUE,FALSE)</f>
        <v>1</v>
      </c>
      <c r="G967" t="str">
        <f t="shared" si="66"/>
        <v>125-10: Bindery Supplies</v>
      </c>
    </row>
    <row r="968" spans="1:7" x14ac:dyDescent="0.25">
      <c r="A968" s="1" t="str">
        <f t="shared" si="65"/>
        <v>125</v>
      </c>
      <c r="B968" s="1" t="str">
        <f>TEXT(15,"00")</f>
        <v>15</v>
      </c>
      <c r="C968" s="1" t="str">
        <f t="shared" si="64"/>
        <v>125-15</v>
      </c>
      <c r="D968" t="s">
        <v>965</v>
      </c>
      <c r="E968" t="b">
        <f>IF(COUNTIF(D968,"*"&amp;'Keyword Search'!$C$5&amp;"*"),TRUE,FALSE)</f>
        <v>1</v>
      </c>
      <c r="G968" t="str">
        <f t="shared" si="66"/>
        <v>125-15: Bindings, Comb Type: Metal and Plastic</v>
      </c>
    </row>
    <row r="969" spans="1:7" x14ac:dyDescent="0.25">
      <c r="A969" s="1" t="str">
        <f t="shared" si="65"/>
        <v>125</v>
      </c>
      <c r="B969" s="1" t="str">
        <f>TEXT(20,"00")</f>
        <v>20</v>
      </c>
      <c r="C969" s="1" t="str">
        <f t="shared" si="64"/>
        <v>125-20</v>
      </c>
      <c r="D969" t="s">
        <v>966</v>
      </c>
      <c r="E969" t="b">
        <f>IF(COUNTIF(D969,"*"&amp;'Keyword Search'!$C$5&amp;"*"),TRUE,FALSE)</f>
        <v>1</v>
      </c>
      <c r="G969" t="str">
        <f t="shared" si="66"/>
        <v>125-20: Bindings, Comb Type, Plastic</v>
      </c>
    </row>
    <row r="970" spans="1:7" x14ac:dyDescent="0.25">
      <c r="A970" s="1" t="str">
        <f t="shared" si="65"/>
        <v>125</v>
      </c>
      <c r="B970" s="1" t="str">
        <f>TEXT(21,"00")</f>
        <v>21</v>
      </c>
      <c r="C970" s="1" t="str">
        <f t="shared" si="64"/>
        <v>125-21</v>
      </c>
      <c r="D970" t="s">
        <v>967</v>
      </c>
      <c r="E970" t="b">
        <f>IF(COUNTIF(D970,"*"&amp;'Keyword Search'!$C$5&amp;"*"),TRUE,FALSE)</f>
        <v>1</v>
      </c>
      <c r="G970" t="str">
        <f t="shared" si="66"/>
        <v>125-21: Bindings, Machines</v>
      </c>
    </row>
    <row r="971" spans="1:7" x14ac:dyDescent="0.25">
      <c r="A971" s="1" t="str">
        <f t="shared" si="65"/>
        <v>125</v>
      </c>
      <c r="B971" s="1" t="str">
        <f>TEXT(22,"00")</f>
        <v>22</v>
      </c>
      <c r="C971" s="1" t="str">
        <f t="shared" si="64"/>
        <v>125-22</v>
      </c>
      <c r="D971" t="s">
        <v>968</v>
      </c>
      <c r="E971" t="b">
        <f>IF(COUNTIF(D971,"*"&amp;'Keyword Search'!$C$5&amp;"*"),TRUE,FALSE)</f>
        <v>1</v>
      </c>
      <c r="G971" t="str">
        <f t="shared" si="66"/>
        <v>125-22: Bindings, Plastic Post or Rivet Strips</v>
      </c>
    </row>
    <row r="972" spans="1:7" x14ac:dyDescent="0.25">
      <c r="A972" s="1" t="str">
        <f t="shared" si="65"/>
        <v>125</v>
      </c>
      <c r="B972" s="1" t="str">
        <f>TEXT(25,"00")</f>
        <v>25</v>
      </c>
      <c r="C972" s="1" t="str">
        <f t="shared" si="64"/>
        <v>125-25</v>
      </c>
      <c r="D972" t="s">
        <v>969</v>
      </c>
      <c r="E972" t="b">
        <f>IF(COUNTIF(D972,"*"&amp;'Keyword Search'!$C$5&amp;"*"),TRUE,FALSE)</f>
        <v>1</v>
      </c>
      <c r="G972" t="str">
        <f t="shared" si="66"/>
        <v>125-25: Board, Bookbinding Type</v>
      </c>
    </row>
    <row r="973" spans="1:7" x14ac:dyDescent="0.25">
      <c r="A973" s="1" t="str">
        <f t="shared" si="65"/>
        <v>125</v>
      </c>
      <c r="B973" s="1" t="str">
        <f>TEXT(30,"00")</f>
        <v>30</v>
      </c>
      <c r="C973" s="1" t="str">
        <f t="shared" si="64"/>
        <v>125-30</v>
      </c>
      <c r="D973" t="s">
        <v>970</v>
      </c>
      <c r="E973" t="b">
        <f>IF(COUNTIF(D973,"*"&amp;'Keyword Search'!$C$5&amp;"*"),TRUE,FALSE)</f>
        <v>1</v>
      </c>
      <c r="G973" t="str">
        <f t="shared" si="66"/>
        <v>125-30: Cloth, Bookbinding Type</v>
      </c>
    </row>
    <row r="974" spans="1:7" x14ac:dyDescent="0.25">
      <c r="A974" s="1" t="str">
        <f t="shared" si="65"/>
        <v>125</v>
      </c>
      <c r="B974" s="1" t="str">
        <f>TEXT(35,"00")</f>
        <v>35</v>
      </c>
      <c r="C974" s="1" t="str">
        <f t="shared" si="64"/>
        <v>125-35</v>
      </c>
      <c r="D974" t="s">
        <v>971</v>
      </c>
      <c r="E974" t="b">
        <f>IF(COUNTIF(D974,"*"&amp;'Keyword Search'!$C$5&amp;"*"),TRUE,FALSE)</f>
        <v>1</v>
      </c>
      <c r="G974" t="str">
        <f t="shared" si="66"/>
        <v>125-35: Covers, Comb Bound Books</v>
      </c>
    </row>
    <row r="975" spans="1:7" x14ac:dyDescent="0.25">
      <c r="A975" s="1" t="str">
        <f t="shared" si="65"/>
        <v>125</v>
      </c>
      <c r="B975" s="1" t="str">
        <f>TEXT(40,"00")</f>
        <v>40</v>
      </c>
      <c r="C975" s="1" t="str">
        <f t="shared" si="64"/>
        <v>125-40</v>
      </c>
      <c r="D975" t="s">
        <v>972</v>
      </c>
      <c r="E975" t="b">
        <f>IF(COUNTIF(D975,"*"&amp;'Keyword Search'!$C$5&amp;"*"),TRUE,FALSE)</f>
        <v>1</v>
      </c>
      <c r="G975" t="str">
        <f t="shared" si="66"/>
        <v>125-40: End Sheets, Bookbinding</v>
      </c>
    </row>
    <row r="976" spans="1:7" x14ac:dyDescent="0.25">
      <c r="A976" s="1" t="str">
        <f t="shared" si="65"/>
        <v>125</v>
      </c>
      <c r="B976" s="1" t="str">
        <f>TEXT(45,"00")</f>
        <v>45</v>
      </c>
      <c r="C976" s="1" t="str">
        <f t="shared" si="64"/>
        <v>125-45</v>
      </c>
      <c r="D976" t="s">
        <v>973</v>
      </c>
      <c r="E976" t="b">
        <f>IF(COUNTIF(D976,"*"&amp;'Keyword Search'!$C$5&amp;"*"),TRUE,FALSE)</f>
        <v>1</v>
      </c>
      <c r="G976" t="str">
        <f t="shared" si="66"/>
        <v>125-45: Foils, Lettering and Stamping</v>
      </c>
    </row>
    <row r="977" spans="1:7" x14ac:dyDescent="0.25">
      <c r="A977" s="1" t="str">
        <f t="shared" si="65"/>
        <v>125</v>
      </c>
      <c r="B977" s="1" t="str">
        <f>TEXT(50,"00")</f>
        <v>50</v>
      </c>
      <c r="C977" s="1" t="str">
        <f t="shared" si="64"/>
        <v>125-50</v>
      </c>
      <c r="D977" t="s">
        <v>974</v>
      </c>
      <c r="E977" t="b">
        <f>IF(COUNTIF(D977,"*"&amp;'Keyword Search'!$C$5&amp;"*"),TRUE,FALSE)</f>
        <v>1</v>
      </c>
      <c r="G977" t="str">
        <f t="shared" si="66"/>
        <v>125-50: Headbands, Bookbinding</v>
      </c>
    </row>
    <row r="978" spans="1:7" x14ac:dyDescent="0.25">
      <c r="A978" s="1" t="str">
        <f t="shared" si="65"/>
        <v>125</v>
      </c>
      <c r="B978" s="1" t="str">
        <f>TEXT(60,"00")</f>
        <v>60</v>
      </c>
      <c r="C978" s="1" t="str">
        <f t="shared" si="64"/>
        <v>125-60</v>
      </c>
      <c r="D978" t="s">
        <v>975</v>
      </c>
      <c r="E978" t="b">
        <f>IF(COUNTIF(D978,"*"&amp;'Keyword Search'!$C$5&amp;"*"),TRUE,FALSE)</f>
        <v>1</v>
      </c>
      <c r="G978" t="str">
        <f t="shared" si="66"/>
        <v>125-60: Leather, Bookbinding</v>
      </c>
    </row>
    <row r="979" spans="1:7" x14ac:dyDescent="0.25">
      <c r="A979" s="1" t="str">
        <f t="shared" si="65"/>
        <v>125</v>
      </c>
      <c r="B979" s="1" t="str">
        <f>TEXT(68,"00")</f>
        <v>68</v>
      </c>
      <c r="C979" s="1" t="str">
        <f t="shared" si="64"/>
        <v>125-68</v>
      </c>
      <c r="D979" t="s">
        <v>976</v>
      </c>
      <c r="E979" t="b">
        <f>IF(COUNTIF(D979,"*"&amp;'Keyword Search'!$C$5&amp;"*"),TRUE,FALSE)</f>
        <v>1</v>
      </c>
      <c r="G979" t="str">
        <f t="shared" si="66"/>
        <v>125-68: Page Repair Products, Mending Tapes and Cleaners</v>
      </c>
    </row>
    <row r="980" spans="1:7" x14ac:dyDescent="0.25">
      <c r="A980" s="1" t="str">
        <f t="shared" si="65"/>
        <v>125</v>
      </c>
      <c r="B980" s="1" t="str">
        <f>TEXT(70,"00")</f>
        <v>70</v>
      </c>
      <c r="C980" s="1" t="str">
        <f t="shared" si="64"/>
        <v>125-70</v>
      </c>
      <c r="D980" t="s">
        <v>977</v>
      </c>
      <c r="E980" t="b">
        <f>IF(COUNTIF(D980,"*"&amp;'Keyword Search'!$C$5&amp;"*"),TRUE,FALSE)</f>
        <v>1</v>
      </c>
      <c r="G980" t="str">
        <f t="shared" si="66"/>
        <v>125-70: Paper, Reproduction Proofing</v>
      </c>
    </row>
    <row r="981" spans="1:7" x14ac:dyDescent="0.25">
      <c r="A981" s="1" t="str">
        <f t="shared" si="65"/>
        <v>125</v>
      </c>
      <c r="B981" s="1" t="str">
        <f>TEXT(72,"00")</f>
        <v>72</v>
      </c>
      <c r="C981" s="1" t="str">
        <f t="shared" si="64"/>
        <v>125-72</v>
      </c>
      <c r="D981" t="s">
        <v>978</v>
      </c>
      <c r="E981" t="b">
        <f>IF(COUNTIF(D981,"*"&amp;'Keyword Search'!$C$5&amp;"*"),TRUE,FALSE)</f>
        <v>1</v>
      </c>
      <c r="G981" t="str">
        <f t="shared" si="66"/>
        <v>125-72: Paper Treatment Chemicals, Deacidifiers</v>
      </c>
    </row>
    <row r="982" spans="1:7" x14ac:dyDescent="0.25">
      <c r="A982" s="1" t="str">
        <f t="shared" si="65"/>
        <v>125</v>
      </c>
      <c r="B982" s="1" t="str">
        <f>TEXT(73,"00")</f>
        <v>73</v>
      </c>
      <c r="C982" s="1" t="str">
        <f t="shared" si="64"/>
        <v>125-73</v>
      </c>
      <c r="D982" t="s">
        <v>979</v>
      </c>
      <c r="E982" t="b">
        <f>IF(COUNTIF(D982,"*"&amp;'Keyword Search'!$C$5&amp;"*"),TRUE,FALSE)</f>
        <v>1</v>
      </c>
      <c r="G982" t="str">
        <f t="shared" si="66"/>
        <v>125-73: Recycled Bookbinding Supplies</v>
      </c>
    </row>
    <row r="983" spans="1:7" x14ac:dyDescent="0.25">
      <c r="A983" s="1" t="str">
        <f t="shared" si="65"/>
        <v>125</v>
      </c>
      <c r="B983" s="1" t="str">
        <f>TEXT(75,"00")</f>
        <v>75</v>
      </c>
      <c r="C983" s="1" t="str">
        <f t="shared" si="64"/>
        <v>125-75</v>
      </c>
      <c r="D983" t="s">
        <v>980</v>
      </c>
      <c r="E983" t="b">
        <f>IF(COUNTIF(D983,"*"&amp;'Keyword Search'!$C$5&amp;"*"),TRUE,FALSE)</f>
        <v>1</v>
      </c>
      <c r="G983" t="str">
        <f t="shared" si="66"/>
        <v>125-75: Tapes, Bookbinding</v>
      </c>
    </row>
    <row r="984" spans="1:7" x14ac:dyDescent="0.25">
      <c r="A984" s="1" t="str">
        <f t="shared" si="65"/>
        <v>125</v>
      </c>
      <c r="B984" s="1" t="str">
        <f>TEXT(78,"00")</f>
        <v>78</v>
      </c>
      <c r="C984" s="1" t="str">
        <f t="shared" si="64"/>
        <v>125-78</v>
      </c>
      <c r="D984" t="s">
        <v>981</v>
      </c>
      <c r="E984" t="b">
        <f>IF(COUNTIF(D984,"*"&amp;'Keyword Search'!$C$5&amp;"*"),TRUE,FALSE)</f>
        <v>1</v>
      </c>
      <c r="G984" t="str">
        <f t="shared" si="66"/>
        <v>125-78: Thread, Bookbinding</v>
      </c>
    </row>
    <row r="985" spans="1:7" x14ac:dyDescent="0.25">
      <c r="A985" s="1" t="str">
        <f t="shared" si="65"/>
        <v>125</v>
      </c>
      <c r="B985" s="1" t="str">
        <f>TEXT(82,"00")</f>
        <v>82</v>
      </c>
      <c r="C985" s="1" t="str">
        <f t="shared" si="64"/>
        <v>125-82</v>
      </c>
      <c r="D985" t="s">
        <v>982</v>
      </c>
      <c r="E985" t="b">
        <f>IF(COUNTIF(D985,"*"&amp;'Keyword Search'!$C$5&amp;"*"),TRUE,FALSE)</f>
        <v>1</v>
      </c>
      <c r="G985" t="str">
        <f t="shared" si="66"/>
        <v>125-82: Tools, Bookbinding</v>
      </c>
    </row>
    <row r="986" spans="1:7" x14ac:dyDescent="0.25">
      <c r="A986" s="1" t="str">
        <f t="shared" si="65"/>
        <v>125</v>
      </c>
      <c r="B986" s="1" t="str">
        <f>TEXT(90,"00")</f>
        <v>90</v>
      </c>
      <c r="C986" s="1" t="str">
        <f t="shared" si="64"/>
        <v>125-90</v>
      </c>
      <c r="D986" t="s">
        <v>983</v>
      </c>
      <c r="E986" t="b">
        <f>IF(COUNTIF(D986,"*"&amp;'Keyword Search'!$C$5&amp;"*"),TRUE,FALSE)</f>
        <v>1</v>
      </c>
      <c r="G986" t="str">
        <f t="shared" si="66"/>
        <v>125-90: Wire, Bookbinding</v>
      </c>
    </row>
    <row r="987" spans="1:7" x14ac:dyDescent="0.25">
      <c r="A987" s="5" t="str">
        <f t="shared" ref="A987:A1022" si="67">TEXT(135,"000")</f>
        <v>135</v>
      </c>
      <c r="B987" s="5" t="str">
        <f>TEXT(0,"00")</f>
        <v>00</v>
      </c>
      <c r="C987" s="1"/>
      <c r="D987" s="2" t="s">
        <v>984</v>
      </c>
    </row>
    <row r="988" spans="1:7" x14ac:dyDescent="0.25">
      <c r="A988" s="1" t="str">
        <f t="shared" si="67"/>
        <v>135</v>
      </c>
      <c r="B988" s="1" t="str">
        <f>TEXT(5,"00")</f>
        <v>05</v>
      </c>
      <c r="C988" s="1" t="str">
        <f t="shared" si="64"/>
        <v>135-05</v>
      </c>
      <c r="D988" t="s">
        <v>985</v>
      </c>
      <c r="E988" t="b">
        <f>IF(COUNTIF(D988,"*"&amp;'Keyword Search'!$C$5&amp;"*"),TRUE,FALSE)</f>
        <v>1</v>
      </c>
      <c r="G988" t="str">
        <f t="shared" si="66"/>
        <v>135-05: Alabaster, Gypsum, etc.</v>
      </c>
    </row>
    <row r="989" spans="1:7" x14ac:dyDescent="0.25">
      <c r="A989" s="1" t="str">
        <f t="shared" si="67"/>
        <v>135</v>
      </c>
      <c r="B989" s="1" t="str">
        <f>TEXT(8,"00")</f>
        <v>08</v>
      </c>
      <c r="C989" s="1" t="str">
        <f t="shared" si="64"/>
        <v>135-08</v>
      </c>
      <c r="D989" t="s">
        <v>986</v>
      </c>
      <c r="E989" t="b">
        <f>IF(COUNTIF(D989,"*"&amp;'Keyword Search'!$C$5&amp;"*"),TRUE,FALSE)</f>
        <v>1</v>
      </c>
      <c r="G989" t="str">
        <f t="shared" si="66"/>
        <v>135-08: Bricks, Common</v>
      </c>
    </row>
    <row r="990" spans="1:7" x14ac:dyDescent="0.25">
      <c r="A990" s="1" t="str">
        <f t="shared" si="67"/>
        <v>135</v>
      </c>
      <c r="B990" s="1" t="str">
        <f>TEXT(9,"00")</f>
        <v>09</v>
      </c>
      <c r="C990" s="1" t="str">
        <f t="shared" si="64"/>
        <v>135-09</v>
      </c>
      <c r="D990" t="s">
        <v>987</v>
      </c>
      <c r="E990" t="b">
        <f>IF(COUNTIF(D990,"*"&amp;'Keyword Search'!$C$5&amp;"*"),TRUE,FALSE)</f>
        <v>1</v>
      </c>
      <c r="G990" t="str">
        <f t="shared" si="66"/>
        <v>135-09: Brick Facing</v>
      </c>
    </row>
    <row r="991" spans="1:7" x14ac:dyDescent="0.25">
      <c r="A991" s="1" t="str">
        <f t="shared" si="67"/>
        <v>135</v>
      </c>
      <c r="B991" s="1" t="str">
        <f>TEXT(10,"00")</f>
        <v>10</v>
      </c>
      <c r="C991" s="1" t="str">
        <f t="shared" si="64"/>
        <v>135-10</v>
      </c>
      <c r="D991" t="s">
        <v>988</v>
      </c>
      <c r="E991" t="b">
        <f>IF(COUNTIF(D991,"*"&amp;'Keyword Search'!$C$5&amp;"*"),TRUE,FALSE)</f>
        <v>1</v>
      </c>
      <c r="G991" t="str">
        <f t="shared" si="66"/>
        <v>135-10: Bricks, Sewer</v>
      </c>
    </row>
    <row r="992" spans="1:7" x14ac:dyDescent="0.25">
      <c r="A992" s="1" t="str">
        <f t="shared" si="67"/>
        <v>135</v>
      </c>
      <c r="B992" s="1" t="str">
        <f>TEXT(12,"00")</f>
        <v>12</v>
      </c>
      <c r="C992" s="1" t="str">
        <f t="shared" si="64"/>
        <v>135-12</v>
      </c>
      <c r="D992" t="s">
        <v>989</v>
      </c>
      <c r="E992" t="b">
        <f>IF(COUNTIF(D992,"*"&amp;'Keyword Search'!$C$5&amp;"*"),TRUE,FALSE)</f>
        <v>1</v>
      </c>
      <c r="G992" t="str">
        <f t="shared" si="66"/>
        <v>135-12: Cement, Mortar, Refractory</v>
      </c>
    </row>
    <row r="993" spans="1:7" x14ac:dyDescent="0.25">
      <c r="A993" s="1" t="str">
        <f t="shared" si="67"/>
        <v>135</v>
      </c>
      <c r="B993" s="1" t="str">
        <f>TEXT(15,"00")</f>
        <v>15</v>
      </c>
      <c r="C993" s="1" t="str">
        <f t="shared" si="64"/>
        <v>135-15</v>
      </c>
      <c r="D993" t="s">
        <v>990</v>
      </c>
      <c r="E993" t="b">
        <f>IF(COUNTIF(D993,"*"&amp;'Keyword Search'!$C$5&amp;"*"),TRUE,FALSE)</f>
        <v>1</v>
      </c>
      <c r="G993" t="str">
        <f t="shared" si="66"/>
        <v>135-15: Clay, Kaolin and Ball</v>
      </c>
    </row>
    <row r="994" spans="1:7" x14ac:dyDescent="0.25">
      <c r="A994" s="1" t="str">
        <f t="shared" si="67"/>
        <v>135</v>
      </c>
      <c r="B994" s="1" t="str">
        <f>TEXT(20,"00")</f>
        <v>20</v>
      </c>
      <c r="C994" s="1" t="str">
        <f t="shared" si="64"/>
        <v>135-20</v>
      </c>
      <c r="D994" t="s">
        <v>991</v>
      </c>
      <c r="E994" t="b">
        <f>IF(COUNTIF(D994,"*"&amp;'Keyword Search'!$C$5&amp;"*"),TRUE,FALSE)</f>
        <v>1</v>
      </c>
      <c r="G994" t="str">
        <f t="shared" si="66"/>
        <v>135-20: Coloring for Cement and Grout (Inactive, please see commodity code 135-40 effective January 1, 2016)</v>
      </c>
    </row>
    <row r="995" spans="1:7" x14ac:dyDescent="0.25">
      <c r="A995" s="1" t="str">
        <f t="shared" si="67"/>
        <v>135</v>
      </c>
      <c r="B995" s="1" t="str">
        <f>TEXT(28,"00")</f>
        <v>28</v>
      </c>
      <c r="C995" s="1" t="str">
        <f t="shared" si="64"/>
        <v>135-28</v>
      </c>
      <c r="D995" t="s">
        <v>992</v>
      </c>
      <c r="E995" t="b">
        <f>IF(COUNTIF(D995,"*"&amp;'Keyword Search'!$C$5&amp;"*"),TRUE,FALSE)</f>
        <v>1</v>
      </c>
      <c r="G995" t="str">
        <f t="shared" si="66"/>
        <v>135-28: Bricks, Fire</v>
      </c>
    </row>
    <row r="996" spans="1:7" x14ac:dyDescent="0.25">
      <c r="A996" s="1" t="str">
        <f t="shared" si="67"/>
        <v>135</v>
      </c>
      <c r="B996" s="1" t="str">
        <f>TEXT(34,"00")</f>
        <v>34</v>
      </c>
      <c r="C996" s="1" t="str">
        <f t="shared" si="64"/>
        <v>135-34</v>
      </c>
      <c r="D996" t="s">
        <v>993</v>
      </c>
      <c r="E996" t="b">
        <f>IF(COUNTIF(D996,"*"&amp;'Keyword Search'!$C$5&amp;"*"),TRUE,FALSE)</f>
        <v>1</v>
      </c>
      <c r="G996" t="str">
        <f t="shared" si="66"/>
        <v>135-34: Bricks, Fire Clay (Inactive, please see commodity code 135-28 effective January 1, 2016)</v>
      </c>
    </row>
    <row r="997" spans="1:7" x14ac:dyDescent="0.25">
      <c r="A997" s="1" t="str">
        <f t="shared" si="67"/>
        <v>135</v>
      </c>
      <c r="B997" s="1" t="str">
        <f>TEXT(36,"00")</f>
        <v>36</v>
      </c>
      <c r="C997" s="1" t="str">
        <f t="shared" si="64"/>
        <v>135-36</v>
      </c>
      <c r="D997" t="s">
        <v>994</v>
      </c>
      <c r="E997" t="b">
        <f>IF(COUNTIF(D997,"*"&amp;'Keyword Search'!$C$5&amp;"*"),TRUE,FALSE)</f>
        <v>1</v>
      </c>
      <c r="G997" t="str">
        <f t="shared" si="66"/>
        <v>135-36: Granite, Rough Dimension and Building</v>
      </c>
    </row>
    <row r="998" spans="1:7" x14ac:dyDescent="0.25">
      <c r="A998" s="1" t="str">
        <f t="shared" si="67"/>
        <v>135</v>
      </c>
      <c r="B998" s="1" t="str">
        <f>TEXT(38,"00")</f>
        <v>38</v>
      </c>
      <c r="C998" s="1" t="str">
        <f t="shared" si="64"/>
        <v>135-38</v>
      </c>
      <c r="D998" t="s">
        <v>995</v>
      </c>
      <c r="E998" t="b">
        <f>IF(COUNTIF(D998,"*"&amp;'Keyword Search'!$C$5&amp;"*"),TRUE,FALSE)</f>
        <v>1</v>
      </c>
      <c r="G998" t="str">
        <f t="shared" si="66"/>
        <v>135-38: Grout Sealer (Inactive, please see commodity code 135-40 effective January 1, 2016)</v>
      </c>
    </row>
    <row r="999" spans="1:7" x14ac:dyDescent="0.25">
      <c r="A999" s="1" t="str">
        <f t="shared" si="67"/>
        <v>135</v>
      </c>
      <c r="B999" s="1" t="str">
        <f>TEXT(40,"00")</f>
        <v>40</v>
      </c>
      <c r="C999" s="1" t="str">
        <f t="shared" si="64"/>
        <v>135-40</v>
      </c>
      <c r="D999" t="s">
        <v>996</v>
      </c>
      <c r="E999" t="b">
        <f>IF(COUNTIF(D999,"*"&amp;'Keyword Search'!$C$5&amp;"*"),TRUE,FALSE)</f>
        <v>1</v>
      </c>
      <c r="G999" t="str">
        <f t="shared" si="66"/>
        <v>135-40: Grout, Sealer and Coloring, Tile</v>
      </c>
    </row>
    <row r="1000" spans="1:7" x14ac:dyDescent="0.25">
      <c r="A1000" s="1" t="str">
        <f t="shared" si="67"/>
        <v>135</v>
      </c>
      <c r="B1000" s="1" t="str">
        <f>TEXT(45,"00")</f>
        <v>45</v>
      </c>
      <c r="C1000" s="1" t="str">
        <f t="shared" si="64"/>
        <v>135-45</v>
      </c>
      <c r="D1000" t="s">
        <v>997</v>
      </c>
      <c r="E1000" t="b">
        <f>IF(COUNTIF(D1000,"*"&amp;'Keyword Search'!$C$5&amp;"*"),TRUE,FALSE)</f>
        <v>1</v>
      </c>
      <c r="G1000" t="str">
        <f t="shared" si="66"/>
        <v>135-45: Marble, Building</v>
      </c>
    </row>
    <row r="1001" spans="1:7" x14ac:dyDescent="0.25">
      <c r="A1001" s="1" t="str">
        <f t="shared" si="67"/>
        <v>135</v>
      </c>
      <c r="B1001" s="1" t="str">
        <f>TEXT(46,"00")</f>
        <v>46</v>
      </c>
      <c r="C1001" s="1" t="str">
        <f t="shared" si="64"/>
        <v>135-46</v>
      </c>
      <c r="D1001" t="s">
        <v>998</v>
      </c>
      <c r="E1001" t="b">
        <f>IF(COUNTIF(D1001,"*"&amp;'Keyword Search'!$C$5&amp;"*"),TRUE,FALSE)</f>
        <v>1</v>
      </c>
      <c r="G1001" t="str">
        <f t="shared" si="66"/>
        <v>135-46: Brick, Molding</v>
      </c>
    </row>
    <row r="1002" spans="1:7" x14ac:dyDescent="0.25">
      <c r="A1002" s="1" t="str">
        <f t="shared" si="67"/>
        <v>135</v>
      </c>
      <c r="B1002" s="1" t="str">
        <f>TEXT(47,"00")</f>
        <v>47</v>
      </c>
      <c r="C1002" s="1" t="str">
        <f t="shared" si="64"/>
        <v>135-47</v>
      </c>
      <c r="D1002" t="s">
        <v>999</v>
      </c>
      <c r="E1002" t="b">
        <f>IF(COUNTIF(D1002,"*"&amp;'Keyword Search'!$C$5&amp;"*"),TRUE,FALSE)</f>
        <v>1</v>
      </c>
      <c r="G1002" t="str">
        <f t="shared" si="66"/>
        <v>135-47: Refractories, Castable</v>
      </c>
    </row>
    <row r="1003" spans="1:7" x14ac:dyDescent="0.25">
      <c r="A1003" s="1" t="str">
        <f t="shared" si="67"/>
        <v>135</v>
      </c>
      <c r="B1003" s="1" t="str">
        <f>TEXT(50,"00")</f>
        <v>50</v>
      </c>
      <c r="C1003" s="1" t="str">
        <f t="shared" si="64"/>
        <v>135-50</v>
      </c>
      <c r="D1003" t="s">
        <v>1000</v>
      </c>
      <c r="E1003" t="b">
        <f>IF(COUNTIF(D1003,"*"&amp;'Keyword Search'!$C$5&amp;"*"),TRUE,FALSE)</f>
        <v>1</v>
      </c>
      <c r="G1003" t="str">
        <f t="shared" si="66"/>
        <v>135-50: Stone, Building, Except Marble</v>
      </c>
    </row>
    <row r="1004" spans="1:7" x14ac:dyDescent="0.25">
      <c r="A1004" s="1" t="str">
        <f t="shared" si="67"/>
        <v>135</v>
      </c>
      <c r="B1004" s="1" t="str">
        <f>TEXT(52,"00")</f>
        <v>52</v>
      </c>
      <c r="C1004" s="1" t="str">
        <f t="shared" si="64"/>
        <v>135-52</v>
      </c>
      <c r="D1004" t="s">
        <v>1001</v>
      </c>
      <c r="E1004" t="b">
        <f>IF(COUNTIF(D1004,"*"&amp;'Keyword Search'!$C$5&amp;"*"),TRUE,FALSE)</f>
        <v>1</v>
      </c>
      <c r="G1004" t="str">
        <f t="shared" si="66"/>
        <v>135-52: Stone Products, Fabricated</v>
      </c>
    </row>
    <row r="1005" spans="1:7" x14ac:dyDescent="0.25">
      <c r="A1005" s="1" t="str">
        <f t="shared" si="67"/>
        <v>135</v>
      </c>
      <c r="B1005" s="1" t="str">
        <f>TEXT(54,"00")</f>
        <v>54</v>
      </c>
      <c r="C1005" s="1" t="str">
        <f t="shared" si="64"/>
        <v>135-54</v>
      </c>
      <c r="D1005" t="s">
        <v>1002</v>
      </c>
      <c r="E1005" t="b">
        <f>IF(COUNTIF(D1005,"*"&amp;'Keyword Search'!$C$5&amp;"*"),TRUE,FALSE)</f>
        <v>1</v>
      </c>
      <c r="G1005" t="str">
        <f t="shared" si="66"/>
        <v>135-54: Stucco</v>
      </c>
    </row>
    <row r="1006" spans="1:7" x14ac:dyDescent="0.25">
      <c r="A1006" s="1" t="str">
        <f t="shared" si="67"/>
        <v>135</v>
      </c>
      <c r="B1006" s="1" t="str">
        <f>TEXT(55,"00")</f>
        <v>55</v>
      </c>
      <c r="C1006" s="1" t="str">
        <f t="shared" si="64"/>
        <v>135-55</v>
      </c>
      <c r="D1006" t="s">
        <v>1003</v>
      </c>
      <c r="E1006" t="b">
        <f>IF(COUNTIF(D1006,"*"&amp;'Keyword Search'!$C$5&amp;"*"),TRUE,FALSE)</f>
        <v>1</v>
      </c>
      <c r="G1006" t="str">
        <f t="shared" si="66"/>
        <v>135-55: Ties and Anchors, Furnace</v>
      </c>
    </row>
    <row r="1007" spans="1:7" x14ac:dyDescent="0.25">
      <c r="A1007" s="1" t="str">
        <f t="shared" si="67"/>
        <v>135</v>
      </c>
      <c r="B1007" s="1" t="str">
        <f>TEXT(57,"00")</f>
        <v>57</v>
      </c>
      <c r="C1007" s="1" t="str">
        <f t="shared" si="64"/>
        <v>135-57</v>
      </c>
      <c r="D1007" t="s">
        <v>1004</v>
      </c>
      <c r="E1007" t="b">
        <f>IF(COUNTIF(D1007,"*"&amp;'Keyword Search'!$C$5&amp;"*"),TRUE,FALSE)</f>
        <v>1</v>
      </c>
      <c r="G1007" t="str">
        <f t="shared" si="66"/>
        <v>135-57: Tile, Field Stone, Including  Borders and Medallions</v>
      </c>
    </row>
    <row r="1008" spans="1:7" x14ac:dyDescent="0.25">
      <c r="A1008" s="1" t="str">
        <f t="shared" si="67"/>
        <v>135</v>
      </c>
      <c r="B1008" s="1" t="str">
        <f>TEXT(58,"00")</f>
        <v>58</v>
      </c>
      <c r="C1008" s="1" t="str">
        <f t="shared" si="64"/>
        <v>135-58</v>
      </c>
      <c r="D1008" t="s">
        <v>1005</v>
      </c>
      <c r="E1008" t="b">
        <f>IF(COUNTIF(D1008,"*"&amp;'Keyword Search'!$C$5&amp;"*"),TRUE,FALSE)</f>
        <v>1</v>
      </c>
      <c r="G1008" t="str">
        <f t="shared" si="66"/>
        <v>135-58: Tile, Decorative (Inactive, see commodity code 135-64, effective January 1, 2016)</v>
      </c>
    </row>
    <row r="1009" spans="1:7" x14ac:dyDescent="0.25">
      <c r="A1009" s="1" t="str">
        <f t="shared" si="67"/>
        <v>135</v>
      </c>
      <c r="B1009" s="1" t="str">
        <f>TEXT(59,"00")</f>
        <v>59</v>
      </c>
      <c r="C1009" s="1" t="str">
        <f t="shared" si="64"/>
        <v>135-59</v>
      </c>
      <c r="D1009" t="s">
        <v>1006</v>
      </c>
      <c r="E1009" t="b">
        <f>IF(COUNTIF(D1009,"*"&amp;'Keyword Search'!$C$5&amp;"*"),TRUE,FALSE)</f>
        <v>1</v>
      </c>
      <c r="G1009" t="str">
        <f t="shared" si="66"/>
        <v>135-59: Tile, Field Tile, Photo Imaged, Porcelain, Sculptured, Wall</v>
      </c>
    </row>
    <row r="1010" spans="1:7" x14ac:dyDescent="0.25">
      <c r="A1010" s="1" t="str">
        <f t="shared" si="67"/>
        <v>135</v>
      </c>
      <c r="B1010" s="1" t="str">
        <f>TEXT(60,"00")</f>
        <v>60</v>
      </c>
      <c r="C1010" s="1" t="str">
        <f t="shared" si="64"/>
        <v>135-60</v>
      </c>
      <c r="D1010" t="s">
        <v>1007</v>
      </c>
      <c r="E1010" t="b">
        <f>IF(COUNTIF(D1010,"*"&amp;'Keyword Search'!$C$5&amp;"*"),TRUE,FALSE)</f>
        <v>1</v>
      </c>
      <c r="G1010" t="str">
        <f t="shared" si="66"/>
        <v>135-60: Tile, Fire, Refractory</v>
      </c>
    </row>
    <row r="1011" spans="1:7" x14ac:dyDescent="0.25">
      <c r="A1011" s="1" t="str">
        <f t="shared" si="67"/>
        <v>135</v>
      </c>
      <c r="B1011" s="1" t="str">
        <f>TEXT(61,"00")</f>
        <v>61</v>
      </c>
      <c r="C1011" s="1" t="str">
        <f t="shared" si="64"/>
        <v>135-61</v>
      </c>
      <c r="D1011" t="s">
        <v>1008</v>
      </c>
      <c r="E1011" t="b">
        <f>IF(COUNTIF(D1011,"*"&amp;'Keyword Search'!$C$5&amp;"*"),TRUE,FALSE)</f>
        <v>1</v>
      </c>
      <c r="G1011" t="str">
        <f t="shared" si="66"/>
        <v>135-61: Tile, Fine Gemstone, Solid or Mosaic, Including Borders</v>
      </c>
    </row>
    <row r="1012" spans="1:7" x14ac:dyDescent="0.25">
      <c r="A1012" s="1" t="str">
        <f t="shared" si="67"/>
        <v>135</v>
      </c>
      <c r="B1012" s="1" t="str">
        <f>TEXT(64,"00")</f>
        <v>64</v>
      </c>
      <c r="C1012" s="1" t="str">
        <f t="shared" si="64"/>
        <v>135-64</v>
      </c>
      <c r="D1012" t="s">
        <v>1009</v>
      </c>
      <c r="E1012" t="b">
        <f>IF(COUNTIF(D1012,"*"&amp;'Keyword Search'!$C$5&amp;"*"),TRUE,FALSE)</f>
        <v>1</v>
      </c>
      <c r="G1012" t="str">
        <f t="shared" si="66"/>
        <v>135-64: Tile: Floor and Wall, Ceramic, Decorative, Glazed</v>
      </c>
    </row>
    <row r="1013" spans="1:7" x14ac:dyDescent="0.25">
      <c r="A1013" s="1" t="str">
        <f t="shared" si="67"/>
        <v>135</v>
      </c>
      <c r="B1013" s="1" t="str">
        <f>TEXT(65,"00")</f>
        <v>65</v>
      </c>
      <c r="C1013" s="1" t="str">
        <f t="shared" si="64"/>
        <v>135-65</v>
      </c>
      <c r="D1013" t="s">
        <v>1010</v>
      </c>
      <c r="E1013" t="b">
        <f>IF(COUNTIF(D1013,"*"&amp;'Keyword Search'!$C$5&amp;"*"),TRUE,FALSE)</f>
        <v>1</v>
      </c>
      <c r="G1013" t="str">
        <f t="shared" si="66"/>
        <v>135-65: Tile, Shell, Mosaic, Including Borders (Inactive, see commodity code 135-61, effective January 1, 2016)</v>
      </c>
    </row>
    <row r="1014" spans="1:7" x14ac:dyDescent="0.25">
      <c r="A1014" s="1" t="str">
        <f t="shared" si="67"/>
        <v>135</v>
      </c>
      <c r="B1014" s="1" t="str">
        <f>TEXT(66,"00")</f>
        <v>66</v>
      </c>
      <c r="C1014" s="1" t="str">
        <f t="shared" si="64"/>
        <v>135-66</v>
      </c>
      <c r="D1014" t="s">
        <v>1011</v>
      </c>
      <c r="E1014" t="b">
        <f>IF(COUNTIF(D1014,"*"&amp;'Keyword Search'!$C$5&amp;"*"),TRUE,FALSE)</f>
        <v>1</v>
      </c>
      <c r="G1014" t="str">
        <f t="shared" si="66"/>
        <v>135-66: Tile: Floor and Wall, Ceramic, Unglazed</v>
      </c>
    </row>
    <row r="1015" spans="1:7" x14ac:dyDescent="0.25">
      <c r="A1015" s="1" t="str">
        <f t="shared" si="67"/>
        <v>135</v>
      </c>
      <c r="B1015" s="1" t="str">
        <f>TEXT(70,"00")</f>
        <v>70</v>
      </c>
      <c r="C1015" s="1" t="str">
        <f t="shared" si="64"/>
        <v>135-70</v>
      </c>
      <c r="D1015" t="s">
        <v>1012</v>
      </c>
      <c r="E1015" t="b">
        <f>IF(COUNTIF(D1015,"*"&amp;'Keyword Search'!$C$5&amp;"*"),TRUE,FALSE)</f>
        <v>1</v>
      </c>
      <c r="G1015" t="str">
        <f t="shared" si="66"/>
        <v>135-70: Tile, Quarry  (Inactive, please see commodity code 135-64 effective January 1, 2016)</v>
      </c>
    </row>
    <row r="1016" spans="1:7" x14ac:dyDescent="0.25">
      <c r="A1016" s="1" t="str">
        <f t="shared" si="67"/>
        <v>135</v>
      </c>
      <c r="B1016" s="1" t="str">
        <f>TEXT(74,"00")</f>
        <v>74</v>
      </c>
      <c r="C1016" s="1" t="str">
        <f t="shared" si="64"/>
        <v>135-74</v>
      </c>
      <c r="D1016" t="s">
        <v>1013</v>
      </c>
      <c r="E1016" t="b">
        <f>IF(COUNTIF(D1016,"*"&amp;'Keyword Search'!$C$5&amp;"*"),TRUE,FALSE)</f>
        <v>1</v>
      </c>
      <c r="G1016" t="str">
        <f t="shared" si="66"/>
        <v>135-74: Tile, Roof, Clay, Burnt Type  (See 770-64 for Concrete Roofing Tile)</v>
      </c>
    </row>
    <row r="1017" spans="1:7" x14ac:dyDescent="0.25">
      <c r="A1017" s="1" t="str">
        <f t="shared" si="67"/>
        <v>135</v>
      </c>
      <c r="B1017" s="1" t="str">
        <f>TEXT(79,"00")</f>
        <v>79</v>
      </c>
      <c r="C1017" s="1" t="str">
        <f t="shared" si="64"/>
        <v>135-79</v>
      </c>
      <c r="D1017" t="s">
        <v>1014</v>
      </c>
      <c r="E1017" t="b">
        <f>IF(COUNTIF(D1017,"*"&amp;'Keyword Search'!$C$5&amp;"*"),TRUE,FALSE)</f>
        <v>1</v>
      </c>
      <c r="G1017" t="str">
        <f t="shared" si="66"/>
        <v>135-79: Tile Sealant  (Inactive, please see commodity code 135-40 effective January 1, 2016)</v>
      </c>
    </row>
    <row r="1018" spans="1:7" x14ac:dyDescent="0.25">
      <c r="A1018" s="1" t="str">
        <f t="shared" si="67"/>
        <v>135</v>
      </c>
      <c r="B1018" s="1" t="str">
        <f>TEXT(80,"00")</f>
        <v>80</v>
      </c>
      <c r="C1018" s="1" t="str">
        <f t="shared" si="64"/>
        <v>135-80</v>
      </c>
      <c r="D1018" t="s">
        <v>1015</v>
      </c>
      <c r="E1018" t="b">
        <f>IF(COUNTIF(D1018,"*"&amp;'Keyword Search'!$C$5&amp;"*"),TRUE,FALSE)</f>
        <v>1</v>
      </c>
      <c r="G1018" t="str">
        <f t="shared" si="66"/>
        <v>135-80: Tile-Set, For Ceramic Tiles</v>
      </c>
    </row>
    <row r="1019" spans="1:7" x14ac:dyDescent="0.25">
      <c r="A1019" s="1" t="str">
        <f t="shared" si="67"/>
        <v>135</v>
      </c>
      <c r="B1019" s="1" t="str">
        <f>TEXT(81,"00")</f>
        <v>81</v>
      </c>
      <c r="C1019" s="1" t="str">
        <f t="shared" si="64"/>
        <v>135-81</v>
      </c>
      <c r="D1019" t="s">
        <v>1016</v>
      </c>
      <c r="E1019" t="b">
        <f>IF(COUNTIF(D1019,"*"&amp;'Keyword Search'!$C$5&amp;"*"),TRUE,FALSE)</f>
        <v>1</v>
      </c>
      <c r="G1019" t="str">
        <f t="shared" si="66"/>
        <v>135-81: Tile, Metal</v>
      </c>
    </row>
    <row r="1020" spans="1:7" x14ac:dyDescent="0.25">
      <c r="A1020" s="1" t="str">
        <f t="shared" si="67"/>
        <v>135</v>
      </c>
      <c r="B1020" s="1" t="str">
        <f>TEXT(85,"00")</f>
        <v>85</v>
      </c>
      <c r="C1020" s="1" t="str">
        <f t="shared" si="64"/>
        <v>135-85</v>
      </c>
      <c r="D1020" t="s">
        <v>1017</v>
      </c>
      <c r="E1020" t="b">
        <f>IF(COUNTIF(D1020,"*"&amp;'Keyword Search'!$C$5&amp;"*"),TRUE,FALSE)</f>
        <v>1</v>
      </c>
      <c r="G1020" t="str">
        <f t="shared" si="66"/>
        <v>135-85: Tombstone, Stone Grave Markers, and Grave Liners</v>
      </c>
    </row>
    <row r="1021" spans="1:7" x14ac:dyDescent="0.25">
      <c r="A1021" s="1" t="str">
        <f t="shared" si="67"/>
        <v>135</v>
      </c>
      <c r="B1021" s="1" t="str">
        <f>TEXT(93,"00")</f>
        <v>93</v>
      </c>
      <c r="C1021" s="1" t="str">
        <f t="shared" si="64"/>
        <v>135-93</v>
      </c>
      <c r="D1021" t="s">
        <v>1018</v>
      </c>
      <c r="E1021" t="b">
        <f>IF(COUNTIF(D1021,"*"&amp;'Keyword Search'!$C$5&amp;"*"),TRUE,FALSE)</f>
        <v>1</v>
      </c>
      <c r="G1021" t="str">
        <f t="shared" si="66"/>
        <v>135-93: Recycled Tile: Ceramic, Decorative, Fire, Roof, Quarry, etc. (See 360-37 for Other Types)</v>
      </c>
    </row>
    <row r="1022" spans="1:7" x14ac:dyDescent="0.25">
      <c r="A1022" s="1" t="str">
        <f t="shared" si="67"/>
        <v>135</v>
      </c>
      <c r="B1022" s="1" t="str">
        <f>TEXT(94,"00")</f>
        <v>94</v>
      </c>
      <c r="C1022" s="1" t="str">
        <f t="shared" si="64"/>
        <v>135-94</v>
      </c>
      <c r="D1022" t="s">
        <v>1019</v>
      </c>
      <c r="E1022" t="b">
        <f>IF(COUNTIF(D1022,"*"&amp;'Keyword Search'!$C$5&amp;"*"),TRUE,FALSE)</f>
        <v>1</v>
      </c>
      <c r="G1022" t="str">
        <f t="shared" si="66"/>
        <v>135-94: Recycled Bricks, Refractories, Clay, Marble and Stone Products</v>
      </c>
    </row>
    <row r="1023" spans="1:7" x14ac:dyDescent="0.25">
      <c r="A1023" s="5" t="str">
        <f t="shared" ref="A1023:A1051" si="68">TEXT(140,"000")</f>
        <v>140</v>
      </c>
      <c r="B1023" s="5" t="str">
        <f>TEXT(0,"00")</f>
        <v>00</v>
      </c>
      <c r="C1023" s="1"/>
      <c r="D1023" s="2" t="s">
        <v>1020</v>
      </c>
    </row>
    <row r="1024" spans="1:7" x14ac:dyDescent="0.25">
      <c r="A1024" s="1" t="str">
        <f t="shared" si="68"/>
        <v>140</v>
      </c>
      <c r="B1024" s="1" t="str">
        <f>TEXT(3,"00")</f>
        <v>03</v>
      </c>
      <c r="C1024" s="1" t="str">
        <f t="shared" si="64"/>
        <v>140-03</v>
      </c>
      <c r="D1024" t="s">
        <v>1021</v>
      </c>
      <c r="E1024" t="b">
        <f>IF(COUNTIF(D1024,"*"&amp;'Keyword Search'!$C$5&amp;"*"),TRUE,FALSE)</f>
        <v>1</v>
      </c>
      <c r="G1024" t="str">
        <f t="shared" si="66"/>
        <v>140-03: Bands, Wire, Broom</v>
      </c>
    </row>
    <row r="1025" spans="1:7" x14ac:dyDescent="0.25">
      <c r="A1025" s="1" t="str">
        <f t="shared" si="68"/>
        <v>140</v>
      </c>
      <c r="B1025" s="1" t="str">
        <f>TEXT(5,"00")</f>
        <v>05</v>
      </c>
      <c r="C1025" s="1" t="str">
        <f t="shared" si="64"/>
        <v>140-05</v>
      </c>
      <c r="D1025" t="s">
        <v>1022</v>
      </c>
      <c r="E1025" t="b">
        <f>IF(COUNTIF(D1025,"*"&amp;'Keyword Search'!$C$5&amp;"*"),TRUE,FALSE)</f>
        <v>1</v>
      </c>
      <c r="G1025" t="str">
        <f t="shared" si="66"/>
        <v>140-05: Blocks, Brush</v>
      </c>
    </row>
    <row r="1026" spans="1:7" x14ac:dyDescent="0.25">
      <c r="A1026" s="1" t="str">
        <f t="shared" si="68"/>
        <v>140</v>
      </c>
      <c r="B1026" s="1" t="str">
        <f>TEXT(6,"00")</f>
        <v>06</v>
      </c>
      <c r="C1026" s="1" t="str">
        <f t="shared" si="64"/>
        <v>140-06</v>
      </c>
      <c r="D1026" t="s">
        <v>1023</v>
      </c>
      <c r="E1026" t="b">
        <f>IF(COUNTIF(D1026,"*"&amp;'Keyword Search'!$C$5&amp;"*"),TRUE,FALSE)</f>
        <v>1</v>
      </c>
      <c r="G1026" t="str">
        <f t="shared" si="66"/>
        <v>140-06: Broomcorn</v>
      </c>
    </row>
    <row r="1027" spans="1:7" x14ac:dyDescent="0.25">
      <c r="A1027" s="1" t="str">
        <f t="shared" si="68"/>
        <v>140</v>
      </c>
      <c r="B1027" s="1" t="str">
        <f>TEXT(9,"00")</f>
        <v>09</v>
      </c>
      <c r="C1027" s="1" t="str">
        <f t="shared" ref="C1027:C1090" si="69">CONCATENATE(A1027,"-",B1027)</f>
        <v>140-09</v>
      </c>
      <c r="D1027" t="s">
        <v>1024</v>
      </c>
      <c r="E1027" t="b">
        <f>IF(COUNTIF(D1027,"*"&amp;'Keyword Search'!$C$5&amp;"*"),TRUE,FALSE)</f>
        <v>1</v>
      </c>
      <c r="G1027" t="str">
        <f t="shared" si="66"/>
        <v>140-09: Broom Manufacturing Machinery and Parts</v>
      </c>
    </row>
    <row r="1028" spans="1:7" x14ac:dyDescent="0.25">
      <c r="A1028" s="1" t="str">
        <f t="shared" si="68"/>
        <v>140</v>
      </c>
      <c r="B1028" s="1" t="str">
        <f>TEXT(12,"00")</f>
        <v>12</v>
      </c>
      <c r="C1028" s="1" t="str">
        <f t="shared" si="69"/>
        <v>140-12</v>
      </c>
      <c r="D1028" t="s">
        <v>1025</v>
      </c>
      <c r="E1028" t="b">
        <f>IF(COUNTIF(D1028,"*"&amp;'Keyword Search'!$C$5&amp;"*"),TRUE,FALSE)</f>
        <v>1</v>
      </c>
      <c r="G1028" t="str">
        <f t="shared" ref="G1028:G1091" si="70">CONCATENATE(C1028,": ",D1028)</f>
        <v>140-12: Broom Manufacturing Tools</v>
      </c>
    </row>
    <row r="1029" spans="1:7" x14ac:dyDescent="0.25">
      <c r="A1029" s="1" t="str">
        <f t="shared" si="68"/>
        <v>140</v>
      </c>
      <c r="B1029" s="1" t="str">
        <f>TEXT(15,"00")</f>
        <v>15</v>
      </c>
      <c r="C1029" s="1" t="str">
        <f t="shared" si="69"/>
        <v>140-15</v>
      </c>
      <c r="D1029" t="s">
        <v>1026</v>
      </c>
      <c r="E1029" t="b">
        <f>IF(COUNTIF(D1029,"*"&amp;'Keyword Search'!$C$5&amp;"*"),TRUE,FALSE)</f>
        <v>1</v>
      </c>
      <c r="G1029" t="str">
        <f t="shared" si="70"/>
        <v>140-15: Brush Manufacturing Machinery and Parts</v>
      </c>
    </row>
    <row r="1030" spans="1:7" x14ac:dyDescent="0.25">
      <c r="A1030" s="1" t="str">
        <f t="shared" si="68"/>
        <v>140</v>
      </c>
      <c r="B1030" s="1" t="str">
        <f>TEXT(18,"00")</f>
        <v>18</v>
      </c>
      <c r="C1030" s="1" t="str">
        <f t="shared" si="69"/>
        <v>140-18</v>
      </c>
      <c r="D1030" t="s">
        <v>1027</v>
      </c>
      <c r="E1030" t="b">
        <f>IF(COUNTIF(D1030,"*"&amp;'Keyword Search'!$C$5&amp;"*"),TRUE,FALSE)</f>
        <v>1</v>
      </c>
      <c r="G1030" t="str">
        <f t="shared" si="70"/>
        <v>140-18: Brush Manufacturing Tools</v>
      </c>
    </row>
    <row r="1031" spans="1:7" x14ac:dyDescent="0.25">
      <c r="A1031" s="1" t="str">
        <f t="shared" si="68"/>
        <v>140</v>
      </c>
      <c r="B1031" s="1" t="str">
        <f>TEXT(21,"00")</f>
        <v>21</v>
      </c>
      <c r="C1031" s="1" t="str">
        <f t="shared" si="69"/>
        <v>140-21</v>
      </c>
      <c r="D1031" t="s">
        <v>1028</v>
      </c>
      <c r="E1031" t="b">
        <f>IF(COUNTIF(D1031,"*"&amp;'Keyword Search'!$C$5&amp;"*"),TRUE,FALSE)</f>
        <v>1</v>
      </c>
      <c r="G1031" t="str">
        <f t="shared" si="70"/>
        <v>140-21: Caps, Handle, Whisk Broom</v>
      </c>
    </row>
    <row r="1032" spans="1:7" x14ac:dyDescent="0.25">
      <c r="A1032" s="1" t="str">
        <f t="shared" si="68"/>
        <v>140</v>
      </c>
      <c r="B1032" s="1" t="str">
        <f>TEXT(24,"00")</f>
        <v>24</v>
      </c>
      <c r="C1032" s="1" t="str">
        <f t="shared" si="69"/>
        <v>140-24</v>
      </c>
      <c r="D1032" t="s">
        <v>1029</v>
      </c>
      <c r="E1032" t="b">
        <f>IF(COUNTIF(D1032,"*"&amp;'Keyword Search'!$C$5&amp;"*"),TRUE,FALSE)</f>
        <v>1</v>
      </c>
      <c r="G1032" t="str">
        <f t="shared" si="70"/>
        <v>140-24: Dyes, Broom</v>
      </c>
    </row>
    <row r="1033" spans="1:7" x14ac:dyDescent="0.25">
      <c r="A1033" s="1" t="str">
        <f t="shared" si="68"/>
        <v>140</v>
      </c>
      <c r="B1033" s="1" t="str">
        <f>TEXT(27,"00")</f>
        <v>27</v>
      </c>
      <c r="C1033" s="1" t="str">
        <f t="shared" si="69"/>
        <v>140-27</v>
      </c>
      <c r="D1033" t="s">
        <v>1030</v>
      </c>
      <c r="E1033" t="b">
        <f>IF(COUNTIF(D1033,"*"&amp;'Keyword Search'!$C$5&amp;"*"),TRUE,FALSE)</f>
        <v>1</v>
      </c>
      <c r="G1033" t="str">
        <f t="shared" si="70"/>
        <v>140-27: Ferrules, Handle, Metal</v>
      </c>
    </row>
    <row r="1034" spans="1:7" x14ac:dyDescent="0.25">
      <c r="A1034" s="1" t="str">
        <f t="shared" si="68"/>
        <v>140</v>
      </c>
      <c r="B1034" s="1" t="str">
        <f>TEXT(30,"00")</f>
        <v>30</v>
      </c>
      <c r="C1034" s="1" t="str">
        <f t="shared" si="69"/>
        <v>140-30</v>
      </c>
      <c r="D1034" t="s">
        <v>1031</v>
      </c>
      <c r="E1034" t="b">
        <f>IF(COUNTIF(D1034,"*"&amp;'Keyword Search'!$C$5&amp;"*"),TRUE,FALSE)</f>
        <v>1</v>
      </c>
      <c r="G1034" t="str">
        <f t="shared" si="70"/>
        <v>140-30: Ferrules, Handle, Plastic</v>
      </c>
    </row>
    <row r="1035" spans="1:7" x14ac:dyDescent="0.25">
      <c r="A1035" s="1" t="str">
        <f t="shared" si="68"/>
        <v>140</v>
      </c>
      <c r="B1035" s="1" t="str">
        <f>TEXT(33,"00")</f>
        <v>33</v>
      </c>
      <c r="C1035" s="1" t="str">
        <f t="shared" si="69"/>
        <v>140-33</v>
      </c>
      <c r="D1035" t="s">
        <v>1032</v>
      </c>
      <c r="E1035" t="b">
        <f>IF(COUNTIF(D1035,"*"&amp;'Keyword Search'!$C$5&amp;"*"),TRUE,FALSE)</f>
        <v>1</v>
      </c>
      <c r="G1035" t="str">
        <f t="shared" si="70"/>
        <v>140-33: Fibers, Bass</v>
      </c>
    </row>
    <row r="1036" spans="1:7" x14ac:dyDescent="0.25">
      <c r="A1036" s="1" t="str">
        <f t="shared" si="68"/>
        <v>140</v>
      </c>
      <c r="B1036" s="1" t="str">
        <f>TEXT(36,"00")</f>
        <v>36</v>
      </c>
      <c r="C1036" s="1" t="str">
        <f t="shared" si="69"/>
        <v>140-36</v>
      </c>
      <c r="D1036" t="s">
        <v>1033</v>
      </c>
      <c r="E1036" t="b">
        <f>IF(COUNTIF(D1036,"*"&amp;'Keyword Search'!$C$5&amp;"*"),TRUE,FALSE)</f>
        <v>1</v>
      </c>
      <c r="G1036" t="str">
        <f t="shared" si="70"/>
        <v>140-36: Fibers, Bassine</v>
      </c>
    </row>
    <row r="1037" spans="1:7" x14ac:dyDescent="0.25">
      <c r="A1037" s="1" t="str">
        <f t="shared" si="68"/>
        <v>140</v>
      </c>
      <c r="B1037" s="1" t="str">
        <f>TEXT(39,"00")</f>
        <v>39</v>
      </c>
      <c r="C1037" s="1" t="str">
        <f t="shared" si="69"/>
        <v>140-39</v>
      </c>
      <c r="D1037" t="s">
        <v>1034</v>
      </c>
      <c r="E1037" t="b">
        <f>IF(COUNTIF(D1037,"*"&amp;'Keyword Search'!$C$5&amp;"*"),TRUE,FALSE)</f>
        <v>1</v>
      </c>
      <c r="G1037" t="str">
        <f t="shared" si="70"/>
        <v>140-39: Fibers, Horsehair</v>
      </c>
    </row>
    <row r="1038" spans="1:7" x14ac:dyDescent="0.25">
      <c r="A1038" s="1" t="str">
        <f t="shared" si="68"/>
        <v>140</v>
      </c>
      <c r="B1038" s="1" t="str">
        <f>TEXT(42,"00")</f>
        <v>42</v>
      </c>
      <c r="C1038" s="1" t="str">
        <f t="shared" si="69"/>
        <v>140-42</v>
      </c>
      <c r="D1038" t="s">
        <v>1035</v>
      </c>
      <c r="E1038" t="b">
        <f>IF(COUNTIF(D1038,"*"&amp;'Keyword Search'!$C$5&amp;"*"),TRUE,FALSE)</f>
        <v>1</v>
      </c>
      <c r="G1038" t="str">
        <f t="shared" si="70"/>
        <v>140-42: Fibers, Mixed, Union Mixture</v>
      </c>
    </row>
    <row r="1039" spans="1:7" x14ac:dyDescent="0.25">
      <c r="A1039" s="1" t="str">
        <f t="shared" si="68"/>
        <v>140</v>
      </c>
      <c r="B1039" s="1" t="str">
        <f>TEXT(45,"00")</f>
        <v>45</v>
      </c>
      <c r="C1039" s="1" t="str">
        <f t="shared" si="69"/>
        <v>140-45</v>
      </c>
      <c r="D1039" t="s">
        <v>1036</v>
      </c>
      <c r="E1039" t="b">
        <f>IF(COUNTIF(D1039,"*"&amp;'Keyword Search'!$C$5&amp;"*"),TRUE,FALSE)</f>
        <v>1</v>
      </c>
      <c r="G1039" t="str">
        <f t="shared" si="70"/>
        <v>140-45: Fibers, Palmetto</v>
      </c>
    </row>
    <row r="1040" spans="1:7" x14ac:dyDescent="0.25">
      <c r="A1040" s="1" t="str">
        <f t="shared" si="68"/>
        <v>140</v>
      </c>
      <c r="B1040" s="1" t="str">
        <f>TEXT(48,"00")</f>
        <v>48</v>
      </c>
      <c r="C1040" s="1" t="str">
        <f t="shared" si="69"/>
        <v>140-48</v>
      </c>
      <c r="D1040" t="s">
        <v>1037</v>
      </c>
      <c r="E1040" t="b">
        <f>IF(COUNTIF(D1040,"*"&amp;'Keyword Search'!$C$5&amp;"*"),TRUE,FALSE)</f>
        <v>1</v>
      </c>
      <c r="G1040" t="str">
        <f t="shared" si="70"/>
        <v>140-48: Fibers, Palmyra</v>
      </c>
    </row>
    <row r="1041" spans="1:7" x14ac:dyDescent="0.25">
      <c r="A1041" s="1" t="str">
        <f t="shared" si="68"/>
        <v>140</v>
      </c>
      <c r="B1041" s="1" t="str">
        <f>TEXT(51,"00")</f>
        <v>51</v>
      </c>
      <c r="C1041" s="1" t="str">
        <f t="shared" si="69"/>
        <v>140-51</v>
      </c>
      <c r="D1041" t="s">
        <v>1038</v>
      </c>
      <c r="E1041" t="b">
        <f>IF(COUNTIF(D1041,"*"&amp;'Keyword Search'!$C$5&amp;"*"),TRUE,FALSE)</f>
        <v>1</v>
      </c>
      <c r="G1041" t="str">
        <f t="shared" si="70"/>
        <v>140-51: Fibers, Plastic and Synthetic</v>
      </c>
    </row>
    <row r="1042" spans="1:7" x14ac:dyDescent="0.25">
      <c r="A1042" s="1" t="str">
        <f t="shared" si="68"/>
        <v>140</v>
      </c>
      <c r="B1042" s="1" t="str">
        <f>TEXT(54,"00")</f>
        <v>54</v>
      </c>
      <c r="C1042" s="1" t="str">
        <f t="shared" si="69"/>
        <v>140-54</v>
      </c>
      <c r="D1042" t="s">
        <v>1039</v>
      </c>
      <c r="E1042" t="b">
        <f>IF(COUNTIF(D1042,"*"&amp;'Keyword Search'!$C$5&amp;"*"),TRUE,FALSE)</f>
        <v>1</v>
      </c>
      <c r="G1042" t="str">
        <f t="shared" si="70"/>
        <v>140-54: Fibers, Tampico</v>
      </c>
    </row>
    <row r="1043" spans="1:7" x14ac:dyDescent="0.25">
      <c r="A1043" s="1" t="str">
        <f t="shared" si="68"/>
        <v>140</v>
      </c>
      <c r="B1043" s="1" t="str">
        <f>TEXT(66,"00")</f>
        <v>66</v>
      </c>
      <c r="C1043" s="1" t="str">
        <f t="shared" si="69"/>
        <v>140-66</v>
      </c>
      <c r="D1043" t="s">
        <v>1040</v>
      </c>
      <c r="E1043" t="b">
        <f>IF(COUNTIF(D1043,"*"&amp;'Keyword Search'!$C$5&amp;"*"),TRUE,FALSE)</f>
        <v>1</v>
      </c>
      <c r="G1043" t="str">
        <f t="shared" si="70"/>
        <v>140-66: Mop Manufacturing Machinery and Parts</v>
      </c>
    </row>
    <row r="1044" spans="1:7" x14ac:dyDescent="0.25">
      <c r="A1044" s="1" t="str">
        <f t="shared" si="68"/>
        <v>140</v>
      </c>
      <c r="B1044" s="1" t="str">
        <f>TEXT(69,"00")</f>
        <v>69</v>
      </c>
      <c r="C1044" s="1" t="str">
        <f t="shared" si="69"/>
        <v>140-69</v>
      </c>
      <c r="D1044" t="s">
        <v>1041</v>
      </c>
      <c r="E1044" t="b">
        <f>IF(COUNTIF(D1044,"*"&amp;'Keyword Search'!$C$5&amp;"*"),TRUE,FALSE)</f>
        <v>1</v>
      </c>
      <c r="G1044" t="str">
        <f t="shared" si="70"/>
        <v>140-69: Mop Manufacturing Tools</v>
      </c>
    </row>
    <row r="1045" spans="1:7" x14ac:dyDescent="0.25">
      <c r="A1045" s="1" t="str">
        <f t="shared" si="68"/>
        <v>140</v>
      </c>
      <c r="B1045" s="1" t="str">
        <f>TEXT(75,"00")</f>
        <v>75</v>
      </c>
      <c r="C1045" s="1" t="str">
        <f t="shared" si="69"/>
        <v>140-75</v>
      </c>
      <c r="D1045" t="s">
        <v>1042</v>
      </c>
      <c r="E1045" t="b">
        <f>IF(COUNTIF(D1045,"*"&amp;'Keyword Search'!$C$5&amp;"*"),TRUE,FALSE)</f>
        <v>1</v>
      </c>
      <c r="G1045" t="str">
        <f t="shared" si="70"/>
        <v>140-75: Rag, Broom</v>
      </c>
    </row>
    <row r="1046" spans="1:7" x14ac:dyDescent="0.25">
      <c r="A1046" s="1" t="str">
        <f t="shared" si="68"/>
        <v>140</v>
      </c>
      <c r="B1046" s="1" t="str">
        <f>TEXT(76,"00")</f>
        <v>76</v>
      </c>
      <c r="C1046" s="1" t="str">
        <f t="shared" si="69"/>
        <v>140-76</v>
      </c>
      <c r="D1046" t="s">
        <v>1043</v>
      </c>
      <c r="E1046" t="b">
        <f>IF(COUNTIF(D1046,"*"&amp;'Keyword Search'!$C$5&amp;"*"),TRUE,FALSE)</f>
        <v>1</v>
      </c>
      <c r="G1046" t="str">
        <f t="shared" si="70"/>
        <v>140-76: Recycled Broom, Brush and Mop Supplies</v>
      </c>
    </row>
    <row r="1047" spans="1:7" x14ac:dyDescent="0.25">
      <c r="A1047" s="1" t="str">
        <f t="shared" si="68"/>
        <v>140</v>
      </c>
      <c r="B1047" s="1" t="str">
        <f>TEXT(78,"00")</f>
        <v>78</v>
      </c>
      <c r="C1047" s="1" t="str">
        <f t="shared" si="69"/>
        <v>140-78</v>
      </c>
      <c r="D1047" t="s">
        <v>1044</v>
      </c>
      <c r="E1047" t="b">
        <f>IF(COUNTIF(D1047,"*"&amp;'Keyword Search'!$C$5&amp;"*"),TRUE,FALSE)</f>
        <v>1</v>
      </c>
      <c r="G1047" t="str">
        <f t="shared" si="70"/>
        <v>140-78: Tie Tape, Mop, Nylon</v>
      </c>
    </row>
    <row r="1048" spans="1:7" x14ac:dyDescent="0.25">
      <c r="A1048" s="1" t="str">
        <f t="shared" si="68"/>
        <v>140</v>
      </c>
      <c r="B1048" s="1" t="str">
        <f>TEXT(81,"00")</f>
        <v>81</v>
      </c>
      <c r="C1048" s="1" t="str">
        <f t="shared" si="69"/>
        <v>140-81</v>
      </c>
      <c r="D1048" t="s">
        <v>1045</v>
      </c>
      <c r="E1048" t="b">
        <f>IF(COUNTIF(D1048,"*"&amp;'Keyword Search'!$C$5&amp;"*"),TRUE,FALSE)</f>
        <v>1</v>
      </c>
      <c r="G1048" t="str">
        <f t="shared" si="70"/>
        <v>140-81: Twine, Broom</v>
      </c>
    </row>
    <row r="1049" spans="1:7" x14ac:dyDescent="0.25">
      <c r="A1049" s="1" t="str">
        <f t="shared" si="68"/>
        <v>140</v>
      </c>
      <c r="B1049" s="1" t="str">
        <f>TEXT(84,"00")</f>
        <v>84</v>
      </c>
      <c r="C1049" s="1" t="str">
        <f t="shared" si="69"/>
        <v>140-84</v>
      </c>
      <c r="D1049" t="s">
        <v>1046</v>
      </c>
      <c r="E1049" t="b">
        <f>IF(COUNTIF(D1049,"*"&amp;'Keyword Search'!$C$5&amp;"*"),TRUE,FALSE)</f>
        <v>1</v>
      </c>
      <c r="G1049" t="str">
        <f t="shared" si="70"/>
        <v>140-84: Wire: Broom, Brush, and Mop</v>
      </c>
    </row>
    <row r="1050" spans="1:7" x14ac:dyDescent="0.25">
      <c r="A1050" s="1" t="str">
        <f t="shared" si="68"/>
        <v>140</v>
      </c>
      <c r="B1050" s="1" t="str">
        <f>TEXT(87,"00")</f>
        <v>87</v>
      </c>
      <c r="C1050" s="1" t="str">
        <f t="shared" si="69"/>
        <v>140-87</v>
      </c>
      <c r="D1050" t="s">
        <v>1047</v>
      </c>
      <c r="E1050" t="b">
        <f>IF(COUNTIF(D1050,"*"&amp;'Keyword Search'!$C$5&amp;"*"),TRUE,FALSE)</f>
        <v>1</v>
      </c>
      <c r="G1050" t="str">
        <f t="shared" si="70"/>
        <v>140-87: Yarn, Mop Head, Cotton</v>
      </c>
    </row>
    <row r="1051" spans="1:7" x14ac:dyDescent="0.25">
      <c r="A1051" s="1" t="str">
        <f t="shared" si="68"/>
        <v>140</v>
      </c>
      <c r="B1051" s="1" t="str">
        <f>TEXT(90,"00")</f>
        <v>90</v>
      </c>
      <c r="C1051" s="1" t="str">
        <f t="shared" si="69"/>
        <v>140-90</v>
      </c>
      <c r="D1051" t="s">
        <v>1048</v>
      </c>
      <c r="E1051" t="b">
        <f>IF(COUNTIF(D1051,"*"&amp;'Keyword Search'!$C$5&amp;"*"),TRUE,FALSE)</f>
        <v>1</v>
      </c>
      <c r="G1051" t="str">
        <f t="shared" si="70"/>
        <v>140-90: Yarn, Mop Head, Synthetic</v>
      </c>
    </row>
    <row r="1052" spans="1:7" x14ac:dyDescent="0.25">
      <c r="A1052" s="5" t="str">
        <f t="shared" ref="A1052:A1068" si="71">TEXT(145,"000")</f>
        <v>145</v>
      </c>
      <c r="B1052" s="5" t="str">
        <f>TEXT(0,"00")</f>
        <v>00</v>
      </c>
      <c r="C1052" s="1"/>
      <c r="D1052" s="2" t="s">
        <v>1049</v>
      </c>
    </row>
    <row r="1053" spans="1:7" x14ac:dyDescent="0.25">
      <c r="A1053" s="1" t="str">
        <f t="shared" si="71"/>
        <v>145</v>
      </c>
      <c r="B1053" s="1" t="str">
        <f>TEXT(15,"00")</f>
        <v>15</v>
      </c>
      <c r="C1053" s="1" t="str">
        <f t="shared" si="69"/>
        <v>145-15</v>
      </c>
      <c r="D1053" t="s">
        <v>1050</v>
      </c>
      <c r="E1053" t="b">
        <f>IF(COUNTIF(D1053,"*"&amp;'Keyword Search'!$C$5&amp;"*"),TRUE,FALSE)</f>
        <v>1</v>
      </c>
      <c r="G1053" t="str">
        <f t="shared" si="70"/>
        <v>145-15: Acid Brushes</v>
      </c>
    </row>
    <row r="1054" spans="1:7" x14ac:dyDescent="0.25">
      <c r="A1054" s="1" t="str">
        <f t="shared" si="71"/>
        <v>145</v>
      </c>
      <c r="B1054" s="1" t="str">
        <f>TEXT(18,"00")</f>
        <v>18</v>
      </c>
      <c r="C1054" s="1" t="str">
        <f t="shared" si="69"/>
        <v>145-18</v>
      </c>
      <c r="D1054" t="s">
        <v>1051</v>
      </c>
      <c r="E1054" t="b">
        <f>IF(COUNTIF(D1054,"*"&amp;'Keyword Search'!$C$5&amp;"*"),TRUE,FALSE)</f>
        <v>1</v>
      </c>
      <c r="G1054" t="str">
        <f t="shared" si="70"/>
        <v>145-18: Chimney Brushes</v>
      </c>
    </row>
    <row r="1055" spans="1:7" x14ac:dyDescent="0.25">
      <c r="A1055" s="1" t="str">
        <f t="shared" si="71"/>
        <v>145</v>
      </c>
      <c r="B1055" s="1" t="str">
        <f>TEXT(20,"00")</f>
        <v>20</v>
      </c>
      <c r="C1055" s="1" t="str">
        <f t="shared" si="69"/>
        <v>145-20</v>
      </c>
      <c r="D1055" t="s">
        <v>1052</v>
      </c>
      <c r="E1055" t="b">
        <f>IF(COUNTIF(D1055,"*"&amp;'Keyword Search'!$C$5&amp;"*"),TRUE,FALSE)</f>
        <v>1</v>
      </c>
      <c r="G1055" t="str">
        <f t="shared" si="70"/>
        <v>145-20: Cylinder, Tank, and Vat Brushes</v>
      </c>
    </row>
    <row r="1056" spans="1:7" x14ac:dyDescent="0.25">
      <c r="A1056" s="1" t="str">
        <f t="shared" si="71"/>
        <v>145</v>
      </c>
      <c r="B1056" s="1" t="str">
        <f>TEXT(30,"00")</f>
        <v>30</v>
      </c>
      <c r="C1056" s="1" t="str">
        <f t="shared" si="69"/>
        <v>145-30</v>
      </c>
      <c r="D1056" t="s">
        <v>1053</v>
      </c>
      <c r="E1056" t="b">
        <f>IF(COUNTIF(D1056,"*"&amp;'Keyword Search'!$C$5&amp;"*"),TRUE,FALSE)</f>
        <v>1</v>
      </c>
      <c r="G1056" t="str">
        <f t="shared" si="70"/>
        <v>145-30: Glue Brushes</v>
      </c>
    </row>
    <row r="1057" spans="1:7" x14ac:dyDescent="0.25">
      <c r="A1057" s="1" t="str">
        <f t="shared" si="71"/>
        <v>145</v>
      </c>
      <c r="B1057" s="1" t="str">
        <f>TEXT(33,"00")</f>
        <v>33</v>
      </c>
      <c r="C1057" s="1" t="str">
        <f t="shared" si="69"/>
        <v>145-33</v>
      </c>
      <c r="D1057" t="s">
        <v>1054</v>
      </c>
      <c r="E1057" t="b">
        <f>IF(COUNTIF(D1057,"*"&amp;'Keyword Search'!$C$5&amp;"*"),TRUE,FALSE)</f>
        <v>1</v>
      </c>
      <c r="G1057" t="str">
        <f t="shared" si="70"/>
        <v>145-33: Gutter Brushes</v>
      </c>
    </row>
    <row r="1058" spans="1:7" x14ac:dyDescent="0.25">
      <c r="A1058" s="1" t="str">
        <f t="shared" si="71"/>
        <v>145</v>
      </c>
      <c r="B1058" s="1" t="str">
        <f>TEXT(35,"00")</f>
        <v>35</v>
      </c>
      <c r="C1058" s="1" t="str">
        <f t="shared" si="69"/>
        <v>145-35</v>
      </c>
      <c r="D1058" t="s">
        <v>1055</v>
      </c>
      <c r="E1058" t="b">
        <f>IF(COUNTIF(D1058,"*"&amp;'Keyword Search'!$C$5&amp;"*"),TRUE,FALSE)</f>
        <v>1</v>
      </c>
      <c r="G1058" t="str">
        <f t="shared" si="70"/>
        <v>145-35: Kettle Brushes</v>
      </c>
    </row>
    <row r="1059" spans="1:7" x14ac:dyDescent="0.25">
      <c r="A1059" s="1" t="str">
        <f t="shared" si="71"/>
        <v>145</v>
      </c>
      <c r="B1059" s="1" t="str">
        <f>TEXT(43,"00")</f>
        <v>43</v>
      </c>
      <c r="C1059" s="1" t="str">
        <f t="shared" si="69"/>
        <v>145-43</v>
      </c>
      <c r="D1059" t="s">
        <v>1056</v>
      </c>
      <c r="E1059" t="b">
        <f>IF(COUNTIF(D1059,"*"&amp;'Keyword Search'!$C$5&amp;"*"),TRUE,FALSE)</f>
        <v>1</v>
      </c>
      <c r="G1059" t="str">
        <f t="shared" si="70"/>
        <v>145-43: Masonry Brushes</v>
      </c>
    </row>
    <row r="1060" spans="1:7" x14ac:dyDescent="0.25">
      <c r="A1060" s="1" t="str">
        <f t="shared" si="71"/>
        <v>145</v>
      </c>
      <c r="B1060" s="1" t="str">
        <f>TEXT(44,"00")</f>
        <v>44</v>
      </c>
      <c r="C1060" s="1" t="str">
        <f t="shared" si="69"/>
        <v>145-44</v>
      </c>
      <c r="D1060" t="s">
        <v>1057</v>
      </c>
      <c r="E1060" t="b">
        <f>IF(COUNTIF(D1060,"*"&amp;'Keyword Search'!$C$5&amp;"*"),TRUE,FALSE)</f>
        <v>1</v>
      </c>
      <c r="G1060" t="str">
        <f t="shared" si="70"/>
        <v>145-44: Miscellaneous Brushes (Not Otherwise Classified)</v>
      </c>
    </row>
    <row r="1061" spans="1:7" x14ac:dyDescent="0.25">
      <c r="A1061" s="1" t="str">
        <f t="shared" si="71"/>
        <v>145</v>
      </c>
      <c r="B1061" s="1" t="str">
        <f>TEXT(45,"00")</f>
        <v>45</v>
      </c>
      <c r="C1061" s="1" t="str">
        <f t="shared" si="69"/>
        <v>145-45</v>
      </c>
      <c r="D1061" t="s">
        <v>1058</v>
      </c>
      <c r="E1061" t="b">
        <f>IF(COUNTIF(D1061,"*"&amp;'Keyword Search'!$C$5&amp;"*"),TRUE,FALSE)</f>
        <v>1</v>
      </c>
      <c r="G1061" t="str">
        <f t="shared" si="70"/>
        <v>145-45: Paint and Varnish Brushes</v>
      </c>
    </row>
    <row r="1062" spans="1:7" x14ac:dyDescent="0.25">
      <c r="A1062" s="1" t="str">
        <f t="shared" si="71"/>
        <v>145</v>
      </c>
      <c r="B1062" s="1" t="str">
        <f>TEXT(57,"00")</f>
        <v>57</v>
      </c>
      <c r="C1062" s="1" t="str">
        <f t="shared" si="69"/>
        <v>145-57</v>
      </c>
      <c r="D1062" t="s">
        <v>1059</v>
      </c>
      <c r="E1062" t="b">
        <f>IF(COUNTIF(D1062,"*"&amp;'Keyword Search'!$C$5&amp;"*"),TRUE,FALSE)</f>
        <v>1</v>
      </c>
      <c r="G1062" t="str">
        <f t="shared" si="70"/>
        <v>145-57: Recycled Brushes</v>
      </c>
    </row>
    <row r="1063" spans="1:7" x14ac:dyDescent="0.25">
      <c r="A1063" s="1" t="str">
        <f t="shared" si="71"/>
        <v>145</v>
      </c>
      <c r="B1063" s="1" t="str">
        <f>TEXT(60,"00")</f>
        <v>60</v>
      </c>
      <c r="C1063" s="1" t="str">
        <f t="shared" si="69"/>
        <v>145-60</v>
      </c>
      <c r="D1063" t="s">
        <v>1060</v>
      </c>
      <c r="E1063" t="b">
        <f>IF(COUNTIF(D1063,"*"&amp;'Keyword Search'!$C$5&amp;"*"),TRUE,FALSE)</f>
        <v>1</v>
      </c>
      <c r="G1063" t="str">
        <f t="shared" si="70"/>
        <v>145-60: Roofing  Brushes</v>
      </c>
    </row>
    <row r="1064" spans="1:7" x14ac:dyDescent="0.25">
      <c r="A1064" s="1" t="str">
        <f t="shared" si="71"/>
        <v>145</v>
      </c>
      <c r="B1064" s="1" t="str">
        <f>TEXT(65,"00")</f>
        <v>65</v>
      </c>
      <c r="C1064" s="1" t="str">
        <f t="shared" si="69"/>
        <v>145-65</v>
      </c>
      <c r="D1064" t="s">
        <v>1061</v>
      </c>
      <c r="E1064" t="b">
        <f>IF(COUNTIF(D1064,"*"&amp;'Keyword Search'!$C$5&amp;"*"),TRUE,FALSE)</f>
        <v>1</v>
      </c>
      <c r="G1064" t="str">
        <f t="shared" si="70"/>
        <v>145-65: Solder Flux Paste Brushes</v>
      </c>
    </row>
    <row r="1065" spans="1:7" x14ac:dyDescent="0.25">
      <c r="A1065" s="1" t="str">
        <f t="shared" si="71"/>
        <v>145</v>
      </c>
      <c r="B1065" s="1" t="str">
        <f>TEXT(67,"00")</f>
        <v>67</v>
      </c>
      <c r="C1065" s="1" t="str">
        <f t="shared" si="69"/>
        <v>145-67</v>
      </c>
      <c r="D1065" t="s">
        <v>1062</v>
      </c>
      <c r="E1065" t="b">
        <f>IF(COUNTIF(D1065,"*"&amp;'Keyword Search'!$C$5&amp;"*"),TRUE,FALSE)</f>
        <v>1</v>
      </c>
      <c r="G1065" t="str">
        <f t="shared" si="70"/>
        <v>145-67: Snow Brushes</v>
      </c>
    </row>
    <row r="1066" spans="1:7" x14ac:dyDescent="0.25">
      <c r="A1066" s="1" t="str">
        <f t="shared" si="71"/>
        <v>145</v>
      </c>
      <c r="B1066" s="1" t="str">
        <f>TEXT(72,"00")</f>
        <v>72</v>
      </c>
      <c r="C1066" s="1" t="str">
        <f t="shared" si="69"/>
        <v>145-72</v>
      </c>
      <c r="D1066" t="s">
        <v>1063</v>
      </c>
      <c r="E1066" t="b">
        <f>IF(COUNTIF(D1066,"*"&amp;'Keyword Search'!$C$5&amp;"*"),TRUE,FALSE)</f>
        <v>1</v>
      </c>
      <c r="G1066" t="str">
        <f t="shared" si="70"/>
        <v>145-72: Washer Brushes, Car and Truck</v>
      </c>
    </row>
    <row r="1067" spans="1:7" x14ac:dyDescent="0.25">
      <c r="A1067" s="1" t="str">
        <f t="shared" si="71"/>
        <v>145</v>
      </c>
      <c r="B1067" s="1" t="str">
        <f>TEXT(75,"00")</f>
        <v>75</v>
      </c>
      <c r="C1067" s="1" t="str">
        <f t="shared" si="69"/>
        <v>145-75</v>
      </c>
      <c r="D1067" t="s">
        <v>1064</v>
      </c>
      <c r="E1067" t="b">
        <f>IF(COUNTIF(D1067,"*"&amp;'Keyword Search'!$C$5&amp;"*"),TRUE,FALSE)</f>
        <v>1</v>
      </c>
      <c r="G1067" t="str">
        <f t="shared" si="70"/>
        <v>145-75: Wire Brushes, Hand</v>
      </c>
    </row>
    <row r="1068" spans="1:7" x14ac:dyDescent="0.25">
      <c r="A1068" s="1" t="str">
        <f t="shared" si="71"/>
        <v>145</v>
      </c>
      <c r="B1068" s="1" t="str">
        <f>TEXT(90,"00")</f>
        <v>90</v>
      </c>
      <c r="C1068" s="1" t="str">
        <f t="shared" si="69"/>
        <v>145-90</v>
      </c>
      <c r="D1068" t="s">
        <v>1065</v>
      </c>
      <c r="E1068" t="b">
        <f>IF(COUNTIF(D1068,"*"&amp;'Keyword Search'!$C$5&amp;"*"),TRUE,FALSE)</f>
        <v>1</v>
      </c>
      <c r="G1068" t="str">
        <f t="shared" si="70"/>
        <v>145-90: Wire Wheel Brushes</v>
      </c>
    </row>
    <row r="1069" spans="1:7" x14ac:dyDescent="0.25">
      <c r="A1069" s="5" t="str">
        <f t="shared" ref="A1069:A1132" si="72">TEXT(150,"000")</f>
        <v>150</v>
      </c>
      <c r="B1069" s="5" t="str">
        <f>TEXT(0,"00")</f>
        <v>00</v>
      </c>
      <c r="C1069" s="1"/>
      <c r="D1069" s="2" t="s">
        <v>1066</v>
      </c>
    </row>
    <row r="1070" spans="1:7" x14ac:dyDescent="0.25">
      <c r="A1070" s="1" t="str">
        <f t="shared" si="72"/>
        <v>150</v>
      </c>
      <c r="B1070" s="1" t="str">
        <f>TEXT(2,"00")</f>
        <v>02</v>
      </c>
      <c r="C1070" s="1" t="str">
        <f t="shared" si="69"/>
        <v>150-02</v>
      </c>
      <c r="D1070" t="s">
        <v>1067</v>
      </c>
      <c r="E1070" t="b">
        <f>IF(COUNTIF(D1070,"*"&amp;'Keyword Search'!$C$5&amp;"*"),TRUE,FALSE)</f>
        <v>1</v>
      </c>
      <c r="G1070" t="str">
        <f t="shared" si="70"/>
        <v>150-02: Adhesives, Bonding Agents and Cement Antifreeze</v>
      </c>
    </row>
    <row r="1071" spans="1:7" x14ac:dyDescent="0.25">
      <c r="A1071" s="1" t="str">
        <f t="shared" si="72"/>
        <v>150</v>
      </c>
      <c r="B1071" s="1" t="str">
        <f>TEXT(4,"00")</f>
        <v>04</v>
      </c>
      <c r="C1071" s="1" t="str">
        <f t="shared" si="69"/>
        <v>150-04</v>
      </c>
      <c r="D1071" t="s">
        <v>1068</v>
      </c>
      <c r="E1071" t="b">
        <f>IF(COUNTIF(D1071,"*"&amp;'Keyword Search'!$C$5&amp;"*"),TRUE,FALSE)</f>
        <v>1</v>
      </c>
      <c r="G1071" t="str">
        <f t="shared" si="70"/>
        <v>150-04: Aluminum Extrusions, Fabricating Window and Door Screens</v>
      </c>
    </row>
    <row r="1072" spans="1:7" x14ac:dyDescent="0.25">
      <c r="A1072" s="1" t="str">
        <f t="shared" si="72"/>
        <v>150</v>
      </c>
      <c r="B1072" s="1" t="str">
        <f>TEXT(5,"00")</f>
        <v>05</v>
      </c>
      <c r="C1072" s="1" t="str">
        <f t="shared" si="69"/>
        <v>150-05</v>
      </c>
      <c r="D1072" t="s">
        <v>1069</v>
      </c>
      <c r="E1072" t="b">
        <f>IF(COUNTIF(D1072,"*"&amp;'Keyword Search'!$C$5&amp;"*"),TRUE,FALSE)</f>
        <v>1</v>
      </c>
      <c r="G1072" t="str">
        <f t="shared" si="70"/>
        <v>150-05: Brick, Fire, Plastic (Inactive, effective January 1, 2016)</v>
      </c>
    </row>
    <row r="1073" spans="1:7" x14ac:dyDescent="0.25">
      <c r="A1073" s="1" t="str">
        <f t="shared" si="72"/>
        <v>150</v>
      </c>
      <c r="B1073" s="1" t="str">
        <f>TEXT(6,"00")</f>
        <v>06</v>
      </c>
      <c r="C1073" s="1" t="str">
        <f t="shared" si="69"/>
        <v>150-06</v>
      </c>
      <c r="D1073" t="s">
        <v>1070</v>
      </c>
      <c r="E1073" t="b">
        <f>IF(COUNTIF(D1073,"*"&amp;'Keyword Search'!$C$5&amp;"*"),TRUE,FALSE)</f>
        <v>1</v>
      </c>
      <c r="G1073" t="str">
        <f t="shared" si="70"/>
        <v>150-06: Builder's Paper, Kraft Types, Not Felt and Tar Paper</v>
      </c>
    </row>
    <row r="1074" spans="1:7" x14ac:dyDescent="0.25">
      <c r="A1074" s="1" t="str">
        <f t="shared" si="72"/>
        <v>150</v>
      </c>
      <c r="B1074" s="1" t="str">
        <f>TEXT(7,"00")</f>
        <v>07</v>
      </c>
      <c r="C1074" s="1" t="str">
        <f t="shared" si="69"/>
        <v>150-07</v>
      </c>
      <c r="D1074" t="s">
        <v>1071</v>
      </c>
      <c r="E1074" t="b">
        <f>IF(COUNTIF(D1074,"*"&amp;'Keyword Search'!$C$5&amp;"*"),TRUE,FALSE)</f>
        <v>1</v>
      </c>
      <c r="G1074" t="str">
        <f t="shared" si="70"/>
        <v>150-07: Boxes, Shoring, Construction Worker Protection</v>
      </c>
    </row>
    <row r="1075" spans="1:7" x14ac:dyDescent="0.25">
      <c r="A1075" s="1" t="str">
        <f t="shared" si="72"/>
        <v>150</v>
      </c>
      <c r="B1075" s="1" t="str">
        <f>TEXT(8,"00")</f>
        <v>08</v>
      </c>
      <c r="C1075" s="1" t="str">
        <f t="shared" si="69"/>
        <v>150-08</v>
      </c>
      <c r="D1075" t="s">
        <v>1072</v>
      </c>
      <c r="E1075" t="b">
        <f>IF(COUNTIF(D1075,"*"&amp;'Keyword Search'!$C$5&amp;"*"),TRUE,FALSE)</f>
        <v>1</v>
      </c>
      <c r="G1075" t="str">
        <f t="shared" si="70"/>
        <v>150-08: Cabinets, Counters, Shelves, etc., Ready-Made</v>
      </c>
    </row>
    <row r="1076" spans="1:7" x14ac:dyDescent="0.25">
      <c r="A1076" s="1" t="str">
        <f t="shared" si="72"/>
        <v>150</v>
      </c>
      <c r="B1076" s="1" t="str">
        <f>TEXT(9,"00")</f>
        <v>09</v>
      </c>
      <c r="C1076" s="1" t="str">
        <f t="shared" si="69"/>
        <v>150-09</v>
      </c>
      <c r="D1076" t="s">
        <v>1073</v>
      </c>
      <c r="E1076" t="b">
        <f>IF(COUNTIF(D1076,"*"&amp;'Keyword Search'!$C$5&amp;"*"),TRUE,FALSE)</f>
        <v>1</v>
      </c>
      <c r="G1076" t="str">
        <f t="shared" si="70"/>
        <v>150-09: Casement Window Hardware: Latches, Operators, and Handles</v>
      </c>
    </row>
    <row r="1077" spans="1:7" x14ac:dyDescent="0.25">
      <c r="A1077" s="1" t="str">
        <f t="shared" si="72"/>
        <v>150</v>
      </c>
      <c r="B1077" s="1" t="str">
        <f>TEXT(10,"00")</f>
        <v>10</v>
      </c>
      <c r="C1077" s="1" t="str">
        <f t="shared" si="69"/>
        <v>150-10</v>
      </c>
      <c r="D1077" t="s">
        <v>1074</v>
      </c>
      <c r="E1077" t="b">
        <f>IF(COUNTIF(D1077,"*"&amp;'Keyword Search'!$C$5&amp;"*"),TRUE,FALSE)</f>
        <v>1</v>
      </c>
      <c r="G1077" t="str">
        <f t="shared" si="70"/>
        <v>150-10: Construction Materials (Not Otherwise Classified)</v>
      </c>
    </row>
    <row r="1078" spans="1:7" x14ac:dyDescent="0.25">
      <c r="A1078" s="1" t="str">
        <f t="shared" si="72"/>
        <v>150</v>
      </c>
      <c r="B1078" s="1" t="str">
        <f>TEXT(11,"00")</f>
        <v>11</v>
      </c>
      <c r="C1078" s="1" t="str">
        <f t="shared" si="69"/>
        <v>150-11</v>
      </c>
      <c r="D1078" t="s">
        <v>1075</v>
      </c>
      <c r="E1078" t="b">
        <f>IF(COUNTIF(D1078,"*"&amp;'Keyword Search'!$C$5&amp;"*"),TRUE,FALSE)</f>
        <v>1</v>
      </c>
      <c r="G1078" t="str">
        <f t="shared" si="70"/>
        <v>150-11: Ceiling Coffers</v>
      </c>
    </row>
    <row r="1079" spans="1:7" x14ac:dyDescent="0.25">
      <c r="A1079" s="1" t="str">
        <f t="shared" si="72"/>
        <v>150</v>
      </c>
      <c r="B1079" s="1" t="str">
        <f>TEXT(12,"00")</f>
        <v>12</v>
      </c>
      <c r="C1079" s="1" t="str">
        <f t="shared" si="69"/>
        <v>150-12</v>
      </c>
      <c r="D1079" t="s">
        <v>1076</v>
      </c>
      <c r="E1079" t="b">
        <f>IF(COUNTIF(D1079,"*"&amp;'Keyword Search'!$C$5&amp;"*"),TRUE,FALSE)</f>
        <v>1</v>
      </c>
      <c r="G1079" t="str">
        <f t="shared" si="70"/>
        <v>150-12: Cement, Concrete, Lime, Plaster Mixes, Retarder and Setting Compounds, Sacked, LTL Quantities, (See Class 750 for Bulk Cement, Concrete and Lime)</v>
      </c>
    </row>
    <row r="1080" spans="1:7" x14ac:dyDescent="0.25">
      <c r="A1080" s="1" t="str">
        <f t="shared" si="72"/>
        <v>150</v>
      </c>
      <c r="B1080" s="1" t="str">
        <f>TEXT(13,"00")</f>
        <v>13</v>
      </c>
      <c r="C1080" s="1" t="str">
        <f t="shared" si="69"/>
        <v>150-13</v>
      </c>
      <c r="D1080" t="s">
        <v>1077</v>
      </c>
      <c r="E1080" t="b">
        <f>IF(COUNTIF(D1080,"*"&amp;'Keyword Search'!$C$5&amp;"*"),TRUE,FALSE)</f>
        <v>1</v>
      </c>
      <c r="G1080" t="str">
        <f t="shared" si="70"/>
        <v>150-13: Chimney</v>
      </c>
    </row>
    <row r="1081" spans="1:7" x14ac:dyDescent="0.25">
      <c r="A1081" s="1" t="str">
        <f t="shared" si="72"/>
        <v>150</v>
      </c>
      <c r="B1081" s="1" t="str">
        <f>TEXT(14,"00")</f>
        <v>14</v>
      </c>
      <c r="C1081" s="1" t="str">
        <f t="shared" si="69"/>
        <v>150-14</v>
      </c>
      <c r="D1081" t="s">
        <v>1078</v>
      </c>
      <c r="E1081" t="b">
        <f>IF(COUNTIF(D1081,"*"&amp;'Keyword Search'!$C$5&amp;"*"),TRUE,FALSE)</f>
        <v>1</v>
      </c>
      <c r="G1081" t="str">
        <f t="shared" si="70"/>
        <v>150-14: Cement, Quick Setting, Sacked  (Inactive, please see commodity code 150-12 effective January 1, 2016)</v>
      </c>
    </row>
    <row r="1082" spans="1:7" x14ac:dyDescent="0.25">
      <c r="A1082" s="1" t="str">
        <f t="shared" si="72"/>
        <v>150</v>
      </c>
      <c r="B1082" s="1" t="str">
        <f>TEXT(15,"00")</f>
        <v>15</v>
      </c>
      <c r="C1082" s="1" t="str">
        <f t="shared" si="69"/>
        <v>150-15</v>
      </c>
      <c r="D1082" t="s">
        <v>1079</v>
      </c>
      <c r="E1082" t="b">
        <f>IF(COUNTIF(D1082,"*"&amp;'Keyword Search'!$C$5&amp;"*"),TRUE,FALSE)</f>
        <v>1</v>
      </c>
      <c r="G1082" t="str">
        <f t="shared" si="70"/>
        <v>150-15: Concrete, Polymer, All Types</v>
      </c>
    </row>
    <row r="1083" spans="1:7" x14ac:dyDescent="0.25">
      <c r="A1083" s="1" t="str">
        <f t="shared" si="72"/>
        <v>150</v>
      </c>
      <c r="B1083" s="1" t="str">
        <f>TEXT(16,"00")</f>
        <v>16</v>
      </c>
      <c r="C1083" s="1" t="str">
        <f t="shared" si="69"/>
        <v>150-16</v>
      </c>
      <c r="D1083" t="s">
        <v>1080</v>
      </c>
      <c r="E1083" t="b">
        <f>IF(COUNTIF(D1083,"*"&amp;'Keyword Search'!$C$5&amp;"*"),TRUE,FALSE)</f>
        <v>1</v>
      </c>
      <c r="G1083" t="str">
        <f t="shared" si="70"/>
        <v>150-16: Curing Mixtures, Concrete, All Types</v>
      </c>
    </row>
    <row r="1084" spans="1:7" x14ac:dyDescent="0.25">
      <c r="A1084" s="1" t="str">
        <f t="shared" si="72"/>
        <v>150</v>
      </c>
      <c r="B1084" s="1" t="str">
        <f>TEXT(17,"00")</f>
        <v>17</v>
      </c>
      <c r="C1084" s="1" t="str">
        <f t="shared" si="69"/>
        <v>150-17</v>
      </c>
      <c r="D1084" t="s">
        <v>1081</v>
      </c>
      <c r="E1084" t="b">
        <f>IF(COUNTIF(D1084,"*"&amp;'Keyword Search'!$C$5&amp;"*"),TRUE,FALSE)</f>
        <v>1</v>
      </c>
      <c r="G1084" t="str">
        <f t="shared" si="70"/>
        <v>150-17: Chutes, Linen, Laundry (Inactive, effective January 1, 2016)</v>
      </c>
    </row>
    <row r="1085" spans="1:7" x14ac:dyDescent="0.25">
      <c r="A1085" s="1" t="str">
        <f t="shared" si="72"/>
        <v>150</v>
      </c>
      <c r="B1085" s="1" t="str">
        <f>TEXT(18,"00")</f>
        <v>18</v>
      </c>
      <c r="C1085" s="1" t="str">
        <f t="shared" si="69"/>
        <v>150-18</v>
      </c>
      <c r="D1085" t="s">
        <v>1082</v>
      </c>
      <c r="E1085" t="b">
        <f>IF(COUNTIF(D1085,"*"&amp;'Keyword Search'!$C$5&amp;"*"),TRUE,FALSE)</f>
        <v>1</v>
      </c>
      <c r="G1085" t="str">
        <f t="shared" si="70"/>
        <v>150-18: Door Bells, Chimes</v>
      </c>
    </row>
    <row r="1086" spans="1:7" x14ac:dyDescent="0.25">
      <c r="A1086" s="1" t="str">
        <f t="shared" si="72"/>
        <v>150</v>
      </c>
      <c r="B1086" s="1" t="str">
        <f>TEXT(19,"00")</f>
        <v>19</v>
      </c>
      <c r="C1086" s="1" t="str">
        <f t="shared" si="69"/>
        <v>150-19</v>
      </c>
      <c r="D1086" t="s">
        <v>1083</v>
      </c>
      <c r="E1086" t="b">
        <f>IF(COUNTIF(D1086,"*"&amp;'Keyword Search'!$C$5&amp;"*"),TRUE,FALSE)</f>
        <v>1</v>
      </c>
      <c r="G1086" t="str">
        <f t="shared" si="70"/>
        <v>150-19: Door Operators, Not Door Closers: Chain Hoist Type, Electric Motor Type, etc.</v>
      </c>
    </row>
    <row r="1087" spans="1:7" x14ac:dyDescent="0.25">
      <c r="A1087" s="1" t="str">
        <f t="shared" si="72"/>
        <v>150</v>
      </c>
      <c r="B1087" s="1" t="str">
        <f>TEXT(20,"00")</f>
        <v>20</v>
      </c>
      <c r="C1087" s="1" t="str">
        <f t="shared" si="69"/>
        <v>150-20</v>
      </c>
      <c r="D1087" t="s">
        <v>1084</v>
      </c>
      <c r="E1087" t="b">
        <f>IF(COUNTIF(D1087,"*"&amp;'Keyword Search'!$C$5&amp;"*"),TRUE,FALSE)</f>
        <v>1</v>
      </c>
      <c r="G1087" t="str">
        <f t="shared" si="70"/>
        <v>150-20: Door Openers, Electric, Including Parts and Accessories</v>
      </c>
    </row>
    <row r="1088" spans="1:7" x14ac:dyDescent="0.25">
      <c r="A1088" s="1" t="str">
        <f t="shared" si="72"/>
        <v>150</v>
      </c>
      <c r="B1088" s="1" t="str">
        <f>TEXT(21,"00")</f>
        <v>21</v>
      </c>
      <c r="C1088" s="1" t="str">
        <f t="shared" si="69"/>
        <v>150-21</v>
      </c>
      <c r="D1088" t="s">
        <v>1085</v>
      </c>
      <c r="E1088" t="b">
        <f>IF(COUNTIF(D1088,"*"&amp;'Keyword Search'!$C$5&amp;"*"),TRUE,FALSE)</f>
        <v>1</v>
      </c>
      <c r="G1088" t="str">
        <f t="shared" si="70"/>
        <v>150-21: Doors, Aluminum and Glass, All Types</v>
      </c>
    </row>
    <row r="1089" spans="1:7" x14ac:dyDescent="0.25">
      <c r="A1089" s="1" t="str">
        <f t="shared" si="72"/>
        <v>150</v>
      </c>
      <c r="B1089" s="1" t="str">
        <f>TEXT(22,"00")</f>
        <v>22</v>
      </c>
      <c r="C1089" s="1" t="str">
        <f t="shared" si="69"/>
        <v>150-22</v>
      </c>
      <c r="D1089" t="s">
        <v>1086</v>
      </c>
      <c r="E1089" t="b">
        <f>IF(COUNTIF(D1089,"*"&amp;'Keyword Search'!$C$5&amp;"*"),TRUE,FALSE)</f>
        <v>1</v>
      </c>
      <c r="G1089" t="str">
        <f t="shared" si="70"/>
        <v>150-22: Doors, Fiberglass</v>
      </c>
    </row>
    <row r="1090" spans="1:7" x14ac:dyDescent="0.25">
      <c r="A1090" s="1" t="str">
        <f t="shared" si="72"/>
        <v>150</v>
      </c>
      <c r="B1090" s="1" t="str">
        <f>TEXT(23,"00")</f>
        <v>23</v>
      </c>
      <c r="C1090" s="1" t="str">
        <f t="shared" si="69"/>
        <v>150-23</v>
      </c>
      <c r="D1090" t="s">
        <v>1087</v>
      </c>
      <c r="E1090" t="b">
        <f>IF(COUNTIF(D1090,"*"&amp;'Keyword Search'!$C$5&amp;"*"),TRUE,FALSE)</f>
        <v>1</v>
      </c>
      <c r="G1090" t="str">
        <f t="shared" si="70"/>
        <v>150-23: Doors, Automatic, Drive-Through Type</v>
      </c>
    </row>
    <row r="1091" spans="1:7" x14ac:dyDescent="0.25">
      <c r="A1091" s="1" t="str">
        <f t="shared" si="72"/>
        <v>150</v>
      </c>
      <c r="B1091" s="1" t="str">
        <f>TEXT(24,"00")</f>
        <v>24</v>
      </c>
      <c r="C1091" s="1" t="str">
        <f t="shared" ref="C1091:C1154" si="73">CONCATENATE(A1091,"-",B1091)</f>
        <v>150-24</v>
      </c>
      <c r="D1091" t="s">
        <v>1088</v>
      </c>
      <c r="E1091" t="b">
        <f>IF(COUNTIF(D1091,"*"&amp;'Keyword Search'!$C$5&amp;"*"),TRUE,FALSE)</f>
        <v>1</v>
      </c>
      <c r="G1091" t="str">
        <f t="shared" si="70"/>
        <v>150-24: Doors, Swinging, Including Handicapped</v>
      </c>
    </row>
    <row r="1092" spans="1:7" x14ac:dyDescent="0.25">
      <c r="A1092" s="1" t="str">
        <f t="shared" si="72"/>
        <v>150</v>
      </c>
      <c r="B1092" s="1" t="str">
        <f>TEXT(25,"00")</f>
        <v>25</v>
      </c>
      <c r="C1092" s="1" t="str">
        <f t="shared" si="73"/>
        <v>150-25</v>
      </c>
      <c r="D1092" t="s">
        <v>1089</v>
      </c>
      <c r="E1092" t="b">
        <f>IF(COUNTIF(D1092,"*"&amp;'Keyword Search'!$C$5&amp;"*"),TRUE,FALSE)</f>
        <v>1</v>
      </c>
      <c r="G1092" t="str">
        <f t="shared" ref="G1092:G1155" si="74">CONCATENATE(C1092,": ",D1092)</f>
        <v>150-25: Doors, Frames, and Jambs, Steel</v>
      </c>
    </row>
    <row r="1093" spans="1:7" x14ac:dyDescent="0.25">
      <c r="A1093" s="1" t="str">
        <f t="shared" si="72"/>
        <v>150</v>
      </c>
      <c r="B1093" s="1" t="str">
        <f>TEXT(26,"00")</f>
        <v>26</v>
      </c>
      <c r="C1093" s="1" t="str">
        <f t="shared" si="73"/>
        <v>150-26</v>
      </c>
      <c r="D1093" t="s">
        <v>1090</v>
      </c>
      <c r="E1093" t="b">
        <f>IF(COUNTIF(D1093,"*"&amp;'Keyword Search'!$C$5&amp;"*"),TRUE,FALSE)</f>
        <v>1</v>
      </c>
      <c r="G1093" t="str">
        <f t="shared" si="74"/>
        <v>150-26: Doors, Plastic</v>
      </c>
    </row>
    <row r="1094" spans="1:7" x14ac:dyDescent="0.25">
      <c r="A1094" s="1" t="str">
        <f t="shared" si="72"/>
        <v>150</v>
      </c>
      <c r="B1094" s="1" t="str">
        <f>TEXT(27,"00")</f>
        <v>27</v>
      </c>
      <c r="C1094" s="1" t="str">
        <f t="shared" si="73"/>
        <v>150-27</v>
      </c>
      <c r="D1094" t="s">
        <v>1091</v>
      </c>
      <c r="E1094" t="b">
        <f>IF(COUNTIF(D1094,"*"&amp;'Keyword Search'!$C$5&amp;"*"),TRUE,FALSE)</f>
        <v>1</v>
      </c>
      <c r="G1094" t="str">
        <f t="shared" si="74"/>
        <v>150-27: Doors, Frames, and Jambs, Wood</v>
      </c>
    </row>
    <row r="1095" spans="1:7" x14ac:dyDescent="0.25">
      <c r="A1095" s="1" t="str">
        <f t="shared" si="72"/>
        <v>150</v>
      </c>
      <c r="B1095" s="1" t="str">
        <f>TEXT(28,"00")</f>
        <v>28</v>
      </c>
      <c r="C1095" s="1" t="str">
        <f t="shared" si="73"/>
        <v>150-28</v>
      </c>
      <c r="D1095" t="s">
        <v>1092</v>
      </c>
      <c r="E1095" t="b">
        <f>IF(COUNTIF(D1095,"*"&amp;'Keyword Search'!$C$5&amp;"*"),TRUE,FALSE)</f>
        <v>1</v>
      </c>
      <c r="G1095" t="str">
        <f t="shared" si="74"/>
        <v>150-28: Dowels, and Rods, Wood</v>
      </c>
    </row>
    <row r="1096" spans="1:7" x14ac:dyDescent="0.25">
      <c r="A1096" s="1" t="str">
        <f t="shared" si="72"/>
        <v>150</v>
      </c>
      <c r="B1096" s="1" t="str">
        <f>TEXT(29,"00")</f>
        <v>29</v>
      </c>
      <c r="C1096" s="1" t="str">
        <f t="shared" si="73"/>
        <v>150-29</v>
      </c>
      <c r="D1096" t="s">
        <v>1093</v>
      </c>
      <c r="E1096" t="b">
        <f>IF(COUNTIF(D1096,"*"&amp;'Keyword Search'!$C$5&amp;"*"),TRUE,FALSE)</f>
        <v>1</v>
      </c>
      <c r="G1096" t="str">
        <f t="shared" si="74"/>
        <v>150-29: Down Pipes, Eaves, Troughs, Guttering, and Accessories</v>
      </c>
    </row>
    <row r="1097" spans="1:7" x14ac:dyDescent="0.25">
      <c r="A1097" s="1" t="str">
        <f t="shared" si="72"/>
        <v>150</v>
      </c>
      <c r="B1097" s="1" t="str">
        <f>TEXT(30,"00")</f>
        <v>30</v>
      </c>
      <c r="C1097" s="1" t="str">
        <f t="shared" si="73"/>
        <v>150-30</v>
      </c>
      <c r="D1097" t="s">
        <v>1094</v>
      </c>
      <c r="E1097" t="b">
        <f>IF(COUNTIF(D1097,"*"&amp;'Keyword Search'!$C$5&amp;"*"),TRUE,FALSE)</f>
        <v>1</v>
      </c>
      <c r="G1097" t="str">
        <f t="shared" si="74"/>
        <v>150-30: Doors, Folding, Commercial Type, Including Portable Walls</v>
      </c>
    </row>
    <row r="1098" spans="1:7" x14ac:dyDescent="0.25">
      <c r="A1098" s="1" t="str">
        <f t="shared" si="72"/>
        <v>150</v>
      </c>
      <c r="B1098" s="1" t="str">
        <f>TEXT(31,"00")</f>
        <v>31</v>
      </c>
      <c r="C1098" s="1" t="str">
        <f t="shared" si="73"/>
        <v>150-31</v>
      </c>
      <c r="D1098" t="s">
        <v>1095</v>
      </c>
      <c r="E1098" t="b">
        <f>IF(COUNTIF(D1098,"*"&amp;'Keyword Search'!$C$5&amp;"*"),TRUE,FALSE)</f>
        <v>1</v>
      </c>
      <c r="G1098" t="str">
        <f t="shared" si="74"/>
        <v>150-31: Doors, Folding, Residential Type, Including Portable Walls</v>
      </c>
    </row>
    <row r="1099" spans="1:7" x14ac:dyDescent="0.25">
      <c r="A1099" s="1" t="str">
        <f t="shared" si="72"/>
        <v>150</v>
      </c>
      <c r="B1099" s="1" t="str">
        <f>TEXT(32,"00")</f>
        <v>32</v>
      </c>
      <c r="C1099" s="1" t="str">
        <f t="shared" si="73"/>
        <v>150-32</v>
      </c>
      <c r="D1099" t="s">
        <v>1096</v>
      </c>
      <c r="E1099" t="b">
        <f>IF(COUNTIF(D1099,"*"&amp;'Keyword Search'!$C$5&amp;"*"),TRUE,FALSE)</f>
        <v>1</v>
      </c>
      <c r="G1099" t="str">
        <f t="shared" si="74"/>
        <v>150-32: Fireplaces, Wood, Gas or Electric Fired, Including Parts and Accessories</v>
      </c>
    </row>
    <row r="1100" spans="1:7" x14ac:dyDescent="0.25">
      <c r="A1100" s="1" t="str">
        <f t="shared" si="72"/>
        <v>150</v>
      </c>
      <c r="B1100" s="1" t="str">
        <f>TEXT(33,"00")</f>
        <v>33</v>
      </c>
      <c r="C1100" s="1" t="str">
        <f t="shared" si="73"/>
        <v>150-33</v>
      </c>
      <c r="D1100" t="s">
        <v>1097</v>
      </c>
      <c r="E1100" t="b">
        <f>IF(COUNTIF(D1100,"*"&amp;'Keyword Search'!$C$5&amp;"*"),TRUE,FALSE)</f>
        <v>1</v>
      </c>
      <c r="G1100" t="str">
        <f t="shared" si="74"/>
        <v>150-33: Grout, Drywall</v>
      </c>
    </row>
    <row r="1101" spans="1:7" x14ac:dyDescent="0.25">
      <c r="A1101" s="1" t="str">
        <f t="shared" si="72"/>
        <v>150</v>
      </c>
      <c r="B1101" s="1" t="str">
        <f>TEXT(34,"00")</f>
        <v>34</v>
      </c>
      <c r="C1101" s="1" t="str">
        <f t="shared" si="73"/>
        <v>150-34</v>
      </c>
      <c r="D1101" t="s">
        <v>1098</v>
      </c>
      <c r="E1101" t="b">
        <f>IF(COUNTIF(D1101,"*"&amp;'Keyword Search'!$C$5&amp;"*"),TRUE,FALSE)</f>
        <v>1</v>
      </c>
      <c r="G1101" t="str">
        <f t="shared" si="74"/>
        <v>150-34: Handrails, and Handrails, All Types</v>
      </c>
    </row>
    <row r="1102" spans="1:7" x14ac:dyDescent="0.25">
      <c r="A1102" s="1" t="str">
        <f t="shared" si="72"/>
        <v>150</v>
      </c>
      <c r="B1102" s="1" t="str">
        <f>TEXT(35,"00")</f>
        <v>35</v>
      </c>
      <c r="C1102" s="1" t="str">
        <f t="shared" si="73"/>
        <v>150-35</v>
      </c>
      <c r="D1102" t="s">
        <v>1099</v>
      </c>
      <c r="E1102" t="b">
        <f>IF(COUNTIF(D1102,"*"&amp;'Keyword Search'!$C$5&amp;"*"),TRUE,FALSE)</f>
        <v>1</v>
      </c>
      <c r="G1102" t="str">
        <f t="shared" si="74"/>
        <v>150-35: Hardeners, Concrete and Plaster Setting Compound</v>
      </c>
    </row>
    <row r="1103" spans="1:7" x14ac:dyDescent="0.25">
      <c r="A1103" s="1" t="str">
        <f t="shared" si="72"/>
        <v>150</v>
      </c>
      <c r="B1103" s="1" t="str">
        <f>TEXT(36,"00")</f>
        <v>36</v>
      </c>
      <c r="C1103" s="1" t="str">
        <f t="shared" si="73"/>
        <v>150-36</v>
      </c>
      <c r="D1103" t="s">
        <v>1100</v>
      </c>
      <c r="E1103" t="b">
        <f>IF(COUNTIF(D1103,"*"&amp;'Keyword Search'!$C$5&amp;"*"),TRUE,FALSE)</f>
        <v>1</v>
      </c>
      <c r="G1103" t="str">
        <f t="shared" si="74"/>
        <v>150-36: Hatch Covers, Attic</v>
      </c>
    </row>
    <row r="1104" spans="1:7" x14ac:dyDescent="0.25">
      <c r="A1104" s="1" t="str">
        <f t="shared" si="72"/>
        <v>150</v>
      </c>
      <c r="B1104" s="1" t="str">
        <f>TEXT(37,"00")</f>
        <v>37</v>
      </c>
      <c r="C1104" s="1" t="str">
        <f t="shared" si="73"/>
        <v>150-37</v>
      </c>
      <c r="D1104" t="s">
        <v>1101</v>
      </c>
      <c r="E1104" t="b">
        <f>IF(COUNTIF(D1104,"*"&amp;'Keyword Search'!$C$5&amp;"*"),TRUE,FALSE)</f>
        <v>1</v>
      </c>
      <c r="G1104" t="str">
        <f t="shared" si="74"/>
        <v>150-37: Jalousie Doors and Windows</v>
      </c>
    </row>
    <row r="1105" spans="1:7" x14ac:dyDescent="0.25">
      <c r="A1105" s="1" t="str">
        <f t="shared" si="72"/>
        <v>150</v>
      </c>
      <c r="B1105" s="1" t="str">
        <f>TEXT(38,"00")</f>
        <v>38</v>
      </c>
      <c r="C1105" s="1" t="str">
        <f t="shared" si="73"/>
        <v>150-38</v>
      </c>
      <c r="D1105" t="s">
        <v>1102</v>
      </c>
      <c r="E1105" t="b">
        <f>IF(COUNTIF(D1105,"*"&amp;'Keyword Search'!$C$5&amp;"*"),TRUE,FALSE)</f>
        <v>1</v>
      </c>
      <c r="G1105" t="str">
        <f t="shared" si="74"/>
        <v>150-38: Sheds, Storage</v>
      </c>
    </row>
    <row r="1106" spans="1:7" x14ac:dyDescent="0.25">
      <c r="A1106" s="1" t="str">
        <f t="shared" si="72"/>
        <v>150</v>
      </c>
      <c r="B1106" s="1" t="str">
        <f>TEXT(42,"00")</f>
        <v>42</v>
      </c>
      <c r="C1106" s="1" t="str">
        <f t="shared" si="73"/>
        <v>150-42</v>
      </c>
      <c r="D1106" t="s">
        <v>1103</v>
      </c>
      <c r="E1106" t="b">
        <f>IF(COUNTIF(D1106,"*"&amp;'Keyword Search'!$C$5&amp;"*"),TRUE,FALSE)</f>
        <v>1</v>
      </c>
      <c r="G1106" t="str">
        <f t="shared" si="74"/>
        <v>150-42: Lathes: Metal, Plastic, and Wood</v>
      </c>
    </row>
    <row r="1107" spans="1:7" x14ac:dyDescent="0.25">
      <c r="A1107" s="1" t="str">
        <f t="shared" si="72"/>
        <v>150</v>
      </c>
      <c r="B1107" s="1" t="str">
        <f>TEXT(43,"00")</f>
        <v>43</v>
      </c>
      <c r="C1107" s="1" t="str">
        <f t="shared" si="73"/>
        <v>150-43</v>
      </c>
      <c r="D1107" t="s">
        <v>1104</v>
      </c>
      <c r="E1107" t="b">
        <f>IF(COUNTIF(D1107,"*"&amp;'Keyword Search'!$C$5&amp;"*"),TRUE,FALSE)</f>
        <v>1</v>
      </c>
      <c r="G1107" t="str">
        <f t="shared" si="74"/>
        <v>150-43: Lath, Plastic  (Inactive, please see commodity code 150-42 effective January 1, 2016)</v>
      </c>
    </row>
    <row r="1108" spans="1:7" x14ac:dyDescent="0.25">
      <c r="A1108" s="1" t="str">
        <f t="shared" si="72"/>
        <v>150</v>
      </c>
      <c r="B1108" s="1" t="str">
        <f>TEXT(44,"00")</f>
        <v>44</v>
      </c>
      <c r="C1108" s="1" t="str">
        <f t="shared" si="73"/>
        <v>150-44</v>
      </c>
      <c r="D1108" t="s">
        <v>1105</v>
      </c>
      <c r="E1108" t="b">
        <f>IF(COUNTIF(D1108,"*"&amp;'Keyword Search'!$C$5&amp;"*"),TRUE,FALSE)</f>
        <v>1</v>
      </c>
      <c r="G1108" t="str">
        <f t="shared" si="74"/>
        <v>150-44: Lath, Wood  (Inactive, please see commodity code 150-42 effective January 1, 2016)</v>
      </c>
    </row>
    <row r="1109" spans="1:7" x14ac:dyDescent="0.25">
      <c r="A1109" s="1" t="str">
        <f t="shared" si="72"/>
        <v>150</v>
      </c>
      <c r="B1109" s="1" t="str">
        <f>TEXT(45,"00")</f>
        <v>45</v>
      </c>
      <c r="C1109" s="1" t="str">
        <f t="shared" si="73"/>
        <v>150-45</v>
      </c>
      <c r="D1109" t="s">
        <v>1106</v>
      </c>
      <c r="E1109" t="b">
        <f>IF(COUNTIF(D1109,"*"&amp;'Keyword Search'!$C$5&amp;"*"),TRUE,FALSE)</f>
        <v>1</v>
      </c>
      <c r="G1109" t="str">
        <f t="shared" si="74"/>
        <v>150-45: Logs, Building</v>
      </c>
    </row>
    <row r="1110" spans="1:7" x14ac:dyDescent="0.25">
      <c r="A1110" s="1" t="str">
        <f t="shared" si="72"/>
        <v>150</v>
      </c>
      <c r="B1110" s="1" t="str">
        <f>TEXT(46,"00")</f>
        <v>46</v>
      </c>
      <c r="C1110" s="1" t="str">
        <f t="shared" si="73"/>
        <v>150-46</v>
      </c>
      <c r="D1110" t="s">
        <v>1107</v>
      </c>
      <c r="E1110" t="b">
        <f>IF(COUNTIF(D1110,"*"&amp;'Keyword Search'!$C$5&amp;"*"),TRUE,FALSE)</f>
        <v>1</v>
      </c>
      <c r="G1110" t="str">
        <f t="shared" si="74"/>
        <v>150-46: Louvers (See Class 031 for Air Conditioning)</v>
      </c>
    </row>
    <row r="1111" spans="1:7" x14ac:dyDescent="0.25">
      <c r="A1111" s="1" t="str">
        <f t="shared" si="72"/>
        <v>150</v>
      </c>
      <c r="B1111" s="1" t="str">
        <f>TEXT(49,"00")</f>
        <v>49</v>
      </c>
      <c r="C1111" s="1" t="str">
        <f t="shared" si="73"/>
        <v>150-49</v>
      </c>
      <c r="D1111" t="s">
        <v>1108</v>
      </c>
      <c r="E1111" t="b">
        <f>IF(COUNTIF(D1111,"*"&amp;'Keyword Search'!$C$5&amp;"*"),TRUE,FALSE)</f>
        <v>1</v>
      </c>
      <c r="G1111" t="str">
        <f t="shared" si="74"/>
        <v>150-49: Millwork: Counters, Custom-Made Cabinets, Shelves, Stairs, etc.</v>
      </c>
    </row>
    <row r="1112" spans="1:7" x14ac:dyDescent="0.25">
      <c r="A1112" s="1" t="str">
        <f t="shared" si="72"/>
        <v>150</v>
      </c>
      <c r="B1112" s="1" t="str">
        <f>TEXT(51,"00")</f>
        <v>51</v>
      </c>
      <c r="C1112" s="1" t="str">
        <f t="shared" si="73"/>
        <v>150-51</v>
      </c>
      <c r="D1112" t="s">
        <v>1109</v>
      </c>
      <c r="E1112" t="b">
        <f>IF(COUNTIF(D1112,"*"&amp;'Keyword Search'!$C$5&amp;"*"),TRUE,FALSE)</f>
        <v>1</v>
      </c>
      <c r="G1112" t="str">
        <f t="shared" si="74"/>
        <v>150-51: Moldings, Metal</v>
      </c>
    </row>
    <row r="1113" spans="1:7" x14ac:dyDescent="0.25">
      <c r="A1113" s="1" t="str">
        <f t="shared" si="72"/>
        <v>150</v>
      </c>
      <c r="B1113" s="1" t="str">
        <f>TEXT(52,"00")</f>
        <v>52</v>
      </c>
      <c r="C1113" s="1" t="str">
        <f t="shared" si="73"/>
        <v>150-52</v>
      </c>
      <c r="D1113" t="s">
        <v>1110</v>
      </c>
      <c r="E1113" t="b">
        <f>IF(COUNTIF(D1113,"*"&amp;'Keyword Search'!$C$5&amp;"*"),TRUE,FALSE)</f>
        <v>1</v>
      </c>
      <c r="G1113" t="str">
        <f t="shared" si="74"/>
        <v>150-52: Moldings, Plastic and Vinyl</v>
      </c>
    </row>
    <row r="1114" spans="1:7" x14ac:dyDescent="0.25">
      <c r="A1114" s="1" t="str">
        <f t="shared" si="72"/>
        <v>150</v>
      </c>
      <c r="B1114" s="1" t="str">
        <f>TEXT(53,"00")</f>
        <v>53</v>
      </c>
      <c r="C1114" s="1" t="str">
        <f t="shared" si="73"/>
        <v>150-53</v>
      </c>
      <c r="D1114" t="s">
        <v>1111</v>
      </c>
      <c r="E1114" t="b">
        <f>IF(COUNTIF(D1114,"*"&amp;'Keyword Search'!$C$5&amp;"*"),TRUE,FALSE)</f>
        <v>1</v>
      </c>
      <c r="G1114" t="str">
        <f t="shared" si="74"/>
        <v>150-53: Moldings, Strips, Stops, Rounds, etc.: Wood</v>
      </c>
    </row>
    <row r="1115" spans="1:7" x14ac:dyDescent="0.25">
      <c r="A1115" s="1" t="str">
        <f t="shared" si="72"/>
        <v>150</v>
      </c>
      <c r="B1115" s="1" t="str">
        <f>TEXT(54,"00")</f>
        <v>54</v>
      </c>
      <c r="C1115" s="1" t="str">
        <f t="shared" si="73"/>
        <v>150-54</v>
      </c>
      <c r="D1115" t="s">
        <v>1112</v>
      </c>
      <c r="E1115" t="b">
        <f>IF(COUNTIF(D1115,"*"&amp;'Keyword Search'!$C$5&amp;"*"),TRUE,FALSE)</f>
        <v>1</v>
      </c>
      <c r="G1115" t="str">
        <f t="shared" si="74"/>
        <v>150-54: Doors, Non-Corrosive</v>
      </c>
    </row>
    <row r="1116" spans="1:7" x14ac:dyDescent="0.25">
      <c r="A1116" s="1" t="str">
        <f t="shared" si="72"/>
        <v>150</v>
      </c>
      <c r="B1116" s="1" t="str">
        <f>TEXT(55,"00")</f>
        <v>55</v>
      </c>
      <c r="C1116" s="1" t="str">
        <f t="shared" si="73"/>
        <v>150-55</v>
      </c>
      <c r="D1116" t="s">
        <v>1113</v>
      </c>
      <c r="E1116" t="b">
        <f>IF(COUNTIF(D1116,"*"&amp;'Keyword Search'!$C$5&amp;"*"),TRUE,FALSE)</f>
        <v>1</v>
      </c>
      <c r="G1116" t="str">
        <f t="shared" si="74"/>
        <v>150-55: Doors, Overhead, Garage, etc. (See Class 450 for Hardware)</v>
      </c>
    </row>
    <row r="1117" spans="1:7" x14ac:dyDescent="0.25">
      <c r="A1117" s="1" t="str">
        <f t="shared" si="72"/>
        <v>150</v>
      </c>
      <c r="B1117" s="1" t="str">
        <f>TEXT(56,"00")</f>
        <v>56</v>
      </c>
      <c r="C1117" s="1" t="str">
        <f t="shared" si="73"/>
        <v>150-56</v>
      </c>
      <c r="D1117" t="s">
        <v>1114</v>
      </c>
      <c r="E1117" t="b">
        <f>IF(COUNTIF(D1117,"*"&amp;'Keyword Search'!$C$5&amp;"*"),TRUE,FALSE)</f>
        <v>1</v>
      </c>
      <c r="G1117" t="str">
        <f t="shared" si="74"/>
        <v>150-56: Partitions, Office, Metal and Glass, Custom-Made (Inactive, please see commodity code 425-56 effective January 1, 2016)</v>
      </c>
    </row>
    <row r="1118" spans="1:7" x14ac:dyDescent="0.25">
      <c r="A1118" s="1" t="str">
        <f t="shared" si="72"/>
        <v>150</v>
      </c>
      <c r="B1118" s="1" t="str">
        <f>TEXT(58,"00")</f>
        <v>58</v>
      </c>
      <c r="C1118" s="1" t="str">
        <f t="shared" si="73"/>
        <v>150-58</v>
      </c>
      <c r="D1118" t="s">
        <v>1115</v>
      </c>
      <c r="E1118" t="b">
        <f>IF(COUNTIF(D1118,"*"&amp;'Keyword Search'!$C$5&amp;"*"),TRUE,FALSE)</f>
        <v>1</v>
      </c>
      <c r="G1118" t="str">
        <f t="shared" si="74"/>
        <v>150-58: Partitions, Office, Wood and Glass, Custom-Made (Inactive, please see commodity code 425-56 effective January 1, 2016)</v>
      </c>
    </row>
    <row r="1119" spans="1:7" x14ac:dyDescent="0.25">
      <c r="A1119" s="1" t="str">
        <f t="shared" si="72"/>
        <v>150</v>
      </c>
      <c r="B1119" s="1" t="str">
        <f>TEXT(59,"00")</f>
        <v>59</v>
      </c>
      <c r="C1119" s="1" t="str">
        <f t="shared" si="73"/>
        <v>150-59</v>
      </c>
      <c r="D1119" t="s">
        <v>1116</v>
      </c>
      <c r="E1119" t="b">
        <f>IF(COUNTIF(D1119,"*"&amp;'Keyword Search'!$C$5&amp;"*"),TRUE,FALSE)</f>
        <v>1</v>
      </c>
      <c r="G1119" t="str">
        <f t="shared" si="74"/>
        <v>150-59: Setting Compounds, Pole, Post and Pipe</v>
      </c>
    </row>
    <row r="1120" spans="1:7" x14ac:dyDescent="0.25">
      <c r="A1120" s="1" t="str">
        <f t="shared" si="72"/>
        <v>150</v>
      </c>
      <c r="B1120" s="1" t="str">
        <f>TEXT(60,"00")</f>
        <v>60</v>
      </c>
      <c r="C1120" s="1" t="str">
        <f t="shared" si="73"/>
        <v>150-60</v>
      </c>
      <c r="D1120" t="s">
        <v>1117</v>
      </c>
      <c r="E1120" t="b">
        <f>IF(COUNTIF(D1120,"*"&amp;'Keyword Search'!$C$5&amp;"*"),TRUE,FALSE)</f>
        <v>1</v>
      </c>
      <c r="G1120" t="str">
        <f t="shared" si="74"/>
        <v>150-60: Recycled Builder's Supplies Incl. Sacked Cement, Concrete, Lime, Plaster and Setting Compounds</v>
      </c>
    </row>
    <row r="1121" spans="1:7" x14ac:dyDescent="0.25">
      <c r="A1121" s="1" t="str">
        <f t="shared" si="72"/>
        <v>150</v>
      </c>
      <c r="B1121" s="1" t="str">
        <f>TEXT(61,"00")</f>
        <v>61</v>
      </c>
      <c r="C1121" s="1" t="str">
        <f t="shared" si="73"/>
        <v>150-61</v>
      </c>
      <c r="D1121" t="s">
        <v>1118</v>
      </c>
      <c r="E1121" t="b">
        <f>IF(COUNTIF(D1121,"*"&amp;'Keyword Search'!$C$5&amp;"*"),TRUE,FALSE)</f>
        <v>1</v>
      </c>
      <c r="G1121" t="str">
        <f t="shared" si="74"/>
        <v>150-61: Retarder, Plaster  (Inactive, please see commodity code 150-12 effective January 1, 2016)</v>
      </c>
    </row>
    <row r="1122" spans="1:7" x14ac:dyDescent="0.25">
      <c r="A1122" s="1" t="str">
        <f t="shared" si="72"/>
        <v>150</v>
      </c>
      <c r="B1122" s="1" t="str">
        <f>TEXT(65,"00")</f>
        <v>65</v>
      </c>
      <c r="C1122" s="1" t="str">
        <f t="shared" si="73"/>
        <v>150-65</v>
      </c>
      <c r="D1122" t="s">
        <v>1119</v>
      </c>
      <c r="E1122" t="b">
        <f>IF(COUNTIF(D1122,"*"&amp;'Keyword Search'!$C$5&amp;"*"),TRUE,FALSE)</f>
        <v>1</v>
      </c>
      <c r="G1122" t="str">
        <f t="shared" si="74"/>
        <v>150-65: Doors, Revolving</v>
      </c>
    </row>
    <row r="1123" spans="1:7" x14ac:dyDescent="0.25">
      <c r="A1123" s="1" t="str">
        <f t="shared" si="72"/>
        <v>150</v>
      </c>
      <c r="B1123" s="1" t="str">
        <f>TEXT(72,"00")</f>
        <v>72</v>
      </c>
      <c r="C1123" s="1" t="str">
        <f t="shared" si="73"/>
        <v>150-72</v>
      </c>
      <c r="D1123" t="s">
        <v>1120</v>
      </c>
      <c r="E1123" t="b">
        <f>IF(COUNTIF(D1123,"*"&amp;'Keyword Search'!$C$5&amp;"*"),TRUE,FALSE)</f>
        <v>1</v>
      </c>
      <c r="G1123" t="str">
        <f t="shared" si="74"/>
        <v>150-72: Screen Doors and Window Screens, Aluminum Frame</v>
      </c>
    </row>
    <row r="1124" spans="1:7" x14ac:dyDescent="0.25">
      <c r="A1124" s="1" t="str">
        <f t="shared" si="72"/>
        <v>150</v>
      </c>
      <c r="B1124" s="1" t="str">
        <f>TEXT(74,"00")</f>
        <v>74</v>
      </c>
      <c r="C1124" s="1" t="str">
        <f t="shared" si="73"/>
        <v>150-74</v>
      </c>
      <c r="D1124" t="s">
        <v>1121</v>
      </c>
      <c r="E1124" t="b">
        <f>IF(COUNTIF(D1124,"*"&amp;'Keyword Search'!$C$5&amp;"*"),TRUE,FALSE)</f>
        <v>1</v>
      </c>
      <c r="G1124" t="str">
        <f t="shared" si="74"/>
        <v>150-74: Screen Doors and Window Screens, Steel Frame</v>
      </c>
    </row>
    <row r="1125" spans="1:7" x14ac:dyDescent="0.25">
      <c r="A1125" s="1" t="str">
        <f t="shared" si="72"/>
        <v>150</v>
      </c>
      <c r="B1125" s="1" t="str">
        <f>TEXT(76,"00")</f>
        <v>76</v>
      </c>
      <c r="C1125" s="1" t="str">
        <f t="shared" si="73"/>
        <v>150-76</v>
      </c>
      <c r="D1125" t="s">
        <v>1122</v>
      </c>
      <c r="E1125" t="b">
        <f>IF(COUNTIF(D1125,"*"&amp;'Keyword Search'!$C$5&amp;"*"),TRUE,FALSE)</f>
        <v>1</v>
      </c>
      <c r="G1125" t="str">
        <f t="shared" si="74"/>
        <v>150-76: Screen Doors and Window Screens, Wood Frame</v>
      </c>
    </row>
    <row r="1126" spans="1:7" x14ac:dyDescent="0.25">
      <c r="A1126" s="1" t="str">
        <f t="shared" si="72"/>
        <v>150</v>
      </c>
      <c r="B1126" s="1" t="str">
        <f>TEXT(77,"00")</f>
        <v>77</v>
      </c>
      <c r="C1126" s="1" t="str">
        <f t="shared" si="73"/>
        <v>150-77</v>
      </c>
      <c r="D1126" t="s">
        <v>1123</v>
      </c>
      <c r="E1126" t="b">
        <f>IF(COUNTIF(D1126,"*"&amp;'Keyword Search'!$C$5&amp;"*"),TRUE,FALSE)</f>
        <v>1</v>
      </c>
      <c r="G1126" t="str">
        <f t="shared" si="74"/>
        <v>150-77: Doors, Sliding and Rolling, Commercial Type</v>
      </c>
    </row>
    <row r="1127" spans="1:7" x14ac:dyDescent="0.25">
      <c r="A1127" s="1" t="str">
        <f t="shared" si="72"/>
        <v>150</v>
      </c>
      <c r="B1127" s="1" t="str">
        <f>TEXT(78,"00")</f>
        <v>78</v>
      </c>
      <c r="C1127" s="1" t="str">
        <f t="shared" si="73"/>
        <v>150-78</v>
      </c>
      <c r="D1127" t="s">
        <v>1124</v>
      </c>
      <c r="E1127" t="b">
        <f>IF(COUNTIF(D1127,"*"&amp;'Keyword Search'!$C$5&amp;"*"),TRUE,FALSE)</f>
        <v>1</v>
      </c>
      <c r="G1127" t="str">
        <f t="shared" si="74"/>
        <v>150-78: Doors, Sliding and Rolling, Residential Type</v>
      </c>
    </row>
    <row r="1128" spans="1:7" x14ac:dyDescent="0.25">
      <c r="A1128" s="1" t="str">
        <f t="shared" si="72"/>
        <v>150</v>
      </c>
      <c r="B1128" s="1" t="str">
        <f>TEXT(79,"00")</f>
        <v>79</v>
      </c>
      <c r="C1128" s="1" t="str">
        <f t="shared" si="73"/>
        <v>150-79</v>
      </c>
      <c r="D1128" t="s">
        <v>1125</v>
      </c>
      <c r="E1128" t="b">
        <f>IF(COUNTIF(D1128,"*"&amp;'Keyword Search'!$C$5&amp;"*"),TRUE,FALSE)</f>
        <v>1</v>
      </c>
      <c r="G1128" t="str">
        <f t="shared" si="74"/>
        <v>150-79: Storm Doors and Windows</v>
      </c>
    </row>
    <row r="1129" spans="1:7" x14ac:dyDescent="0.25">
      <c r="A1129" s="1" t="str">
        <f t="shared" si="72"/>
        <v>150</v>
      </c>
      <c r="B1129" s="1" t="str">
        <f>TEXT(81,"00")</f>
        <v>81</v>
      </c>
      <c r="C1129" s="1" t="str">
        <f t="shared" si="73"/>
        <v>150-81</v>
      </c>
      <c r="D1129" t="s">
        <v>1126</v>
      </c>
      <c r="E1129" t="b">
        <f>IF(COUNTIF(D1129,"*"&amp;'Keyword Search'!$C$5&amp;"*"),TRUE,FALSE)</f>
        <v>1</v>
      </c>
      <c r="G1129" t="str">
        <f t="shared" si="74"/>
        <v>150-81: Ties, Wall and Rafter, Not Concrete Form</v>
      </c>
    </row>
    <row r="1130" spans="1:7" x14ac:dyDescent="0.25">
      <c r="A1130" s="1" t="str">
        <f t="shared" si="72"/>
        <v>150</v>
      </c>
      <c r="B1130" s="1" t="str">
        <f>TEXT(83,"00")</f>
        <v>83</v>
      </c>
      <c r="C1130" s="1" t="str">
        <f t="shared" si="73"/>
        <v>150-83</v>
      </c>
      <c r="D1130" t="s">
        <v>1127</v>
      </c>
      <c r="E1130" t="b">
        <f>IF(COUNTIF(D1130,"*"&amp;'Keyword Search'!$C$5&amp;"*"),TRUE,FALSE)</f>
        <v>1</v>
      </c>
      <c r="G1130" t="str">
        <f t="shared" si="74"/>
        <v>150-83: Tile, Wall, Metal</v>
      </c>
    </row>
    <row r="1131" spans="1:7" x14ac:dyDescent="0.25">
      <c r="A1131" s="1" t="str">
        <f t="shared" si="72"/>
        <v>150</v>
      </c>
      <c r="B1131" s="1" t="str">
        <f>TEXT(84,"00")</f>
        <v>84</v>
      </c>
      <c r="C1131" s="1" t="str">
        <f t="shared" si="73"/>
        <v>150-84</v>
      </c>
      <c r="D1131" t="s">
        <v>1128</v>
      </c>
      <c r="E1131" t="b">
        <f>IF(COUNTIF(D1131,"*"&amp;'Keyword Search'!$C$5&amp;"*"),TRUE,FALSE)</f>
        <v>1</v>
      </c>
      <c r="G1131" t="str">
        <f t="shared" si="74"/>
        <v>150-84: Tile, Wall, Plastic</v>
      </c>
    </row>
    <row r="1132" spans="1:7" x14ac:dyDescent="0.25">
      <c r="A1132" s="1" t="str">
        <f t="shared" si="72"/>
        <v>150</v>
      </c>
      <c r="B1132" s="1" t="str">
        <f>TEXT(85,"00")</f>
        <v>85</v>
      </c>
      <c r="C1132" s="1" t="str">
        <f t="shared" si="73"/>
        <v>150-85</v>
      </c>
      <c r="D1132" t="s">
        <v>1129</v>
      </c>
      <c r="E1132" t="b">
        <f>IF(COUNTIF(D1132,"*"&amp;'Keyword Search'!$C$5&amp;"*"),TRUE,FALSE)</f>
        <v>1</v>
      </c>
      <c r="G1132" t="str">
        <f t="shared" si="74"/>
        <v>150-85: Transoms, Door and Window</v>
      </c>
    </row>
    <row r="1133" spans="1:7" x14ac:dyDescent="0.25">
      <c r="A1133" s="1" t="str">
        <f t="shared" ref="A1133:A1143" si="75">TEXT(150,"000")</f>
        <v>150</v>
      </c>
      <c r="B1133" s="1" t="str">
        <f>TEXT(86,"00")</f>
        <v>86</v>
      </c>
      <c r="C1133" s="1" t="str">
        <f t="shared" si="73"/>
        <v>150-86</v>
      </c>
      <c r="D1133" t="s">
        <v>1130</v>
      </c>
      <c r="E1133" t="b">
        <f>IF(COUNTIF(D1133,"*"&amp;'Keyword Search'!$C$5&amp;"*"),TRUE,FALSE)</f>
        <v>1</v>
      </c>
      <c r="G1133" t="str">
        <f t="shared" si="74"/>
        <v>150-86: Trusses, Roof, Wood and Metal</v>
      </c>
    </row>
    <row r="1134" spans="1:7" x14ac:dyDescent="0.25">
      <c r="A1134" s="1" t="str">
        <f t="shared" si="75"/>
        <v>150</v>
      </c>
      <c r="B1134" s="1" t="str">
        <f>TEXT(87,"00")</f>
        <v>87</v>
      </c>
      <c r="C1134" s="1" t="str">
        <f t="shared" si="73"/>
        <v>150-87</v>
      </c>
      <c r="D1134" t="s">
        <v>1131</v>
      </c>
      <c r="E1134" t="b">
        <f>IF(COUNTIF(D1134,"*"&amp;'Keyword Search'!$C$5&amp;"*"),TRUE,FALSE)</f>
        <v>1</v>
      </c>
      <c r="G1134" t="str">
        <f t="shared" si="74"/>
        <v>150-87: Wardrobe and Closet Specialties</v>
      </c>
    </row>
    <row r="1135" spans="1:7" x14ac:dyDescent="0.25">
      <c r="A1135" s="1" t="str">
        <f t="shared" si="75"/>
        <v>150</v>
      </c>
      <c r="B1135" s="1" t="str">
        <f>TEXT(88,"00")</f>
        <v>88</v>
      </c>
      <c r="C1135" s="1" t="str">
        <f t="shared" si="73"/>
        <v>150-88</v>
      </c>
      <c r="D1135" t="s">
        <v>1132</v>
      </c>
      <c r="E1135" t="b">
        <f>IF(COUNTIF(D1135,"*"&amp;'Keyword Search'!$C$5&amp;"*"),TRUE,FALSE)</f>
        <v>1</v>
      </c>
      <c r="G1135" t="str">
        <f t="shared" si="74"/>
        <v>150-88: Vents, Foundation</v>
      </c>
    </row>
    <row r="1136" spans="1:7" x14ac:dyDescent="0.25">
      <c r="A1136" s="1" t="str">
        <f t="shared" si="75"/>
        <v>150</v>
      </c>
      <c r="B1136" s="1" t="str">
        <f>TEXT(89,"00")</f>
        <v>89</v>
      </c>
      <c r="C1136" s="1" t="str">
        <f t="shared" si="73"/>
        <v>150-89</v>
      </c>
      <c r="D1136" t="s">
        <v>1133</v>
      </c>
      <c r="E1136" t="b">
        <f>IF(COUNTIF(D1136,"*"&amp;'Keyword Search'!$C$5&amp;"*"),TRUE,FALSE)</f>
        <v>1</v>
      </c>
      <c r="G1136" t="str">
        <f t="shared" si="74"/>
        <v>150-89: Doors, Warehouse Type, Impact, PVC Strip, etc.</v>
      </c>
    </row>
    <row r="1137" spans="1:7" x14ac:dyDescent="0.25">
      <c r="A1137" s="1" t="str">
        <f t="shared" si="75"/>
        <v>150</v>
      </c>
      <c r="B1137" s="1" t="str">
        <f>TEXT(90,"00")</f>
        <v>90</v>
      </c>
      <c r="C1137" s="1" t="str">
        <f t="shared" si="73"/>
        <v>150-90</v>
      </c>
      <c r="D1137" t="s">
        <v>1134</v>
      </c>
      <c r="E1137" t="b">
        <f>IF(COUNTIF(D1137,"*"&amp;'Keyword Search'!$C$5&amp;"*"),TRUE,FALSE)</f>
        <v>1</v>
      </c>
      <c r="G1137" t="str">
        <f t="shared" si="74"/>
        <v>150-90: Weather Stripping, All Kinds</v>
      </c>
    </row>
    <row r="1138" spans="1:7" x14ac:dyDescent="0.25">
      <c r="A1138" s="1" t="str">
        <f t="shared" si="75"/>
        <v>150</v>
      </c>
      <c r="B1138" s="1" t="str">
        <f>TEXT(91,"00")</f>
        <v>91</v>
      </c>
      <c r="C1138" s="1" t="str">
        <f t="shared" si="73"/>
        <v>150-91</v>
      </c>
      <c r="D1138" t="s">
        <v>1135</v>
      </c>
      <c r="E1138" t="b">
        <f>IF(COUNTIF(D1138,"*"&amp;'Keyword Search'!$C$5&amp;"*"),TRUE,FALSE)</f>
        <v>1</v>
      </c>
      <c r="G1138" t="str">
        <f t="shared" si="74"/>
        <v>150-91: Wall Panels, Modular, Insulated</v>
      </c>
    </row>
    <row r="1139" spans="1:7" x14ac:dyDescent="0.25">
      <c r="A1139" s="1" t="str">
        <f t="shared" si="75"/>
        <v>150</v>
      </c>
      <c r="B1139" s="1" t="str">
        <f>TEXT(92,"00")</f>
        <v>92</v>
      </c>
      <c r="C1139" s="1" t="str">
        <f t="shared" si="73"/>
        <v>150-92</v>
      </c>
      <c r="D1139" t="s">
        <v>1136</v>
      </c>
      <c r="E1139" t="b">
        <f>IF(COUNTIF(D1139,"*"&amp;'Keyword Search'!$C$5&amp;"*"),TRUE,FALSE)</f>
        <v>1</v>
      </c>
      <c r="G1139" t="str">
        <f t="shared" si="74"/>
        <v>150-92: Windows, Frames and Sashes, Aluminum</v>
      </c>
    </row>
    <row r="1140" spans="1:7" x14ac:dyDescent="0.25">
      <c r="A1140" s="1" t="str">
        <f t="shared" si="75"/>
        <v>150</v>
      </c>
      <c r="B1140" s="1" t="str">
        <f>TEXT(93,"00")</f>
        <v>93</v>
      </c>
      <c r="C1140" s="1" t="str">
        <f t="shared" si="73"/>
        <v>150-93</v>
      </c>
      <c r="D1140" t="s">
        <v>1137</v>
      </c>
      <c r="E1140" t="b">
        <f>IF(COUNTIF(D1140,"*"&amp;'Keyword Search'!$C$5&amp;"*"),TRUE,FALSE)</f>
        <v>1</v>
      </c>
      <c r="G1140" t="str">
        <f t="shared" si="74"/>
        <v>150-93: Windows, Frames and Sashes, Fiberglass</v>
      </c>
    </row>
    <row r="1141" spans="1:7" x14ac:dyDescent="0.25">
      <c r="A1141" s="1" t="str">
        <f t="shared" si="75"/>
        <v>150</v>
      </c>
      <c r="B1141" s="1" t="str">
        <f>TEXT(94,"00")</f>
        <v>94</v>
      </c>
      <c r="C1141" s="1" t="str">
        <f t="shared" si="73"/>
        <v>150-94</v>
      </c>
      <c r="D1141" t="s">
        <v>1138</v>
      </c>
      <c r="E1141" t="b">
        <f>IF(COUNTIF(D1141,"*"&amp;'Keyword Search'!$C$5&amp;"*"),TRUE,FALSE)</f>
        <v>1</v>
      </c>
      <c r="G1141" t="str">
        <f t="shared" si="74"/>
        <v>150-94: Windows, Frames and Sashes, Steel</v>
      </c>
    </row>
    <row r="1142" spans="1:7" x14ac:dyDescent="0.25">
      <c r="A1142" s="1" t="str">
        <f t="shared" si="75"/>
        <v>150</v>
      </c>
      <c r="B1142" s="1" t="str">
        <f>TEXT(95,"00")</f>
        <v>95</v>
      </c>
      <c r="C1142" s="1" t="str">
        <f t="shared" si="73"/>
        <v>150-95</v>
      </c>
      <c r="D1142" t="s">
        <v>1139</v>
      </c>
      <c r="E1142" t="b">
        <f>IF(COUNTIF(D1142,"*"&amp;'Keyword Search'!$C$5&amp;"*"),TRUE,FALSE)</f>
        <v>1</v>
      </c>
      <c r="G1142" t="str">
        <f t="shared" si="74"/>
        <v>150-95: Windows, Frames and Sashes, Vinyl or Plastic</v>
      </c>
    </row>
    <row r="1143" spans="1:7" x14ac:dyDescent="0.25">
      <c r="A1143" s="1" t="str">
        <f t="shared" si="75"/>
        <v>150</v>
      </c>
      <c r="B1143" s="1" t="str">
        <f>TEXT(96,"00")</f>
        <v>96</v>
      </c>
      <c r="C1143" s="1" t="str">
        <f t="shared" si="73"/>
        <v>150-96</v>
      </c>
      <c r="D1143" t="s">
        <v>1140</v>
      </c>
      <c r="E1143" t="b">
        <f>IF(COUNTIF(D1143,"*"&amp;'Keyword Search'!$C$5&amp;"*"),TRUE,FALSE)</f>
        <v>1</v>
      </c>
      <c r="G1143" t="str">
        <f t="shared" si="74"/>
        <v>150-96: Windows, Frames and Sashes, Wooden</v>
      </c>
    </row>
    <row r="1144" spans="1:7" x14ac:dyDescent="0.25">
      <c r="A1144" s="5" t="str">
        <f t="shared" ref="A1144:A1181" si="76">TEXT(155,"000")</f>
        <v>155</v>
      </c>
      <c r="B1144" s="5" t="str">
        <f>TEXT(0,"00")</f>
        <v>00</v>
      </c>
      <c r="C1144" s="1"/>
      <c r="D1144" s="2" t="s">
        <v>1141</v>
      </c>
    </row>
    <row r="1145" spans="1:7" x14ac:dyDescent="0.25">
      <c r="A1145" s="1" t="str">
        <f t="shared" si="76"/>
        <v>155</v>
      </c>
      <c r="B1145" s="1" t="str">
        <f>TEXT(5,"00")</f>
        <v>05</v>
      </c>
      <c r="C1145" s="1" t="str">
        <f t="shared" si="73"/>
        <v>155-05</v>
      </c>
      <c r="D1145" t="s">
        <v>1142</v>
      </c>
      <c r="E1145" t="b">
        <f>IF(COUNTIF(D1145,"*"&amp;'Keyword Search'!$C$5&amp;"*"),TRUE,FALSE)</f>
        <v>1</v>
      </c>
      <c r="G1145" t="str">
        <f t="shared" si="74"/>
        <v>155-05: Barriers and Enclosures, Construction</v>
      </c>
    </row>
    <row r="1146" spans="1:7" x14ac:dyDescent="0.25">
      <c r="A1146" s="1" t="str">
        <f t="shared" si="76"/>
        <v>155</v>
      </c>
      <c r="B1146" s="1" t="str">
        <f>TEXT(7,"00")</f>
        <v>07</v>
      </c>
      <c r="C1146" s="1" t="str">
        <f t="shared" si="73"/>
        <v>155-07</v>
      </c>
      <c r="D1146" t="s">
        <v>1143</v>
      </c>
      <c r="E1146" t="b">
        <f>IF(COUNTIF(D1146,"*"&amp;'Keyword Search'!$C$5&amp;"*"),TRUE,FALSE)</f>
        <v>1</v>
      </c>
      <c r="G1146" t="str">
        <f t="shared" si="74"/>
        <v>155-07: Bridge Part and Accessories</v>
      </c>
    </row>
    <row r="1147" spans="1:7" x14ac:dyDescent="0.25">
      <c r="A1147" s="1" t="str">
        <f t="shared" si="76"/>
        <v>155</v>
      </c>
      <c r="B1147" s="1" t="str">
        <f>TEXT(8,"00")</f>
        <v>08</v>
      </c>
      <c r="C1147" s="1" t="str">
        <f t="shared" si="73"/>
        <v>155-08</v>
      </c>
      <c r="D1147" t="s">
        <v>1144</v>
      </c>
      <c r="E1147" t="b">
        <f>IF(COUNTIF(D1147,"*"&amp;'Keyword Search'!$C$5&amp;"*"),TRUE,FALSE)</f>
        <v>1</v>
      </c>
      <c r="G1147" t="str">
        <f t="shared" si="74"/>
        <v>155-08: Bridges, Prefabricated, Not Installed</v>
      </c>
    </row>
    <row r="1148" spans="1:7" x14ac:dyDescent="0.25">
      <c r="A1148" s="1" t="str">
        <f t="shared" si="76"/>
        <v>155</v>
      </c>
      <c r="B1148" s="1" t="str">
        <f>TEXT(10,"00")</f>
        <v>10</v>
      </c>
      <c r="C1148" s="1" t="str">
        <f t="shared" si="73"/>
        <v>155-10</v>
      </c>
      <c r="D1148" t="s">
        <v>1145</v>
      </c>
      <c r="E1148" t="b">
        <f>IF(COUNTIF(D1148,"*"&amp;'Keyword Search'!$C$5&amp;"*"),TRUE,FALSE)</f>
        <v>1</v>
      </c>
      <c r="G1148" t="str">
        <f t="shared" si="74"/>
        <v>155-10: Buildings, Large, Prefabricated, Over 500 SQFT.</v>
      </c>
    </row>
    <row r="1149" spans="1:7" x14ac:dyDescent="0.25">
      <c r="A1149" s="1" t="str">
        <f t="shared" si="76"/>
        <v>155</v>
      </c>
      <c r="B1149" s="1" t="str">
        <f>TEXT(12,"00")</f>
        <v>12</v>
      </c>
      <c r="C1149" s="1" t="str">
        <f t="shared" si="73"/>
        <v>155-12</v>
      </c>
      <c r="D1149" t="s">
        <v>1146</v>
      </c>
      <c r="E1149" t="b">
        <f>IF(COUNTIF(D1149,"*"&amp;'Keyword Search'!$C$5&amp;"*"),TRUE,FALSE)</f>
        <v>1</v>
      </c>
      <c r="G1149" t="str">
        <f t="shared" si="74"/>
        <v>155-12: Building, 500 SQFT. or Less</v>
      </c>
    </row>
    <row r="1150" spans="1:7" x14ac:dyDescent="0.25">
      <c r="A1150" s="1" t="str">
        <f t="shared" si="76"/>
        <v>155</v>
      </c>
      <c r="B1150" s="1" t="str">
        <f>TEXT(13,"00")</f>
        <v>13</v>
      </c>
      <c r="C1150" s="1" t="str">
        <f t="shared" si="73"/>
        <v>155-13</v>
      </c>
      <c r="D1150" t="s">
        <v>1147</v>
      </c>
      <c r="E1150" t="b">
        <f>IF(COUNTIF(D1150,"*"&amp;'Keyword Search'!$C$5&amp;"*"),TRUE,FALSE)</f>
        <v>1</v>
      </c>
      <c r="G1150" t="str">
        <f t="shared" si="74"/>
        <v>155-13: Buildings, 500 - 1000 Sq. Ft. or less</v>
      </c>
    </row>
    <row r="1151" spans="1:7" x14ac:dyDescent="0.25">
      <c r="A1151" s="1" t="str">
        <f t="shared" si="76"/>
        <v>155</v>
      </c>
      <c r="B1151" s="1" t="str">
        <f>TEXT(18,"00")</f>
        <v>18</v>
      </c>
      <c r="C1151" s="1" t="str">
        <f t="shared" si="73"/>
        <v>155-18</v>
      </c>
      <c r="D1151" t="s">
        <v>1148</v>
      </c>
      <c r="E1151" t="b">
        <f>IF(COUNTIF(D1151,"*"&amp;'Keyword Search'!$C$5&amp;"*"),TRUE,FALSE)</f>
        <v>1</v>
      </c>
      <c r="G1151" t="str">
        <f t="shared" si="74"/>
        <v>155-18: Cabins, Storage Buildings, etc., Pre-Engineered in Kits, Ready to Assemble and Erect</v>
      </c>
    </row>
    <row r="1152" spans="1:7" x14ac:dyDescent="0.25">
      <c r="A1152" s="1" t="str">
        <f t="shared" si="76"/>
        <v>155</v>
      </c>
      <c r="B1152" s="1" t="str">
        <f>TEXT(20,"00")</f>
        <v>20</v>
      </c>
      <c r="C1152" s="1" t="str">
        <f t="shared" si="73"/>
        <v>155-20</v>
      </c>
      <c r="D1152" t="s">
        <v>1149</v>
      </c>
      <c r="E1152" t="b">
        <f>IF(COUNTIF(D1152,"*"&amp;'Keyword Search'!$C$5&amp;"*"),TRUE,FALSE)</f>
        <v>1</v>
      </c>
      <c r="G1152" t="str">
        <f t="shared" si="74"/>
        <v>155-20: Canopies, Freestanding</v>
      </c>
    </row>
    <row r="1153" spans="1:7" x14ac:dyDescent="0.25">
      <c r="A1153" s="1" t="str">
        <f t="shared" si="76"/>
        <v>155</v>
      </c>
      <c r="B1153" s="1" t="str">
        <f>TEXT(24,"00")</f>
        <v>24</v>
      </c>
      <c r="C1153" s="1" t="str">
        <f t="shared" si="73"/>
        <v>155-24</v>
      </c>
      <c r="D1153" t="s">
        <v>1150</v>
      </c>
      <c r="E1153" t="b">
        <f>IF(COUNTIF(D1153,"*"&amp;'Keyword Search'!$C$5&amp;"*"),TRUE,FALSE)</f>
        <v>1</v>
      </c>
      <c r="G1153" t="str">
        <f t="shared" si="74"/>
        <v>155-24: Carports, Fiberglass and Plastic</v>
      </c>
    </row>
    <row r="1154" spans="1:7" x14ac:dyDescent="0.25">
      <c r="A1154" s="1" t="str">
        <f t="shared" si="76"/>
        <v>155</v>
      </c>
      <c r="B1154" s="1" t="str">
        <f>TEXT(30,"00")</f>
        <v>30</v>
      </c>
      <c r="C1154" s="1" t="str">
        <f t="shared" si="73"/>
        <v>155-30</v>
      </c>
      <c r="D1154" t="s">
        <v>1151</v>
      </c>
      <c r="E1154" t="b">
        <f>IF(COUNTIF(D1154,"*"&amp;'Keyword Search'!$C$5&amp;"*"),TRUE,FALSE)</f>
        <v>1</v>
      </c>
      <c r="G1154" t="str">
        <f t="shared" si="74"/>
        <v>155-30: Carports, Metal</v>
      </c>
    </row>
    <row r="1155" spans="1:7" x14ac:dyDescent="0.25">
      <c r="A1155" s="1" t="str">
        <f t="shared" si="76"/>
        <v>155</v>
      </c>
      <c r="B1155" s="1" t="str">
        <f>TEXT(37,"00")</f>
        <v>37</v>
      </c>
      <c r="C1155" s="1" t="str">
        <f t="shared" ref="C1155:C1218" si="77">CONCATENATE(A1155,"-",B1155)</f>
        <v>155-37</v>
      </c>
      <c r="D1155" t="s">
        <v>1152</v>
      </c>
      <c r="E1155" t="b">
        <f>IF(COUNTIF(D1155,"*"&amp;'Keyword Search'!$C$5&amp;"*"),TRUE,FALSE)</f>
        <v>1</v>
      </c>
      <c r="G1155" t="str">
        <f t="shared" si="74"/>
        <v>155-37: Farm Structures, Prefabricated, Silos, etc.</v>
      </c>
    </row>
    <row r="1156" spans="1:7" x14ac:dyDescent="0.25">
      <c r="A1156" s="1" t="str">
        <f t="shared" si="76"/>
        <v>155</v>
      </c>
      <c r="B1156" s="1" t="str">
        <f>TEXT(38,"00")</f>
        <v>38</v>
      </c>
      <c r="C1156" s="1" t="str">
        <f t="shared" si="77"/>
        <v>155-38</v>
      </c>
      <c r="D1156" t="s">
        <v>1153</v>
      </c>
      <c r="E1156" t="b">
        <f>IF(COUNTIF(D1156,"*"&amp;'Keyword Search'!$C$5&amp;"*"),TRUE,FALSE)</f>
        <v>1</v>
      </c>
      <c r="G1156" t="str">
        <f t="shared" ref="G1156:G1219" si="78">CONCATENATE(C1156,": ",D1156)</f>
        <v>155-38: Field Offices and Sheds, Construction Type</v>
      </c>
    </row>
    <row r="1157" spans="1:7" x14ac:dyDescent="0.25">
      <c r="A1157" s="1" t="str">
        <f t="shared" si="76"/>
        <v>155</v>
      </c>
      <c r="B1157" s="1" t="str">
        <f>TEXT(40,"00")</f>
        <v>40</v>
      </c>
      <c r="C1157" s="1" t="str">
        <f t="shared" si="77"/>
        <v>155-40</v>
      </c>
      <c r="D1157" t="s">
        <v>1154</v>
      </c>
      <c r="E1157" t="b">
        <f>IF(COUNTIF(D1157,"*"&amp;'Keyword Search'!$C$5&amp;"*"),TRUE,FALSE)</f>
        <v>1</v>
      </c>
      <c r="G1157" t="str">
        <f t="shared" si="78"/>
        <v>155-40: Gazebos, Kiosks, Including Informational Type and Pavilions</v>
      </c>
    </row>
    <row r="1158" spans="1:7" x14ac:dyDescent="0.25">
      <c r="A1158" s="1" t="str">
        <f t="shared" si="76"/>
        <v>155</v>
      </c>
      <c r="B1158" s="1" t="str">
        <f>TEXT(42,"00")</f>
        <v>42</v>
      </c>
      <c r="C1158" s="1" t="str">
        <f t="shared" si="77"/>
        <v>155-42</v>
      </c>
      <c r="D1158" t="s">
        <v>1155</v>
      </c>
      <c r="E1158" t="b">
        <f>IF(COUNTIF(D1158,"*"&amp;'Keyword Search'!$C$5&amp;"*"),TRUE,FALSE)</f>
        <v>1</v>
      </c>
      <c r="G1158" t="str">
        <f t="shared" si="78"/>
        <v>155-42: Greenhouses and Equipment, Including Isolation, Irrigation and Ventilation Equipment</v>
      </c>
    </row>
    <row r="1159" spans="1:7" x14ac:dyDescent="0.25">
      <c r="A1159" s="1" t="str">
        <f t="shared" si="76"/>
        <v>155</v>
      </c>
      <c r="B1159" s="1" t="str">
        <f>TEXT(46,"00")</f>
        <v>46</v>
      </c>
      <c r="C1159" s="1" t="str">
        <f t="shared" si="77"/>
        <v>155-46</v>
      </c>
      <c r="D1159" t="s">
        <v>1156</v>
      </c>
      <c r="E1159" t="b">
        <f>IF(COUNTIF(D1159,"*"&amp;'Keyword Search'!$C$5&amp;"*"),TRUE,FALSE)</f>
        <v>1</v>
      </c>
      <c r="G1159" t="str">
        <f t="shared" si="78"/>
        <v>155-46: Guard and Watchman Huts</v>
      </c>
    </row>
    <row r="1160" spans="1:7" x14ac:dyDescent="0.25">
      <c r="A1160" s="1" t="str">
        <f t="shared" si="76"/>
        <v>155</v>
      </c>
      <c r="B1160" s="1" t="str">
        <f>TEXT(47,"00")</f>
        <v>47</v>
      </c>
      <c r="C1160" s="1" t="str">
        <f t="shared" si="77"/>
        <v>155-47</v>
      </c>
      <c r="D1160" t="s">
        <v>1157</v>
      </c>
      <c r="E1160" t="b">
        <f>IF(COUNTIF(D1160,"*"&amp;'Keyword Search'!$C$5&amp;"*"),TRUE,FALSE)</f>
        <v>1</v>
      </c>
      <c r="G1160" t="str">
        <f t="shared" si="78"/>
        <v>155-47: Houses, Club and Play</v>
      </c>
    </row>
    <row r="1161" spans="1:7" x14ac:dyDescent="0.25">
      <c r="A1161" s="1" t="str">
        <f t="shared" si="76"/>
        <v>155</v>
      </c>
      <c r="B1161" s="1" t="str">
        <f>TEXT(48,"00")</f>
        <v>48</v>
      </c>
      <c r="C1161" s="1" t="str">
        <f t="shared" si="77"/>
        <v>155-48</v>
      </c>
      <c r="D1161" t="s">
        <v>1158</v>
      </c>
      <c r="E1161" t="b">
        <f>IF(COUNTIF(D1161,"*"&amp;'Keyword Search'!$C$5&amp;"*"),TRUE,FALSE)</f>
        <v>1</v>
      </c>
      <c r="G1161" t="str">
        <f t="shared" si="78"/>
        <v>155-48: Lifeguard, Umpire and Referee Stands</v>
      </c>
    </row>
    <row r="1162" spans="1:7" x14ac:dyDescent="0.25">
      <c r="A1162" s="1" t="str">
        <f t="shared" si="76"/>
        <v>155</v>
      </c>
      <c r="B1162" s="1" t="str">
        <f>TEXT(49,"00")</f>
        <v>49</v>
      </c>
      <c r="C1162" s="1" t="str">
        <f t="shared" si="77"/>
        <v>155-49</v>
      </c>
      <c r="D1162" t="s">
        <v>1159</v>
      </c>
      <c r="E1162" t="b">
        <f>IF(COUNTIF(D1162,"*"&amp;'Keyword Search'!$C$5&amp;"*"),TRUE,FALSE)</f>
        <v>1</v>
      </c>
      <c r="G1162" t="str">
        <f t="shared" si="78"/>
        <v>155-49: Medical Structures, Prefabricated</v>
      </c>
    </row>
    <row r="1163" spans="1:7" x14ac:dyDescent="0.25">
      <c r="A1163" s="1" t="str">
        <f t="shared" si="76"/>
        <v>155</v>
      </c>
      <c r="B1163" s="1" t="str">
        <f>TEXT(50,"00")</f>
        <v>50</v>
      </c>
      <c r="C1163" s="1" t="str">
        <f t="shared" si="77"/>
        <v>155-50</v>
      </c>
      <c r="D1163" t="s">
        <v>1160</v>
      </c>
      <c r="E1163" t="b">
        <f>IF(COUNTIF(D1163,"*"&amp;'Keyword Search'!$C$5&amp;"*"),TRUE,FALSE)</f>
        <v>1</v>
      </c>
      <c r="G1163" t="str">
        <f t="shared" si="78"/>
        <v>155-50: Office Buildings, Modular and Portable</v>
      </c>
    </row>
    <row r="1164" spans="1:7" x14ac:dyDescent="0.25">
      <c r="A1164" s="1" t="str">
        <f t="shared" si="76"/>
        <v>155</v>
      </c>
      <c r="B1164" s="1" t="str">
        <f>TEXT(53,"00")</f>
        <v>53</v>
      </c>
      <c r="C1164" s="1" t="str">
        <f t="shared" si="77"/>
        <v>155-53</v>
      </c>
      <c r="D1164" t="s">
        <v>1161</v>
      </c>
      <c r="E1164" t="b">
        <f>IF(COUNTIF(D1164,"*"&amp;'Keyword Search'!$C$5&amp;"*"),TRUE,FALSE)</f>
        <v>1</v>
      </c>
      <c r="G1164" t="str">
        <f t="shared" si="78"/>
        <v>155-53: Parking Structures</v>
      </c>
    </row>
    <row r="1165" spans="1:7" x14ac:dyDescent="0.25">
      <c r="A1165" s="1" t="str">
        <f t="shared" si="76"/>
        <v>155</v>
      </c>
      <c r="B1165" s="1" t="str">
        <f>TEXT(54,"00")</f>
        <v>54</v>
      </c>
      <c r="C1165" s="1" t="str">
        <f t="shared" si="77"/>
        <v>155-54</v>
      </c>
      <c r="D1165" t="s">
        <v>1162</v>
      </c>
      <c r="E1165" t="b">
        <f>IF(COUNTIF(D1165,"*"&amp;'Keyword Search'!$C$5&amp;"*"),TRUE,FALSE)</f>
        <v>1</v>
      </c>
      <c r="G1165" t="str">
        <f t="shared" si="78"/>
        <v>155-54: Patio Covers, Fiberglass and Plastic</v>
      </c>
    </row>
    <row r="1166" spans="1:7" x14ac:dyDescent="0.25">
      <c r="A1166" s="1" t="str">
        <f t="shared" si="76"/>
        <v>155</v>
      </c>
      <c r="B1166" s="1" t="str">
        <f>TEXT(60,"00")</f>
        <v>60</v>
      </c>
      <c r="C1166" s="1" t="str">
        <f t="shared" si="77"/>
        <v>155-60</v>
      </c>
      <c r="D1166" t="s">
        <v>1163</v>
      </c>
      <c r="E1166" t="b">
        <f>IF(COUNTIF(D1166,"*"&amp;'Keyword Search'!$C$5&amp;"*"),TRUE,FALSE)</f>
        <v>1</v>
      </c>
      <c r="G1166" t="str">
        <f t="shared" si="78"/>
        <v>155-60: Patio Covers, Metal</v>
      </c>
    </row>
    <row r="1167" spans="1:7" x14ac:dyDescent="0.25">
      <c r="A1167" s="1" t="str">
        <f t="shared" si="76"/>
        <v>155</v>
      </c>
      <c r="B1167" s="1" t="str">
        <f>TEXT(69,"00")</f>
        <v>69</v>
      </c>
      <c r="C1167" s="1" t="str">
        <f t="shared" si="77"/>
        <v>155-69</v>
      </c>
      <c r="D1167" t="s">
        <v>1164</v>
      </c>
      <c r="E1167" t="b">
        <f>IF(COUNTIF(D1167,"*"&amp;'Keyword Search'!$C$5&amp;"*"),TRUE,FALSE)</f>
        <v>1</v>
      </c>
      <c r="G1167" t="str">
        <f t="shared" si="78"/>
        <v>155-69: Portable Kitchens</v>
      </c>
    </row>
    <row r="1168" spans="1:7" x14ac:dyDescent="0.25">
      <c r="A1168" s="1" t="str">
        <f t="shared" si="76"/>
        <v>155</v>
      </c>
      <c r="B1168" s="1" t="str">
        <f>TEXT(70,"00")</f>
        <v>70</v>
      </c>
      <c r="C1168" s="1" t="str">
        <f t="shared" si="77"/>
        <v>155-70</v>
      </c>
      <c r="D1168" t="s">
        <v>1165</v>
      </c>
      <c r="E1168" t="b">
        <f>IF(COUNTIF(D1168,"*"&amp;'Keyword Search'!$C$5&amp;"*"),TRUE,FALSE)</f>
        <v>1</v>
      </c>
      <c r="G1168" t="str">
        <f t="shared" si="78"/>
        <v>155-70: Portable Toilets</v>
      </c>
    </row>
    <row r="1169" spans="1:7" x14ac:dyDescent="0.25">
      <c r="A1169" s="1" t="str">
        <f t="shared" si="76"/>
        <v>155</v>
      </c>
      <c r="B1169" s="1" t="str">
        <f>TEXT(72,"00")</f>
        <v>72</v>
      </c>
      <c r="C1169" s="1" t="str">
        <f t="shared" si="77"/>
        <v>155-72</v>
      </c>
      <c r="D1169" t="s">
        <v>1166</v>
      </c>
      <c r="E1169" t="b">
        <f>IF(COUNTIF(D1169,"*"&amp;'Keyword Search'!$C$5&amp;"*"),TRUE,FALSE)</f>
        <v>1</v>
      </c>
      <c r="G1169" t="str">
        <f t="shared" si="78"/>
        <v>155-72: Recycled Buildings and Structures</v>
      </c>
    </row>
    <row r="1170" spans="1:7" x14ac:dyDescent="0.25">
      <c r="A1170" s="1" t="str">
        <f t="shared" si="76"/>
        <v>155</v>
      </c>
      <c r="B1170" s="1" t="str">
        <f>TEXT(73,"00")</f>
        <v>73</v>
      </c>
      <c r="C1170" s="1" t="str">
        <f t="shared" si="77"/>
        <v>155-73</v>
      </c>
      <c r="D1170" t="s">
        <v>1167</v>
      </c>
      <c r="E1170" t="b">
        <f>IF(COUNTIF(D1170,"*"&amp;'Keyword Search'!$C$5&amp;"*"),TRUE,FALSE)</f>
        <v>1</v>
      </c>
      <c r="G1170" t="str">
        <f t="shared" si="78"/>
        <v>155-73: Residential Structures, Prefabricated</v>
      </c>
    </row>
    <row r="1171" spans="1:7" x14ac:dyDescent="0.25">
      <c r="A1171" s="1" t="str">
        <f t="shared" si="76"/>
        <v>155</v>
      </c>
      <c r="B1171" s="1" t="str">
        <f>TEXT(74,"00")</f>
        <v>74</v>
      </c>
      <c r="C1171" s="1" t="str">
        <f t="shared" si="77"/>
        <v>155-74</v>
      </c>
      <c r="D1171" t="s">
        <v>1168</v>
      </c>
      <c r="E1171" t="b">
        <f>IF(COUNTIF(D1171,"*"&amp;'Keyword Search'!$C$5&amp;"*"),TRUE,FALSE)</f>
        <v>1</v>
      </c>
      <c r="G1171" t="str">
        <f t="shared" si="78"/>
        <v>155-74: Sheds, Storage  (Inactive, please see commodity code 150-38 effective January 1, 2016)</v>
      </c>
    </row>
    <row r="1172" spans="1:7" x14ac:dyDescent="0.25">
      <c r="A1172" s="1" t="str">
        <f t="shared" si="76"/>
        <v>155</v>
      </c>
      <c r="B1172" s="1" t="str">
        <f>TEXT(75,"00")</f>
        <v>75</v>
      </c>
      <c r="C1172" s="1" t="str">
        <f t="shared" si="77"/>
        <v>155-75</v>
      </c>
      <c r="D1172" t="s">
        <v>1169</v>
      </c>
      <c r="E1172" t="b">
        <f>IF(COUNTIF(D1172,"*"&amp;'Keyword Search'!$C$5&amp;"*"),TRUE,FALSE)</f>
        <v>1</v>
      </c>
      <c r="G1172" t="str">
        <f t="shared" si="78"/>
        <v>155-75: Shelters, Decontamination, All Types</v>
      </c>
    </row>
    <row r="1173" spans="1:7" x14ac:dyDescent="0.25">
      <c r="A1173" s="1" t="str">
        <f t="shared" si="76"/>
        <v>155</v>
      </c>
      <c r="B1173" s="1" t="str">
        <f>TEXT(76,"00")</f>
        <v>76</v>
      </c>
      <c r="C1173" s="1" t="str">
        <f t="shared" si="77"/>
        <v>155-76</v>
      </c>
      <c r="D1173" t="s">
        <v>1170</v>
      </c>
      <c r="E1173" t="b">
        <f>IF(COUNTIF(D1173,"*"&amp;'Keyword Search'!$C$5&amp;"*"),TRUE,FALSE)</f>
        <v>1</v>
      </c>
      <c r="G1173" t="str">
        <f t="shared" si="78"/>
        <v>155-76: Shelters, Bus Waiting</v>
      </c>
    </row>
    <row r="1174" spans="1:7" x14ac:dyDescent="0.25">
      <c r="A1174" s="1" t="str">
        <f t="shared" si="76"/>
        <v>155</v>
      </c>
      <c r="B1174" s="1" t="str">
        <f>TEXT(77,"00")</f>
        <v>77</v>
      </c>
      <c r="C1174" s="1" t="str">
        <f t="shared" si="77"/>
        <v>155-77</v>
      </c>
      <c r="D1174" t="s">
        <v>1171</v>
      </c>
      <c r="E1174" t="b">
        <f>IF(COUNTIF(D1174,"*"&amp;'Keyword Search'!$C$5&amp;"*"),TRUE,FALSE)</f>
        <v>1</v>
      </c>
      <c r="G1174" t="str">
        <f t="shared" si="78"/>
        <v>155-77: Shelters, Fire</v>
      </c>
    </row>
    <row r="1175" spans="1:7" x14ac:dyDescent="0.25">
      <c r="A1175" s="1" t="str">
        <f t="shared" si="76"/>
        <v>155</v>
      </c>
      <c r="B1175" s="1" t="str">
        <f>TEXT(78,"00")</f>
        <v>78</v>
      </c>
      <c r="C1175" s="1" t="str">
        <f t="shared" si="77"/>
        <v>155-78</v>
      </c>
      <c r="D1175" t="s">
        <v>1172</v>
      </c>
      <c r="E1175" t="b">
        <f>IF(COUNTIF(D1175,"*"&amp;'Keyword Search'!$C$5&amp;"*"),TRUE,FALSE)</f>
        <v>1</v>
      </c>
      <c r="G1175" t="str">
        <f t="shared" si="78"/>
        <v>155-78: Shelters, Insulated, For Remote Equipment</v>
      </c>
    </row>
    <row r="1176" spans="1:7" x14ac:dyDescent="0.25">
      <c r="A1176" s="1" t="str">
        <f t="shared" si="76"/>
        <v>155</v>
      </c>
      <c r="B1176" s="1" t="str">
        <f>TEXT(79,"00")</f>
        <v>79</v>
      </c>
      <c r="C1176" s="1" t="str">
        <f t="shared" si="77"/>
        <v>155-79</v>
      </c>
      <c r="D1176" t="s">
        <v>1173</v>
      </c>
      <c r="E1176" t="b">
        <f>IF(COUNTIF(D1176,"*"&amp;'Keyword Search'!$C$5&amp;"*"),TRUE,FALSE)</f>
        <v>1</v>
      </c>
      <c r="G1176" t="str">
        <f t="shared" si="78"/>
        <v>155-79: Shelters, Non-Insulated</v>
      </c>
    </row>
    <row r="1177" spans="1:7" x14ac:dyDescent="0.25">
      <c r="A1177" s="1" t="str">
        <f t="shared" si="76"/>
        <v>155</v>
      </c>
      <c r="B1177" s="1" t="str">
        <f>TEXT(80,"00")</f>
        <v>80</v>
      </c>
      <c r="C1177" s="1" t="str">
        <f t="shared" si="77"/>
        <v>155-80</v>
      </c>
      <c r="D1177" t="s">
        <v>1174</v>
      </c>
      <c r="E1177" t="b">
        <f>IF(COUNTIF(D1177,"*"&amp;'Keyword Search'!$C$5&amp;"*"),TRUE,FALSE)</f>
        <v>1</v>
      </c>
      <c r="G1177" t="str">
        <f t="shared" si="78"/>
        <v>155-80: Shelters, Portable</v>
      </c>
    </row>
    <row r="1178" spans="1:7" x14ac:dyDescent="0.25">
      <c r="A1178" s="1" t="str">
        <f t="shared" si="76"/>
        <v>155</v>
      </c>
      <c r="B1178" s="1" t="str">
        <f>TEXT(85,"00")</f>
        <v>85</v>
      </c>
      <c r="C1178" s="1" t="str">
        <f t="shared" si="77"/>
        <v>155-85</v>
      </c>
      <c r="D1178" t="s">
        <v>1175</v>
      </c>
      <c r="E1178" t="b">
        <f>IF(COUNTIF(D1178,"*"&amp;'Keyword Search'!$C$5&amp;"*"),TRUE,FALSE)</f>
        <v>1</v>
      </c>
      <c r="G1178" t="str">
        <f t="shared" si="78"/>
        <v>155-85: Structures, Shade, Fabric Covered, Patio Areas, Play Areas, etc.</v>
      </c>
    </row>
    <row r="1179" spans="1:7" x14ac:dyDescent="0.25">
      <c r="A1179" s="1" t="str">
        <f t="shared" si="76"/>
        <v>155</v>
      </c>
      <c r="B1179" s="1" t="str">
        <f>TEXT(86,"00")</f>
        <v>86</v>
      </c>
      <c r="C1179" s="1" t="str">
        <f t="shared" si="77"/>
        <v>155-86</v>
      </c>
      <c r="D1179" t="s">
        <v>1176</v>
      </c>
      <c r="E1179" t="b">
        <f>IF(COUNTIF(D1179,"*"&amp;'Keyword Search'!$C$5&amp;"*"),TRUE,FALSE)</f>
        <v>1</v>
      </c>
      <c r="G1179" t="str">
        <f t="shared" si="78"/>
        <v>155-86: Structures, Rooms, Panels, Enclosures, etc., Radio Frequency Shielded</v>
      </c>
    </row>
    <row r="1180" spans="1:7" x14ac:dyDescent="0.25">
      <c r="A1180" s="1" t="str">
        <f t="shared" si="76"/>
        <v>155</v>
      </c>
      <c r="B1180" s="1" t="str">
        <f>TEXT(88,"00")</f>
        <v>88</v>
      </c>
      <c r="C1180" s="1" t="str">
        <f t="shared" si="77"/>
        <v>155-88</v>
      </c>
      <c r="D1180" t="s">
        <v>1177</v>
      </c>
      <c r="E1180" t="b">
        <f>IF(COUNTIF(D1180,"*"&amp;'Keyword Search'!$C$5&amp;"*"),TRUE,FALSE)</f>
        <v>1</v>
      </c>
      <c r="G1180" t="str">
        <f t="shared" si="78"/>
        <v>155-88: Telephone Booths and Enclosures</v>
      </c>
    </row>
    <row r="1181" spans="1:7" x14ac:dyDescent="0.25">
      <c r="A1181" s="1" t="str">
        <f t="shared" si="76"/>
        <v>155</v>
      </c>
      <c r="B1181" s="1" t="str">
        <f>TEXT(90,"00")</f>
        <v>90</v>
      </c>
      <c r="C1181" s="1" t="str">
        <f t="shared" si="77"/>
        <v>155-90</v>
      </c>
      <c r="D1181" t="s">
        <v>1178</v>
      </c>
      <c r="E1181" t="b">
        <f>IF(COUNTIF(D1181,"*"&amp;'Keyword Search'!$C$5&amp;"*"),TRUE,FALSE)</f>
        <v>1</v>
      </c>
      <c r="G1181" t="str">
        <f t="shared" si="78"/>
        <v>155-90: Tunnel Accessories and Parts</v>
      </c>
    </row>
    <row r="1182" spans="1:7" x14ac:dyDescent="0.25">
      <c r="A1182" s="5" t="str">
        <f t="shared" ref="A1182:A1219" si="79">TEXT(160,"000")</f>
        <v>160</v>
      </c>
      <c r="B1182" s="5" t="str">
        <f>TEXT(0,"00")</f>
        <v>00</v>
      </c>
      <c r="C1182" s="1"/>
      <c r="D1182" s="2" t="s">
        <v>1179</v>
      </c>
    </row>
    <row r="1183" spans="1:7" x14ac:dyDescent="0.25">
      <c r="A1183" s="1" t="str">
        <f t="shared" si="79"/>
        <v>160</v>
      </c>
      <c r="B1183" s="1" t="str">
        <f>TEXT(4,"00")</f>
        <v>04</v>
      </c>
      <c r="C1183" s="1" t="str">
        <f t="shared" si="77"/>
        <v>160-04</v>
      </c>
      <c r="D1183" t="s">
        <v>1180</v>
      </c>
      <c r="E1183" t="b">
        <f>IF(COUNTIF(D1183,"*"&amp;'Keyword Search'!$C$5&amp;"*"),TRUE,FALSE)</f>
        <v>1</v>
      </c>
      <c r="G1183" t="str">
        <f t="shared" si="78"/>
        <v>160-04: Baskets, Bins, and Chill Trays, Meat Handling</v>
      </c>
    </row>
    <row r="1184" spans="1:7" x14ac:dyDescent="0.25">
      <c r="A1184" s="1" t="str">
        <f t="shared" si="79"/>
        <v>160</v>
      </c>
      <c r="B1184" s="1" t="str">
        <f>TEXT(6,"00")</f>
        <v>06</v>
      </c>
      <c r="C1184" s="1" t="str">
        <f t="shared" si="77"/>
        <v>160-06</v>
      </c>
      <c r="D1184" t="s">
        <v>1181</v>
      </c>
      <c r="E1184" t="b">
        <f>IF(COUNTIF(D1184,"*"&amp;'Keyword Search'!$C$5&amp;"*"),TRUE,FALSE)</f>
        <v>1</v>
      </c>
      <c r="G1184" t="str">
        <f t="shared" si="78"/>
        <v>160-06: Bleach: Preservative and Was, Tripe and Other Meats</v>
      </c>
    </row>
    <row r="1185" spans="1:7" x14ac:dyDescent="0.25">
      <c r="A1185" s="1" t="str">
        <f t="shared" si="79"/>
        <v>160</v>
      </c>
      <c r="B1185" s="1" t="str">
        <f>TEXT(8,"00")</f>
        <v>08</v>
      </c>
      <c r="C1185" s="1" t="str">
        <f t="shared" si="77"/>
        <v>160-08</v>
      </c>
      <c r="D1185" t="s">
        <v>1182</v>
      </c>
      <c r="E1185" t="b">
        <f>IF(COUNTIF(D1185,"*"&amp;'Keyword Search'!$C$5&amp;"*"),TRUE,FALSE)</f>
        <v>1</v>
      </c>
      <c r="G1185" t="str">
        <f t="shared" si="78"/>
        <v>160-08: Blocks, Butcher</v>
      </c>
    </row>
    <row r="1186" spans="1:7" x14ac:dyDescent="0.25">
      <c r="A1186" s="1" t="str">
        <f t="shared" si="79"/>
        <v>160</v>
      </c>
      <c r="B1186" s="1" t="str">
        <f>TEXT(10,"00")</f>
        <v>10</v>
      </c>
      <c r="C1186" s="1" t="str">
        <f t="shared" si="77"/>
        <v>160-10</v>
      </c>
      <c r="D1186" t="s">
        <v>1183</v>
      </c>
      <c r="E1186" t="b">
        <f>IF(COUNTIF(D1186,"*"&amp;'Keyword Search'!$C$5&amp;"*"),TRUE,FALSE)</f>
        <v>1</v>
      </c>
      <c r="G1186" t="str">
        <f t="shared" si="78"/>
        <v>160-10: Block Scrapers, Brushes, and Bone Dust Removers</v>
      </c>
    </row>
    <row r="1187" spans="1:7" x14ac:dyDescent="0.25">
      <c r="A1187" s="1" t="str">
        <f t="shared" si="79"/>
        <v>160</v>
      </c>
      <c r="B1187" s="1" t="str">
        <f>TEXT(12,"00")</f>
        <v>12</v>
      </c>
      <c r="C1187" s="1" t="str">
        <f t="shared" si="77"/>
        <v>160-12</v>
      </c>
      <c r="D1187" t="s">
        <v>1184</v>
      </c>
      <c r="E1187" t="b">
        <f>IF(COUNTIF(D1187,"*"&amp;'Keyword Search'!$C$5&amp;"*"),TRUE,FALSE)</f>
        <v>1</v>
      </c>
      <c r="G1187" t="str">
        <f t="shared" si="78"/>
        <v>160-12: Brine and Pickle Pumping Units and Supplies</v>
      </c>
    </row>
    <row r="1188" spans="1:7" x14ac:dyDescent="0.25">
      <c r="A1188" s="1" t="str">
        <f t="shared" si="79"/>
        <v>160</v>
      </c>
      <c r="B1188" s="1" t="str">
        <f>TEXT(16,"00")</f>
        <v>16</v>
      </c>
      <c r="C1188" s="1" t="str">
        <f t="shared" si="77"/>
        <v>160-16</v>
      </c>
      <c r="D1188" t="s">
        <v>1185</v>
      </c>
      <c r="E1188" t="b">
        <f>IF(COUNTIF(D1188,"*"&amp;'Keyword Search'!$C$5&amp;"*"),TRUE,FALSE)</f>
        <v>1</v>
      </c>
      <c r="G1188" t="str">
        <f t="shared" si="78"/>
        <v>160-16: Buckets and Drums, Stainless Steel, Meat Handling</v>
      </c>
    </row>
    <row r="1189" spans="1:7" x14ac:dyDescent="0.25">
      <c r="A1189" s="1" t="str">
        <f t="shared" si="79"/>
        <v>160</v>
      </c>
      <c r="B1189" s="1" t="str">
        <f>TEXT(19,"00")</f>
        <v>19</v>
      </c>
      <c r="C1189" s="1" t="str">
        <f t="shared" si="77"/>
        <v>160-19</v>
      </c>
      <c r="D1189" t="s">
        <v>1186</v>
      </c>
      <c r="E1189" t="b">
        <f>IF(COUNTIF(D1189,"*"&amp;'Keyword Search'!$C$5&amp;"*"),TRUE,FALSE)</f>
        <v>1</v>
      </c>
      <c r="G1189" t="str">
        <f t="shared" si="78"/>
        <v>160-19: Cleavers, Knives, Steels, Stones, and Sharpeners</v>
      </c>
    </row>
    <row r="1190" spans="1:7" x14ac:dyDescent="0.25">
      <c r="A1190" s="1" t="str">
        <f t="shared" si="79"/>
        <v>160</v>
      </c>
      <c r="B1190" s="1" t="str">
        <f>TEXT(20,"00")</f>
        <v>20</v>
      </c>
      <c r="C1190" s="1" t="str">
        <f t="shared" si="77"/>
        <v>160-20</v>
      </c>
      <c r="D1190" t="s">
        <v>1187</v>
      </c>
      <c r="E1190" t="b">
        <f>IF(COUNTIF(D1190,"*"&amp;'Keyword Search'!$C$5&amp;"*"),TRUE,FALSE)</f>
        <v>1</v>
      </c>
      <c r="G1190" t="str">
        <f t="shared" si="78"/>
        <v>160-20: Dehairer and Dehider</v>
      </c>
    </row>
    <row r="1191" spans="1:7" x14ac:dyDescent="0.25">
      <c r="A1191" s="1" t="str">
        <f t="shared" si="79"/>
        <v>160</v>
      </c>
      <c r="B1191" s="1" t="str">
        <f>TEXT(21,"00")</f>
        <v>21</v>
      </c>
      <c r="C1191" s="1" t="str">
        <f t="shared" si="77"/>
        <v>160-21</v>
      </c>
      <c r="D1191" t="s">
        <v>1188</v>
      </c>
      <c r="E1191" t="b">
        <f>IF(COUNTIF(D1191,"*"&amp;'Keyword Search'!$C$5&amp;"*"),TRUE,FALSE)</f>
        <v>1</v>
      </c>
      <c r="G1191" t="str">
        <f t="shared" si="78"/>
        <v>160-21: Forks and Shovels, Meat</v>
      </c>
    </row>
    <row r="1192" spans="1:7" x14ac:dyDescent="0.25">
      <c r="A1192" s="1" t="str">
        <f t="shared" si="79"/>
        <v>160</v>
      </c>
      <c r="B1192" s="1" t="str">
        <f>TEXT(24,"00")</f>
        <v>24</v>
      </c>
      <c r="C1192" s="1" t="str">
        <f t="shared" si="77"/>
        <v>160-24</v>
      </c>
      <c r="D1192" t="s">
        <v>1189</v>
      </c>
      <c r="E1192" t="b">
        <f>IF(COUNTIF(D1192,"*"&amp;'Keyword Search'!$C$5&amp;"*"),TRUE,FALSE)</f>
        <v>1</v>
      </c>
      <c r="G1192" t="str">
        <f t="shared" si="78"/>
        <v>160-24: Grinders and Accessories, Meat, Heavy Duty, Electric</v>
      </c>
    </row>
    <row r="1193" spans="1:7" x14ac:dyDescent="0.25">
      <c r="A1193" s="1" t="str">
        <f t="shared" si="79"/>
        <v>160</v>
      </c>
      <c r="B1193" s="1" t="str">
        <f>TEXT(28,"00")</f>
        <v>28</v>
      </c>
      <c r="C1193" s="1" t="str">
        <f t="shared" si="77"/>
        <v>160-28</v>
      </c>
      <c r="D1193" t="s">
        <v>1190</v>
      </c>
      <c r="E1193" t="b">
        <f>IF(COUNTIF(D1193,"*"&amp;'Keyword Search'!$C$5&amp;"*"),TRUE,FALSE)</f>
        <v>1</v>
      </c>
      <c r="G1193" t="str">
        <f t="shared" si="78"/>
        <v>160-28: Hooks, Meat</v>
      </c>
    </row>
    <row r="1194" spans="1:7" x14ac:dyDescent="0.25">
      <c r="A1194" s="1" t="str">
        <f t="shared" si="79"/>
        <v>160</v>
      </c>
      <c r="B1194" s="1" t="str">
        <f>TEXT(32,"00")</f>
        <v>32</v>
      </c>
      <c r="C1194" s="1" t="str">
        <f t="shared" si="77"/>
        <v>160-32</v>
      </c>
      <c r="D1194" t="s">
        <v>1191</v>
      </c>
      <c r="E1194" t="b">
        <f>IF(COUNTIF(D1194,"*"&amp;'Keyword Search'!$C$5&amp;"*"),TRUE,FALSE)</f>
        <v>1</v>
      </c>
      <c r="G1194" t="str">
        <f t="shared" si="78"/>
        <v>160-32: Injection Equipment, Meat</v>
      </c>
    </row>
    <row r="1195" spans="1:7" x14ac:dyDescent="0.25">
      <c r="A1195" s="1" t="str">
        <f t="shared" si="79"/>
        <v>160</v>
      </c>
      <c r="B1195" s="1" t="str">
        <f>TEXT(36,"00")</f>
        <v>36</v>
      </c>
      <c r="C1195" s="1" t="str">
        <f t="shared" si="77"/>
        <v>160-36</v>
      </c>
      <c r="D1195" t="s">
        <v>1192</v>
      </c>
      <c r="E1195" t="b">
        <f>IF(COUNTIF(D1195,"*"&amp;'Keyword Search'!$C$5&amp;"*"),TRUE,FALSE)</f>
        <v>1</v>
      </c>
      <c r="G1195" t="str">
        <f t="shared" si="78"/>
        <v>160-36: Kettle, Rendering</v>
      </c>
    </row>
    <row r="1196" spans="1:7" x14ac:dyDescent="0.25">
      <c r="A1196" s="1" t="str">
        <f t="shared" si="79"/>
        <v>160</v>
      </c>
      <c r="B1196" s="1" t="str">
        <f>TEXT(40,"00")</f>
        <v>40</v>
      </c>
      <c r="C1196" s="1" t="str">
        <f t="shared" si="77"/>
        <v>160-40</v>
      </c>
      <c r="D1196" t="s">
        <v>1193</v>
      </c>
      <c r="E1196" t="b">
        <f>IF(COUNTIF(D1196,"*"&amp;'Keyword Search'!$C$5&amp;"*"),TRUE,FALSE)</f>
        <v>1</v>
      </c>
      <c r="G1196" t="str">
        <f t="shared" si="78"/>
        <v>160-40: Knockers and Stunners</v>
      </c>
    </row>
    <row r="1197" spans="1:7" x14ac:dyDescent="0.25">
      <c r="A1197" s="1" t="str">
        <f t="shared" si="79"/>
        <v>160</v>
      </c>
      <c r="B1197" s="1" t="str">
        <f>TEXT(44,"00")</f>
        <v>44</v>
      </c>
      <c r="C1197" s="1" t="str">
        <f t="shared" si="77"/>
        <v>160-44</v>
      </c>
      <c r="D1197" t="s">
        <v>1194</v>
      </c>
      <c r="E1197" t="b">
        <f>IF(COUNTIF(D1197,"*"&amp;'Keyword Search'!$C$5&amp;"*"),TRUE,FALSE)</f>
        <v>1</v>
      </c>
      <c r="G1197" t="str">
        <f t="shared" si="78"/>
        <v>160-44: Lard Making Tools</v>
      </c>
    </row>
    <row r="1198" spans="1:7" x14ac:dyDescent="0.25">
      <c r="A1198" s="1" t="str">
        <f t="shared" si="79"/>
        <v>160</v>
      </c>
      <c r="B1198" s="1" t="str">
        <f>TEXT(45,"00")</f>
        <v>45</v>
      </c>
      <c r="C1198" s="1" t="str">
        <f t="shared" si="77"/>
        <v>160-45</v>
      </c>
      <c r="D1198" t="s">
        <v>1195</v>
      </c>
      <c r="E1198" t="b">
        <f>IF(COUNTIF(D1198,"*"&amp;'Keyword Search'!$C$5&amp;"*"),TRUE,FALSE)</f>
        <v>1</v>
      </c>
      <c r="G1198" t="str">
        <f t="shared" si="78"/>
        <v>160-45: Markers and Inks</v>
      </c>
    </row>
    <row r="1199" spans="1:7" x14ac:dyDescent="0.25">
      <c r="A1199" s="1" t="str">
        <f t="shared" si="79"/>
        <v>160</v>
      </c>
      <c r="B1199" s="1" t="str">
        <f>TEXT(46,"00")</f>
        <v>46</v>
      </c>
      <c r="C1199" s="1" t="str">
        <f t="shared" si="77"/>
        <v>160-46</v>
      </c>
      <c r="D1199" t="s">
        <v>1196</v>
      </c>
      <c r="E1199" t="b">
        <f>IF(COUNTIF(D1199,"*"&amp;'Keyword Search'!$C$5&amp;"*"),TRUE,FALSE)</f>
        <v>1</v>
      </c>
      <c r="G1199" t="str">
        <f t="shared" si="78"/>
        <v>160-46: Meat Marking, Tying, and Wrapping Equipment and Supplies, Including Environmentally Certified Products</v>
      </c>
    </row>
    <row r="1200" spans="1:7" x14ac:dyDescent="0.25">
      <c r="A1200" s="1" t="str">
        <f t="shared" si="79"/>
        <v>160</v>
      </c>
      <c r="B1200" s="1" t="str">
        <f>TEXT(47,"00")</f>
        <v>47</v>
      </c>
      <c r="C1200" s="1" t="str">
        <f t="shared" si="77"/>
        <v>160-47</v>
      </c>
      <c r="D1200" t="s">
        <v>1197</v>
      </c>
      <c r="E1200" t="b">
        <f>IF(COUNTIF(D1200,"*"&amp;'Keyword Search'!$C$5&amp;"*"),TRUE,FALSE)</f>
        <v>1</v>
      </c>
      <c r="G1200" t="str">
        <f t="shared" si="78"/>
        <v>160-47: Meat Molds and Presses</v>
      </c>
    </row>
    <row r="1201" spans="1:7" x14ac:dyDescent="0.25">
      <c r="A1201" s="1" t="str">
        <f t="shared" si="79"/>
        <v>160</v>
      </c>
      <c r="B1201" s="1" t="str">
        <f>TEXT(48,"00")</f>
        <v>48</v>
      </c>
      <c r="C1201" s="1" t="str">
        <f t="shared" si="77"/>
        <v>160-48</v>
      </c>
      <c r="D1201" t="s">
        <v>1198</v>
      </c>
      <c r="E1201" t="b">
        <f>IF(COUNTIF(D1201,"*"&amp;'Keyword Search'!$C$5&amp;"*"),TRUE,FALSE)</f>
        <v>1</v>
      </c>
      <c r="G1201" t="str">
        <f t="shared" si="78"/>
        <v>160-48: Racks and Hanger, Bacon and Ham Curing</v>
      </c>
    </row>
    <row r="1202" spans="1:7" x14ac:dyDescent="0.25">
      <c r="A1202" s="1" t="str">
        <f t="shared" si="79"/>
        <v>160</v>
      </c>
      <c r="B1202" s="1" t="str">
        <f>TEXT(52,"00")</f>
        <v>52</v>
      </c>
      <c r="C1202" s="1" t="str">
        <f t="shared" si="77"/>
        <v>160-52</v>
      </c>
      <c r="D1202" t="s">
        <v>1199</v>
      </c>
      <c r="E1202" t="b">
        <f>IF(COUNTIF(D1202,"*"&amp;'Keyword Search'!$C$5&amp;"*"),TRUE,FALSE)</f>
        <v>1</v>
      </c>
      <c r="G1202" t="str">
        <f t="shared" si="78"/>
        <v>160-52: Rails and Tracks, Meat Handling</v>
      </c>
    </row>
    <row r="1203" spans="1:7" x14ac:dyDescent="0.25">
      <c r="A1203" s="1" t="str">
        <f t="shared" si="79"/>
        <v>160</v>
      </c>
      <c r="B1203" s="1" t="str">
        <f>TEXT(54,"00")</f>
        <v>54</v>
      </c>
      <c r="C1203" s="1" t="str">
        <f t="shared" si="77"/>
        <v>160-54</v>
      </c>
      <c r="D1203" t="s">
        <v>1200</v>
      </c>
      <c r="E1203" t="b">
        <f>IF(COUNTIF(D1203,"*"&amp;'Keyword Search'!$C$5&amp;"*"),TRUE,FALSE)</f>
        <v>1</v>
      </c>
      <c r="G1203" t="str">
        <f t="shared" si="78"/>
        <v>160-54: Refurbished Butcher Shop and Meat Processing Equipment and Supplies</v>
      </c>
    </row>
    <row r="1204" spans="1:7" x14ac:dyDescent="0.25">
      <c r="A1204" s="1" t="str">
        <f t="shared" si="79"/>
        <v>160</v>
      </c>
      <c r="B1204" s="1" t="str">
        <f>TEXT(56,"00")</f>
        <v>56</v>
      </c>
      <c r="C1204" s="1" t="str">
        <f t="shared" si="77"/>
        <v>160-56</v>
      </c>
      <c r="D1204" t="s">
        <v>1201</v>
      </c>
      <c r="E1204" t="b">
        <f>IF(COUNTIF(D1204,"*"&amp;'Keyword Search'!$C$5&amp;"*"),TRUE,FALSE)</f>
        <v>1</v>
      </c>
      <c r="G1204" t="str">
        <f t="shared" si="78"/>
        <v>160-56: Saws, Butcher, Hand</v>
      </c>
    </row>
    <row r="1205" spans="1:7" x14ac:dyDescent="0.25">
      <c r="A1205" s="1" t="str">
        <f t="shared" si="79"/>
        <v>160</v>
      </c>
      <c r="B1205" s="1" t="str">
        <f>TEXT(60,"00")</f>
        <v>60</v>
      </c>
      <c r="C1205" s="1" t="str">
        <f t="shared" si="77"/>
        <v>160-60</v>
      </c>
      <c r="D1205" t="s">
        <v>1202</v>
      </c>
      <c r="E1205" t="b">
        <f>IF(COUNTIF(D1205,"*"&amp;'Keyword Search'!$C$5&amp;"*"),TRUE,FALSE)</f>
        <v>1</v>
      </c>
      <c r="G1205" t="str">
        <f t="shared" si="78"/>
        <v>160-60: Saws, Meat, Electric, All Types</v>
      </c>
    </row>
    <row r="1206" spans="1:7" x14ac:dyDescent="0.25">
      <c r="A1206" s="1" t="str">
        <f t="shared" si="79"/>
        <v>160</v>
      </c>
      <c r="B1206" s="1" t="str">
        <f>TEXT(61,"00")</f>
        <v>61</v>
      </c>
      <c r="C1206" s="1" t="str">
        <f t="shared" si="77"/>
        <v>160-61</v>
      </c>
      <c r="D1206" t="s">
        <v>1203</v>
      </c>
      <c r="E1206" t="b">
        <f>IF(COUNTIF(D1206,"*"&amp;'Keyword Search'!$C$5&amp;"*"),TRUE,FALSE)</f>
        <v>1</v>
      </c>
      <c r="G1206" t="str">
        <f t="shared" si="78"/>
        <v>160-61: Shears, Meat</v>
      </c>
    </row>
    <row r="1207" spans="1:7" x14ac:dyDescent="0.25">
      <c r="A1207" s="1" t="str">
        <f t="shared" si="79"/>
        <v>160</v>
      </c>
      <c r="B1207" s="1" t="str">
        <f>TEXT(62,"00")</f>
        <v>62</v>
      </c>
      <c r="C1207" s="1" t="str">
        <f t="shared" si="77"/>
        <v>160-62</v>
      </c>
      <c r="D1207" t="s">
        <v>1204</v>
      </c>
      <c r="E1207" t="b">
        <f>IF(COUNTIF(D1207,"*"&amp;'Keyword Search'!$C$5&amp;"*"),TRUE,FALSE)</f>
        <v>1</v>
      </c>
      <c r="G1207" t="str">
        <f t="shared" si="78"/>
        <v>160-62: Scalding Equipment</v>
      </c>
    </row>
    <row r="1208" spans="1:7" x14ac:dyDescent="0.25">
      <c r="A1208" s="1" t="str">
        <f t="shared" si="79"/>
        <v>160</v>
      </c>
      <c r="B1208" s="1" t="str">
        <f>TEXT(63,"00")</f>
        <v>63</v>
      </c>
      <c r="C1208" s="1" t="str">
        <f t="shared" si="77"/>
        <v>160-63</v>
      </c>
      <c r="D1208" t="s">
        <v>1205</v>
      </c>
      <c r="E1208" t="b">
        <f>IF(COUNTIF(D1208,"*"&amp;'Keyword Search'!$C$5&amp;"*"),TRUE,FALSE)</f>
        <v>1</v>
      </c>
      <c r="G1208" t="str">
        <f t="shared" si="78"/>
        <v>160-63: Shrouds, Clamps, Pins, and Skewers</v>
      </c>
    </row>
    <row r="1209" spans="1:7" x14ac:dyDescent="0.25">
      <c r="A1209" s="1" t="str">
        <f t="shared" si="79"/>
        <v>160</v>
      </c>
      <c r="B1209" s="1" t="str">
        <f>TEXT(64,"00")</f>
        <v>64</v>
      </c>
      <c r="C1209" s="1" t="str">
        <f t="shared" si="77"/>
        <v>160-64</v>
      </c>
      <c r="D1209" t="s">
        <v>1206</v>
      </c>
      <c r="E1209" t="b">
        <f>IF(COUNTIF(D1209,"*"&amp;'Keyword Search'!$C$5&amp;"*"),TRUE,FALSE)</f>
        <v>1</v>
      </c>
      <c r="G1209" t="str">
        <f t="shared" si="78"/>
        <v>160-64: Slicers, Heavy Duty, Electric</v>
      </c>
    </row>
    <row r="1210" spans="1:7" x14ac:dyDescent="0.25">
      <c r="A1210" s="1" t="str">
        <f t="shared" si="79"/>
        <v>160</v>
      </c>
      <c r="B1210" s="1" t="str">
        <f>TEXT(65,"00")</f>
        <v>65</v>
      </c>
      <c r="C1210" s="1" t="str">
        <f t="shared" si="77"/>
        <v>160-65</v>
      </c>
      <c r="D1210" t="s">
        <v>1207</v>
      </c>
      <c r="E1210" t="b">
        <f>IF(COUNTIF(D1210,"*"&amp;'Keyword Search'!$C$5&amp;"*"),TRUE,FALSE)</f>
        <v>1</v>
      </c>
      <c r="G1210" t="str">
        <f t="shared" si="78"/>
        <v>160-65: Smokehouses: Portable, Gas or Electric, Including Parts and Accessories</v>
      </c>
    </row>
    <row r="1211" spans="1:7" x14ac:dyDescent="0.25">
      <c r="A1211" s="1" t="str">
        <f t="shared" si="79"/>
        <v>160</v>
      </c>
      <c r="B1211" s="1" t="str">
        <f>TEXT(68,"00")</f>
        <v>68</v>
      </c>
      <c r="C1211" s="1" t="str">
        <f t="shared" si="77"/>
        <v>160-68</v>
      </c>
      <c r="D1211" t="s">
        <v>1208</v>
      </c>
      <c r="E1211" t="b">
        <f>IF(COUNTIF(D1211,"*"&amp;'Keyword Search'!$C$5&amp;"*"),TRUE,FALSE)</f>
        <v>1</v>
      </c>
      <c r="G1211" t="str">
        <f t="shared" si="78"/>
        <v>160-68: Steak Machines and Tenderizers</v>
      </c>
    </row>
    <row r="1212" spans="1:7" x14ac:dyDescent="0.25">
      <c r="A1212" s="1" t="str">
        <f t="shared" si="79"/>
        <v>160</v>
      </c>
      <c r="B1212" s="1" t="str">
        <f>TEXT(70,"00")</f>
        <v>70</v>
      </c>
      <c r="C1212" s="1" t="str">
        <f t="shared" si="77"/>
        <v>160-70</v>
      </c>
      <c r="D1212" t="s">
        <v>1209</v>
      </c>
      <c r="E1212" t="b">
        <f>IF(COUNTIF(D1212,"*"&amp;'Keyword Search'!$C$5&amp;"*"),TRUE,FALSE)</f>
        <v>1</v>
      </c>
      <c r="G1212" t="str">
        <f t="shared" si="78"/>
        <v>160-70: Sterilizing Equipment: Knife Sterilizers, etc.</v>
      </c>
    </row>
    <row r="1213" spans="1:7" x14ac:dyDescent="0.25">
      <c r="A1213" s="1" t="str">
        <f t="shared" si="79"/>
        <v>160</v>
      </c>
      <c r="B1213" s="1" t="str">
        <f>TEXT(72,"00")</f>
        <v>72</v>
      </c>
      <c r="C1213" s="1" t="str">
        <f t="shared" si="77"/>
        <v>160-72</v>
      </c>
      <c r="D1213" t="s">
        <v>1210</v>
      </c>
      <c r="E1213" t="b">
        <f>IF(COUNTIF(D1213,"*"&amp;'Keyword Search'!$C$5&amp;"*"),TRUE,FALSE)</f>
        <v>1</v>
      </c>
      <c r="G1213" t="str">
        <f t="shared" si="78"/>
        <v>160-72: Stuffers, Meat, Heavy Duty, Electric</v>
      </c>
    </row>
    <row r="1214" spans="1:7" x14ac:dyDescent="0.25">
      <c r="A1214" s="1" t="str">
        <f t="shared" si="79"/>
        <v>160</v>
      </c>
      <c r="B1214" s="1" t="str">
        <f>TEXT(76,"00")</f>
        <v>76</v>
      </c>
      <c r="C1214" s="1" t="str">
        <f t="shared" si="77"/>
        <v>160-76</v>
      </c>
      <c r="D1214" t="s">
        <v>1211</v>
      </c>
      <c r="E1214" t="b">
        <f>IF(COUNTIF(D1214,"*"&amp;'Keyword Search'!$C$5&amp;"*"),TRUE,FALSE)</f>
        <v>1</v>
      </c>
      <c r="G1214" t="str">
        <f t="shared" si="78"/>
        <v>160-76: Tables, Meat Cutting</v>
      </c>
    </row>
    <row r="1215" spans="1:7" x14ac:dyDescent="0.25">
      <c r="A1215" s="1" t="str">
        <f t="shared" si="79"/>
        <v>160</v>
      </c>
      <c r="B1215" s="1" t="str">
        <f>TEXT(77,"00")</f>
        <v>77</v>
      </c>
      <c r="C1215" s="1" t="str">
        <f t="shared" si="77"/>
        <v>160-77</v>
      </c>
      <c r="D1215" t="s">
        <v>1212</v>
      </c>
      <c r="E1215" t="b">
        <f>IF(COUNTIF(D1215,"*"&amp;'Keyword Search'!$C$5&amp;"*"),TRUE,FALSE)</f>
        <v>1</v>
      </c>
      <c r="G1215" t="str">
        <f t="shared" si="78"/>
        <v>160-77: Tables and Sinks, Stainless Steel, Meat Washing, etc.</v>
      </c>
    </row>
    <row r="1216" spans="1:7" x14ac:dyDescent="0.25">
      <c r="A1216" s="1" t="str">
        <f t="shared" si="79"/>
        <v>160</v>
      </c>
      <c r="B1216" s="1" t="str">
        <f>TEXT(78,"00")</f>
        <v>78</v>
      </c>
      <c r="C1216" s="1" t="str">
        <f t="shared" si="77"/>
        <v>160-78</v>
      </c>
      <c r="D1216" t="s">
        <v>1213</v>
      </c>
      <c r="E1216" t="b">
        <f>IF(COUNTIF(D1216,"*"&amp;'Keyword Search'!$C$5&amp;"*"),TRUE,FALSE)</f>
        <v>1</v>
      </c>
      <c r="G1216" t="str">
        <f t="shared" si="78"/>
        <v>160-78: Tags and Fasteners</v>
      </c>
    </row>
    <row r="1217" spans="1:7" x14ac:dyDescent="0.25">
      <c r="A1217" s="1" t="str">
        <f t="shared" si="79"/>
        <v>160</v>
      </c>
      <c r="B1217" s="1" t="str">
        <f>TEXT(79,"00")</f>
        <v>79</v>
      </c>
      <c r="C1217" s="1" t="str">
        <f t="shared" si="77"/>
        <v>160-79</v>
      </c>
      <c r="D1217" t="s">
        <v>1214</v>
      </c>
      <c r="E1217" t="b">
        <f>IF(COUNTIF(D1217,"*"&amp;'Keyword Search'!$C$5&amp;"*"),TRUE,FALSE)</f>
        <v>1</v>
      </c>
      <c r="G1217" t="str">
        <f t="shared" si="78"/>
        <v>160-79: Thermometers, Meat</v>
      </c>
    </row>
    <row r="1218" spans="1:7" x14ac:dyDescent="0.25">
      <c r="A1218" s="1" t="str">
        <f t="shared" si="79"/>
        <v>160</v>
      </c>
      <c r="B1218" s="1" t="str">
        <f>TEXT(84,"00")</f>
        <v>84</v>
      </c>
      <c r="C1218" s="1" t="str">
        <f t="shared" si="77"/>
        <v>160-84</v>
      </c>
      <c r="D1218" t="s">
        <v>1215</v>
      </c>
      <c r="E1218" t="b">
        <f>IF(COUNTIF(D1218,"*"&amp;'Keyword Search'!$C$5&amp;"*"),TRUE,FALSE)</f>
        <v>1</v>
      </c>
      <c r="G1218" t="str">
        <f t="shared" si="78"/>
        <v>160-84: Trucks: Meat Handling, Head Inspection, Offal, Smoke, etc.</v>
      </c>
    </row>
    <row r="1219" spans="1:7" x14ac:dyDescent="0.25">
      <c r="A1219" s="1" t="str">
        <f t="shared" si="79"/>
        <v>160</v>
      </c>
      <c r="B1219" s="1" t="str">
        <f>TEXT(88,"00")</f>
        <v>88</v>
      </c>
      <c r="C1219" s="1" t="str">
        <f t="shared" ref="C1219:C1282" si="80">CONCATENATE(A1219,"-",B1219)</f>
        <v>160-88</v>
      </c>
      <c r="D1219" t="s">
        <v>1216</v>
      </c>
      <c r="E1219" t="b">
        <f>IF(COUNTIF(D1219,"*"&amp;'Keyword Search'!$C$5&amp;"*"),TRUE,FALSE)</f>
        <v>1</v>
      </c>
      <c r="G1219" t="str">
        <f t="shared" si="78"/>
        <v>160-88: Vacuum Packaging Equipment and Supplies, Meat</v>
      </c>
    </row>
    <row r="1220" spans="1:7" x14ac:dyDescent="0.25">
      <c r="A1220" s="5" t="str">
        <f t="shared" ref="A1220:A1275" si="81">TEXT(165,"000")</f>
        <v>165</v>
      </c>
      <c r="B1220" s="5" t="str">
        <f>TEXT(0,"00")</f>
        <v>00</v>
      </c>
      <c r="C1220" s="1"/>
      <c r="D1220" s="2" t="s">
        <v>1217</v>
      </c>
    </row>
    <row r="1221" spans="1:7" x14ac:dyDescent="0.25">
      <c r="A1221" s="1" t="str">
        <f t="shared" si="81"/>
        <v>165</v>
      </c>
      <c r="B1221" s="1" t="str">
        <f>TEXT(2,"00")</f>
        <v>02</v>
      </c>
      <c r="C1221" s="1" t="str">
        <f t="shared" si="80"/>
        <v>165-02</v>
      </c>
      <c r="D1221" t="s">
        <v>1218</v>
      </c>
      <c r="E1221" t="b">
        <f>IF(COUNTIF(D1221,"*"&amp;'Keyword Search'!$C$5&amp;"*"),TRUE,FALSE)</f>
        <v>1</v>
      </c>
      <c r="G1221" t="str">
        <f t="shared" ref="G1221:G1283" si="82">CONCATENATE(C1221,": ",D1221)</f>
        <v>165-02: Blenders, Food Cutters, Mixers and Food Processors</v>
      </c>
    </row>
    <row r="1222" spans="1:7" x14ac:dyDescent="0.25">
      <c r="A1222" s="1" t="str">
        <f t="shared" si="81"/>
        <v>165</v>
      </c>
      <c r="B1222" s="1" t="str">
        <f>TEXT(5,"00")</f>
        <v>05</v>
      </c>
      <c r="C1222" s="1" t="str">
        <f t="shared" si="80"/>
        <v>165-05</v>
      </c>
      <c r="D1222" t="s">
        <v>1219</v>
      </c>
      <c r="E1222" t="b">
        <f>IF(COUNTIF(D1222,"*"&amp;'Keyword Search'!$C$5&amp;"*"),TRUE,FALSE)</f>
        <v>1</v>
      </c>
      <c r="G1222" t="str">
        <f t="shared" si="82"/>
        <v>165-05: Cabinets, Counters, Stands, Tables, etc.</v>
      </c>
    </row>
    <row r="1223" spans="1:7" x14ac:dyDescent="0.25">
      <c r="A1223" s="1" t="str">
        <f t="shared" si="81"/>
        <v>165</v>
      </c>
      <c r="B1223" s="1" t="str">
        <f>TEXT(7,"00")</f>
        <v>07</v>
      </c>
      <c r="C1223" s="1" t="str">
        <f t="shared" si="80"/>
        <v>165-07</v>
      </c>
      <c r="D1223" t="s">
        <v>1220</v>
      </c>
      <c r="E1223" t="b">
        <f>IF(COUNTIF(D1223,"*"&amp;'Keyword Search'!$C$5&amp;"*"),TRUE,FALSE)</f>
        <v>1</v>
      </c>
      <c r="G1223" t="str">
        <f t="shared" si="82"/>
        <v>165-07: Cafeteria and Kitchen Equipment (Not Otherwise Classified)</v>
      </c>
    </row>
    <row r="1224" spans="1:7" x14ac:dyDescent="0.25">
      <c r="A1224" s="1" t="str">
        <f t="shared" si="81"/>
        <v>165</v>
      </c>
      <c r="B1224" s="1" t="str">
        <f>TEXT(8,"00")</f>
        <v>08</v>
      </c>
      <c r="C1224" s="1" t="str">
        <f t="shared" si="80"/>
        <v>165-08</v>
      </c>
      <c r="D1224" t="s">
        <v>1221</v>
      </c>
      <c r="E1224" t="b">
        <f>IF(COUNTIF(D1224,"*"&amp;'Keyword Search'!$C$5&amp;"*"),TRUE,FALSE)</f>
        <v>1</v>
      </c>
      <c r="G1224" t="str">
        <f t="shared" si="82"/>
        <v>165-08: Crushers, Can and Bottle</v>
      </c>
    </row>
    <row r="1225" spans="1:7" x14ac:dyDescent="0.25">
      <c r="A1225" s="1" t="str">
        <f t="shared" si="81"/>
        <v>165</v>
      </c>
      <c r="B1225" s="1" t="str">
        <f>TEXT(10,"00")</f>
        <v>10</v>
      </c>
      <c r="C1225" s="1" t="str">
        <f t="shared" si="80"/>
        <v>165-10</v>
      </c>
      <c r="D1225" t="s">
        <v>1222</v>
      </c>
      <c r="E1225" t="b">
        <f>IF(COUNTIF(D1225,"*"&amp;'Keyword Search'!$C$5&amp;"*"),TRUE,FALSE)</f>
        <v>1</v>
      </c>
      <c r="G1225" t="str">
        <f t="shared" si="82"/>
        <v>165-10: Can Openers and Knife Sharpeners, Electric</v>
      </c>
    </row>
    <row r="1226" spans="1:7" x14ac:dyDescent="0.25">
      <c r="A1226" s="1" t="str">
        <f t="shared" si="81"/>
        <v>165</v>
      </c>
      <c r="B1226" s="1" t="str">
        <f>TEXT(12,"00")</f>
        <v>12</v>
      </c>
      <c r="C1226" s="1" t="str">
        <f t="shared" si="80"/>
        <v>165-12</v>
      </c>
      <c r="D1226" t="s">
        <v>1223</v>
      </c>
      <c r="E1226" t="b">
        <f>IF(COUNTIF(D1226,"*"&amp;'Keyword Search'!$C$5&amp;"*"),TRUE,FALSE)</f>
        <v>1</v>
      </c>
      <c r="G1226" t="str">
        <f t="shared" si="82"/>
        <v>165-12: Can Openers, Manual</v>
      </c>
    </row>
    <row r="1227" spans="1:7" x14ac:dyDescent="0.25">
      <c r="A1227" s="1" t="str">
        <f t="shared" si="81"/>
        <v>165</v>
      </c>
      <c r="B1227" s="1" t="str">
        <f>TEXT(14,"00")</f>
        <v>14</v>
      </c>
      <c r="C1227" s="1" t="str">
        <f t="shared" si="80"/>
        <v>165-14</v>
      </c>
      <c r="D1227" t="s">
        <v>1224</v>
      </c>
      <c r="E1227" t="b">
        <f>IF(COUNTIF(D1227,"*"&amp;'Keyword Search'!$C$5&amp;"*"),TRUE,FALSE)</f>
        <v>1</v>
      </c>
      <c r="G1227" t="str">
        <f t="shared" si="82"/>
        <v>165-14: Cleaner/Sanitizer</v>
      </c>
    </row>
    <row r="1228" spans="1:7" x14ac:dyDescent="0.25">
      <c r="A1228" s="1" t="str">
        <f t="shared" si="81"/>
        <v>165</v>
      </c>
      <c r="B1228" s="1" t="str">
        <f>TEXT(15,"00")</f>
        <v>15</v>
      </c>
      <c r="C1228" s="1" t="str">
        <f t="shared" si="80"/>
        <v>165-15</v>
      </c>
      <c r="D1228" t="s">
        <v>1225</v>
      </c>
      <c r="E1228" t="b">
        <f>IF(COUNTIF(D1228,"*"&amp;'Keyword Search'!$C$5&amp;"*"),TRUE,FALSE)</f>
        <v>1</v>
      </c>
      <c r="G1228" t="str">
        <f t="shared" si="82"/>
        <v>165-15: Coffeemakers, Hot Water Dispensers, Urn Bags and Filters</v>
      </c>
    </row>
    <row r="1229" spans="1:7" x14ac:dyDescent="0.25">
      <c r="A1229" s="1" t="str">
        <f t="shared" si="81"/>
        <v>165</v>
      </c>
      <c r="B1229" s="1" t="str">
        <f>TEXT(16,"00")</f>
        <v>16</v>
      </c>
      <c r="C1229" s="1" t="str">
        <f t="shared" si="80"/>
        <v>165-16</v>
      </c>
      <c r="D1229" t="s">
        <v>1226</v>
      </c>
      <c r="E1229" t="b">
        <f>IF(COUNTIF(D1229,"*"&amp;'Keyword Search'!$C$5&amp;"*"),TRUE,FALSE)</f>
        <v>1</v>
      </c>
      <c r="G1229" t="str">
        <f t="shared" si="82"/>
        <v>165-16: Cold Pack, (For Use in Keeping Food Items Cold</v>
      </c>
    </row>
    <row r="1230" spans="1:7" x14ac:dyDescent="0.25">
      <c r="A1230" s="1" t="str">
        <f t="shared" si="81"/>
        <v>165</v>
      </c>
      <c r="B1230" s="1" t="str">
        <f>TEXT(17,"00")</f>
        <v>17</v>
      </c>
      <c r="C1230" s="1" t="str">
        <f t="shared" si="80"/>
        <v>165-17</v>
      </c>
      <c r="D1230" t="s">
        <v>1227</v>
      </c>
      <c r="E1230" t="b">
        <f>IF(COUNTIF(D1230,"*"&amp;'Keyword Search'!$C$5&amp;"*"),TRUE,FALSE)</f>
        <v>1</v>
      </c>
      <c r="G1230" t="str">
        <f t="shared" si="82"/>
        <v>165-17: Coffee Mills</v>
      </c>
    </row>
    <row r="1231" spans="1:7" x14ac:dyDescent="0.25">
      <c r="A1231" s="1" t="str">
        <f t="shared" si="81"/>
        <v>165</v>
      </c>
      <c r="B1231" s="1" t="str">
        <f>TEXT(18,"00")</f>
        <v>18</v>
      </c>
      <c r="C1231" s="1" t="str">
        <f t="shared" si="80"/>
        <v>165-18</v>
      </c>
      <c r="D1231" t="s">
        <v>1228</v>
      </c>
      <c r="E1231" t="b">
        <f>IF(COUNTIF(D1231,"*"&amp;'Keyword Search'!$C$5&amp;"*"),TRUE,FALSE)</f>
        <v>1</v>
      </c>
      <c r="G1231" t="str">
        <f t="shared" si="82"/>
        <v>165-18: Compactors, Trash, Cafeteria Type (See 045 and 545 for Other Types)</v>
      </c>
    </row>
    <row r="1232" spans="1:7" x14ac:dyDescent="0.25">
      <c r="A1232" s="1" t="str">
        <f t="shared" si="81"/>
        <v>165</v>
      </c>
      <c r="B1232" s="1" t="str">
        <f>TEXT(19,"00")</f>
        <v>19</v>
      </c>
      <c r="C1232" s="1" t="str">
        <f t="shared" si="80"/>
        <v>165-19</v>
      </c>
      <c r="D1232" t="s">
        <v>1229</v>
      </c>
      <c r="E1232" t="b">
        <f>IF(COUNTIF(D1232,"*"&amp;'Keyword Search'!$C$5&amp;"*"),TRUE,FALSE)</f>
        <v>1</v>
      </c>
      <c r="G1232" t="str">
        <f t="shared" si="82"/>
        <v>165-19: Cotton Candy Machines</v>
      </c>
    </row>
    <row r="1233" spans="1:7" x14ac:dyDescent="0.25">
      <c r="A1233" s="1" t="str">
        <f t="shared" si="81"/>
        <v>165</v>
      </c>
      <c r="B1233" s="1" t="str">
        <f>TEXT(20,"00")</f>
        <v>20</v>
      </c>
      <c r="C1233" s="1" t="str">
        <f t="shared" si="80"/>
        <v>165-20</v>
      </c>
      <c r="D1233" t="s">
        <v>1230</v>
      </c>
      <c r="E1233" t="b">
        <f>IF(COUNTIF(D1233,"*"&amp;'Keyword Search'!$C$5&amp;"*"),TRUE,FALSE)</f>
        <v>1</v>
      </c>
      <c r="G1233" t="str">
        <f t="shared" si="82"/>
        <v>165-20: Deep Fat Fryers</v>
      </c>
    </row>
    <row r="1234" spans="1:7" x14ac:dyDescent="0.25">
      <c r="A1234" s="1" t="str">
        <f t="shared" si="81"/>
        <v>165</v>
      </c>
      <c r="B1234" s="1" t="str">
        <f>TEXT(23,"00")</f>
        <v>23</v>
      </c>
      <c r="C1234" s="1" t="str">
        <f t="shared" si="80"/>
        <v>165-23</v>
      </c>
      <c r="D1234" t="s">
        <v>1231</v>
      </c>
      <c r="E1234" t="b">
        <f>IF(COUNTIF(D1234,"*"&amp;'Keyword Search'!$C$5&amp;"*"),TRUE,FALSE)</f>
        <v>1</v>
      </c>
      <c r="G1234" t="str">
        <f t="shared" si="82"/>
        <v>165-23: Dish Storage Units</v>
      </c>
    </row>
    <row r="1235" spans="1:7" x14ac:dyDescent="0.25">
      <c r="A1235" s="1" t="str">
        <f t="shared" si="81"/>
        <v>165</v>
      </c>
      <c r="B1235" s="1" t="str">
        <f>TEXT(26,"00")</f>
        <v>26</v>
      </c>
      <c r="C1235" s="1" t="str">
        <f t="shared" si="80"/>
        <v>165-26</v>
      </c>
      <c r="D1235" t="s">
        <v>1232</v>
      </c>
      <c r="E1235" t="b">
        <f>IF(COUNTIF(D1235,"*"&amp;'Keyword Search'!$C$5&amp;"*"),TRUE,FALSE)</f>
        <v>1</v>
      </c>
      <c r="G1235" t="str">
        <f t="shared" si="82"/>
        <v>165-26: Dish Trucks and Tote Boxes</v>
      </c>
    </row>
    <row r="1236" spans="1:7" x14ac:dyDescent="0.25">
      <c r="A1236" s="1" t="str">
        <f t="shared" si="81"/>
        <v>165</v>
      </c>
      <c r="B1236" s="1" t="str">
        <f>TEXT(29,"00")</f>
        <v>29</v>
      </c>
      <c r="C1236" s="1" t="str">
        <f t="shared" si="80"/>
        <v>165-29</v>
      </c>
      <c r="D1236" t="s">
        <v>1233</v>
      </c>
      <c r="E1236" t="b">
        <f>IF(COUNTIF(D1236,"*"&amp;'Keyword Search'!$C$5&amp;"*"),TRUE,FALSE)</f>
        <v>1</v>
      </c>
      <c r="G1236" t="str">
        <f t="shared" si="82"/>
        <v>165-29: Dishwashers</v>
      </c>
    </row>
    <row r="1237" spans="1:7" x14ac:dyDescent="0.25">
      <c r="A1237" s="1" t="str">
        <f t="shared" si="81"/>
        <v>165</v>
      </c>
      <c r="B1237" s="1" t="str">
        <f>TEXT(30,"00")</f>
        <v>30</v>
      </c>
      <c r="C1237" s="1" t="str">
        <f t="shared" si="80"/>
        <v>165-30</v>
      </c>
      <c r="D1237" t="s">
        <v>1234</v>
      </c>
      <c r="E1237" t="b">
        <f>IF(COUNTIF(D1237,"*"&amp;'Keyword Search'!$C$5&amp;"*"),TRUE,FALSE)</f>
        <v>1</v>
      </c>
      <c r="G1237" t="str">
        <f t="shared" si="82"/>
        <v>165-30: Dispensers: Aluminum Foil, Plastic Wrap, Food Service Gloves, etc.</v>
      </c>
    </row>
    <row r="1238" spans="1:7" x14ac:dyDescent="0.25">
      <c r="A1238" s="1" t="str">
        <f t="shared" si="81"/>
        <v>165</v>
      </c>
      <c r="B1238" s="1" t="str">
        <f>TEXT(31,"00")</f>
        <v>31</v>
      </c>
      <c r="C1238" s="1" t="str">
        <f t="shared" si="80"/>
        <v>165-31</v>
      </c>
      <c r="D1238" t="s">
        <v>1235</v>
      </c>
      <c r="E1238" t="b">
        <f>IF(COUNTIF(D1238,"*"&amp;'Keyword Search'!$C$5&amp;"*"),TRUE,FALSE)</f>
        <v>1</v>
      </c>
      <c r="G1238" t="str">
        <f t="shared" si="82"/>
        <v>165-31: Dispensers: Butter or Margarine</v>
      </c>
    </row>
    <row r="1239" spans="1:7" x14ac:dyDescent="0.25">
      <c r="A1239" s="1" t="str">
        <f t="shared" si="81"/>
        <v>165</v>
      </c>
      <c r="B1239" s="1" t="str">
        <f>TEXT(32,"00")</f>
        <v>32</v>
      </c>
      <c r="C1239" s="1" t="str">
        <f t="shared" si="80"/>
        <v>165-32</v>
      </c>
      <c r="D1239" t="s">
        <v>1236</v>
      </c>
      <c r="E1239" t="b">
        <f>IF(COUNTIF(D1239,"*"&amp;'Keyword Search'!$C$5&amp;"*"),TRUE,FALSE)</f>
        <v>1</v>
      </c>
      <c r="G1239" t="str">
        <f t="shared" si="82"/>
        <v>165-32: Dispensers: Cream, Juice, Milk, Pancake, Tea, etc.</v>
      </c>
    </row>
    <row r="1240" spans="1:7" x14ac:dyDescent="0.25">
      <c r="A1240" s="1" t="str">
        <f t="shared" si="81"/>
        <v>165</v>
      </c>
      <c r="B1240" s="1" t="str">
        <f>TEXT(33,"00")</f>
        <v>33</v>
      </c>
      <c r="C1240" s="1" t="str">
        <f t="shared" si="80"/>
        <v>165-33</v>
      </c>
      <c r="D1240" t="s">
        <v>1237</v>
      </c>
      <c r="E1240" t="b">
        <f>IF(COUNTIF(D1240,"*"&amp;'Keyword Search'!$C$5&amp;"*"),TRUE,FALSE)</f>
        <v>1</v>
      </c>
      <c r="G1240" t="str">
        <f t="shared" si="82"/>
        <v>165-33: Dispensers: Cup, Dish, Silverware, Tray, etc.</v>
      </c>
    </row>
    <row r="1241" spans="1:7" x14ac:dyDescent="0.25">
      <c r="A1241" s="1" t="str">
        <f t="shared" si="81"/>
        <v>165</v>
      </c>
      <c r="B1241" s="1" t="str">
        <f>TEXT(34,"00")</f>
        <v>34</v>
      </c>
      <c r="C1241" s="1" t="str">
        <f t="shared" si="80"/>
        <v>165-34</v>
      </c>
      <c r="D1241" t="s">
        <v>1238</v>
      </c>
      <c r="E1241" t="b">
        <f>IF(COUNTIF(D1241,"*"&amp;'Keyword Search'!$C$5&amp;"*"),TRUE,FALSE)</f>
        <v>1</v>
      </c>
      <c r="G1241" t="str">
        <f t="shared" si="82"/>
        <v>165-34: Dispensers: Drinking Straw, Napkins, Toothpicks, etc.</v>
      </c>
    </row>
    <row r="1242" spans="1:7" x14ac:dyDescent="0.25">
      <c r="A1242" s="1" t="str">
        <f t="shared" si="81"/>
        <v>165</v>
      </c>
      <c r="B1242" s="1" t="str">
        <f>TEXT(35,"00")</f>
        <v>35</v>
      </c>
      <c r="C1242" s="1" t="str">
        <f t="shared" si="80"/>
        <v>165-35</v>
      </c>
      <c r="D1242" t="s">
        <v>1239</v>
      </c>
      <c r="E1242" t="b">
        <f>IF(COUNTIF(D1242,"*"&amp;'Keyword Search'!$C$5&amp;"*"),TRUE,FALSE)</f>
        <v>1</v>
      </c>
      <c r="G1242" t="str">
        <f t="shared" si="82"/>
        <v>165-35: Disposal Units, Commercial (See 045-30 for Household Type)</v>
      </c>
    </row>
    <row r="1243" spans="1:7" x14ac:dyDescent="0.25">
      <c r="A1243" s="1" t="str">
        <f t="shared" si="81"/>
        <v>165</v>
      </c>
      <c r="B1243" s="1" t="str">
        <f>TEXT(37,"00")</f>
        <v>37</v>
      </c>
      <c r="C1243" s="1" t="str">
        <f t="shared" si="80"/>
        <v>165-37</v>
      </c>
      <c r="D1243" t="s">
        <v>1240</v>
      </c>
      <c r="E1243" t="b">
        <f>IF(COUNTIF(D1243,"*"&amp;'Keyword Search'!$C$5&amp;"*"),TRUE,FALSE)</f>
        <v>1</v>
      </c>
      <c r="G1243" t="str">
        <f t="shared" si="82"/>
        <v>165-37: Dunnage Racks</v>
      </c>
    </row>
    <row r="1244" spans="1:7" x14ac:dyDescent="0.25">
      <c r="A1244" s="1" t="str">
        <f t="shared" si="81"/>
        <v>165</v>
      </c>
      <c r="B1244" s="1" t="str">
        <f>TEXT(38,"00")</f>
        <v>38</v>
      </c>
      <c r="C1244" s="1" t="str">
        <f t="shared" si="80"/>
        <v>165-38</v>
      </c>
      <c r="D1244" t="s">
        <v>1241</v>
      </c>
      <c r="E1244" t="b">
        <f>IF(COUNTIF(D1244,"*"&amp;'Keyword Search'!$C$5&amp;"*"),TRUE,FALSE)</f>
        <v>1</v>
      </c>
      <c r="G1244" t="str">
        <f t="shared" si="82"/>
        <v>165-38: Extractors, Juice</v>
      </c>
    </row>
    <row r="1245" spans="1:7" x14ac:dyDescent="0.25">
      <c r="A1245" s="1" t="str">
        <f t="shared" si="81"/>
        <v>165</v>
      </c>
      <c r="B1245" s="1" t="str">
        <f>TEXT(41,"00")</f>
        <v>41</v>
      </c>
      <c r="C1245" s="1" t="str">
        <f t="shared" si="80"/>
        <v>165-41</v>
      </c>
      <c r="D1245" t="s">
        <v>1242</v>
      </c>
      <c r="E1245" t="b">
        <f>IF(COUNTIF(D1245,"*"&amp;'Keyword Search'!$C$5&amp;"*"),TRUE,FALSE)</f>
        <v>1</v>
      </c>
      <c r="G1245" t="str">
        <f t="shared" si="82"/>
        <v>165-41: Filters for Vent Hoods</v>
      </c>
    </row>
    <row r="1246" spans="1:7" x14ac:dyDescent="0.25">
      <c r="A1246" s="1" t="str">
        <f t="shared" si="81"/>
        <v>165</v>
      </c>
      <c r="B1246" s="1" t="str">
        <f>TEXT(44,"00")</f>
        <v>44</v>
      </c>
      <c r="C1246" s="1" t="str">
        <f t="shared" si="80"/>
        <v>165-44</v>
      </c>
      <c r="D1246" t="s">
        <v>1243</v>
      </c>
      <c r="E1246" t="b">
        <f>IF(COUNTIF(D1246,"*"&amp;'Keyword Search'!$C$5&amp;"*"),TRUE,FALSE)</f>
        <v>1</v>
      </c>
      <c r="G1246" t="str">
        <f t="shared" si="82"/>
        <v>165-44: Food Containers, Stainless Steel, Vacuum Type</v>
      </c>
    </row>
    <row r="1247" spans="1:7" x14ac:dyDescent="0.25">
      <c r="A1247" s="1" t="str">
        <f t="shared" si="81"/>
        <v>165</v>
      </c>
      <c r="B1247" s="1" t="str">
        <f>TEXT(45,"00")</f>
        <v>45</v>
      </c>
      <c r="C1247" s="1" t="str">
        <f t="shared" si="80"/>
        <v>165-45</v>
      </c>
      <c r="D1247" t="s">
        <v>1244</v>
      </c>
      <c r="E1247" t="b">
        <f>IF(COUNTIF(D1247,"*"&amp;'Keyword Search'!$C$5&amp;"*"),TRUE,FALSE)</f>
        <v>1</v>
      </c>
      <c r="G1247" t="str">
        <f t="shared" si="82"/>
        <v>165-45: Food Containers, Storage, Commercial Use</v>
      </c>
    </row>
    <row r="1248" spans="1:7" x14ac:dyDescent="0.25">
      <c r="A1248" s="1" t="str">
        <f t="shared" si="81"/>
        <v>165</v>
      </c>
      <c r="B1248" s="1" t="str">
        <f>TEXT(46,"00")</f>
        <v>46</v>
      </c>
      <c r="C1248" s="1" t="str">
        <f t="shared" si="80"/>
        <v>165-46</v>
      </c>
      <c r="D1248" t="s">
        <v>1245</v>
      </c>
      <c r="E1248" t="b">
        <f>IF(COUNTIF(D1248,"*"&amp;'Keyword Search'!$C$5&amp;"*"),TRUE,FALSE)</f>
        <v>1</v>
      </c>
      <c r="G1248" t="str">
        <f t="shared" si="82"/>
        <v>165-46: Food Serving Dinnerware (Not Otherwise Classified)</v>
      </c>
    </row>
    <row r="1249" spans="1:7" x14ac:dyDescent="0.25">
      <c r="A1249" s="1" t="str">
        <f t="shared" si="81"/>
        <v>165</v>
      </c>
      <c r="B1249" s="1" t="str">
        <f>TEXT(47,"00")</f>
        <v>47</v>
      </c>
      <c r="C1249" s="1" t="str">
        <f t="shared" si="80"/>
        <v>165-47</v>
      </c>
      <c r="D1249" t="s">
        <v>1246</v>
      </c>
      <c r="E1249" t="b">
        <f>IF(COUNTIF(D1249,"*"&amp;'Keyword Search'!$C$5&amp;"*"),TRUE,FALSE)</f>
        <v>1</v>
      </c>
      <c r="G1249" t="str">
        <f t="shared" si="82"/>
        <v>165-47: Food Carts and Cafeteria Serving Units Including Steam Tables</v>
      </c>
    </row>
    <row r="1250" spans="1:7" x14ac:dyDescent="0.25">
      <c r="A1250" s="1" t="str">
        <f t="shared" si="81"/>
        <v>165</v>
      </c>
      <c r="B1250" s="1" t="str">
        <f>TEXT(48,"00")</f>
        <v>48</v>
      </c>
      <c r="C1250" s="1" t="str">
        <f t="shared" si="80"/>
        <v>165-48</v>
      </c>
      <c r="D1250" t="s">
        <v>1247</v>
      </c>
      <c r="E1250" t="b">
        <f>IF(COUNTIF(D1250,"*"&amp;'Keyword Search'!$C$5&amp;"*"),TRUE,FALSE)</f>
        <v>1</v>
      </c>
      <c r="G1250" t="str">
        <f t="shared" si="82"/>
        <v>165-48: Hot and Hot and Cold Pass-Through Units (See Class 740 For Cold Only Pass-Through Units)</v>
      </c>
    </row>
    <row r="1251" spans="1:7" x14ac:dyDescent="0.25">
      <c r="A1251" s="1" t="str">
        <f t="shared" si="81"/>
        <v>165</v>
      </c>
      <c r="B1251" s="1" t="str">
        <f>TEXT(50,"00")</f>
        <v>50</v>
      </c>
      <c r="C1251" s="1" t="str">
        <f t="shared" si="80"/>
        <v>165-50</v>
      </c>
      <c r="D1251" t="s">
        <v>1248</v>
      </c>
      <c r="E1251" t="b">
        <f>IF(COUNTIF(D1251,"*"&amp;'Keyword Search'!$C$5&amp;"*"),TRUE,FALSE)</f>
        <v>1</v>
      </c>
      <c r="G1251" t="str">
        <f t="shared" si="82"/>
        <v>165-50: Ice Cream Making Machinery, Including Malt and Milkshake Equipment</v>
      </c>
    </row>
    <row r="1252" spans="1:7" x14ac:dyDescent="0.25">
      <c r="A1252" s="1" t="str">
        <f t="shared" si="81"/>
        <v>165</v>
      </c>
      <c r="B1252" s="1" t="str">
        <f>TEXT(52,"00")</f>
        <v>52</v>
      </c>
      <c r="C1252" s="1" t="str">
        <f t="shared" si="80"/>
        <v>165-52</v>
      </c>
      <c r="D1252" t="s">
        <v>1249</v>
      </c>
      <c r="E1252" t="b">
        <f>IF(COUNTIF(D1252,"*"&amp;'Keyword Search'!$C$5&amp;"*"),TRUE,FALSE)</f>
        <v>1</v>
      </c>
      <c r="G1252" t="str">
        <f t="shared" si="82"/>
        <v>165-52: Ice Equipment: Carts, Crushers, Picks, Scoops, Shavers, Storage Bins, Tongs, etc.</v>
      </c>
    </row>
    <row r="1253" spans="1:7" x14ac:dyDescent="0.25">
      <c r="A1253" s="1" t="str">
        <f t="shared" si="81"/>
        <v>165</v>
      </c>
      <c r="B1253" s="1" t="str">
        <f>TEXT(54,"00")</f>
        <v>54</v>
      </c>
      <c r="C1253" s="1" t="str">
        <f t="shared" si="80"/>
        <v>165-54</v>
      </c>
      <c r="D1253" t="s">
        <v>1250</v>
      </c>
      <c r="E1253" t="b">
        <f>IF(COUNTIF(D1253,"*"&amp;'Keyword Search'!$C$5&amp;"*"),TRUE,FALSE)</f>
        <v>1</v>
      </c>
      <c r="G1253" t="str">
        <f t="shared" si="82"/>
        <v>165-54: Ingredient Storage Bins</v>
      </c>
    </row>
    <row r="1254" spans="1:7" x14ac:dyDescent="0.25">
      <c r="A1254" s="1" t="str">
        <f t="shared" si="81"/>
        <v>165</v>
      </c>
      <c r="B1254" s="1" t="str">
        <f>TEXT(57,"00")</f>
        <v>57</v>
      </c>
      <c r="C1254" s="1" t="str">
        <f t="shared" si="80"/>
        <v>165-57</v>
      </c>
      <c r="D1254" t="s">
        <v>1251</v>
      </c>
      <c r="E1254" t="b">
        <f>IF(COUNTIF(D1254,"*"&amp;'Keyword Search'!$C$5&amp;"*"),TRUE,FALSE)</f>
        <v>1</v>
      </c>
      <c r="G1254" t="str">
        <f t="shared" si="82"/>
        <v>165-57: Menu Boards</v>
      </c>
    </row>
    <row r="1255" spans="1:7" x14ac:dyDescent="0.25">
      <c r="A1255" s="1" t="str">
        <f t="shared" si="81"/>
        <v>165</v>
      </c>
      <c r="B1255" s="1" t="str">
        <f>TEXT(59,"00")</f>
        <v>59</v>
      </c>
      <c r="C1255" s="1" t="str">
        <f t="shared" si="80"/>
        <v>165-59</v>
      </c>
      <c r="D1255" t="s">
        <v>1252</v>
      </c>
      <c r="E1255" t="b">
        <f>IF(COUNTIF(D1255,"*"&amp;'Keyword Search'!$C$5&amp;"*"),TRUE,FALSE)</f>
        <v>1</v>
      </c>
      <c r="G1255" t="str">
        <f t="shared" si="82"/>
        <v>165-59: Napkin Holders</v>
      </c>
    </row>
    <row r="1256" spans="1:7" x14ac:dyDescent="0.25">
      <c r="A1256" s="1" t="str">
        <f t="shared" si="81"/>
        <v>165</v>
      </c>
      <c r="B1256" s="1" t="str">
        <f>TEXT(60,"00")</f>
        <v>60</v>
      </c>
      <c r="C1256" s="1" t="str">
        <f t="shared" si="80"/>
        <v>165-60</v>
      </c>
      <c r="D1256" t="s">
        <v>1253</v>
      </c>
      <c r="E1256" t="b">
        <f>IF(COUNTIF(D1256,"*"&amp;'Keyword Search'!$C$5&amp;"*"),TRUE,FALSE)</f>
        <v>1</v>
      </c>
      <c r="G1256" t="str">
        <f t="shared" si="82"/>
        <v>165-60: Ovens, Including Convection and Microwave, Commercial</v>
      </c>
    </row>
    <row r="1257" spans="1:7" x14ac:dyDescent="0.25">
      <c r="A1257" s="1" t="str">
        <f t="shared" si="81"/>
        <v>165</v>
      </c>
      <c r="B1257" s="1" t="str">
        <f>TEXT(61,"00")</f>
        <v>61</v>
      </c>
      <c r="C1257" s="1" t="str">
        <f t="shared" si="80"/>
        <v>165-61</v>
      </c>
      <c r="D1257" t="s">
        <v>1254</v>
      </c>
      <c r="E1257" t="b">
        <f>IF(COUNTIF(D1257,"*"&amp;'Keyword Search'!$C$5&amp;"*"),TRUE,FALSE)</f>
        <v>1</v>
      </c>
      <c r="G1257" t="str">
        <f t="shared" si="82"/>
        <v>165-61: Pasta Cookers and Machines</v>
      </c>
    </row>
    <row r="1258" spans="1:7" x14ac:dyDescent="0.25">
      <c r="A1258" s="1" t="str">
        <f t="shared" si="81"/>
        <v>165</v>
      </c>
      <c r="B1258" s="1" t="str">
        <f>TEXT(62,"00")</f>
        <v>62</v>
      </c>
      <c r="C1258" s="1" t="str">
        <f t="shared" si="80"/>
        <v>165-62</v>
      </c>
      <c r="D1258" t="s">
        <v>1255</v>
      </c>
      <c r="E1258" t="b">
        <f>IF(COUNTIF(D1258,"*"&amp;'Keyword Search'!$C$5&amp;"*"),TRUE,FALSE)</f>
        <v>1</v>
      </c>
      <c r="G1258" t="str">
        <f t="shared" si="82"/>
        <v>165-62: Peeler: Fruit or Vegetable</v>
      </c>
    </row>
    <row r="1259" spans="1:7" x14ac:dyDescent="0.25">
      <c r="A1259" s="1" t="str">
        <f t="shared" si="81"/>
        <v>165</v>
      </c>
      <c r="B1259" s="1" t="str">
        <f>TEXT(65,"00")</f>
        <v>65</v>
      </c>
      <c r="C1259" s="1" t="str">
        <f t="shared" si="80"/>
        <v>165-65</v>
      </c>
      <c r="D1259" t="s">
        <v>1256</v>
      </c>
      <c r="E1259" t="b">
        <f>IF(COUNTIF(D1259,"*"&amp;'Keyword Search'!$C$5&amp;"*"),TRUE,FALSE)</f>
        <v>1</v>
      </c>
      <c r="G1259" t="str">
        <f t="shared" si="82"/>
        <v>165-65: Popcorn Machines</v>
      </c>
    </row>
    <row r="1260" spans="1:7" x14ac:dyDescent="0.25">
      <c r="A1260" s="1" t="str">
        <f t="shared" si="81"/>
        <v>165</v>
      </c>
      <c r="B1260" s="1" t="str">
        <f>TEXT(68,"00")</f>
        <v>68</v>
      </c>
      <c r="C1260" s="1" t="str">
        <f t="shared" si="80"/>
        <v>165-68</v>
      </c>
      <c r="D1260" t="s">
        <v>1257</v>
      </c>
      <c r="E1260" t="b">
        <f>IF(COUNTIF(D1260,"*"&amp;'Keyword Search'!$C$5&amp;"*"),TRUE,FALSE)</f>
        <v>1</v>
      </c>
      <c r="G1260" t="str">
        <f t="shared" si="82"/>
        <v>165-68: Racks: Cup, Glass, Tray, etc.</v>
      </c>
    </row>
    <row r="1261" spans="1:7" x14ac:dyDescent="0.25">
      <c r="A1261" s="1" t="str">
        <f t="shared" si="81"/>
        <v>165</v>
      </c>
      <c r="B1261" s="1" t="str">
        <f>TEXT(69,"00")</f>
        <v>69</v>
      </c>
      <c r="C1261" s="1" t="str">
        <f t="shared" si="80"/>
        <v>165-69</v>
      </c>
      <c r="D1261" t="s">
        <v>1258</v>
      </c>
      <c r="E1261" t="b">
        <f>IF(COUNTIF(D1261,"*"&amp;'Keyword Search'!$C$5&amp;"*"),TRUE,FALSE)</f>
        <v>1</v>
      </c>
      <c r="G1261" t="str">
        <f t="shared" si="82"/>
        <v>165-69: Racks: Dispensing, Food Service</v>
      </c>
    </row>
    <row r="1262" spans="1:7" x14ac:dyDescent="0.25">
      <c r="A1262" s="1" t="str">
        <f t="shared" si="81"/>
        <v>165</v>
      </c>
      <c r="B1262" s="1" t="str">
        <f>TEXT(70,"00")</f>
        <v>70</v>
      </c>
      <c r="C1262" s="1" t="str">
        <f t="shared" si="80"/>
        <v>165-70</v>
      </c>
      <c r="D1262" t="s">
        <v>1259</v>
      </c>
      <c r="E1262" t="b">
        <f>IF(COUNTIF(D1262,"*"&amp;'Keyword Search'!$C$5&amp;"*"),TRUE,FALSE)</f>
        <v>1</v>
      </c>
      <c r="G1262" t="str">
        <f t="shared" si="82"/>
        <v>165-70: Racks: Utensil and Pastry: Aluminum, Chrome, and Stainless Steel</v>
      </c>
    </row>
    <row r="1263" spans="1:7" x14ac:dyDescent="0.25">
      <c r="A1263" s="1" t="str">
        <f t="shared" si="81"/>
        <v>165</v>
      </c>
      <c r="B1263" s="1" t="str">
        <f>TEXT(73,"00")</f>
        <v>73</v>
      </c>
      <c r="C1263" s="1" t="str">
        <f t="shared" si="80"/>
        <v>165-73</v>
      </c>
      <c r="D1263" t="s">
        <v>1260</v>
      </c>
      <c r="E1263" t="b">
        <f>IF(COUNTIF(D1263,"*"&amp;'Keyword Search'!$C$5&amp;"*"),TRUE,FALSE)</f>
        <v>1</v>
      </c>
      <c r="G1263" t="str">
        <f t="shared" si="82"/>
        <v>165-73: Ranges, Griddles, Hot Plates, Warmers, etc., Electric and Gas</v>
      </c>
    </row>
    <row r="1264" spans="1:7" x14ac:dyDescent="0.25">
      <c r="A1264" s="1" t="str">
        <f t="shared" si="81"/>
        <v>165</v>
      </c>
      <c r="B1264" s="1" t="str">
        <f>TEXT(75,"00")</f>
        <v>75</v>
      </c>
      <c r="C1264" s="1" t="str">
        <f t="shared" si="80"/>
        <v>165-75</v>
      </c>
      <c r="D1264" t="s">
        <v>1261</v>
      </c>
      <c r="E1264" t="b">
        <f>IF(COUNTIF(D1264,"*"&amp;'Keyword Search'!$C$5&amp;"*"),TRUE,FALSE)</f>
        <v>1</v>
      </c>
      <c r="G1264" t="str">
        <f t="shared" si="82"/>
        <v>165-75: Refurbished Cafeteria and Kitchen Accessories and Supplies</v>
      </c>
    </row>
    <row r="1265" spans="1:7" x14ac:dyDescent="0.25">
      <c r="A1265" s="1" t="str">
        <f t="shared" si="81"/>
        <v>165</v>
      </c>
      <c r="B1265" s="1" t="str">
        <f>TEXT(76,"00")</f>
        <v>76</v>
      </c>
      <c r="C1265" s="1" t="str">
        <f t="shared" si="80"/>
        <v>165-76</v>
      </c>
      <c r="D1265" t="s">
        <v>1262</v>
      </c>
      <c r="E1265" t="b">
        <f>IF(COUNTIF(D1265,"*"&amp;'Keyword Search'!$C$5&amp;"*"),TRUE,FALSE)</f>
        <v>1</v>
      </c>
      <c r="G1265" t="str">
        <f t="shared" si="82"/>
        <v>165-76: Sanitizers (Used to sanitize dishes, counters or any food contact area)</v>
      </c>
    </row>
    <row r="1266" spans="1:7" x14ac:dyDescent="0.25">
      <c r="A1266" s="1" t="str">
        <f t="shared" si="81"/>
        <v>165</v>
      </c>
      <c r="B1266" s="1" t="str">
        <f>TEXT(77,"00")</f>
        <v>77</v>
      </c>
      <c r="C1266" s="1" t="str">
        <f t="shared" si="80"/>
        <v>165-77</v>
      </c>
      <c r="D1266" t="s">
        <v>1263</v>
      </c>
      <c r="E1266" t="b">
        <f>IF(COUNTIF(D1266,"*"&amp;'Keyword Search'!$C$5&amp;"*"),TRUE,FALSE)</f>
        <v>1</v>
      </c>
      <c r="G1266" t="str">
        <f t="shared" si="82"/>
        <v>165-77: Sieves and Strainers, Food</v>
      </c>
    </row>
    <row r="1267" spans="1:7" x14ac:dyDescent="0.25">
      <c r="A1267" s="1" t="str">
        <f t="shared" si="81"/>
        <v>165</v>
      </c>
      <c r="B1267" s="1" t="str">
        <f>TEXT(79,"00")</f>
        <v>79</v>
      </c>
      <c r="C1267" s="1" t="str">
        <f t="shared" si="80"/>
        <v>165-79</v>
      </c>
      <c r="D1267" t="s">
        <v>1264</v>
      </c>
      <c r="E1267" t="b">
        <f>IF(COUNTIF(D1267,"*"&amp;'Keyword Search'!$C$5&amp;"*"),TRUE,FALSE)</f>
        <v>1</v>
      </c>
      <c r="G1267" t="str">
        <f t="shared" si="82"/>
        <v>165-79: Sinks, Scullery, Galvanized and Stainless Steel</v>
      </c>
    </row>
    <row r="1268" spans="1:7" x14ac:dyDescent="0.25">
      <c r="A1268" s="1" t="str">
        <f t="shared" si="81"/>
        <v>165</v>
      </c>
      <c r="B1268" s="1" t="str">
        <f>TEXT(80,"00")</f>
        <v>80</v>
      </c>
      <c r="C1268" s="1" t="str">
        <f t="shared" si="80"/>
        <v>165-80</v>
      </c>
      <c r="D1268" t="s">
        <v>1265</v>
      </c>
      <c r="E1268" t="b">
        <f>IF(COUNTIF(D1268,"*"&amp;'Keyword Search'!$C$5&amp;"*"),TRUE,FALSE)</f>
        <v>1</v>
      </c>
      <c r="G1268" t="str">
        <f t="shared" si="82"/>
        <v>165-80: Slicers and Shredders</v>
      </c>
    </row>
    <row r="1269" spans="1:7" x14ac:dyDescent="0.25">
      <c r="A1269" s="1" t="str">
        <f t="shared" si="81"/>
        <v>165</v>
      </c>
      <c r="B1269" s="1" t="str">
        <f>TEXT(82,"00")</f>
        <v>82</v>
      </c>
      <c r="C1269" s="1" t="str">
        <f t="shared" si="80"/>
        <v>165-82</v>
      </c>
      <c r="D1269" t="s">
        <v>1266</v>
      </c>
      <c r="E1269" t="b">
        <f>IF(COUNTIF(D1269,"*"&amp;'Keyword Search'!$C$5&amp;"*"),TRUE,FALSE)</f>
        <v>1</v>
      </c>
      <c r="G1269" t="str">
        <f t="shared" si="82"/>
        <v>165-82: Soup Stations, Cafeteria</v>
      </c>
    </row>
    <row r="1270" spans="1:7" x14ac:dyDescent="0.25">
      <c r="A1270" s="1" t="str">
        <f t="shared" si="81"/>
        <v>165</v>
      </c>
      <c r="B1270" s="1" t="str">
        <f>TEXT(85,"00")</f>
        <v>85</v>
      </c>
      <c r="C1270" s="1" t="str">
        <f t="shared" si="80"/>
        <v>165-85</v>
      </c>
      <c r="D1270" t="s">
        <v>1267</v>
      </c>
      <c r="E1270" t="b">
        <f>IF(COUNTIF(D1270,"*"&amp;'Keyword Search'!$C$5&amp;"*"),TRUE,FALSE)</f>
        <v>1</v>
      </c>
      <c r="G1270" t="str">
        <f t="shared" si="82"/>
        <v>165-85: Steam Cookers and Steam Jacketed Kettles</v>
      </c>
    </row>
    <row r="1271" spans="1:7" x14ac:dyDescent="0.25">
      <c r="A1271" s="1" t="str">
        <f t="shared" si="81"/>
        <v>165</v>
      </c>
      <c r="B1271" s="1" t="str">
        <f>TEXT(88,"00")</f>
        <v>88</v>
      </c>
      <c r="C1271" s="1" t="str">
        <f t="shared" si="80"/>
        <v>165-88</v>
      </c>
      <c r="D1271" t="s">
        <v>1268</v>
      </c>
      <c r="E1271" t="b">
        <f>IF(COUNTIF(D1271,"*"&amp;'Keyword Search'!$C$5&amp;"*"),TRUE,FALSE)</f>
        <v>1</v>
      </c>
      <c r="G1271" t="str">
        <f t="shared" si="82"/>
        <v>165-88: Storage Shelves: Aluminum, Chrome, and Stainless Steel</v>
      </c>
    </row>
    <row r="1272" spans="1:7" x14ac:dyDescent="0.25">
      <c r="A1272" s="1" t="str">
        <f t="shared" si="81"/>
        <v>165</v>
      </c>
      <c r="B1272" s="1" t="str">
        <f>TEXT(89,"00")</f>
        <v>89</v>
      </c>
      <c r="C1272" s="1" t="str">
        <f t="shared" si="80"/>
        <v>165-89</v>
      </c>
      <c r="D1272" t="s">
        <v>1269</v>
      </c>
      <c r="E1272" t="b">
        <f>IF(COUNTIF(D1272,"*"&amp;'Keyword Search'!$C$5&amp;"*"),TRUE,FALSE)</f>
        <v>1</v>
      </c>
      <c r="G1272" t="str">
        <f t="shared" si="82"/>
        <v>165-89: Table Coverings, Food Service</v>
      </c>
    </row>
    <row r="1273" spans="1:7" x14ac:dyDescent="0.25">
      <c r="A1273" s="1" t="str">
        <f t="shared" si="81"/>
        <v>165</v>
      </c>
      <c r="B1273" s="1" t="str">
        <f>TEXT(91,"00")</f>
        <v>91</v>
      </c>
      <c r="C1273" s="1" t="str">
        <f t="shared" si="80"/>
        <v>165-91</v>
      </c>
      <c r="D1273" t="s">
        <v>1270</v>
      </c>
      <c r="E1273" t="b">
        <f>IF(COUNTIF(D1273,"*"&amp;'Keyword Search'!$C$5&amp;"*"),TRUE,FALSE)</f>
        <v>1</v>
      </c>
      <c r="G1273" t="str">
        <f t="shared" si="82"/>
        <v>165-91: Toasters, Electric and Gas</v>
      </c>
    </row>
    <row r="1274" spans="1:7" x14ac:dyDescent="0.25">
      <c r="A1274" s="1" t="str">
        <f t="shared" si="81"/>
        <v>165</v>
      </c>
      <c r="B1274" s="1" t="str">
        <f>TEXT(92,"00")</f>
        <v>92</v>
      </c>
      <c r="C1274" s="1" t="str">
        <f t="shared" si="80"/>
        <v>165-92</v>
      </c>
      <c r="D1274" t="s">
        <v>1271</v>
      </c>
      <c r="E1274" t="b">
        <f>IF(COUNTIF(D1274,"*"&amp;'Keyword Search'!$C$5&amp;"*"),TRUE,FALSE)</f>
        <v>1</v>
      </c>
      <c r="G1274" t="str">
        <f t="shared" si="82"/>
        <v>165-92: Vending Machines, Non-Refrigerated, Snacks, Laundry items, Candy, Cigarettes, etc.</v>
      </c>
    </row>
    <row r="1275" spans="1:7" x14ac:dyDescent="0.25">
      <c r="A1275" s="1" t="str">
        <f t="shared" si="81"/>
        <v>165</v>
      </c>
      <c r="B1275" s="1" t="str">
        <f>TEXT(94,"00")</f>
        <v>94</v>
      </c>
      <c r="C1275" s="1" t="str">
        <f t="shared" si="80"/>
        <v>165-94</v>
      </c>
      <c r="D1275" t="s">
        <v>1272</v>
      </c>
      <c r="E1275" t="b">
        <f>IF(COUNTIF(D1275,"*"&amp;'Keyword Search'!$C$5&amp;"*"),TRUE,FALSE)</f>
        <v>1</v>
      </c>
      <c r="G1275" t="str">
        <f t="shared" si="82"/>
        <v>165-94: Vent Hoods and Exhaust Systems, Range, Including Filters</v>
      </c>
    </row>
    <row r="1276" spans="1:7" x14ac:dyDescent="0.25">
      <c r="A1276" s="5" t="str">
        <f t="shared" ref="A1276:A1338" si="83">TEXT(175,"000")</f>
        <v>175</v>
      </c>
      <c r="B1276" s="5" t="str">
        <f>TEXT(0,"00")</f>
        <v>00</v>
      </c>
      <c r="C1276" s="1"/>
      <c r="D1276" s="2" t="s">
        <v>1273</v>
      </c>
    </row>
    <row r="1277" spans="1:7" x14ac:dyDescent="0.25">
      <c r="A1277" s="1" t="str">
        <f t="shared" si="83"/>
        <v>175</v>
      </c>
      <c r="B1277" s="1" t="str">
        <f>TEXT(3,"00")</f>
        <v>03</v>
      </c>
      <c r="C1277" s="1" t="str">
        <f t="shared" si="80"/>
        <v>175-03</v>
      </c>
      <c r="D1277" t="s">
        <v>1274</v>
      </c>
      <c r="E1277" t="b">
        <f>IF(COUNTIF(D1277,"*"&amp;'Keyword Search'!$C$5&amp;"*"),TRUE,FALSE)</f>
        <v>1</v>
      </c>
      <c r="G1277" t="str">
        <f t="shared" si="82"/>
        <v>175-03: Aprons and Gloves, Laboratory: Plastic, Rubber, etc.</v>
      </c>
    </row>
    <row r="1278" spans="1:7" x14ac:dyDescent="0.25">
      <c r="A1278" s="1" t="str">
        <f t="shared" si="83"/>
        <v>175</v>
      </c>
      <c r="B1278" s="1" t="str">
        <f>TEXT(6,"00")</f>
        <v>06</v>
      </c>
      <c r="C1278" s="1" t="str">
        <f t="shared" si="80"/>
        <v>175-06</v>
      </c>
      <c r="D1278" t="s">
        <v>1275</v>
      </c>
      <c r="E1278" t="b">
        <f>IF(COUNTIF(D1278,"*"&amp;'Keyword Search'!$C$5&amp;"*"),TRUE,FALSE)</f>
        <v>1</v>
      </c>
      <c r="G1278" t="str">
        <f t="shared" si="82"/>
        <v>175-06: Bacteriological Plugging Material, Cotton or Synthetic</v>
      </c>
    </row>
    <row r="1279" spans="1:7" x14ac:dyDescent="0.25">
      <c r="A1279" s="1" t="str">
        <f t="shared" si="83"/>
        <v>175</v>
      </c>
      <c r="B1279" s="1" t="str">
        <f>TEXT(8,"00")</f>
        <v>08</v>
      </c>
      <c r="C1279" s="1" t="str">
        <f t="shared" si="80"/>
        <v>175-08</v>
      </c>
      <c r="D1279" t="s">
        <v>1276</v>
      </c>
      <c r="E1279" t="b">
        <f>IF(COUNTIF(D1279,"*"&amp;'Keyword Search'!$C$5&amp;"*"),TRUE,FALSE)</f>
        <v>1</v>
      </c>
      <c r="G1279" t="str">
        <f t="shared" si="82"/>
        <v>175-08: Balances and Accessories, Laboratory</v>
      </c>
    </row>
    <row r="1280" spans="1:7" x14ac:dyDescent="0.25">
      <c r="A1280" s="1" t="str">
        <f t="shared" si="83"/>
        <v>175</v>
      </c>
      <c r="B1280" s="1" t="str">
        <f>TEXT(10,"00")</f>
        <v>10</v>
      </c>
      <c r="C1280" s="1" t="str">
        <f t="shared" si="80"/>
        <v>175-10</v>
      </c>
      <c r="D1280" t="s">
        <v>1277</v>
      </c>
      <c r="E1280" t="b">
        <f>IF(COUNTIF(D1280,"*"&amp;'Keyword Search'!$C$5&amp;"*"),TRUE,FALSE)</f>
        <v>1</v>
      </c>
      <c r="G1280" t="str">
        <f t="shared" si="82"/>
        <v>175-10: Burners, Heat Guns, Hot Plates With or Without Stirring), Mantles, etc.</v>
      </c>
    </row>
    <row r="1281" spans="1:7" x14ac:dyDescent="0.25">
      <c r="A1281" s="1" t="str">
        <f t="shared" si="83"/>
        <v>175</v>
      </c>
      <c r="B1281" s="1" t="str">
        <f>TEXT(11,"00")</f>
        <v>11</v>
      </c>
      <c r="C1281" s="1" t="str">
        <f t="shared" si="80"/>
        <v>175-11</v>
      </c>
      <c r="D1281" t="s">
        <v>1278</v>
      </c>
      <c r="E1281" t="b">
        <f>IF(COUNTIF(D1281,"*"&amp;'Keyword Search'!$C$5&amp;"*"),TRUE,FALSE)</f>
        <v>1</v>
      </c>
      <c r="G1281" t="str">
        <f t="shared" si="82"/>
        <v>175-11: Cells and Cuvettes, Photometry and Spectrometry</v>
      </c>
    </row>
    <row r="1282" spans="1:7" x14ac:dyDescent="0.25">
      <c r="A1282" s="1" t="str">
        <f t="shared" si="83"/>
        <v>175</v>
      </c>
      <c r="B1282" s="1" t="str">
        <f>TEXT(12,"00")</f>
        <v>12</v>
      </c>
      <c r="C1282" s="1" t="str">
        <f t="shared" si="80"/>
        <v>175-12</v>
      </c>
      <c r="D1282" t="s">
        <v>1279</v>
      </c>
      <c r="E1282" t="b">
        <f>IF(COUNTIF(D1282,"*"&amp;'Keyword Search'!$C$5&amp;"*"),TRUE,FALSE)</f>
        <v>1</v>
      </c>
      <c r="G1282" t="str">
        <f t="shared" si="82"/>
        <v>175-12: Ceramic Ware, All Types, Laboratory</v>
      </c>
    </row>
    <row r="1283" spans="1:7" x14ac:dyDescent="0.25">
      <c r="A1283" s="1" t="str">
        <f t="shared" si="83"/>
        <v>175</v>
      </c>
      <c r="B1283" s="1" t="str">
        <f>TEXT(13,"00")</f>
        <v>13</v>
      </c>
      <c r="C1283" s="1" t="str">
        <f t="shared" ref="C1283:C1346" si="84">CONCATENATE(A1283,"-",B1283)</f>
        <v>175-13</v>
      </c>
      <c r="D1283" t="s">
        <v>1280</v>
      </c>
      <c r="E1283" t="b">
        <f>IF(COUNTIF(D1283,"*"&amp;'Keyword Search'!$C$5&amp;"*"),TRUE,FALSE)</f>
        <v>1</v>
      </c>
      <c r="G1283" t="str">
        <f t="shared" si="82"/>
        <v>175-13: Chemicals, Laboratory: ACS, CP, Practical, Reagent Grade, etc.</v>
      </c>
    </row>
    <row r="1284" spans="1:7" x14ac:dyDescent="0.25">
      <c r="A1284" s="1" t="str">
        <f t="shared" si="83"/>
        <v>175</v>
      </c>
      <c r="B1284" s="1" t="str">
        <f>TEXT(14,"00")</f>
        <v>14</v>
      </c>
      <c r="C1284" s="1" t="str">
        <f t="shared" si="84"/>
        <v>175-14</v>
      </c>
      <c r="D1284" t="s">
        <v>1281</v>
      </c>
      <c r="E1284" t="b">
        <f>IF(COUNTIF(D1284,"*"&amp;'Keyword Search'!$C$5&amp;"*"),TRUE,FALSE)</f>
        <v>1</v>
      </c>
      <c r="G1284" t="str">
        <f t="shared" ref="G1284:G1347" si="85">CONCATENATE(C1284,": ",D1284)</f>
        <v>175-14: Chromatography Supplies: Developing Tanks, Columns, Packing, Septums, TLC Plates, etc.</v>
      </c>
    </row>
    <row r="1285" spans="1:7" x14ac:dyDescent="0.25">
      <c r="A1285" s="1" t="str">
        <f t="shared" si="83"/>
        <v>175</v>
      </c>
      <c r="B1285" s="1" t="str">
        <f>TEXT(15,"00")</f>
        <v>15</v>
      </c>
      <c r="C1285" s="1" t="str">
        <f t="shared" si="84"/>
        <v>175-15</v>
      </c>
      <c r="D1285" t="s">
        <v>1282</v>
      </c>
      <c r="E1285" t="b">
        <f>IF(COUNTIF(D1285,"*"&amp;'Keyword Search'!$C$5&amp;"*"),TRUE,FALSE)</f>
        <v>1</v>
      </c>
      <c r="G1285" t="str">
        <f t="shared" si="85"/>
        <v>175-15: Cleaning Equipment and Supplies, Laboratory</v>
      </c>
    </row>
    <row r="1286" spans="1:7" x14ac:dyDescent="0.25">
      <c r="A1286" s="1" t="str">
        <f t="shared" si="83"/>
        <v>175</v>
      </c>
      <c r="B1286" s="1" t="str">
        <f>TEXT(16,"00")</f>
        <v>16</v>
      </c>
      <c r="C1286" s="1" t="str">
        <f t="shared" si="84"/>
        <v>175-16</v>
      </c>
      <c r="D1286" t="s">
        <v>1283</v>
      </c>
      <c r="E1286" t="b">
        <f>IF(COUNTIF(D1286,"*"&amp;'Keyword Search'!$C$5&amp;"*"),TRUE,FALSE)</f>
        <v>1</v>
      </c>
      <c r="G1286" t="str">
        <f t="shared" si="85"/>
        <v>175-16: Cocktails (Solutions), Liquid Scintillation</v>
      </c>
    </row>
    <row r="1287" spans="1:7" x14ac:dyDescent="0.25">
      <c r="A1287" s="1" t="str">
        <f t="shared" si="83"/>
        <v>175</v>
      </c>
      <c r="B1287" s="1" t="str">
        <f>TEXT(17,"00")</f>
        <v>17</v>
      </c>
      <c r="C1287" s="1" t="str">
        <f t="shared" si="84"/>
        <v>175-17</v>
      </c>
      <c r="D1287" t="s">
        <v>1284</v>
      </c>
      <c r="E1287" t="b">
        <f>IF(COUNTIF(D1287,"*"&amp;'Keyword Search'!$C$5&amp;"*"),TRUE,FALSE)</f>
        <v>1</v>
      </c>
      <c r="G1287" t="str">
        <f t="shared" si="85"/>
        <v>175-17: Containers, Liquefied or Compressed Gases, Laboratory Sizes: Dewar Flasks, Gas Cylinders, Lecture Bottles, etc.</v>
      </c>
    </row>
    <row r="1288" spans="1:7" x14ac:dyDescent="0.25">
      <c r="A1288" s="1" t="str">
        <f t="shared" si="83"/>
        <v>175</v>
      </c>
      <c r="B1288" s="1" t="str">
        <f>TEXT(19,"00")</f>
        <v>19</v>
      </c>
      <c r="C1288" s="1" t="str">
        <f t="shared" si="84"/>
        <v>175-19</v>
      </c>
      <c r="D1288" t="s">
        <v>1285</v>
      </c>
      <c r="E1288" t="b">
        <f>IF(COUNTIF(D1288,"*"&amp;'Keyword Search'!$C$5&amp;"*"),TRUE,FALSE)</f>
        <v>1</v>
      </c>
      <c r="G1288" t="str">
        <f t="shared" si="85"/>
        <v>175-19: Crushers and Grinders, Metal and Stoneware: Ball Mills, etc.</v>
      </c>
    </row>
    <row r="1289" spans="1:7" x14ac:dyDescent="0.25">
      <c r="A1289" s="1" t="str">
        <f t="shared" si="83"/>
        <v>175</v>
      </c>
      <c r="B1289" s="1" t="str">
        <f>TEXT(22,"00")</f>
        <v>22</v>
      </c>
      <c r="C1289" s="1" t="str">
        <f t="shared" si="84"/>
        <v>175-22</v>
      </c>
      <c r="D1289" t="s">
        <v>1286</v>
      </c>
      <c r="E1289" t="b">
        <f>IF(COUNTIF(D1289,"*"&amp;'Keyword Search'!$C$5&amp;"*"),TRUE,FALSE)</f>
        <v>1</v>
      </c>
      <c r="G1289" t="str">
        <f t="shared" si="85"/>
        <v>175-22: Dialysis Equipment and Supplies: Cells, Fittings, Membranes, Motors, Tanks, Tubes, etc.</v>
      </c>
    </row>
    <row r="1290" spans="1:7" x14ac:dyDescent="0.25">
      <c r="A1290" s="1" t="str">
        <f t="shared" si="83"/>
        <v>175</v>
      </c>
      <c r="B1290" s="1" t="str">
        <f>TEXT(23,"00")</f>
        <v>23</v>
      </c>
      <c r="C1290" s="1" t="str">
        <f t="shared" si="84"/>
        <v>175-23</v>
      </c>
      <c r="D1290" t="s">
        <v>1287</v>
      </c>
      <c r="E1290" t="b">
        <f>IF(COUNTIF(D1290,"*"&amp;'Keyword Search'!$C$5&amp;"*"),TRUE,FALSE)</f>
        <v>1</v>
      </c>
      <c r="G1290" t="str">
        <f t="shared" si="85"/>
        <v>175-23: DNA or RNA Acids Nucleic, etc.: Including Extraction, Purification, Quantification and Sequencing Equipment</v>
      </c>
    </row>
    <row r="1291" spans="1:7" x14ac:dyDescent="0.25">
      <c r="A1291" s="1" t="str">
        <f t="shared" si="83"/>
        <v>175</v>
      </c>
      <c r="B1291" s="1" t="str">
        <f>TEXT(24,"00")</f>
        <v>24</v>
      </c>
      <c r="C1291" s="1" t="str">
        <f t="shared" si="84"/>
        <v>175-24</v>
      </c>
      <c r="D1291" t="s">
        <v>1288</v>
      </c>
      <c r="E1291" t="b">
        <f>IF(COUNTIF(D1291,"*"&amp;'Keyword Search'!$C$5&amp;"*"),TRUE,FALSE)</f>
        <v>1</v>
      </c>
      <c r="G1291" t="str">
        <f t="shared" si="85"/>
        <v>175-24: Dishes, Evaporating and Other Metal Vessel, (See Class 175-71 For Platinum)</v>
      </c>
    </row>
    <row r="1292" spans="1:7" x14ac:dyDescent="0.25">
      <c r="A1292" s="1" t="str">
        <f t="shared" si="83"/>
        <v>175</v>
      </c>
      <c r="B1292" s="1" t="str">
        <f>TEXT(25,"00")</f>
        <v>25</v>
      </c>
      <c r="C1292" s="1" t="str">
        <f t="shared" si="84"/>
        <v>175-25</v>
      </c>
      <c r="D1292" t="s">
        <v>1289</v>
      </c>
      <c r="E1292" t="b">
        <f>IF(COUNTIF(D1292,"*"&amp;'Keyword Search'!$C$5&amp;"*"),TRUE,FALSE)</f>
        <v>1</v>
      </c>
      <c r="G1292" t="str">
        <f t="shared" si="85"/>
        <v>175-25: Drying Equipment, Laboratory</v>
      </c>
    </row>
    <row r="1293" spans="1:7" x14ac:dyDescent="0.25">
      <c r="A1293" s="1" t="str">
        <f t="shared" si="83"/>
        <v>175</v>
      </c>
      <c r="B1293" s="1" t="str">
        <f>TEXT(27,"00")</f>
        <v>27</v>
      </c>
      <c r="C1293" s="1" t="str">
        <f t="shared" si="84"/>
        <v>175-27</v>
      </c>
      <c r="D1293" t="s">
        <v>1290</v>
      </c>
      <c r="E1293" t="b">
        <f>IF(COUNTIF(D1293,"*"&amp;'Keyword Search'!$C$5&amp;"*"),TRUE,FALSE)</f>
        <v>1</v>
      </c>
      <c r="G1293" t="str">
        <f t="shared" si="85"/>
        <v>175-27: Electrode Sensing Meters and Electrodes: Dissolved Oxygen, pH, Specific Ion, etc.</v>
      </c>
    </row>
    <row r="1294" spans="1:7" x14ac:dyDescent="0.25">
      <c r="A1294" s="1" t="str">
        <f t="shared" si="83"/>
        <v>175</v>
      </c>
      <c r="B1294" s="1" t="str">
        <f>TEXT(28,"00")</f>
        <v>28</v>
      </c>
      <c r="C1294" s="1" t="str">
        <f t="shared" si="84"/>
        <v>175-28</v>
      </c>
      <c r="D1294" t="s">
        <v>1291</v>
      </c>
      <c r="E1294" t="b">
        <f>IF(COUNTIF(D1294,"*"&amp;'Keyword Search'!$C$5&amp;"*"),TRUE,FALSE)</f>
        <v>1</v>
      </c>
      <c r="G1294" t="str">
        <f t="shared" si="85"/>
        <v>175-28: Electrophoresis Supplies: Gel Materials, Plates, Strips, Tubes, Wicks, etc.</v>
      </c>
    </row>
    <row r="1295" spans="1:7" x14ac:dyDescent="0.25">
      <c r="A1295" s="1" t="str">
        <f t="shared" si="83"/>
        <v>175</v>
      </c>
      <c r="B1295" s="1" t="str">
        <f>TEXT(29,"00")</f>
        <v>29</v>
      </c>
      <c r="C1295" s="1" t="str">
        <f t="shared" si="84"/>
        <v>175-29</v>
      </c>
      <c r="D1295" t="s">
        <v>1292</v>
      </c>
      <c r="E1295" t="b">
        <f>IF(COUNTIF(D1295,"*"&amp;'Keyword Search'!$C$5&amp;"*"),TRUE,FALSE)</f>
        <v>1</v>
      </c>
      <c r="G1295" t="str">
        <f t="shared" si="85"/>
        <v>175-29: Extraction, Digestion, and Distillation Apparatus, Specialized: Kjeldahl, Soxhlet, etc.</v>
      </c>
    </row>
    <row r="1296" spans="1:7" x14ac:dyDescent="0.25">
      <c r="A1296" s="1" t="str">
        <f t="shared" si="83"/>
        <v>175</v>
      </c>
      <c r="B1296" s="1" t="str">
        <f>TEXT(32,"00")</f>
        <v>32</v>
      </c>
      <c r="C1296" s="1" t="str">
        <f t="shared" si="84"/>
        <v>175-32</v>
      </c>
      <c r="D1296" t="s">
        <v>1293</v>
      </c>
      <c r="E1296" t="b">
        <f>IF(COUNTIF(D1296,"*"&amp;'Keyword Search'!$C$5&amp;"*"),TRUE,FALSE)</f>
        <v>1</v>
      </c>
      <c r="G1296" t="str">
        <f t="shared" si="85"/>
        <v>175-32: Filtering Apparatus and Filters, Liquids</v>
      </c>
    </row>
    <row r="1297" spans="1:7" x14ac:dyDescent="0.25">
      <c r="A1297" s="1" t="str">
        <f t="shared" si="83"/>
        <v>175</v>
      </c>
      <c r="B1297" s="1" t="str">
        <f>TEXT(33,"00")</f>
        <v>33</v>
      </c>
      <c r="C1297" s="1" t="str">
        <f t="shared" si="84"/>
        <v>175-33</v>
      </c>
      <c r="D1297" t="s">
        <v>1294</v>
      </c>
      <c r="E1297" t="b">
        <f>IF(COUNTIF(D1297,"*"&amp;'Keyword Search'!$C$5&amp;"*"),TRUE,FALSE)</f>
        <v>1</v>
      </c>
      <c r="G1297" t="str">
        <f t="shared" si="85"/>
        <v>175-33: Filter Paper and Membranes</v>
      </c>
    </row>
    <row r="1298" spans="1:7" x14ac:dyDescent="0.25">
      <c r="A1298" s="1" t="str">
        <f t="shared" si="83"/>
        <v>175</v>
      </c>
      <c r="B1298" s="1" t="str">
        <f>TEXT(36,"00")</f>
        <v>36</v>
      </c>
      <c r="C1298" s="1" t="str">
        <f t="shared" si="84"/>
        <v>175-36</v>
      </c>
      <c r="D1298" t="s">
        <v>1295</v>
      </c>
      <c r="E1298" t="b">
        <f>IF(COUNTIF(D1298,"*"&amp;'Keyword Search'!$C$5&amp;"*"),TRUE,FALSE)</f>
        <v>1</v>
      </c>
      <c r="G1298" t="str">
        <f t="shared" si="85"/>
        <v>175-36: Furnaces and Heaters, Laboratory</v>
      </c>
    </row>
    <row r="1299" spans="1:7" x14ac:dyDescent="0.25">
      <c r="A1299" s="1" t="str">
        <f t="shared" si="83"/>
        <v>175</v>
      </c>
      <c r="B1299" s="1" t="str">
        <f>TEXT(39,"00")</f>
        <v>39</v>
      </c>
      <c r="C1299" s="1" t="str">
        <f t="shared" si="84"/>
        <v>175-39</v>
      </c>
      <c r="D1299" t="s">
        <v>1296</v>
      </c>
      <c r="E1299" t="b">
        <f>IF(COUNTIF(D1299,"*"&amp;'Keyword Search'!$C$5&amp;"*"),TRUE,FALSE)</f>
        <v>1</v>
      </c>
      <c r="G1299" t="str">
        <f t="shared" si="85"/>
        <v>175-39: Glass Pipe and Fittings, Laboratory</v>
      </c>
    </row>
    <row r="1300" spans="1:7" x14ac:dyDescent="0.25">
      <c r="A1300" s="1" t="str">
        <f t="shared" si="83"/>
        <v>175</v>
      </c>
      <c r="B1300" s="1" t="str">
        <f>TEXT(40,"00")</f>
        <v>40</v>
      </c>
      <c r="C1300" s="1" t="str">
        <f t="shared" si="84"/>
        <v>175-40</v>
      </c>
      <c r="D1300" t="s">
        <v>1297</v>
      </c>
      <c r="E1300" t="b">
        <f>IF(COUNTIF(D1300,"*"&amp;'Keyword Search'!$C$5&amp;"*"),TRUE,FALSE)</f>
        <v>1</v>
      </c>
      <c r="G1300" t="str">
        <f t="shared" si="85"/>
        <v>175-40: Glassware, Laboratory, Custom-Made, Specialized Fabrication Only</v>
      </c>
    </row>
    <row r="1301" spans="1:7" x14ac:dyDescent="0.25">
      <c r="A1301" s="1" t="str">
        <f t="shared" si="83"/>
        <v>175</v>
      </c>
      <c r="B1301" s="1" t="str">
        <f>TEXT(42,"00")</f>
        <v>42</v>
      </c>
      <c r="C1301" s="1" t="str">
        <f t="shared" si="84"/>
        <v>175-42</v>
      </c>
      <c r="D1301" t="s">
        <v>1298</v>
      </c>
      <c r="E1301" t="b">
        <f>IF(COUNTIF(D1301,"*"&amp;'Keyword Search'!$C$5&amp;"*"),TRUE,FALSE)</f>
        <v>1</v>
      </c>
      <c r="G1301" t="str">
        <f t="shared" si="85"/>
        <v>175-42: Glassware, Laboratory, Stock Only</v>
      </c>
    </row>
    <row r="1302" spans="1:7" x14ac:dyDescent="0.25">
      <c r="A1302" s="1" t="str">
        <f t="shared" si="83"/>
        <v>175</v>
      </c>
      <c r="B1302" s="1" t="str">
        <f>TEXT(44,"00")</f>
        <v>44</v>
      </c>
      <c r="C1302" s="1" t="str">
        <f t="shared" si="84"/>
        <v>175-44</v>
      </c>
      <c r="D1302" t="s">
        <v>1299</v>
      </c>
      <c r="E1302" t="b">
        <f>IF(COUNTIF(D1302,"*"&amp;'Keyword Search'!$C$5&amp;"*"),TRUE,FALSE)</f>
        <v>1</v>
      </c>
      <c r="G1302" t="str">
        <f t="shared" si="85"/>
        <v>175-44: Glassware Washing Compounds</v>
      </c>
    </row>
    <row r="1303" spans="1:7" x14ac:dyDescent="0.25">
      <c r="A1303" s="1" t="str">
        <f t="shared" si="83"/>
        <v>175</v>
      </c>
      <c r="B1303" s="1" t="str">
        <f>TEXT(46,"00")</f>
        <v>46</v>
      </c>
      <c r="C1303" s="1" t="str">
        <f t="shared" si="84"/>
        <v>175-46</v>
      </c>
      <c r="D1303" t="s">
        <v>1300</v>
      </c>
      <c r="E1303" t="b">
        <f>IF(COUNTIF(D1303,"*"&amp;'Keyword Search'!$C$5&amp;"*"),TRUE,FALSE)</f>
        <v>1</v>
      </c>
      <c r="G1303" t="str">
        <f t="shared" si="85"/>
        <v>175-46: Holders, Glass Tube</v>
      </c>
    </row>
    <row r="1304" spans="1:7" x14ac:dyDescent="0.25">
      <c r="A1304" s="1" t="str">
        <f t="shared" si="83"/>
        <v>175</v>
      </c>
      <c r="B1304" s="1" t="str">
        <f>TEXT(47,"00")</f>
        <v>47</v>
      </c>
      <c r="C1304" s="1" t="str">
        <f t="shared" si="84"/>
        <v>175-47</v>
      </c>
      <c r="D1304" t="s">
        <v>1301</v>
      </c>
      <c r="E1304" t="b">
        <f>IF(COUNTIF(D1304,"*"&amp;'Keyword Search'!$C$5&amp;"*"),TRUE,FALSE)</f>
        <v>1</v>
      </c>
      <c r="G1304" t="str">
        <f t="shared" si="85"/>
        <v>175-47: Hydrometers and Pyconometers, Glass, Laboratory</v>
      </c>
    </row>
    <row r="1305" spans="1:7" x14ac:dyDescent="0.25">
      <c r="A1305" s="1" t="str">
        <f t="shared" si="83"/>
        <v>175</v>
      </c>
      <c r="B1305" s="1" t="str">
        <f>TEXT(48,"00")</f>
        <v>48</v>
      </c>
      <c r="C1305" s="1" t="str">
        <f t="shared" si="84"/>
        <v>175-48</v>
      </c>
      <c r="D1305" t="s">
        <v>1302</v>
      </c>
      <c r="E1305" t="b">
        <f>IF(COUNTIF(D1305,"*"&amp;'Keyword Search'!$C$5&amp;"*"),TRUE,FALSE)</f>
        <v>1</v>
      </c>
      <c r="G1305" t="str">
        <f t="shared" si="85"/>
        <v>175-48: Incinerators, Laboratory</v>
      </c>
    </row>
    <row r="1306" spans="1:7" x14ac:dyDescent="0.25">
      <c r="A1306" s="1" t="str">
        <f t="shared" si="83"/>
        <v>175</v>
      </c>
      <c r="B1306" s="1" t="str">
        <f>TEXT(49,"00")</f>
        <v>49</v>
      </c>
      <c r="C1306" s="1" t="str">
        <f t="shared" si="84"/>
        <v>175-49</v>
      </c>
      <c r="D1306" t="s">
        <v>1303</v>
      </c>
      <c r="E1306" t="b">
        <f>IF(COUNTIF(D1306,"*"&amp;'Keyword Search'!$C$5&amp;"*"),TRUE,FALSE)</f>
        <v>1</v>
      </c>
      <c r="G1306" t="str">
        <f t="shared" si="85"/>
        <v>175-49: Interval Timers and Actuators, Electrical and Mechanical</v>
      </c>
    </row>
    <row r="1307" spans="1:7" x14ac:dyDescent="0.25">
      <c r="A1307" s="1" t="str">
        <f t="shared" si="83"/>
        <v>175</v>
      </c>
      <c r="B1307" s="1" t="str">
        <f>TEXT(51,"00")</f>
        <v>51</v>
      </c>
      <c r="C1307" s="1" t="str">
        <f t="shared" si="84"/>
        <v>175-51</v>
      </c>
      <c r="D1307" t="s">
        <v>1304</v>
      </c>
      <c r="E1307" t="b">
        <f>IF(COUNTIF(D1307,"*"&amp;'Keyword Search'!$C$5&amp;"*"),TRUE,FALSE)</f>
        <v>1</v>
      </c>
      <c r="G1307" t="str">
        <f t="shared" si="85"/>
        <v>175-51: Ion Exchange Materials: Liquids, Resins, etc.</v>
      </c>
    </row>
    <row r="1308" spans="1:7" x14ac:dyDescent="0.25">
      <c r="A1308" s="1" t="str">
        <f t="shared" si="83"/>
        <v>175</v>
      </c>
      <c r="B1308" s="1" t="str">
        <f>TEXT(53,"00")</f>
        <v>53</v>
      </c>
      <c r="C1308" s="1" t="str">
        <f t="shared" si="84"/>
        <v>175-53</v>
      </c>
      <c r="D1308" t="s">
        <v>1305</v>
      </c>
      <c r="E1308" t="b">
        <f>IF(COUNTIF(D1308,"*"&amp;'Keyword Search'!$C$5&amp;"*"),TRUE,FALSE)</f>
        <v>1</v>
      </c>
      <c r="G1308" t="str">
        <f t="shared" si="85"/>
        <v>175-53: Laboratory Equipment, General</v>
      </c>
    </row>
    <row r="1309" spans="1:7" x14ac:dyDescent="0.25">
      <c r="A1309" s="1" t="str">
        <f t="shared" si="83"/>
        <v>175</v>
      </c>
      <c r="B1309" s="1" t="str">
        <f>TEXT(54,"00")</f>
        <v>54</v>
      </c>
      <c r="C1309" s="1" t="str">
        <f t="shared" si="84"/>
        <v>175-54</v>
      </c>
      <c r="D1309" t="s">
        <v>1306</v>
      </c>
      <c r="E1309" t="b">
        <f>IF(COUNTIF(D1309,"*"&amp;'Keyword Search'!$C$5&amp;"*"),TRUE,FALSE)</f>
        <v>1</v>
      </c>
      <c r="G1309" t="str">
        <f t="shared" si="85"/>
        <v>175-54: Laboratory Supplies: Asbestos Squares, Corks, Files, Glass Cutters, Ring Stands, Stopcock Grease, Tongs, Wire Gauze, etc.</v>
      </c>
    </row>
    <row r="1310" spans="1:7" x14ac:dyDescent="0.25">
      <c r="A1310" s="1" t="str">
        <f t="shared" si="83"/>
        <v>175</v>
      </c>
      <c r="B1310" s="1" t="str">
        <f>TEXT(55,"00")</f>
        <v>55</v>
      </c>
      <c r="C1310" s="1" t="str">
        <f t="shared" si="84"/>
        <v>175-55</v>
      </c>
      <c r="D1310" t="s">
        <v>1307</v>
      </c>
      <c r="E1310" t="b">
        <f>IF(COUNTIF(D1310,"*"&amp;'Keyword Search'!$C$5&amp;"*"),TRUE,FALSE)</f>
        <v>1</v>
      </c>
      <c r="G1310" t="str">
        <f t="shared" si="85"/>
        <v>175-55: Melting Point Apparatus, Laboratory</v>
      </c>
    </row>
    <row r="1311" spans="1:7" x14ac:dyDescent="0.25">
      <c r="A1311" s="1" t="str">
        <f t="shared" si="83"/>
        <v>175</v>
      </c>
      <c r="B1311" s="1" t="str">
        <f>TEXT(57,"00")</f>
        <v>57</v>
      </c>
      <c r="C1311" s="1" t="str">
        <f t="shared" si="84"/>
        <v>175-57</v>
      </c>
      <c r="D1311" t="s">
        <v>1308</v>
      </c>
      <c r="E1311" t="b">
        <f>IF(COUNTIF(D1311,"*"&amp;'Keyword Search'!$C$5&amp;"*"),TRUE,FALSE)</f>
        <v>1</v>
      </c>
      <c r="G1311" t="str">
        <f t="shared" si="85"/>
        <v>175-57: Metal Ware, Laboratory</v>
      </c>
    </row>
    <row r="1312" spans="1:7" x14ac:dyDescent="0.25">
      <c r="A1312" s="1" t="str">
        <f t="shared" si="83"/>
        <v>175</v>
      </c>
      <c r="B1312" s="1" t="str">
        <f>TEXT(60,"00")</f>
        <v>60</v>
      </c>
      <c r="C1312" s="1" t="str">
        <f t="shared" si="84"/>
        <v>175-60</v>
      </c>
      <c r="D1312" t="s">
        <v>1309</v>
      </c>
      <c r="E1312" t="b">
        <f>IF(COUNTIF(D1312,"*"&amp;'Keyword Search'!$C$5&amp;"*"),TRUE,FALSE)</f>
        <v>1</v>
      </c>
      <c r="G1312" t="str">
        <f t="shared" si="85"/>
        <v>175-60: Ovens, Laboratory</v>
      </c>
    </row>
    <row r="1313" spans="1:7" x14ac:dyDescent="0.25">
      <c r="A1313" s="1" t="str">
        <f t="shared" si="83"/>
        <v>175</v>
      </c>
      <c r="B1313" s="1" t="str">
        <f>TEXT(62,"00")</f>
        <v>62</v>
      </c>
      <c r="C1313" s="1" t="str">
        <f t="shared" si="84"/>
        <v>175-62</v>
      </c>
      <c r="D1313" t="s">
        <v>1310</v>
      </c>
      <c r="E1313" t="b">
        <f>IF(COUNTIF(D1313,"*"&amp;'Keyword Search'!$C$5&amp;"*"),TRUE,FALSE)</f>
        <v>1</v>
      </c>
      <c r="G1313" t="str">
        <f t="shared" si="85"/>
        <v>175-62: Papers, Laboratory</v>
      </c>
    </row>
    <row r="1314" spans="1:7" x14ac:dyDescent="0.25">
      <c r="A1314" s="1" t="str">
        <f t="shared" si="83"/>
        <v>175</v>
      </c>
      <c r="B1314" s="1" t="str">
        <f>TEXT(65,"00")</f>
        <v>65</v>
      </c>
      <c r="C1314" s="1" t="str">
        <f t="shared" si="84"/>
        <v>175-65</v>
      </c>
      <c r="D1314" t="s">
        <v>1311</v>
      </c>
      <c r="E1314" t="b">
        <f>IF(COUNTIF(D1314,"*"&amp;'Keyword Search'!$C$5&amp;"*"),TRUE,FALSE)</f>
        <v>1</v>
      </c>
      <c r="G1314" t="str">
        <f t="shared" si="85"/>
        <v>175-65: pH Buffer Solutions, Indicators, and Papers</v>
      </c>
    </row>
    <row r="1315" spans="1:7" x14ac:dyDescent="0.25">
      <c r="A1315" s="1" t="str">
        <f t="shared" si="83"/>
        <v>175</v>
      </c>
      <c r="B1315" s="1" t="str">
        <f>TEXT(66,"00")</f>
        <v>66</v>
      </c>
      <c r="C1315" s="1" t="str">
        <f t="shared" si="84"/>
        <v>175-66</v>
      </c>
      <c r="D1315" t="s">
        <v>1312</v>
      </c>
      <c r="E1315" t="b">
        <f>IF(COUNTIF(D1315,"*"&amp;'Keyword Search'!$C$5&amp;"*"),TRUE,FALSE)</f>
        <v>1</v>
      </c>
      <c r="G1315" t="str">
        <f t="shared" si="85"/>
        <v>175-66: Pipette Pullers  (Inactive, please see commodity code 175-67 effective January 1, 2016)</v>
      </c>
    </row>
    <row r="1316" spans="1:7" x14ac:dyDescent="0.25">
      <c r="A1316" s="1" t="str">
        <f t="shared" si="83"/>
        <v>175</v>
      </c>
      <c r="B1316" s="1" t="str">
        <f>TEXT(67,"00")</f>
        <v>67</v>
      </c>
      <c r="C1316" s="1" t="str">
        <f t="shared" si="84"/>
        <v>175-67</v>
      </c>
      <c r="D1316" t="s">
        <v>1313</v>
      </c>
      <c r="E1316" t="b">
        <f>IF(COUNTIF(D1316,"*"&amp;'Keyword Search'!$C$5&amp;"*"),TRUE,FALSE)</f>
        <v>1</v>
      </c>
      <c r="G1316" t="str">
        <f t="shared" si="85"/>
        <v>175-67: Pipetters, Pullers and Dispensers</v>
      </c>
    </row>
    <row r="1317" spans="1:7" x14ac:dyDescent="0.25">
      <c r="A1317" s="1" t="str">
        <f t="shared" si="83"/>
        <v>175</v>
      </c>
      <c r="B1317" s="1" t="str">
        <f>TEXT(68,"00")</f>
        <v>68</v>
      </c>
      <c r="C1317" s="1" t="str">
        <f t="shared" si="84"/>
        <v>175-68</v>
      </c>
      <c r="D1317" t="s">
        <v>1314</v>
      </c>
      <c r="E1317" t="b">
        <f>IF(COUNTIF(D1317,"*"&amp;'Keyword Search'!$C$5&amp;"*"),TRUE,FALSE)</f>
        <v>1</v>
      </c>
      <c r="G1317" t="str">
        <f t="shared" si="85"/>
        <v>175-68: Plastic Ware, All Types</v>
      </c>
    </row>
    <row r="1318" spans="1:7" x14ac:dyDescent="0.25">
      <c r="A1318" s="1" t="str">
        <f t="shared" si="83"/>
        <v>175</v>
      </c>
      <c r="B1318" s="1" t="str">
        <f>TEXT(70,"00")</f>
        <v>70</v>
      </c>
      <c r="C1318" s="1" t="str">
        <f t="shared" si="84"/>
        <v>175-70</v>
      </c>
      <c r="D1318" t="s">
        <v>1315</v>
      </c>
      <c r="E1318" t="b">
        <f>IF(COUNTIF(D1318,"*"&amp;'Keyword Search'!$C$5&amp;"*"),TRUE,FALSE)</f>
        <v>1</v>
      </c>
      <c r="G1318" t="str">
        <f t="shared" si="85"/>
        <v>175-70: Porcelain Ware, All Types</v>
      </c>
    </row>
    <row r="1319" spans="1:7" x14ac:dyDescent="0.25">
      <c r="A1319" s="1" t="str">
        <f t="shared" si="83"/>
        <v>175</v>
      </c>
      <c r="B1319" s="1" t="str">
        <f>TEXT(71,"00")</f>
        <v>71</v>
      </c>
      <c r="C1319" s="1" t="str">
        <f t="shared" si="84"/>
        <v>175-71</v>
      </c>
      <c r="D1319" t="s">
        <v>1316</v>
      </c>
      <c r="E1319" t="b">
        <f>IF(COUNTIF(D1319,"*"&amp;'Keyword Search'!$C$5&amp;"*"),TRUE,FALSE)</f>
        <v>1</v>
      </c>
      <c r="G1319" t="str">
        <f t="shared" si="85"/>
        <v>175-71: Platinum Ware: Boats, Crucibles, Dishes, etc.</v>
      </c>
    </row>
    <row r="1320" spans="1:7" x14ac:dyDescent="0.25">
      <c r="A1320" s="1" t="str">
        <f t="shared" si="83"/>
        <v>175</v>
      </c>
      <c r="B1320" s="1" t="str">
        <f>TEXT(72,"00")</f>
        <v>72</v>
      </c>
      <c r="C1320" s="1" t="str">
        <f t="shared" si="84"/>
        <v>175-72</v>
      </c>
      <c r="D1320" t="s">
        <v>1317</v>
      </c>
      <c r="E1320" t="b">
        <f>IF(COUNTIF(D1320,"*"&amp;'Keyword Search'!$C$5&amp;"*"),TRUE,FALSE)</f>
        <v>1</v>
      </c>
      <c r="G1320" t="str">
        <f t="shared" si="85"/>
        <v>175-72: Precious Metals, All Forms, Including Salts: Gold, Platinum Group Metals, and Silver</v>
      </c>
    </row>
    <row r="1321" spans="1:7" x14ac:dyDescent="0.25">
      <c r="A1321" s="1" t="str">
        <f t="shared" si="83"/>
        <v>175</v>
      </c>
      <c r="B1321" s="1" t="str">
        <f>TEXT(74,"00")</f>
        <v>74</v>
      </c>
      <c r="C1321" s="1" t="str">
        <f t="shared" si="84"/>
        <v>175-74</v>
      </c>
      <c r="D1321" t="s">
        <v>1318</v>
      </c>
      <c r="E1321" t="b">
        <f>IF(COUNTIF(D1321,"*"&amp;'Keyword Search'!$C$5&amp;"*"),TRUE,FALSE)</f>
        <v>1</v>
      </c>
      <c r="G1321" t="str">
        <f t="shared" si="85"/>
        <v>175-74: Reagents and Chemicals, Ultrapure, Meeting Higher Standards than Ordinary Reagent Grade, etc.</v>
      </c>
    </row>
    <row r="1322" spans="1:7" x14ac:dyDescent="0.25">
      <c r="A1322" s="1" t="str">
        <f t="shared" si="83"/>
        <v>175</v>
      </c>
      <c r="B1322" s="1" t="str">
        <f>TEXT(75,"00")</f>
        <v>75</v>
      </c>
      <c r="C1322" s="1" t="str">
        <f t="shared" si="84"/>
        <v>175-75</v>
      </c>
      <c r="D1322" t="s">
        <v>1319</v>
      </c>
      <c r="E1322" t="b">
        <f>IF(COUNTIF(D1322,"*"&amp;'Keyword Search'!$C$5&amp;"*"),TRUE,FALSE)</f>
        <v>1</v>
      </c>
      <c r="G1322" t="str">
        <f t="shared" si="85"/>
        <v>175-75: Refractometers</v>
      </c>
    </row>
    <row r="1323" spans="1:7" x14ac:dyDescent="0.25">
      <c r="A1323" s="1" t="str">
        <f t="shared" si="83"/>
        <v>175</v>
      </c>
      <c r="B1323" s="1" t="str">
        <f>TEXT(76,"00")</f>
        <v>76</v>
      </c>
      <c r="C1323" s="1" t="str">
        <f t="shared" si="84"/>
        <v>175-76</v>
      </c>
      <c r="D1323" t="s">
        <v>1320</v>
      </c>
      <c r="E1323" t="b">
        <f>IF(COUNTIF(D1323,"*"&amp;'Keyword Search'!$C$5&amp;"*"),TRUE,FALSE)</f>
        <v>1</v>
      </c>
      <c r="G1323" t="str">
        <f t="shared" si="85"/>
        <v>175-76: Recycled Laboratory Accessories and Supplies</v>
      </c>
    </row>
    <row r="1324" spans="1:7" x14ac:dyDescent="0.25">
      <c r="A1324" s="1" t="str">
        <f t="shared" si="83"/>
        <v>175</v>
      </c>
      <c r="B1324" s="1" t="str">
        <f>TEXT(77,"00")</f>
        <v>77</v>
      </c>
      <c r="C1324" s="1" t="str">
        <f t="shared" si="84"/>
        <v>175-77</v>
      </c>
      <c r="D1324" t="s">
        <v>1321</v>
      </c>
      <c r="E1324" t="b">
        <f>IF(COUNTIF(D1324,"*"&amp;'Keyword Search'!$C$5&amp;"*"),TRUE,FALSE)</f>
        <v>1</v>
      </c>
      <c r="G1324" t="str">
        <f t="shared" si="85"/>
        <v>175-77: Sand, Cement Testing</v>
      </c>
    </row>
    <row r="1325" spans="1:7" x14ac:dyDescent="0.25">
      <c r="A1325" s="1" t="str">
        <f t="shared" si="83"/>
        <v>175</v>
      </c>
      <c r="B1325" s="1" t="str">
        <f>TEXT(78,"00")</f>
        <v>78</v>
      </c>
      <c r="C1325" s="1" t="str">
        <f t="shared" si="84"/>
        <v>175-78</v>
      </c>
      <c r="D1325" t="s">
        <v>1322</v>
      </c>
      <c r="E1325" t="b">
        <f>IF(COUNTIF(D1325,"*"&amp;'Keyword Search'!$C$5&amp;"*"),TRUE,FALSE)</f>
        <v>1</v>
      </c>
      <c r="G1325" t="str">
        <f t="shared" si="85"/>
        <v>175-78: Screening and Sieving Apparatus and Accessories: Riffle Samplers, Sieve Shakers, etc.</v>
      </c>
    </row>
    <row r="1326" spans="1:7" x14ac:dyDescent="0.25">
      <c r="A1326" s="1" t="str">
        <f t="shared" si="83"/>
        <v>175</v>
      </c>
      <c r="B1326" s="1" t="str">
        <f>TEXT(79,"00")</f>
        <v>79</v>
      </c>
      <c r="C1326" s="1" t="str">
        <f t="shared" si="84"/>
        <v>175-79</v>
      </c>
      <c r="D1326" t="s">
        <v>1323</v>
      </c>
      <c r="E1326" t="b">
        <f>IF(COUNTIF(D1326,"*"&amp;'Keyword Search'!$C$5&amp;"*"),TRUE,FALSE)</f>
        <v>1</v>
      </c>
      <c r="G1326" t="str">
        <f t="shared" si="85"/>
        <v>175-79: Solvent Reclaiming Unit, Cleaning</v>
      </c>
    </row>
    <row r="1327" spans="1:7" x14ac:dyDescent="0.25">
      <c r="A1327" s="1" t="str">
        <f t="shared" si="83"/>
        <v>175</v>
      </c>
      <c r="B1327" s="1" t="str">
        <f>TEXT(80,"00")</f>
        <v>80</v>
      </c>
      <c r="C1327" s="1" t="str">
        <f t="shared" si="84"/>
        <v>175-80</v>
      </c>
      <c r="D1327" t="s">
        <v>1324</v>
      </c>
      <c r="E1327" t="b">
        <f>IF(COUNTIF(D1327,"*"&amp;'Keyword Search'!$C$5&amp;"*"),TRUE,FALSE)</f>
        <v>1</v>
      </c>
      <c r="G1327" t="str">
        <f t="shared" si="85"/>
        <v>175-80: Stainless Steel Ware, All Kinds</v>
      </c>
    </row>
    <row r="1328" spans="1:7" x14ac:dyDescent="0.25">
      <c r="A1328" s="1" t="str">
        <f t="shared" si="83"/>
        <v>175</v>
      </c>
      <c r="B1328" s="1" t="str">
        <f>TEXT(82,"00")</f>
        <v>82</v>
      </c>
      <c r="C1328" s="1" t="str">
        <f t="shared" si="84"/>
        <v>175-82</v>
      </c>
      <c r="D1328" t="s">
        <v>1325</v>
      </c>
      <c r="E1328" t="b">
        <f>IF(COUNTIF(D1328,"*"&amp;'Keyword Search'!$C$5&amp;"*"),TRUE,FALSE)</f>
        <v>1</v>
      </c>
      <c r="G1328" t="str">
        <f t="shared" si="85"/>
        <v>175-82: Stirrers, Blenders, Homogenizers, Mixers and Shakers</v>
      </c>
    </row>
    <row r="1329" spans="1:7" x14ac:dyDescent="0.25">
      <c r="A1329" s="1" t="str">
        <f t="shared" si="83"/>
        <v>175</v>
      </c>
      <c r="B1329" s="1" t="str">
        <f>TEXT(84,"00")</f>
        <v>84</v>
      </c>
      <c r="C1329" s="1" t="str">
        <f t="shared" si="84"/>
        <v>175-84</v>
      </c>
      <c r="D1329" t="s">
        <v>1326</v>
      </c>
      <c r="E1329" t="b">
        <f>IF(COUNTIF(D1329,"*"&amp;'Keyword Search'!$C$5&amp;"*"),TRUE,FALSE)</f>
        <v>1</v>
      </c>
      <c r="G1329" t="str">
        <f t="shared" si="85"/>
        <v>175-84: Stoppers, Rubber and Synthetic</v>
      </c>
    </row>
    <row r="1330" spans="1:7" x14ac:dyDescent="0.25">
      <c r="A1330" s="1" t="str">
        <f t="shared" si="83"/>
        <v>175</v>
      </c>
      <c r="B1330" s="1" t="str">
        <f>TEXT(85,"00")</f>
        <v>85</v>
      </c>
      <c r="C1330" s="1" t="str">
        <f t="shared" si="84"/>
        <v>175-85</v>
      </c>
      <c r="D1330" t="s">
        <v>1327</v>
      </c>
      <c r="E1330" t="b">
        <f>IF(COUNTIF(D1330,"*"&amp;'Keyword Search'!$C$5&amp;"*"),TRUE,FALSE)</f>
        <v>1</v>
      </c>
      <c r="G1330" t="str">
        <f t="shared" si="85"/>
        <v>175-85: Syringes, Manual and Automatic, Laboratory</v>
      </c>
    </row>
    <row r="1331" spans="1:7" x14ac:dyDescent="0.25">
      <c r="A1331" s="1" t="str">
        <f t="shared" si="83"/>
        <v>175</v>
      </c>
      <c r="B1331" s="1" t="str">
        <f>TEXT(87,"00")</f>
        <v>87</v>
      </c>
      <c r="C1331" s="1" t="str">
        <f t="shared" si="84"/>
        <v>175-87</v>
      </c>
      <c r="D1331" t="s">
        <v>1328</v>
      </c>
      <c r="E1331" t="b">
        <f>IF(COUNTIF(D1331,"*"&amp;'Keyword Search'!$C$5&amp;"*"),TRUE,FALSE)</f>
        <v>1</v>
      </c>
      <c r="G1331" t="str">
        <f t="shared" si="85"/>
        <v>175-87: Thermometers, General Laboratory Type</v>
      </c>
    </row>
    <row r="1332" spans="1:7" x14ac:dyDescent="0.25">
      <c r="A1332" s="1" t="str">
        <f t="shared" si="83"/>
        <v>175</v>
      </c>
      <c r="B1332" s="1" t="str">
        <f>TEXT(88,"00")</f>
        <v>88</v>
      </c>
      <c r="C1332" s="1" t="str">
        <f t="shared" si="84"/>
        <v>175-88</v>
      </c>
      <c r="D1332" t="s">
        <v>1329</v>
      </c>
      <c r="E1332" t="b">
        <f>IF(COUNTIF(D1332,"*"&amp;'Keyword Search'!$C$5&amp;"*"),TRUE,FALSE)</f>
        <v>1</v>
      </c>
      <c r="G1332" t="str">
        <f t="shared" si="85"/>
        <v>175-88: Transformers, Variable, Laboratory Type</v>
      </c>
    </row>
    <row r="1333" spans="1:7" x14ac:dyDescent="0.25">
      <c r="A1333" s="1" t="str">
        <f t="shared" si="83"/>
        <v>175</v>
      </c>
      <c r="B1333" s="1" t="str">
        <f>TEXT(89,"00")</f>
        <v>89</v>
      </c>
      <c r="C1333" s="1" t="str">
        <f t="shared" si="84"/>
        <v>175-89</v>
      </c>
      <c r="D1333" t="s">
        <v>1330</v>
      </c>
      <c r="E1333" t="b">
        <f>IF(COUNTIF(D1333,"*"&amp;'Keyword Search'!$C$5&amp;"*"),TRUE,FALSE)</f>
        <v>1</v>
      </c>
      <c r="G1333" t="str">
        <f t="shared" si="85"/>
        <v>175-89: Tubing, Plastic, All Types, Laboratory</v>
      </c>
    </row>
    <row r="1334" spans="1:7" x14ac:dyDescent="0.25">
      <c r="A1334" s="1" t="str">
        <f t="shared" si="83"/>
        <v>175</v>
      </c>
      <c r="B1334" s="1" t="str">
        <f>TEXT(90,"00")</f>
        <v>90</v>
      </c>
      <c r="C1334" s="1" t="str">
        <f t="shared" si="84"/>
        <v>175-90</v>
      </c>
      <c r="D1334" t="s">
        <v>1331</v>
      </c>
      <c r="E1334" t="b">
        <f>IF(COUNTIF(D1334,"*"&amp;'Keyword Search'!$C$5&amp;"*"),TRUE,FALSE)</f>
        <v>1</v>
      </c>
      <c r="G1334" t="str">
        <f t="shared" si="85"/>
        <v>175-90: Tubing, Rubber, All Types, Laboratory</v>
      </c>
    </row>
    <row r="1335" spans="1:7" x14ac:dyDescent="0.25">
      <c r="A1335" s="1" t="str">
        <f t="shared" si="83"/>
        <v>175</v>
      </c>
      <c r="B1335" s="1" t="str">
        <f>TEXT(91,"00")</f>
        <v>91</v>
      </c>
      <c r="C1335" s="1" t="str">
        <f t="shared" si="84"/>
        <v>175-91</v>
      </c>
      <c r="D1335" t="s">
        <v>1332</v>
      </c>
      <c r="E1335" t="b">
        <f>IF(COUNTIF(D1335,"*"&amp;'Keyword Search'!$C$5&amp;"*"),TRUE,FALSE)</f>
        <v>1</v>
      </c>
      <c r="G1335" t="str">
        <f t="shared" si="85"/>
        <v>175-91: Tubing, Steel, Laboratory</v>
      </c>
    </row>
    <row r="1336" spans="1:7" x14ac:dyDescent="0.25">
      <c r="A1336" s="1" t="str">
        <f t="shared" si="83"/>
        <v>175</v>
      </c>
      <c r="B1336" s="1" t="str">
        <f>TEXT(92,"00")</f>
        <v>92</v>
      </c>
      <c r="C1336" s="1" t="str">
        <f t="shared" si="84"/>
        <v>175-92</v>
      </c>
      <c r="D1336" t="s">
        <v>1333</v>
      </c>
      <c r="E1336" t="b">
        <f>IF(COUNTIF(D1336,"*"&amp;'Keyword Search'!$C$5&amp;"*"),TRUE,FALSE)</f>
        <v>1</v>
      </c>
      <c r="G1336" t="str">
        <f t="shared" si="85"/>
        <v>175-92: Tubing, Glass, Laboratory</v>
      </c>
    </row>
    <row r="1337" spans="1:7" x14ac:dyDescent="0.25">
      <c r="A1337" s="1" t="str">
        <f t="shared" si="83"/>
        <v>175</v>
      </c>
      <c r="B1337" s="1" t="str">
        <f>TEXT(93,"00")</f>
        <v>93</v>
      </c>
      <c r="C1337" s="1" t="str">
        <f t="shared" si="84"/>
        <v>175-93</v>
      </c>
      <c r="D1337" t="s">
        <v>1334</v>
      </c>
      <c r="E1337" t="b">
        <f>IF(COUNTIF(D1337,"*"&amp;'Keyword Search'!$C$5&amp;"*"),TRUE,FALSE)</f>
        <v>1</v>
      </c>
      <c r="G1337" t="str">
        <f t="shared" si="85"/>
        <v>175-93: Water Baths and Steam Baths, Except Recirculating and Shaking</v>
      </c>
    </row>
    <row r="1338" spans="1:7" x14ac:dyDescent="0.25">
      <c r="A1338" s="1" t="str">
        <f t="shared" si="83"/>
        <v>175</v>
      </c>
      <c r="B1338" s="1" t="str">
        <f>TEXT(95,"00")</f>
        <v>95</v>
      </c>
      <c r="C1338" s="1" t="str">
        <f t="shared" si="84"/>
        <v>175-95</v>
      </c>
      <c r="D1338" t="s">
        <v>1335</v>
      </c>
      <c r="E1338" t="b">
        <f>IF(COUNTIF(D1338,"*"&amp;'Keyword Search'!$C$5&amp;"*"),TRUE,FALSE)</f>
        <v>1</v>
      </c>
      <c r="G1338" t="str">
        <f t="shared" si="85"/>
        <v>175-95: Water Purification Apparatus and Treatments, For Distilled, Reagent Water, etc.</v>
      </c>
    </row>
    <row r="1339" spans="1:7" x14ac:dyDescent="0.25">
      <c r="A1339" s="5" t="str">
        <f t="shared" ref="A1339:A1373" si="86">TEXT(180,"000")</f>
        <v>180</v>
      </c>
      <c r="B1339" s="5" t="str">
        <f>TEXT(0,"00")</f>
        <v>00</v>
      </c>
      <c r="C1339" s="1"/>
      <c r="D1339" s="2" t="s">
        <v>1336</v>
      </c>
    </row>
    <row r="1340" spans="1:7" x14ac:dyDescent="0.25">
      <c r="A1340" s="1" t="str">
        <f t="shared" si="86"/>
        <v>180</v>
      </c>
      <c r="B1340" s="1" t="str">
        <f>TEXT(2,"00")</f>
        <v>02</v>
      </c>
      <c r="C1340" s="1" t="str">
        <f t="shared" si="84"/>
        <v>180-02</v>
      </c>
      <c r="D1340" t="s">
        <v>1337</v>
      </c>
      <c r="E1340" t="b">
        <f>IF(COUNTIF(D1340,"*"&amp;'Keyword Search'!$C$5&amp;"*"),TRUE,FALSE)</f>
        <v>1</v>
      </c>
      <c r="G1340" t="str">
        <f t="shared" si="85"/>
        <v>180-02: Abrasives: Feldspar, Pumice, Silica, etc.</v>
      </c>
    </row>
    <row r="1341" spans="1:7" x14ac:dyDescent="0.25">
      <c r="A1341" s="1" t="str">
        <f t="shared" si="86"/>
        <v>180</v>
      </c>
      <c r="B1341" s="1" t="str">
        <f>TEXT(4,"00")</f>
        <v>04</v>
      </c>
      <c r="C1341" s="1" t="str">
        <f t="shared" si="84"/>
        <v>180-04</v>
      </c>
      <c r="D1341" t="s">
        <v>1338</v>
      </c>
      <c r="E1341" t="b">
        <f>IF(COUNTIF(D1341,"*"&amp;'Keyword Search'!$C$5&amp;"*"),TRUE,FALSE)</f>
        <v>1</v>
      </c>
      <c r="G1341" t="str">
        <f t="shared" si="85"/>
        <v>180-04: Acids, Inorganic: Hydrochloric, Phosphoric, Sulfuric, etc.</v>
      </c>
    </row>
    <row r="1342" spans="1:7" x14ac:dyDescent="0.25">
      <c r="A1342" s="1" t="str">
        <f t="shared" si="86"/>
        <v>180</v>
      </c>
      <c r="B1342" s="1" t="str">
        <f>TEXT(6,"00")</f>
        <v>06</v>
      </c>
      <c r="C1342" s="1" t="str">
        <f t="shared" si="84"/>
        <v>180-06</v>
      </c>
      <c r="D1342" t="s">
        <v>1339</v>
      </c>
      <c r="E1342" t="b">
        <f>IF(COUNTIF(D1342,"*"&amp;'Keyword Search'!$C$5&amp;"*"),TRUE,FALSE)</f>
        <v>1</v>
      </c>
      <c r="G1342" t="str">
        <f t="shared" si="85"/>
        <v>180-06: Acids, Organic: Hydroxyacetic, Oleic, Stearic, etc.</v>
      </c>
    </row>
    <row r="1343" spans="1:7" x14ac:dyDescent="0.25">
      <c r="A1343" s="1" t="str">
        <f t="shared" si="86"/>
        <v>180</v>
      </c>
      <c r="B1343" s="1" t="str">
        <f>TEXT(8,"00")</f>
        <v>08</v>
      </c>
      <c r="C1343" s="1" t="str">
        <f t="shared" si="84"/>
        <v>180-08</v>
      </c>
      <c r="D1343" t="s">
        <v>1340</v>
      </c>
      <c r="E1343" t="b">
        <f>IF(COUNTIF(D1343,"*"&amp;'Keyword Search'!$C$5&amp;"*"),TRUE,FALSE)</f>
        <v>1</v>
      </c>
      <c r="G1343" t="str">
        <f t="shared" si="85"/>
        <v>180-08: Alcohols</v>
      </c>
    </row>
    <row r="1344" spans="1:7" x14ac:dyDescent="0.25">
      <c r="A1344" s="1" t="str">
        <f t="shared" si="86"/>
        <v>180</v>
      </c>
      <c r="B1344" s="1" t="str">
        <f>TEXT(12,"00")</f>
        <v>12</v>
      </c>
      <c r="C1344" s="1" t="str">
        <f t="shared" si="84"/>
        <v>180-12</v>
      </c>
      <c r="D1344" t="s">
        <v>1341</v>
      </c>
      <c r="E1344" t="b">
        <f>IF(COUNTIF(D1344,"*"&amp;'Keyword Search'!$C$5&amp;"*"),TRUE,FALSE)</f>
        <v>1</v>
      </c>
      <c r="G1344" t="str">
        <f t="shared" si="85"/>
        <v>180-12: Ammonium Hydroxide, Aqua Ammonia and Amines</v>
      </c>
    </row>
    <row r="1345" spans="1:7" x14ac:dyDescent="0.25">
      <c r="A1345" s="1" t="str">
        <f t="shared" si="86"/>
        <v>180</v>
      </c>
      <c r="B1345" s="1" t="str">
        <f>TEXT(14,"00")</f>
        <v>14</v>
      </c>
      <c r="C1345" s="1" t="str">
        <f t="shared" si="84"/>
        <v>180-14</v>
      </c>
      <c r="D1345" t="s">
        <v>1342</v>
      </c>
      <c r="E1345" t="b">
        <f>IF(COUNTIF(D1345,"*"&amp;'Keyword Search'!$C$5&amp;"*"),TRUE,FALSE)</f>
        <v>1</v>
      </c>
      <c r="G1345" t="str">
        <f t="shared" si="85"/>
        <v>180-14: Antioxidants</v>
      </c>
    </row>
    <row r="1346" spans="1:7" x14ac:dyDescent="0.25">
      <c r="A1346" s="1" t="str">
        <f t="shared" si="86"/>
        <v>180</v>
      </c>
      <c r="B1346" s="1" t="str">
        <f>TEXT(20,"00")</f>
        <v>20</v>
      </c>
      <c r="C1346" s="1" t="str">
        <f t="shared" si="84"/>
        <v>180-20</v>
      </c>
      <c r="D1346" t="s">
        <v>1343</v>
      </c>
      <c r="E1346" t="b">
        <f>IF(COUNTIF(D1346,"*"&amp;'Keyword Search'!$C$5&amp;"*"),TRUE,FALSE)</f>
        <v>1</v>
      </c>
      <c r="G1346" t="str">
        <f t="shared" si="85"/>
        <v>180-20: Bacteriostats and Germicides, Except Quaternary Ammonium Type</v>
      </c>
    </row>
    <row r="1347" spans="1:7" x14ac:dyDescent="0.25">
      <c r="A1347" s="1" t="str">
        <f t="shared" si="86"/>
        <v>180</v>
      </c>
      <c r="B1347" s="1" t="str">
        <f>TEXT(24,"00")</f>
        <v>24</v>
      </c>
      <c r="C1347" s="1" t="str">
        <f t="shared" ref="C1347:C1410" si="87">CONCATENATE(A1347,"-",B1347)</f>
        <v>180-24</v>
      </c>
      <c r="D1347" t="s">
        <v>1344</v>
      </c>
      <c r="E1347" t="b">
        <f>IF(COUNTIF(D1347,"*"&amp;'Keyword Search'!$C$5&amp;"*"),TRUE,FALSE)</f>
        <v>1</v>
      </c>
      <c r="G1347" t="str">
        <f t="shared" si="85"/>
        <v>180-24: Bicarbonates and Carbonates</v>
      </c>
    </row>
    <row r="1348" spans="1:7" x14ac:dyDescent="0.25">
      <c r="A1348" s="1" t="str">
        <f t="shared" si="86"/>
        <v>180</v>
      </c>
      <c r="B1348" s="1" t="str">
        <f>TEXT(28,"00")</f>
        <v>28</v>
      </c>
      <c r="C1348" s="1" t="str">
        <f t="shared" si="87"/>
        <v>180-28</v>
      </c>
      <c r="D1348" t="s">
        <v>1345</v>
      </c>
      <c r="E1348" t="b">
        <f>IF(COUNTIF(D1348,"*"&amp;'Keyword Search'!$C$5&amp;"*"),TRUE,FALSE)</f>
        <v>1</v>
      </c>
      <c r="G1348" t="str">
        <f t="shared" ref="G1348:G1411" si="88">CONCATENATE(C1348,": ",D1348)</f>
        <v>180-28: Boron Compounds</v>
      </c>
    </row>
    <row r="1349" spans="1:7" x14ac:dyDescent="0.25">
      <c r="A1349" s="1" t="str">
        <f t="shared" si="86"/>
        <v>180</v>
      </c>
      <c r="B1349" s="1" t="str">
        <f>TEXT(30,"00")</f>
        <v>30</v>
      </c>
      <c r="C1349" s="1" t="str">
        <f t="shared" si="87"/>
        <v>180-30</v>
      </c>
      <c r="D1349" t="s">
        <v>1346</v>
      </c>
      <c r="E1349" t="b">
        <f>IF(COUNTIF(D1349,"*"&amp;'Keyword Search'!$C$5&amp;"*"),TRUE,FALSE)</f>
        <v>1</v>
      </c>
      <c r="G1349" t="str">
        <f t="shared" si="88"/>
        <v>180-30: Brighteners, Fluorescent, Optical Bleaches</v>
      </c>
    </row>
    <row r="1350" spans="1:7" x14ac:dyDescent="0.25">
      <c r="A1350" s="1" t="str">
        <f t="shared" si="86"/>
        <v>180</v>
      </c>
      <c r="B1350" s="1" t="str">
        <f>TEXT(34,"00")</f>
        <v>34</v>
      </c>
      <c r="C1350" s="1" t="str">
        <f t="shared" si="87"/>
        <v>180-34</v>
      </c>
      <c r="D1350" t="s">
        <v>1347</v>
      </c>
      <c r="E1350" t="b">
        <f>IF(COUNTIF(D1350,"*"&amp;'Keyword Search'!$C$5&amp;"*"),TRUE,FALSE)</f>
        <v>1</v>
      </c>
      <c r="G1350" t="str">
        <f t="shared" si="88"/>
        <v>180-34: Chelating and Sequestering Agents, Except Phosphates</v>
      </c>
    </row>
    <row r="1351" spans="1:7" x14ac:dyDescent="0.25">
      <c r="A1351" s="1" t="str">
        <f t="shared" si="86"/>
        <v>180</v>
      </c>
      <c r="B1351" s="1" t="str">
        <f>TEXT(36,"00")</f>
        <v>36</v>
      </c>
      <c r="C1351" s="1" t="str">
        <f t="shared" si="87"/>
        <v>180-36</v>
      </c>
      <c r="D1351" t="s">
        <v>1348</v>
      </c>
      <c r="E1351" t="b">
        <f>IF(COUNTIF(D1351,"*"&amp;'Keyword Search'!$C$5&amp;"*"),TRUE,FALSE)</f>
        <v>1</v>
      </c>
      <c r="G1351" t="str">
        <f t="shared" si="88"/>
        <v>180-36: Chlorine Carriers, Inorganic and Organic</v>
      </c>
    </row>
    <row r="1352" spans="1:7" x14ac:dyDescent="0.25">
      <c r="A1352" s="1" t="str">
        <f t="shared" si="86"/>
        <v>180</v>
      </c>
      <c r="B1352" s="1" t="str">
        <f>TEXT(38,"00")</f>
        <v>38</v>
      </c>
      <c r="C1352" s="1" t="str">
        <f t="shared" si="87"/>
        <v>180-38</v>
      </c>
      <c r="D1352" t="s">
        <v>1349</v>
      </c>
      <c r="E1352" t="b">
        <f>IF(COUNTIF(D1352,"*"&amp;'Keyword Search'!$C$5&amp;"*"),TRUE,FALSE)</f>
        <v>1</v>
      </c>
      <c r="G1352" t="str">
        <f t="shared" si="88"/>
        <v>180-38: Color Compounds and Dispersions</v>
      </c>
    </row>
    <row r="1353" spans="1:7" x14ac:dyDescent="0.25">
      <c r="A1353" s="1" t="str">
        <f t="shared" si="86"/>
        <v>180</v>
      </c>
      <c r="B1353" s="1" t="str">
        <f>TEXT(42,"00")</f>
        <v>42</v>
      </c>
      <c r="C1353" s="1" t="str">
        <f t="shared" si="87"/>
        <v>180-42</v>
      </c>
      <c r="D1353" t="s">
        <v>1350</v>
      </c>
      <c r="E1353" t="b">
        <f>IF(COUNTIF(D1353,"*"&amp;'Keyword Search'!$C$5&amp;"*"),TRUE,FALSE)</f>
        <v>1</v>
      </c>
      <c r="G1353" t="str">
        <f t="shared" si="88"/>
        <v>180-42: Dyes and Pigments</v>
      </c>
    </row>
    <row r="1354" spans="1:7" x14ac:dyDescent="0.25">
      <c r="A1354" s="1" t="str">
        <f t="shared" si="86"/>
        <v>180</v>
      </c>
      <c r="B1354" s="1" t="str">
        <f>TEXT(44,"00")</f>
        <v>44</v>
      </c>
      <c r="C1354" s="1" t="str">
        <f t="shared" si="87"/>
        <v>180-44</v>
      </c>
      <c r="D1354" t="s">
        <v>1351</v>
      </c>
      <c r="E1354" t="b">
        <f>IF(COUNTIF(D1354,"*"&amp;'Keyword Search'!$C$5&amp;"*"),TRUE,FALSE)</f>
        <v>1</v>
      </c>
      <c r="G1354" t="str">
        <f t="shared" si="88"/>
        <v>180-44: Emollients: Glycol Stearate, Lanolin, etc.</v>
      </c>
    </row>
    <row r="1355" spans="1:7" x14ac:dyDescent="0.25">
      <c r="A1355" s="1" t="str">
        <f t="shared" si="86"/>
        <v>180</v>
      </c>
      <c r="B1355" s="1" t="str">
        <f>TEXT(48,"00")</f>
        <v>48</v>
      </c>
      <c r="C1355" s="1" t="str">
        <f t="shared" si="87"/>
        <v>180-48</v>
      </c>
      <c r="D1355" t="s">
        <v>1352</v>
      </c>
      <c r="E1355" t="b">
        <f>IF(COUNTIF(D1355,"*"&amp;'Keyword Search'!$C$5&amp;"*"),TRUE,FALSE)</f>
        <v>1</v>
      </c>
      <c r="G1355" t="str">
        <f t="shared" si="88"/>
        <v>180-48: Fats, Vegetable Oils, and Fatty Acids: Coconut, Tall Oil, Tallow, etc.</v>
      </c>
    </row>
    <row r="1356" spans="1:7" x14ac:dyDescent="0.25">
      <c r="A1356" s="1" t="str">
        <f t="shared" si="86"/>
        <v>180</v>
      </c>
      <c r="B1356" s="1" t="str">
        <f>TEXT(54,"00")</f>
        <v>54</v>
      </c>
      <c r="C1356" s="1" t="str">
        <f t="shared" si="87"/>
        <v>180-54</v>
      </c>
      <c r="D1356" t="s">
        <v>1353</v>
      </c>
      <c r="E1356" t="b">
        <f>IF(COUNTIF(D1356,"*"&amp;'Keyword Search'!$C$5&amp;"*"),TRUE,FALSE)</f>
        <v>1</v>
      </c>
      <c r="G1356" t="str">
        <f t="shared" si="88"/>
        <v>180-54: Foam Stabilizers</v>
      </c>
    </row>
    <row r="1357" spans="1:7" x14ac:dyDescent="0.25">
      <c r="A1357" s="1" t="str">
        <f t="shared" si="86"/>
        <v>180</v>
      </c>
      <c r="B1357" s="1" t="str">
        <f>TEXT(58,"00")</f>
        <v>58</v>
      </c>
      <c r="C1357" s="1" t="str">
        <f t="shared" si="87"/>
        <v>180-58</v>
      </c>
      <c r="D1357" t="s">
        <v>1354</v>
      </c>
      <c r="E1357" t="b">
        <f>IF(COUNTIF(D1357,"*"&amp;'Keyword Search'!$C$5&amp;"*"),TRUE,FALSE)</f>
        <v>1</v>
      </c>
      <c r="G1357" t="str">
        <f t="shared" si="88"/>
        <v>180-58: Hydroxides, Alkali Metal</v>
      </c>
    </row>
    <row r="1358" spans="1:7" x14ac:dyDescent="0.25">
      <c r="A1358" s="1" t="str">
        <f t="shared" si="86"/>
        <v>180</v>
      </c>
      <c r="B1358" s="1" t="str">
        <f>TEXT(60,"00")</f>
        <v>60</v>
      </c>
      <c r="C1358" s="1" t="str">
        <f t="shared" si="87"/>
        <v>180-60</v>
      </c>
      <c r="D1358" t="s">
        <v>1355</v>
      </c>
      <c r="E1358" t="b">
        <f>IF(COUNTIF(D1358,"*"&amp;'Keyword Search'!$C$5&amp;"*"),TRUE,FALSE)</f>
        <v>1</v>
      </c>
      <c r="G1358" t="str">
        <f t="shared" si="88"/>
        <v>180-60: Isotopes and their Compounds, Organic and Inorganic</v>
      </c>
    </row>
    <row r="1359" spans="1:7" x14ac:dyDescent="0.25">
      <c r="A1359" s="1" t="str">
        <f t="shared" si="86"/>
        <v>180</v>
      </c>
      <c r="B1359" s="1" t="str">
        <f>TEXT(62,"00")</f>
        <v>62</v>
      </c>
      <c r="C1359" s="1" t="str">
        <f t="shared" si="87"/>
        <v>180-62</v>
      </c>
      <c r="D1359" t="s">
        <v>1356</v>
      </c>
      <c r="E1359" t="b">
        <f>IF(COUNTIF(D1359,"*"&amp;'Keyword Search'!$C$5&amp;"*"),TRUE,FALSE)</f>
        <v>1</v>
      </c>
      <c r="G1359" t="str">
        <f t="shared" si="88"/>
        <v>180-62: Latexes, Resins, Waxes, and Polymers, For Floor Finishes</v>
      </c>
    </row>
    <row r="1360" spans="1:7" x14ac:dyDescent="0.25">
      <c r="A1360" s="1" t="str">
        <f t="shared" si="86"/>
        <v>180</v>
      </c>
      <c r="B1360" s="1" t="str">
        <f>TEXT(66,"00")</f>
        <v>66</v>
      </c>
      <c r="C1360" s="1" t="str">
        <f t="shared" si="87"/>
        <v>180-66</v>
      </c>
      <c r="D1360" t="s">
        <v>1357</v>
      </c>
      <c r="E1360" t="b">
        <f>IF(COUNTIF(D1360,"*"&amp;'Keyword Search'!$C$5&amp;"*"),TRUE,FALSE)</f>
        <v>1</v>
      </c>
      <c r="G1360" t="str">
        <f t="shared" si="88"/>
        <v>180-66: Mineral Oil, etc. (Inactive, please see commodity code 180-72 effective January 1, 2016)</v>
      </c>
    </row>
    <row r="1361" spans="1:7" x14ac:dyDescent="0.25">
      <c r="A1361" s="1" t="str">
        <f t="shared" si="86"/>
        <v>180</v>
      </c>
      <c r="B1361" s="1" t="str">
        <f>TEXT(70,"00")</f>
        <v>70</v>
      </c>
      <c r="C1361" s="1" t="str">
        <f t="shared" si="87"/>
        <v>180-70</v>
      </c>
      <c r="D1361" t="s">
        <v>1358</v>
      </c>
      <c r="E1361" t="b">
        <f>IF(COUNTIF(D1361,"*"&amp;'Keyword Search'!$C$5&amp;"*"),TRUE,FALSE)</f>
        <v>1</v>
      </c>
      <c r="G1361" t="str">
        <f t="shared" si="88"/>
        <v>180-70: Opacifiers</v>
      </c>
    </row>
    <row r="1362" spans="1:7" x14ac:dyDescent="0.25">
      <c r="A1362" s="1" t="str">
        <f t="shared" si="86"/>
        <v>180</v>
      </c>
      <c r="B1362" s="1" t="str">
        <f>TEXT(72,"00")</f>
        <v>72</v>
      </c>
      <c r="C1362" s="1" t="str">
        <f t="shared" si="87"/>
        <v>180-72</v>
      </c>
      <c r="D1362" t="s">
        <v>1359</v>
      </c>
      <c r="E1362" t="b">
        <f>IF(COUNTIF(D1362,"*"&amp;'Keyword Search'!$C$5&amp;"*"),TRUE,FALSE)</f>
        <v>1</v>
      </c>
      <c r="G1362" t="str">
        <f t="shared" si="88"/>
        <v>180-72: Perfumes and Essential Oils: Citronella, Mineral Oil, etc.</v>
      </c>
    </row>
    <row r="1363" spans="1:7" x14ac:dyDescent="0.25">
      <c r="A1363" s="1" t="str">
        <f t="shared" si="86"/>
        <v>180</v>
      </c>
      <c r="B1363" s="1" t="str">
        <f>TEXT(74,"00")</f>
        <v>74</v>
      </c>
      <c r="C1363" s="1" t="str">
        <f t="shared" si="87"/>
        <v>180-74</v>
      </c>
      <c r="D1363" t="s">
        <v>1360</v>
      </c>
      <c r="E1363" t="b">
        <f>IF(COUNTIF(D1363,"*"&amp;'Keyword Search'!$C$5&amp;"*"),TRUE,FALSE)</f>
        <v>1</v>
      </c>
      <c r="G1363" t="str">
        <f t="shared" si="88"/>
        <v>180-74: Phosphates, Inorganic</v>
      </c>
    </row>
    <row r="1364" spans="1:7" x14ac:dyDescent="0.25">
      <c r="A1364" s="1" t="str">
        <f t="shared" si="86"/>
        <v>180</v>
      </c>
      <c r="B1364" s="1" t="str">
        <f>TEXT(79,"00")</f>
        <v>79</v>
      </c>
      <c r="C1364" s="1" t="str">
        <f t="shared" si="87"/>
        <v>180-79</v>
      </c>
      <c r="D1364" t="s">
        <v>1361</v>
      </c>
      <c r="E1364" t="b">
        <f>IF(COUNTIF(D1364,"*"&amp;'Keyword Search'!$C$5&amp;"*"),TRUE,FALSE)</f>
        <v>1</v>
      </c>
      <c r="G1364" t="str">
        <f t="shared" si="88"/>
        <v>180-79: Quaternary Ammonium Derivatives, For Antistats, Bacteriostats, Fabric Softeners, etc.</v>
      </c>
    </row>
    <row r="1365" spans="1:7" x14ac:dyDescent="0.25">
      <c r="A1365" s="1" t="str">
        <f t="shared" si="86"/>
        <v>180</v>
      </c>
      <c r="B1365" s="1" t="str">
        <f>TEXT(81,"00")</f>
        <v>81</v>
      </c>
      <c r="C1365" s="1" t="str">
        <f t="shared" si="87"/>
        <v>180-81</v>
      </c>
      <c r="D1365" t="s">
        <v>1362</v>
      </c>
      <c r="E1365" t="b">
        <f>IF(COUNTIF(D1365,"*"&amp;'Keyword Search'!$C$5&amp;"*"),TRUE,FALSE)</f>
        <v>1</v>
      </c>
      <c r="G1365" t="str">
        <f t="shared" si="88"/>
        <v>180-81: Recycled Chemical Raw Materials</v>
      </c>
    </row>
    <row r="1366" spans="1:7" x14ac:dyDescent="0.25">
      <c r="A1366" s="1" t="str">
        <f t="shared" si="86"/>
        <v>180</v>
      </c>
      <c r="B1366" s="1" t="str">
        <f>TEXT(84,"00")</f>
        <v>84</v>
      </c>
      <c r="C1366" s="1" t="str">
        <f t="shared" si="87"/>
        <v>180-84</v>
      </c>
      <c r="D1366" t="s">
        <v>1363</v>
      </c>
      <c r="E1366" t="b">
        <f>IF(COUNTIF(D1366,"*"&amp;'Keyword Search'!$C$5&amp;"*"),TRUE,FALSE)</f>
        <v>1</v>
      </c>
      <c r="G1366" t="str">
        <f t="shared" si="88"/>
        <v>180-84: Silicates</v>
      </c>
    </row>
    <row r="1367" spans="1:7" x14ac:dyDescent="0.25">
      <c r="A1367" s="1" t="str">
        <f t="shared" si="86"/>
        <v>180</v>
      </c>
      <c r="B1367" s="1" t="str">
        <f>TEXT(86,"00")</f>
        <v>86</v>
      </c>
      <c r="C1367" s="1" t="str">
        <f t="shared" si="87"/>
        <v>180-86</v>
      </c>
      <c r="D1367" t="s">
        <v>1364</v>
      </c>
      <c r="E1367" t="b">
        <f>IF(COUNTIF(D1367,"*"&amp;'Keyword Search'!$C$5&amp;"*"),TRUE,FALSE)</f>
        <v>1</v>
      </c>
      <c r="G1367" t="str">
        <f t="shared" si="88"/>
        <v>180-86: Sodium Carboxymethylcellulose (CMC) and other Cellulose Derivatives</v>
      </c>
    </row>
    <row r="1368" spans="1:7" x14ac:dyDescent="0.25">
      <c r="A1368" s="1" t="str">
        <f t="shared" si="86"/>
        <v>180</v>
      </c>
      <c r="B1368" s="1" t="str">
        <f>TEXT(88,"00")</f>
        <v>88</v>
      </c>
      <c r="C1368" s="1" t="str">
        <f t="shared" si="87"/>
        <v>180-88</v>
      </c>
      <c r="D1368" t="s">
        <v>1365</v>
      </c>
      <c r="E1368" t="b">
        <f>IF(COUNTIF(D1368,"*"&amp;'Keyword Search'!$C$5&amp;"*"),TRUE,FALSE)</f>
        <v>1</v>
      </c>
      <c r="G1368" t="str">
        <f t="shared" si="88"/>
        <v>180-88: Solvents and Coupling Agents, Including Ethers</v>
      </c>
    </row>
    <row r="1369" spans="1:7" x14ac:dyDescent="0.25">
      <c r="A1369" s="1" t="str">
        <f t="shared" si="86"/>
        <v>180</v>
      </c>
      <c r="B1369" s="1" t="str">
        <f>TEXT(90,"00")</f>
        <v>90</v>
      </c>
      <c r="C1369" s="1" t="str">
        <f t="shared" si="87"/>
        <v>180-90</v>
      </c>
      <c r="D1369" t="s">
        <v>1366</v>
      </c>
      <c r="E1369" t="b">
        <f>IF(COUNTIF(D1369,"*"&amp;'Keyword Search'!$C$5&amp;"*"),TRUE,FALSE)</f>
        <v>1</v>
      </c>
      <c r="G1369" t="str">
        <f t="shared" si="88"/>
        <v>180-90: Sulfates, Inorganic</v>
      </c>
    </row>
    <row r="1370" spans="1:7" x14ac:dyDescent="0.25">
      <c r="A1370" s="1" t="str">
        <f t="shared" si="86"/>
        <v>180</v>
      </c>
      <c r="B1370" s="1" t="str">
        <f>TEXT(91,"00")</f>
        <v>91</v>
      </c>
      <c r="C1370" s="1" t="str">
        <f t="shared" si="87"/>
        <v>180-91</v>
      </c>
      <c r="D1370" t="s">
        <v>1367</v>
      </c>
      <c r="E1370" t="b">
        <f>IF(COUNTIF(D1370,"*"&amp;'Keyword Search'!$C$5&amp;"*"),TRUE,FALSE)</f>
        <v>1</v>
      </c>
      <c r="G1370" t="str">
        <f t="shared" si="88"/>
        <v>180-91: Surfactants, Amphoteric and Cationic: Detergents, Emulsifiers, etc.</v>
      </c>
    </row>
    <row r="1371" spans="1:7" x14ac:dyDescent="0.25">
      <c r="A1371" s="1" t="str">
        <f t="shared" si="86"/>
        <v>180</v>
      </c>
      <c r="B1371" s="1" t="str">
        <f>TEXT(92,"00")</f>
        <v>92</v>
      </c>
      <c r="C1371" s="1" t="str">
        <f t="shared" si="87"/>
        <v>180-92</v>
      </c>
      <c r="D1371" t="s">
        <v>1368</v>
      </c>
      <c r="E1371" t="b">
        <f>IF(COUNTIF(D1371,"*"&amp;'Keyword Search'!$C$5&amp;"*"),TRUE,FALSE)</f>
        <v>1</v>
      </c>
      <c r="G1371" t="str">
        <f t="shared" si="88"/>
        <v>180-92: Surfactants, Anionic: Organic Phosphates, Sulfates, Sulfonates, etc.</v>
      </c>
    </row>
    <row r="1372" spans="1:7" x14ac:dyDescent="0.25">
      <c r="A1372" s="1" t="str">
        <f t="shared" si="86"/>
        <v>180</v>
      </c>
      <c r="B1372" s="1" t="str">
        <f>TEXT(93,"00")</f>
        <v>93</v>
      </c>
      <c r="C1372" s="1" t="str">
        <f t="shared" si="87"/>
        <v>180-93</v>
      </c>
      <c r="D1372" t="s">
        <v>1369</v>
      </c>
      <c r="E1372" t="b">
        <f>IF(COUNTIF(D1372,"*"&amp;'Keyword Search'!$C$5&amp;"*"),TRUE,FALSE)</f>
        <v>1</v>
      </c>
      <c r="G1372" t="str">
        <f t="shared" si="88"/>
        <v>180-93: Surfactants, Nonionic: Ethoxylated Alcohols, Ethoxylated Lanolin, Ethoxylated Phenols, etc.</v>
      </c>
    </row>
    <row r="1373" spans="1:7" x14ac:dyDescent="0.25">
      <c r="A1373" s="1" t="str">
        <f t="shared" si="86"/>
        <v>180</v>
      </c>
      <c r="B1373" s="1" t="str">
        <f>TEXT(94,"00")</f>
        <v>94</v>
      </c>
      <c r="C1373" s="1" t="str">
        <f t="shared" si="87"/>
        <v>180-94</v>
      </c>
      <c r="D1373" t="s">
        <v>1370</v>
      </c>
      <c r="E1373" t="b">
        <f>IF(COUNTIF(D1373,"*"&amp;'Keyword Search'!$C$5&amp;"*"),TRUE,FALSE)</f>
        <v>1</v>
      </c>
      <c r="G1373" t="str">
        <f t="shared" si="88"/>
        <v>180-94: Titanium Dioxide, Anatase</v>
      </c>
    </row>
    <row r="1374" spans="1:7" x14ac:dyDescent="0.25">
      <c r="A1374" s="5" t="str">
        <f t="shared" ref="A1374:A1395" si="89">TEXT(190,"000")</f>
        <v>190</v>
      </c>
      <c r="B1374" s="5" t="str">
        <f>TEXT(0,"00")</f>
        <v>00</v>
      </c>
      <c r="C1374" s="1"/>
      <c r="D1374" s="2" t="s">
        <v>1371</v>
      </c>
    </row>
    <row r="1375" spans="1:7" x14ac:dyDescent="0.25">
      <c r="A1375" s="1" t="str">
        <f t="shared" si="89"/>
        <v>190</v>
      </c>
      <c r="B1375" s="1" t="str">
        <f>TEXT(18,"00")</f>
        <v>18</v>
      </c>
      <c r="C1375" s="1" t="str">
        <f t="shared" si="87"/>
        <v>190-18</v>
      </c>
      <c r="D1375" t="s">
        <v>1372</v>
      </c>
      <c r="E1375" t="b">
        <f>IF(COUNTIF(D1375,"*"&amp;'Keyword Search'!$C$5&amp;"*"),TRUE,FALSE)</f>
        <v>1</v>
      </c>
      <c r="G1375" t="str">
        <f t="shared" si="88"/>
        <v>190-18: Acids, Mineral: Boric, Hydrobromic, Hydrochloric, Sulfuric, etc.</v>
      </c>
    </row>
    <row r="1376" spans="1:7" x14ac:dyDescent="0.25">
      <c r="A1376" s="1" t="str">
        <f t="shared" si="89"/>
        <v>190</v>
      </c>
      <c r="B1376" s="1" t="str">
        <f>TEXT(25,"00")</f>
        <v>25</v>
      </c>
      <c r="C1376" s="1" t="str">
        <f t="shared" si="87"/>
        <v>190-25</v>
      </c>
      <c r="D1376" t="s">
        <v>1373</v>
      </c>
      <c r="E1376" t="b">
        <f>IF(COUNTIF(D1376,"*"&amp;'Keyword Search'!$C$5&amp;"*"),TRUE,FALSE)</f>
        <v>1</v>
      </c>
      <c r="G1376" t="str">
        <f t="shared" si="88"/>
        <v>190-25: Alcohols: Ethyl, Isopropyl, Methyl, etc., and Glycerin</v>
      </c>
    </row>
    <row r="1377" spans="1:7" x14ac:dyDescent="0.25">
      <c r="A1377" s="1" t="str">
        <f t="shared" si="89"/>
        <v>190</v>
      </c>
      <c r="B1377" s="1" t="str">
        <f>TEXT(30,"00")</f>
        <v>30</v>
      </c>
      <c r="C1377" s="1" t="str">
        <f t="shared" si="87"/>
        <v>190-30</v>
      </c>
      <c r="D1377" t="s">
        <v>1374</v>
      </c>
      <c r="E1377" t="b">
        <f>IF(COUNTIF(D1377,"*"&amp;'Keyword Search'!$C$5&amp;"*"),TRUE,FALSE)</f>
        <v>1</v>
      </c>
      <c r="G1377" t="str">
        <f t="shared" si="88"/>
        <v>190-30: Bio-Chemical Compounds, Organic and Inorganic: Ammonia Derivatives, Amines, Amides, Imines, Imides</v>
      </c>
    </row>
    <row r="1378" spans="1:7" x14ac:dyDescent="0.25">
      <c r="A1378" s="1" t="str">
        <f t="shared" si="89"/>
        <v>190</v>
      </c>
      <c r="B1378" s="1" t="str">
        <f>TEXT(36,"00")</f>
        <v>36</v>
      </c>
      <c r="C1378" s="1" t="str">
        <f t="shared" si="87"/>
        <v>190-36</v>
      </c>
      <c r="D1378" t="s">
        <v>1375</v>
      </c>
      <c r="E1378" t="b">
        <f>IF(COUNTIF(D1378,"*"&amp;'Keyword Search'!$C$5&amp;"*"),TRUE,FALSE)</f>
        <v>1</v>
      </c>
      <c r="G1378" t="str">
        <f t="shared" si="88"/>
        <v>190-36: Chemicals, Bulk (Not Otherwise Classified)</v>
      </c>
    </row>
    <row r="1379" spans="1:7" x14ac:dyDescent="0.25">
      <c r="A1379" s="1" t="str">
        <f t="shared" si="89"/>
        <v>190</v>
      </c>
      <c r="B1379" s="1" t="str">
        <f>TEXT(40,"00")</f>
        <v>40</v>
      </c>
      <c r="C1379" s="1" t="str">
        <f t="shared" si="87"/>
        <v>190-40</v>
      </c>
      <c r="D1379" t="s">
        <v>1376</v>
      </c>
      <c r="E1379" t="b">
        <f>IF(COUNTIF(D1379,"*"&amp;'Keyword Search'!$C$5&amp;"*"),TRUE,FALSE)</f>
        <v>1</v>
      </c>
      <c r="G1379" t="str">
        <f t="shared" si="88"/>
        <v>190-40: Chlorinated Hydrocarbons: Methylene Chloride, 1,1,1-Trichloroethane, etc.</v>
      </c>
    </row>
    <row r="1380" spans="1:7" x14ac:dyDescent="0.25">
      <c r="A1380" s="1" t="str">
        <f t="shared" si="89"/>
        <v>190</v>
      </c>
      <c r="B1380" s="1" t="str">
        <f>TEXT(42,"00")</f>
        <v>42</v>
      </c>
      <c r="C1380" s="1" t="str">
        <f t="shared" si="87"/>
        <v>190-42</v>
      </c>
      <c r="D1380" t="s">
        <v>1377</v>
      </c>
      <c r="E1380" t="b">
        <f>IF(COUNTIF(D1380,"*"&amp;'Keyword Search'!$C$5&amp;"*"),TRUE,FALSE)</f>
        <v>1</v>
      </c>
      <c r="G1380" t="str">
        <f t="shared" si="88"/>
        <v>190-42: Compounds, Inorganic Chemical</v>
      </c>
    </row>
    <row r="1381" spans="1:7" x14ac:dyDescent="0.25">
      <c r="A1381" s="1" t="str">
        <f t="shared" si="89"/>
        <v>190</v>
      </c>
      <c r="B1381" s="1" t="str">
        <f>TEXT(43,"00")</f>
        <v>43</v>
      </c>
      <c r="C1381" s="1" t="str">
        <f t="shared" si="87"/>
        <v>190-43</v>
      </c>
      <c r="D1381" t="s">
        <v>1378</v>
      </c>
      <c r="E1381" t="b">
        <f>IF(COUNTIF(D1381,"*"&amp;'Keyword Search'!$C$5&amp;"*"),TRUE,FALSE)</f>
        <v>1</v>
      </c>
      <c r="G1381" t="str">
        <f t="shared" si="88"/>
        <v>190-43: Compounds, Organic Chemical</v>
      </c>
    </row>
    <row r="1382" spans="1:7" x14ac:dyDescent="0.25">
      <c r="A1382" s="1" t="str">
        <f t="shared" si="89"/>
        <v>190</v>
      </c>
      <c r="B1382" s="1" t="str">
        <f>TEXT(46,"00")</f>
        <v>46</v>
      </c>
      <c r="C1382" s="1" t="str">
        <f t="shared" si="87"/>
        <v>190-46</v>
      </c>
      <c r="D1382" t="s">
        <v>1379</v>
      </c>
      <c r="E1382" t="b">
        <f>IF(COUNTIF(D1382,"*"&amp;'Keyword Search'!$C$5&amp;"*"),TRUE,FALSE)</f>
        <v>1</v>
      </c>
      <c r="G1382" t="str">
        <f t="shared" si="88"/>
        <v>190-46: Formaldehyde Solution, Formalin</v>
      </c>
    </row>
    <row r="1383" spans="1:7" x14ac:dyDescent="0.25">
      <c r="A1383" s="1" t="str">
        <f t="shared" si="89"/>
        <v>190</v>
      </c>
      <c r="B1383" s="1" t="str">
        <f>TEXT(51,"00")</f>
        <v>51</v>
      </c>
      <c r="C1383" s="1" t="str">
        <f t="shared" si="87"/>
        <v>190-51</v>
      </c>
      <c r="D1383" t="s">
        <v>1380</v>
      </c>
      <c r="E1383" t="b">
        <f>IF(COUNTIF(D1383,"*"&amp;'Keyword Search'!$C$5&amp;"*"),TRUE,FALSE)</f>
        <v>1</v>
      </c>
      <c r="G1383" t="str">
        <f t="shared" si="88"/>
        <v>190-51: Heat Transfer Media, Liquid</v>
      </c>
    </row>
    <row r="1384" spans="1:7" x14ac:dyDescent="0.25">
      <c r="A1384" s="1" t="str">
        <f t="shared" si="89"/>
        <v>190</v>
      </c>
      <c r="B1384" s="1" t="str">
        <f>TEXT(55,"00")</f>
        <v>55</v>
      </c>
      <c r="C1384" s="1" t="str">
        <f t="shared" si="87"/>
        <v>190-55</v>
      </c>
      <c r="D1384" t="s">
        <v>1381</v>
      </c>
      <c r="E1384" t="b">
        <f>IF(COUNTIF(D1384,"*"&amp;'Keyword Search'!$C$5&amp;"*"),TRUE,FALSE)</f>
        <v>1</v>
      </c>
      <c r="G1384" t="str">
        <f t="shared" si="88"/>
        <v>190-55: Hexane and Pentane</v>
      </c>
    </row>
    <row r="1385" spans="1:7" x14ac:dyDescent="0.25">
      <c r="A1385" s="1" t="str">
        <f t="shared" si="89"/>
        <v>190</v>
      </c>
      <c r="B1385" s="1" t="str">
        <f>TEXT(57,"00")</f>
        <v>57</v>
      </c>
      <c r="C1385" s="1" t="str">
        <f t="shared" si="87"/>
        <v>190-57</v>
      </c>
      <c r="D1385" t="s">
        <v>1382</v>
      </c>
      <c r="E1385" t="b">
        <f>IF(COUNTIF(D1385,"*"&amp;'Keyword Search'!$C$5&amp;"*"),TRUE,FALSE)</f>
        <v>1</v>
      </c>
      <c r="G1385" t="str">
        <f t="shared" si="88"/>
        <v>190-57: Intermediates and Fixatives, Chemical</v>
      </c>
    </row>
    <row r="1386" spans="1:7" x14ac:dyDescent="0.25">
      <c r="A1386" s="1" t="str">
        <f t="shared" si="89"/>
        <v>190</v>
      </c>
      <c r="B1386" s="1" t="str">
        <f>TEXT(60,"00")</f>
        <v>60</v>
      </c>
      <c r="C1386" s="1" t="str">
        <f t="shared" si="87"/>
        <v>190-60</v>
      </c>
      <c r="D1386" t="s">
        <v>1383</v>
      </c>
      <c r="E1386" t="b">
        <f>IF(COUNTIF(D1386,"*"&amp;'Keyword Search'!$C$5&amp;"*"),TRUE,FALSE)</f>
        <v>1</v>
      </c>
      <c r="G1386" t="str">
        <f t="shared" si="88"/>
        <v>190-60: Ketones: Acetone, Diacetone Alcohol, Methyl Isobutyl Ketone, etc.</v>
      </c>
    </row>
    <row r="1387" spans="1:7" x14ac:dyDescent="0.25">
      <c r="A1387" s="1" t="str">
        <f t="shared" si="89"/>
        <v>190</v>
      </c>
      <c r="B1387" s="1" t="str">
        <f>TEXT(68,"00")</f>
        <v>68</v>
      </c>
      <c r="C1387" s="1" t="str">
        <f t="shared" si="87"/>
        <v>190-68</v>
      </c>
      <c r="D1387" t="s">
        <v>1384</v>
      </c>
      <c r="E1387" t="b">
        <f>IF(COUNTIF(D1387,"*"&amp;'Keyword Search'!$C$5&amp;"*"),TRUE,FALSE)</f>
        <v>1</v>
      </c>
      <c r="G1387" t="str">
        <f t="shared" si="88"/>
        <v>190-68: Oxidizing and Bleaching Agents</v>
      </c>
    </row>
    <row r="1388" spans="1:7" x14ac:dyDescent="0.25">
      <c r="A1388" s="1" t="str">
        <f t="shared" si="89"/>
        <v>190</v>
      </c>
      <c r="B1388" s="1" t="str">
        <f>TEXT(69,"00")</f>
        <v>69</v>
      </c>
      <c r="C1388" s="1" t="str">
        <f t="shared" si="87"/>
        <v>190-69</v>
      </c>
      <c r="D1388" t="s">
        <v>1385</v>
      </c>
      <c r="E1388" t="b">
        <f>IF(COUNTIF(D1388,"*"&amp;'Keyword Search'!$C$5&amp;"*"),TRUE,FALSE)</f>
        <v>1</v>
      </c>
      <c r="G1388" t="str">
        <f t="shared" si="88"/>
        <v>190-69: Oxides, Including All Oxided Substances</v>
      </c>
    </row>
    <row r="1389" spans="1:7" x14ac:dyDescent="0.25">
      <c r="A1389" s="1" t="str">
        <f t="shared" si="89"/>
        <v>190</v>
      </c>
      <c r="B1389" s="1" t="str">
        <f>TEXT(70,"00")</f>
        <v>70</v>
      </c>
      <c r="C1389" s="1" t="str">
        <f t="shared" si="87"/>
        <v>190-70</v>
      </c>
      <c r="D1389" t="s">
        <v>1386</v>
      </c>
      <c r="E1389" t="b">
        <f>IF(COUNTIF(D1389,"*"&amp;'Keyword Search'!$C$5&amp;"*"),TRUE,FALSE)</f>
        <v>1</v>
      </c>
      <c r="G1389" t="str">
        <f t="shared" si="88"/>
        <v>190-70: Phenol, Liquid</v>
      </c>
    </row>
    <row r="1390" spans="1:7" x14ac:dyDescent="0.25">
      <c r="A1390" s="1" t="str">
        <f t="shared" si="89"/>
        <v>190</v>
      </c>
      <c r="B1390" s="1" t="str">
        <f>TEXT(75,"00")</f>
        <v>75</v>
      </c>
      <c r="C1390" s="1" t="str">
        <f t="shared" si="87"/>
        <v>190-75</v>
      </c>
      <c r="D1390" t="s">
        <v>1387</v>
      </c>
      <c r="E1390" t="b">
        <f>IF(COUNTIF(D1390,"*"&amp;'Keyword Search'!$C$5&amp;"*"),TRUE,FALSE)</f>
        <v>1</v>
      </c>
      <c r="G1390" t="str">
        <f t="shared" si="88"/>
        <v>190-75: Recycled Bulk Chemicals and Solvents</v>
      </c>
    </row>
    <row r="1391" spans="1:7" x14ac:dyDescent="0.25">
      <c r="A1391" s="1" t="str">
        <f t="shared" si="89"/>
        <v>190</v>
      </c>
      <c r="B1391" s="1" t="str">
        <f>TEXT(80,"00")</f>
        <v>80</v>
      </c>
      <c r="C1391" s="1" t="str">
        <f t="shared" si="87"/>
        <v>190-80</v>
      </c>
      <c r="D1391" t="s">
        <v>1388</v>
      </c>
      <c r="E1391" t="b">
        <f>IF(COUNTIF(D1391,"*"&amp;'Keyword Search'!$C$5&amp;"*"),TRUE,FALSE)</f>
        <v>1</v>
      </c>
      <c r="G1391" t="str">
        <f t="shared" si="88"/>
        <v>190-80: Silicone Fluids</v>
      </c>
    </row>
    <row r="1392" spans="1:7" x14ac:dyDescent="0.25">
      <c r="A1392" s="1" t="str">
        <f t="shared" si="89"/>
        <v>190</v>
      </c>
      <c r="B1392" s="1" t="str">
        <f>TEXT(81,"00")</f>
        <v>81</v>
      </c>
      <c r="C1392" s="1" t="str">
        <f t="shared" si="87"/>
        <v>190-81</v>
      </c>
      <c r="D1392" t="s">
        <v>1389</v>
      </c>
      <c r="E1392" t="b">
        <f>IF(COUNTIF(D1392,"*"&amp;'Keyword Search'!$C$5&amp;"*"),TRUE,FALSE)</f>
        <v>1</v>
      </c>
      <c r="G1392" t="str">
        <f t="shared" si="88"/>
        <v>190-81: Pentachlorophenol (Penta), Creosote Oil, and other Wood Preservatives</v>
      </c>
    </row>
    <row r="1393" spans="1:7" x14ac:dyDescent="0.25">
      <c r="A1393" s="1" t="str">
        <f t="shared" si="89"/>
        <v>190</v>
      </c>
      <c r="B1393" s="1" t="str">
        <f>TEXT(85,"00")</f>
        <v>85</v>
      </c>
      <c r="C1393" s="1" t="str">
        <f t="shared" si="87"/>
        <v>190-85</v>
      </c>
      <c r="D1393" t="s">
        <v>1390</v>
      </c>
      <c r="E1393" t="b">
        <f>IF(COUNTIF(D1393,"*"&amp;'Keyword Search'!$C$5&amp;"*"),TRUE,FALSE)</f>
        <v>1</v>
      </c>
      <c r="G1393" t="str">
        <f t="shared" si="88"/>
        <v>190-85: Sodium Phosphates and Polyphosphates</v>
      </c>
    </row>
    <row r="1394" spans="1:7" x14ac:dyDescent="0.25">
      <c r="A1394" s="1" t="str">
        <f t="shared" si="89"/>
        <v>190</v>
      </c>
      <c r="B1394" s="1" t="str">
        <f>TEXT(90,"00")</f>
        <v>90</v>
      </c>
      <c r="C1394" s="1" t="str">
        <f t="shared" si="87"/>
        <v>190-90</v>
      </c>
      <c r="D1394" t="s">
        <v>1391</v>
      </c>
      <c r="E1394" t="b">
        <f>IF(COUNTIF(D1394,"*"&amp;'Keyword Search'!$C$5&amp;"*"),TRUE,FALSE)</f>
        <v>1</v>
      </c>
      <c r="G1394" t="str">
        <f t="shared" si="88"/>
        <v>190-90: Solvents (Not Otherwise Classified)</v>
      </c>
    </row>
    <row r="1395" spans="1:7" x14ac:dyDescent="0.25">
      <c r="A1395" s="1" t="str">
        <f t="shared" si="89"/>
        <v>190</v>
      </c>
      <c r="B1395" s="1" t="str">
        <f>TEXT(95,"00")</f>
        <v>95</v>
      </c>
      <c r="C1395" s="1" t="str">
        <f t="shared" si="87"/>
        <v>190-95</v>
      </c>
      <c r="D1395" t="s">
        <v>1392</v>
      </c>
      <c r="E1395" t="b">
        <f>IF(COUNTIF(D1395,"*"&amp;'Keyword Search'!$C$5&amp;"*"),TRUE,FALSE)</f>
        <v>1</v>
      </c>
      <c r="G1395" t="str">
        <f t="shared" si="88"/>
        <v>190-95: Toluene</v>
      </c>
    </row>
    <row r="1396" spans="1:7" x14ac:dyDescent="0.25">
      <c r="A1396" s="5" t="str">
        <f t="shared" ref="A1396:A1412" si="90">TEXT(192,"000")</f>
        <v>192</v>
      </c>
      <c r="B1396" s="5" t="str">
        <f>TEXT(0,"00")</f>
        <v>00</v>
      </c>
      <c r="C1396" s="1"/>
      <c r="D1396" s="2" t="s">
        <v>1393</v>
      </c>
    </row>
    <row r="1397" spans="1:7" x14ac:dyDescent="0.25">
      <c r="A1397" s="1" t="str">
        <f t="shared" si="90"/>
        <v>192</v>
      </c>
      <c r="B1397" s="1" t="str">
        <f>TEXT(10,"00")</f>
        <v>10</v>
      </c>
      <c r="C1397" s="1" t="str">
        <f t="shared" si="87"/>
        <v>192-10</v>
      </c>
      <c r="D1397" t="s">
        <v>1394</v>
      </c>
      <c r="E1397" t="b">
        <f>IF(COUNTIF(D1397,"*"&amp;'Keyword Search'!$C$5&amp;"*"),TRUE,FALSE)</f>
        <v>1</v>
      </c>
      <c r="G1397" t="str">
        <f t="shared" si="88"/>
        <v>192-10: Aromatic Hydrocarbon Mixtures, Cleaning Solvents</v>
      </c>
    </row>
    <row r="1398" spans="1:7" x14ac:dyDescent="0.25">
      <c r="A1398" s="1" t="str">
        <f t="shared" si="90"/>
        <v>192</v>
      </c>
      <c r="B1398" s="1" t="str">
        <f>TEXT(17,"00")</f>
        <v>17</v>
      </c>
      <c r="C1398" s="1" t="str">
        <f t="shared" si="87"/>
        <v>192-17</v>
      </c>
      <c r="D1398" t="s">
        <v>1395</v>
      </c>
      <c r="E1398" t="b">
        <f>IF(COUNTIF(D1398,"*"&amp;'Keyword Search'!$C$5&amp;"*"),TRUE,FALSE)</f>
        <v>1</v>
      </c>
      <c r="G1398" t="str">
        <f t="shared" si="88"/>
        <v>192-17: Chemical Spill Solvents and Detergents</v>
      </c>
    </row>
    <row r="1399" spans="1:7" x14ac:dyDescent="0.25">
      <c r="A1399" s="1" t="str">
        <f t="shared" si="90"/>
        <v>192</v>
      </c>
      <c r="B1399" s="1" t="str">
        <f>TEXT(18,"00")</f>
        <v>18</v>
      </c>
      <c r="C1399" s="1" t="str">
        <f t="shared" si="87"/>
        <v>192-18</v>
      </c>
      <c r="D1399" t="s">
        <v>1396</v>
      </c>
      <c r="E1399" t="b">
        <f>IF(COUNTIF(D1399,"*"&amp;'Keyword Search'!$C$5&amp;"*"),TRUE,FALSE)</f>
        <v>1</v>
      </c>
      <c r="G1399" t="str">
        <f t="shared" si="88"/>
        <v>192-18: Cleaners, Miscellaneous,( Not Otherwise Classified)</v>
      </c>
    </row>
    <row r="1400" spans="1:7" x14ac:dyDescent="0.25">
      <c r="A1400" s="1" t="str">
        <f t="shared" si="90"/>
        <v>192</v>
      </c>
      <c r="B1400" s="1" t="str">
        <f>TEXT(20,"00")</f>
        <v>20</v>
      </c>
      <c r="C1400" s="1" t="str">
        <f t="shared" si="87"/>
        <v>192-20</v>
      </c>
      <c r="D1400" t="s">
        <v>1397</v>
      </c>
      <c r="E1400" t="b">
        <f>IF(COUNTIF(D1400,"*"&amp;'Keyword Search'!$C$5&amp;"*"),TRUE,FALSE)</f>
        <v>1</v>
      </c>
      <c r="G1400" t="str">
        <f t="shared" si="88"/>
        <v>192-20: Cold-Tank and Soak-Tank Cleaners, Heavy Duty Shop Use, etc.</v>
      </c>
    </row>
    <row r="1401" spans="1:7" x14ac:dyDescent="0.25">
      <c r="A1401" s="1" t="str">
        <f t="shared" si="90"/>
        <v>192</v>
      </c>
      <c r="B1401" s="1" t="str">
        <f>TEXT(25,"00")</f>
        <v>25</v>
      </c>
      <c r="C1401" s="1" t="str">
        <f t="shared" si="87"/>
        <v>192-25</v>
      </c>
      <c r="D1401" t="s">
        <v>1398</v>
      </c>
      <c r="E1401" t="b">
        <f>IF(COUNTIF(D1401,"*"&amp;'Keyword Search'!$C$5&amp;"*"),TRUE,FALSE)</f>
        <v>1</v>
      </c>
      <c r="G1401" t="str">
        <f t="shared" si="88"/>
        <v>192-25: Concrete Strippers and Brick Detergents</v>
      </c>
    </row>
    <row r="1402" spans="1:7" x14ac:dyDescent="0.25">
      <c r="A1402" s="1" t="str">
        <f t="shared" si="90"/>
        <v>192</v>
      </c>
      <c r="B1402" s="1" t="str">
        <f>TEXT(40,"00")</f>
        <v>40</v>
      </c>
      <c r="C1402" s="1" t="str">
        <f t="shared" si="87"/>
        <v>192-40</v>
      </c>
      <c r="D1402" t="s">
        <v>1399</v>
      </c>
      <c r="E1402" t="b">
        <f>IF(COUNTIF(D1402,"*"&amp;'Keyword Search'!$C$5&amp;"*"),TRUE,FALSE)</f>
        <v>1</v>
      </c>
      <c r="G1402" t="str">
        <f t="shared" si="88"/>
        <v>192-40: Glue Solvents</v>
      </c>
    </row>
    <row r="1403" spans="1:7" x14ac:dyDescent="0.25">
      <c r="A1403" s="1" t="str">
        <f t="shared" si="90"/>
        <v>192</v>
      </c>
      <c r="B1403" s="1" t="str">
        <f>TEXT(43,"00")</f>
        <v>43</v>
      </c>
      <c r="C1403" s="1" t="str">
        <f t="shared" si="87"/>
        <v>192-43</v>
      </c>
      <c r="D1403" t="s">
        <v>1400</v>
      </c>
      <c r="E1403" t="b">
        <f>IF(COUNTIF(D1403,"*"&amp;'Keyword Search'!$C$5&amp;"*"),TRUE,FALSE)</f>
        <v>1</v>
      </c>
      <c r="G1403" t="str">
        <f t="shared" si="88"/>
        <v>192-43: Herbicides and Other Poisons, Cleaning Agents, Used to Clean Spray Equipment</v>
      </c>
    </row>
    <row r="1404" spans="1:7" x14ac:dyDescent="0.25">
      <c r="A1404" s="1" t="str">
        <f t="shared" si="90"/>
        <v>192</v>
      </c>
      <c r="B1404" s="1" t="str">
        <f>TEXT(46,"00")</f>
        <v>46</v>
      </c>
      <c r="C1404" s="1" t="str">
        <f t="shared" si="87"/>
        <v>192-46</v>
      </c>
      <c r="D1404" t="s">
        <v>1401</v>
      </c>
      <c r="E1404" t="b">
        <f>IF(COUNTIF(D1404,"*"&amp;'Keyword Search'!$C$5&amp;"*"),TRUE,FALSE)</f>
        <v>1</v>
      </c>
      <c r="G1404" t="str">
        <f t="shared" si="88"/>
        <v>192-46: Ice and Snow Removal Chemicals (See 775-45 for Road Salt)</v>
      </c>
    </row>
    <row r="1405" spans="1:7" x14ac:dyDescent="0.25">
      <c r="A1405" s="1" t="str">
        <f t="shared" si="90"/>
        <v>192</v>
      </c>
      <c r="B1405" s="1" t="str">
        <f>TEXT(55,"00")</f>
        <v>55</v>
      </c>
      <c r="C1405" s="1" t="str">
        <f t="shared" si="87"/>
        <v>192-55</v>
      </c>
      <c r="D1405" t="s">
        <v>1402</v>
      </c>
      <c r="E1405" t="b">
        <f>IF(COUNTIF(D1405,"*"&amp;'Keyword Search'!$C$5&amp;"*"),TRUE,FALSE)</f>
        <v>1</v>
      </c>
      <c r="G1405" t="str">
        <f t="shared" si="88"/>
        <v>192-55: Nonflammable Solvent Mixtures, Safety Solvents</v>
      </c>
    </row>
    <row r="1406" spans="1:7" x14ac:dyDescent="0.25">
      <c r="A1406" s="1" t="str">
        <f t="shared" si="90"/>
        <v>192</v>
      </c>
      <c r="B1406" s="1" t="str">
        <f>TEXT(60,"00")</f>
        <v>60</v>
      </c>
      <c r="C1406" s="1" t="str">
        <f t="shared" si="87"/>
        <v>192-60</v>
      </c>
      <c r="D1406" t="s">
        <v>1403</v>
      </c>
      <c r="E1406" t="b">
        <f>IF(COUNTIF(D1406,"*"&amp;'Keyword Search'!$C$5&amp;"*"),TRUE,FALSE)</f>
        <v>1</v>
      </c>
      <c r="G1406" t="str">
        <f t="shared" si="88"/>
        <v>192-60: Packing Plant, Smokehouse, and Slaughter House Cleaning Compositions</v>
      </c>
    </row>
    <row r="1407" spans="1:7" x14ac:dyDescent="0.25">
      <c r="A1407" s="1" t="str">
        <f t="shared" si="90"/>
        <v>192</v>
      </c>
      <c r="B1407" s="1" t="str">
        <f>TEXT(65,"00")</f>
        <v>65</v>
      </c>
      <c r="C1407" s="1" t="str">
        <f t="shared" si="87"/>
        <v>192-65</v>
      </c>
      <c r="D1407" t="s">
        <v>1404</v>
      </c>
      <c r="E1407" t="b">
        <f>IF(COUNTIF(D1407,"*"&amp;'Keyword Search'!$C$5&amp;"*"),TRUE,FALSE)</f>
        <v>1</v>
      </c>
      <c r="G1407" t="str">
        <f t="shared" si="88"/>
        <v>192-65: Paint Spray Booth Compounds, Water-Soluble</v>
      </c>
    </row>
    <row r="1408" spans="1:7" x14ac:dyDescent="0.25">
      <c r="A1408" s="1" t="str">
        <f t="shared" si="90"/>
        <v>192</v>
      </c>
      <c r="B1408" s="1" t="str">
        <f>TEXT(70,"00")</f>
        <v>70</v>
      </c>
      <c r="C1408" s="1" t="str">
        <f t="shared" si="87"/>
        <v>192-70</v>
      </c>
      <c r="D1408" t="s">
        <v>1405</v>
      </c>
      <c r="E1408" t="b">
        <f>IF(COUNTIF(D1408,"*"&amp;'Keyword Search'!$C$5&amp;"*"),TRUE,FALSE)</f>
        <v>1</v>
      </c>
      <c r="G1408" t="str">
        <f t="shared" si="88"/>
        <v>192-70: Recycled Cleaning Compositions</v>
      </c>
    </row>
    <row r="1409" spans="1:7" x14ac:dyDescent="0.25">
      <c r="A1409" s="1" t="str">
        <f t="shared" si="90"/>
        <v>192</v>
      </c>
      <c r="B1409" s="1" t="str">
        <f>TEXT(80,"00")</f>
        <v>80</v>
      </c>
      <c r="C1409" s="1" t="str">
        <f t="shared" si="87"/>
        <v>192-80</v>
      </c>
      <c r="D1409" t="s">
        <v>1406</v>
      </c>
      <c r="E1409" t="b">
        <f>IF(COUNTIF(D1409,"*"&amp;'Keyword Search'!$C$5&amp;"*"),TRUE,FALSE)</f>
        <v>1</v>
      </c>
      <c r="G1409" t="str">
        <f t="shared" si="88"/>
        <v>192-80: Spray Detergents, Heavy Duty and Steam Cleaning</v>
      </c>
    </row>
    <row r="1410" spans="1:7" x14ac:dyDescent="0.25">
      <c r="A1410" s="1" t="str">
        <f t="shared" si="90"/>
        <v>192</v>
      </c>
      <c r="B1410" s="1" t="str">
        <f>TEXT(83,"00")</f>
        <v>83</v>
      </c>
      <c r="C1410" s="1" t="str">
        <f t="shared" si="87"/>
        <v>192-83</v>
      </c>
      <c r="D1410" t="s">
        <v>1407</v>
      </c>
      <c r="E1410" t="b">
        <f>IF(COUNTIF(D1410,"*"&amp;'Keyword Search'!$C$5&amp;"*"),TRUE,FALSE)</f>
        <v>1</v>
      </c>
      <c r="G1410" t="str">
        <f t="shared" si="88"/>
        <v>192-83: Steam Cleaning Compounds</v>
      </c>
    </row>
    <row r="1411" spans="1:7" x14ac:dyDescent="0.25">
      <c r="A1411" s="1" t="str">
        <f t="shared" si="90"/>
        <v>192</v>
      </c>
      <c r="B1411" s="1" t="str">
        <f>TEXT(84,"00")</f>
        <v>84</v>
      </c>
      <c r="C1411" s="1" t="str">
        <f t="shared" ref="C1411:C1474" si="91">CONCATENATE(A1411,"-",B1411)</f>
        <v>192-84</v>
      </c>
      <c r="D1411" t="s">
        <v>1408</v>
      </c>
      <c r="E1411" t="b">
        <f>IF(COUNTIF(D1411,"*"&amp;'Keyword Search'!$C$5&amp;"*"),TRUE,FALSE)</f>
        <v>1</v>
      </c>
      <c r="G1411" t="str">
        <f t="shared" si="88"/>
        <v>192-84: Stripping Solvents (Not Otherwise Classified)</v>
      </c>
    </row>
    <row r="1412" spans="1:7" x14ac:dyDescent="0.25">
      <c r="A1412" s="1" t="str">
        <f t="shared" si="90"/>
        <v>192</v>
      </c>
      <c r="B1412" s="1" t="str">
        <f>TEXT(85,"00")</f>
        <v>85</v>
      </c>
      <c r="C1412" s="1" t="str">
        <f t="shared" si="91"/>
        <v>192-85</v>
      </c>
      <c r="D1412" t="s">
        <v>1409</v>
      </c>
      <c r="E1412" t="b">
        <f>IF(COUNTIF(D1412,"*"&amp;'Keyword Search'!$C$5&amp;"*"),TRUE,FALSE)</f>
        <v>1</v>
      </c>
      <c r="G1412" t="str">
        <f t="shared" ref="G1412:G1475" si="92">CONCATENATE(C1412,": ",D1412)</f>
        <v>192-85: Surface-Active Agents: Emulsifiers, Wetting Agents, and One-Component Nonionic Detergents (See Also Class 180)</v>
      </c>
    </row>
    <row r="1413" spans="1:7" x14ac:dyDescent="0.25">
      <c r="A1413" s="5" t="str">
        <f t="shared" ref="A1413:A1433" si="93">TEXT(193,"000")</f>
        <v>193</v>
      </c>
      <c r="B1413" s="5" t="str">
        <f>TEXT(0,"00")</f>
        <v>00</v>
      </c>
      <c r="C1413" s="1"/>
      <c r="D1413" s="2" t="s">
        <v>1410</v>
      </c>
    </row>
    <row r="1414" spans="1:7" x14ac:dyDescent="0.25">
      <c r="A1414" s="1" t="str">
        <f t="shared" si="93"/>
        <v>193</v>
      </c>
      <c r="B1414" s="1" t="str">
        <f>TEXT(8,"00")</f>
        <v>08</v>
      </c>
      <c r="C1414" s="1" t="str">
        <f t="shared" si="91"/>
        <v>193-08</v>
      </c>
      <c r="D1414" t="s">
        <v>1411</v>
      </c>
      <c r="E1414" t="b">
        <f>IF(COUNTIF(D1414,"*"&amp;'Keyword Search'!$C$5&amp;"*"),TRUE,FALSE)</f>
        <v>1</v>
      </c>
      <c r="G1414" t="str">
        <f t="shared" si="92"/>
        <v>193-08: Blood Chemistry and Hematology Controls and References, Normal and Abnormal:  Blood Gas Hemoglobin, Plasma and Serum Factors</v>
      </c>
    </row>
    <row r="1415" spans="1:7" x14ac:dyDescent="0.25">
      <c r="A1415" s="1" t="str">
        <f t="shared" si="93"/>
        <v>193</v>
      </c>
      <c r="B1415" s="1" t="str">
        <f>TEXT(12,"00")</f>
        <v>12</v>
      </c>
      <c r="C1415" s="1" t="str">
        <f t="shared" si="91"/>
        <v>193-12</v>
      </c>
      <c r="D1415" t="s">
        <v>1412</v>
      </c>
      <c r="E1415" t="b">
        <f>IF(COUNTIF(D1415,"*"&amp;'Keyword Search'!$C$5&amp;"*"),TRUE,FALSE)</f>
        <v>1</v>
      </c>
      <c r="G1415" t="str">
        <f t="shared" si="92"/>
        <v>193-12: Blood Chemistry and Hematology Reagents and Supplies, Automatic and Semiautomatic Instruments: Counting Controls, Detergents, etc.</v>
      </c>
    </row>
    <row r="1416" spans="1:7" x14ac:dyDescent="0.25">
      <c r="A1416" s="1" t="str">
        <f t="shared" si="93"/>
        <v>193</v>
      </c>
      <c r="B1416" s="1" t="str">
        <f>TEXT(14,"00")</f>
        <v>14</v>
      </c>
      <c r="C1416" s="1" t="str">
        <f t="shared" si="91"/>
        <v>193-14</v>
      </c>
      <c r="D1416" t="s">
        <v>1413</v>
      </c>
      <c r="E1416" t="b">
        <f>IF(COUNTIF(D1416,"*"&amp;'Keyword Search'!$C$5&amp;"*"),TRUE,FALSE)</f>
        <v>1</v>
      </c>
      <c r="G1416" t="str">
        <f t="shared" si="92"/>
        <v>193-14: Blood Chemistry Reagents and Tests, Nonautomated: BUN, Enzymes, Glucose, Proteins, Triglycerides, etc.</v>
      </c>
    </row>
    <row r="1417" spans="1:7" x14ac:dyDescent="0.25">
      <c r="A1417" s="1" t="str">
        <f t="shared" si="93"/>
        <v>193</v>
      </c>
      <c r="B1417" s="1" t="str">
        <f>TEXT(18,"00")</f>
        <v>18</v>
      </c>
      <c r="C1417" s="1" t="str">
        <f t="shared" si="91"/>
        <v>193-18</v>
      </c>
      <c r="D1417" t="s">
        <v>1414</v>
      </c>
      <c r="E1417" t="b">
        <f>IF(COUNTIF(D1417,"*"&amp;'Keyword Search'!$C$5&amp;"*"),TRUE,FALSE)</f>
        <v>1</v>
      </c>
      <c r="G1417" t="str">
        <f t="shared" si="92"/>
        <v>193-18: Blood Coagulation Reagents and Controls: Fibrinogen, Fibrin, Ogen, Split Products, Prothrombin Time, etc.</v>
      </c>
    </row>
    <row r="1418" spans="1:7" x14ac:dyDescent="0.25">
      <c r="A1418" s="1" t="str">
        <f t="shared" si="93"/>
        <v>193</v>
      </c>
      <c r="B1418" s="1" t="str">
        <f>TEXT(22,"00")</f>
        <v>22</v>
      </c>
      <c r="C1418" s="1" t="str">
        <f t="shared" si="91"/>
        <v>193-22</v>
      </c>
      <c r="D1418" t="s">
        <v>1415</v>
      </c>
      <c r="E1418" t="b">
        <f>IF(COUNTIF(D1418,"*"&amp;'Keyword Search'!$C$5&amp;"*"),TRUE,FALSE)</f>
        <v>1</v>
      </c>
      <c r="G1418" t="str">
        <f t="shared" si="92"/>
        <v>193-22: Blood Fractions, Grouping, Typing, and Diagnosis: Reagent Red Cells, Sera, Antisera, etc.</v>
      </c>
    </row>
    <row r="1419" spans="1:7" x14ac:dyDescent="0.25">
      <c r="A1419" s="1" t="str">
        <f t="shared" si="93"/>
        <v>193</v>
      </c>
      <c r="B1419" s="1" t="str">
        <f>TEXT(26,"00")</f>
        <v>26</v>
      </c>
      <c r="C1419" s="1" t="str">
        <f t="shared" si="91"/>
        <v>193-26</v>
      </c>
      <c r="D1419" t="s">
        <v>1416</v>
      </c>
      <c r="E1419" t="b">
        <f>IF(COUNTIF(D1419,"*"&amp;'Keyword Search'!$C$5&amp;"*"),TRUE,FALSE)</f>
        <v>1</v>
      </c>
      <c r="G1419" t="str">
        <f t="shared" si="92"/>
        <v>193-26: Blood Grouping and Typing Reagents: Antibody Potentiating Media, Copper Sulfate Solutions, Normal Saline, etc.</v>
      </c>
    </row>
    <row r="1420" spans="1:7" x14ac:dyDescent="0.25">
      <c r="A1420" s="1" t="str">
        <f t="shared" si="93"/>
        <v>193</v>
      </c>
      <c r="B1420" s="1" t="str">
        <f>TEXT(36,"00")</f>
        <v>36</v>
      </c>
      <c r="C1420" s="1" t="str">
        <f t="shared" si="91"/>
        <v>193-36</v>
      </c>
      <c r="D1420" t="s">
        <v>1417</v>
      </c>
      <c r="E1420" t="b">
        <f>IF(COUNTIF(D1420,"*"&amp;'Keyword Search'!$C$5&amp;"*"),TRUE,FALSE)</f>
        <v>1</v>
      </c>
      <c r="G1420" t="str">
        <f t="shared" si="92"/>
        <v>193-36: Diagnostic Reagents and Supplies, Automated Chemistry</v>
      </c>
    </row>
    <row r="1421" spans="1:7" x14ac:dyDescent="0.25">
      <c r="A1421" s="1" t="str">
        <f t="shared" si="93"/>
        <v>193</v>
      </c>
      <c r="B1421" s="1" t="str">
        <f>TEXT(40,"00")</f>
        <v>40</v>
      </c>
      <c r="C1421" s="1" t="str">
        <f t="shared" si="91"/>
        <v>193-40</v>
      </c>
      <c r="D1421" t="s">
        <v>1418</v>
      </c>
      <c r="E1421" t="b">
        <f>IF(COUNTIF(D1421,"*"&amp;'Keyword Search'!$C$5&amp;"*"),TRUE,FALSE)</f>
        <v>1</v>
      </c>
      <c r="G1421" t="str">
        <f t="shared" si="92"/>
        <v>193-40: Diagnostic Reagents and Tests, Diseases, Pregnancy, etc.: Cards, Slides, Spot Tests, Strips, Tablets, etc.</v>
      </c>
    </row>
    <row r="1422" spans="1:7" x14ac:dyDescent="0.25">
      <c r="A1422" s="1" t="str">
        <f t="shared" si="93"/>
        <v>193</v>
      </c>
      <c r="B1422" s="1" t="str">
        <f>TEXT(48,"00")</f>
        <v>48</v>
      </c>
      <c r="C1422" s="1" t="str">
        <f t="shared" si="91"/>
        <v>193-48</v>
      </c>
      <c r="D1422" t="s">
        <v>1419</v>
      </c>
      <c r="E1422" t="b">
        <f>IF(COUNTIF(D1422,"*"&amp;'Keyword Search'!$C$5&amp;"*"),TRUE,FALSE)</f>
        <v>1</v>
      </c>
      <c r="G1422" t="str">
        <f t="shared" si="92"/>
        <v>193-48: Drug Assay and Screening Test Kits, Except Radioimmunoassay</v>
      </c>
    </row>
    <row r="1423" spans="1:7" x14ac:dyDescent="0.25">
      <c r="A1423" s="1" t="str">
        <f t="shared" si="93"/>
        <v>193</v>
      </c>
      <c r="B1423" s="1" t="str">
        <f>TEXT(52,"00")</f>
        <v>52</v>
      </c>
      <c r="C1423" s="1" t="str">
        <f t="shared" si="91"/>
        <v>193-52</v>
      </c>
      <c r="D1423" t="s">
        <v>1420</v>
      </c>
      <c r="E1423" t="b">
        <f>IF(COUNTIF(D1423,"*"&amp;'Keyword Search'!$C$5&amp;"*"),TRUE,FALSE)</f>
        <v>1</v>
      </c>
      <c r="G1423" t="str">
        <f t="shared" si="92"/>
        <v>193-52: Enzyme Immunoassay Reagents</v>
      </c>
    </row>
    <row r="1424" spans="1:7" x14ac:dyDescent="0.25">
      <c r="A1424" s="1" t="str">
        <f t="shared" si="93"/>
        <v>193</v>
      </c>
      <c r="B1424" s="1" t="str">
        <f>TEXT(66,"00")</f>
        <v>66</v>
      </c>
      <c r="C1424" s="1" t="str">
        <f t="shared" si="91"/>
        <v>193-66</v>
      </c>
      <c r="D1424" t="s">
        <v>1421</v>
      </c>
      <c r="E1424" t="b">
        <f>IF(COUNTIF(D1424,"*"&amp;'Keyword Search'!$C$5&amp;"*"),TRUE,FALSE)</f>
        <v>1</v>
      </c>
      <c r="G1424" t="str">
        <f t="shared" si="92"/>
        <v>193-66: Nuclear Medicine Test Kits</v>
      </c>
    </row>
    <row r="1425" spans="1:7" x14ac:dyDescent="0.25">
      <c r="A1425" s="1" t="str">
        <f t="shared" si="93"/>
        <v>193</v>
      </c>
      <c r="B1425" s="1" t="str">
        <f>TEXT(80,"00")</f>
        <v>80</v>
      </c>
      <c r="C1425" s="1" t="str">
        <f t="shared" si="91"/>
        <v>193-80</v>
      </c>
      <c r="D1425" t="s">
        <v>1422</v>
      </c>
      <c r="E1425" t="b">
        <f>IF(COUNTIF(D1425,"*"&amp;'Keyword Search'!$C$5&amp;"*"),TRUE,FALSE)</f>
        <v>1</v>
      </c>
      <c r="G1425" t="str">
        <f t="shared" si="92"/>
        <v>193-80: Radioactive Diagnostic Reagents</v>
      </c>
    </row>
    <row r="1426" spans="1:7" x14ac:dyDescent="0.25">
      <c r="A1426" s="1" t="str">
        <f t="shared" si="93"/>
        <v>193</v>
      </c>
      <c r="B1426" s="1" t="str">
        <f>TEXT(84,"00")</f>
        <v>84</v>
      </c>
      <c r="C1426" s="1" t="str">
        <f t="shared" si="91"/>
        <v>193-84</v>
      </c>
      <c r="D1426" t="s">
        <v>1423</v>
      </c>
      <c r="E1426" t="b">
        <f>IF(COUNTIF(D1426,"*"&amp;'Keyword Search'!$C$5&amp;"*"),TRUE,FALSE)</f>
        <v>1</v>
      </c>
      <c r="G1426" t="str">
        <f t="shared" si="92"/>
        <v>193-84: Radioimmunoassay Kits</v>
      </c>
    </row>
    <row r="1427" spans="1:7" x14ac:dyDescent="0.25">
      <c r="A1427" s="1" t="str">
        <f t="shared" si="93"/>
        <v>193</v>
      </c>
      <c r="B1427" s="1" t="str">
        <f>TEXT(85,"00")</f>
        <v>85</v>
      </c>
      <c r="C1427" s="1" t="str">
        <f t="shared" si="91"/>
        <v>193-85</v>
      </c>
      <c r="D1427" t="s">
        <v>1424</v>
      </c>
      <c r="E1427" t="b">
        <f>IF(COUNTIF(D1427,"*"&amp;'Keyword Search'!$C$5&amp;"*"),TRUE,FALSE)</f>
        <v>1</v>
      </c>
      <c r="G1427" t="str">
        <f t="shared" si="92"/>
        <v>193-85: Recycled Clinical Laboratory Reagents and Tests</v>
      </c>
    </row>
    <row r="1428" spans="1:7" x14ac:dyDescent="0.25">
      <c r="A1428" s="1" t="str">
        <f t="shared" si="93"/>
        <v>193</v>
      </c>
      <c r="B1428" s="1" t="str">
        <f>TEXT(88,"00")</f>
        <v>88</v>
      </c>
      <c r="C1428" s="1" t="str">
        <f t="shared" si="91"/>
        <v>193-88</v>
      </c>
      <c r="D1428" t="s">
        <v>1425</v>
      </c>
      <c r="E1428" t="b">
        <f>IF(COUNTIF(D1428,"*"&amp;'Keyword Search'!$C$5&amp;"*"),TRUE,FALSE)</f>
        <v>1</v>
      </c>
      <c r="G1428" t="str">
        <f t="shared" si="92"/>
        <v>193-88: Tests, Examination of Other Body Fluids, Wastes, etc., (Not Otherwise Classified)</v>
      </c>
    </row>
    <row r="1429" spans="1:7" x14ac:dyDescent="0.25">
      <c r="A1429" s="1" t="str">
        <f t="shared" si="93"/>
        <v>193</v>
      </c>
      <c r="B1429" s="1" t="str">
        <f>TEXT(89,"00")</f>
        <v>89</v>
      </c>
      <c r="C1429" s="1" t="str">
        <f t="shared" si="91"/>
        <v>193-89</v>
      </c>
      <c r="D1429" t="s">
        <v>1426</v>
      </c>
      <c r="E1429" t="b">
        <f>IF(COUNTIF(D1429,"*"&amp;'Keyword Search'!$C$5&amp;"*"),TRUE,FALSE)</f>
        <v>1</v>
      </c>
      <c r="G1429" t="str">
        <f t="shared" si="92"/>
        <v>193-89: Test Kits and Supplies, Chemistry (Not Otherwise Classified)</v>
      </c>
    </row>
    <row r="1430" spans="1:7" x14ac:dyDescent="0.25">
      <c r="A1430" s="1" t="str">
        <f t="shared" si="93"/>
        <v>193</v>
      </c>
      <c r="B1430" s="1" t="str">
        <f>TEXT(92,"00")</f>
        <v>92</v>
      </c>
      <c r="C1430" s="1" t="str">
        <f t="shared" si="91"/>
        <v>193-92</v>
      </c>
      <c r="D1430" t="s">
        <v>1427</v>
      </c>
      <c r="E1430" t="b">
        <f>IF(COUNTIF(D1430,"*"&amp;'Keyword Search'!$C$5&amp;"*"),TRUE,FALSE)</f>
        <v>1</v>
      </c>
      <c r="G1430" t="str">
        <f t="shared" si="92"/>
        <v>193-92: Urine and Spinal Fluid Controls, Normal and Abnormal</v>
      </c>
    </row>
    <row r="1431" spans="1:7" x14ac:dyDescent="0.25">
      <c r="A1431" s="1" t="str">
        <f t="shared" si="93"/>
        <v>193</v>
      </c>
      <c r="B1431" s="1" t="str">
        <f>TEXT(94,"00")</f>
        <v>94</v>
      </c>
      <c r="C1431" s="1" t="str">
        <f t="shared" si="91"/>
        <v>193-94</v>
      </c>
      <c r="D1431" t="s">
        <v>1428</v>
      </c>
      <c r="E1431" t="b">
        <f>IF(COUNTIF(D1431,"*"&amp;'Keyword Search'!$C$5&amp;"*"),TRUE,FALSE)</f>
        <v>1</v>
      </c>
      <c r="G1431" t="str">
        <f t="shared" si="92"/>
        <v>193-94: Urinalysis Reagents and Tests: Albumin, Bile, Blood, Glucose, Ketones, etc.</v>
      </c>
    </row>
    <row r="1432" spans="1:7" x14ac:dyDescent="0.25">
      <c r="A1432" s="1" t="str">
        <f t="shared" si="93"/>
        <v>193</v>
      </c>
      <c r="B1432" s="1" t="str">
        <f>TEXT(95,"00")</f>
        <v>95</v>
      </c>
      <c r="C1432" s="1" t="str">
        <f t="shared" si="91"/>
        <v>193-95</v>
      </c>
      <c r="D1432" t="s">
        <v>1429</v>
      </c>
      <c r="E1432" t="b">
        <f>IF(COUNTIF(D1432,"*"&amp;'Keyword Search'!$C$5&amp;"*"),TRUE,FALSE)</f>
        <v>1</v>
      </c>
      <c r="G1432" t="str">
        <f t="shared" si="92"/>
        <v>193-95: Virology Test Equipment and Supplies</v>
      </c>
    </row>
    <row r="1433" spans="1:7" x14ac:dyDescent="0.25">
      <c r="A1433" s="1" t="str">
        <f t="shared" si="93"/>
        <v>193</v>
      </c>
      <c r="B1433" s="1" t="str">
        <f>TEXT(97,"00")</f>
        <v>97</v>
      </c>
      <c r="C1433" s="1" t="str">
        <f t="shared" si="91"/>
        <v>193-97</v>
      </c>
      <c r="D1433" t="s">
        <v>1430</v>
      </c>
      <c r="E1433" t="b">
        <f>IF(COUNTIF(D1433,"*"&amp;'Keyword Search'!$C$5&amp;"*"),TRUE,FALSE)</f>
        <v>1</v>
      </c>
      <c r="G1433" t="str">
        <f t="shared" si="92"/>
        <v>193-97: X-Ray Contrast Media: Barium, Sulfate, Dyes, etc.</v>
      </c>
    </row>
    <row r="1434" spans="1:7" x14ac:dyDescent="0.25">
      <c r="A1434" s="5" t="str">
        <f t="shared" ref="A1434:A1461" si="94">TEXT(195,"000")</f>
        <v>195</v>
      </c>
      <c r="B1434" s="5" t="str">
        <f>TEXT(0,"00")</f>
        <v>00</v>
      </c>
      <c r="C1434" s="1"/>
      <c r="D1434" s="2" t="s">
        <v>1431</v>
      </c>
    </row>
    <row r="1435" spans="1:7" x14ac:dyDescent="0.25">
      <c r="A1435" s="1" t="str">
        <f t="shared" si="94"/>
        <v>195</v>
      </c>
      <c r="B1435" s="1" t="str">
        <f>TEXT(8,"00")</f>
        <v>08</v>
      </c>
      <c r="C1435" s="1" t="str">
        <f t="shared" si="91"/>
        <v>195-08</v>
      </c>
      <c r="D1435" t="s">
        <v>1432</v>
      </c>
      <c r="E1435" t="b">
        <f>IF(COUNTIF(D1435,"*"&amp;'Keyword Search'!$C$5&amp;"*"),TRUE,FALSE)</f>
        <v>1</v>
      </c>
      <c r="G1435" t="str">
        <f t="shared" si="92"/>
        <v>195-08: Alarm Clocks, Electric and Spring</v>
      </c>
    </row>
    <row r="1436" spans="1:7" x14ac:dyDescent="0.25">
      <c r="A1436" s="1" t="str">
        <f t="shared" si="94"/>
        <v>195</v>
      </c>
      <c r="B1436" s="1" t="str">
        <f>TEXT(12,"00")</f>
        <v>12</v>
      </c>
      <c r="C1436" s="1" t="str">
        <f t="shared" si="91"/>
        <v>195-12</v>
      </c>
      <c r="D1436" t="s">
        <v>1433</v>
      </c>
      <c r="E1436" t="b">
        <f>IF(COUNTIF(D1436,"*"&amp;'Keyword Search'!$C$5&amp;"*"),TRUE,FALSE)</f>
        <v>1</v>
      </c>
      <c r="G1436" t="str">
        <f t="shared" si="92"/>
        <v>195-12: Braille Watches and Clocks</v>
      </c>
    </row>
    <row r="1437" spans="1:7" x14ac:dyDescent="0.25">
      <c r="A1437" s="1" t="str">
        <f t="shared" si="94"/>
        <v>195</v>
      </c>
      <c r="B1437" s="1" t="str">
        <f>TEXT(15,"00")</f>
        <v>15</v>
      </c>
      <c r="C1437" s="1" t="str">
        <f t="shared" si="91"/>
        <v>195-15</v>
      </c>
      <c r="D1437" t="s">
        <v>1434</v>
      </c>
      <c r="E1437" t="b">
        <f>IF(COUNTIF(D1437,"*"&amp;'Keyword Search'!$C$5&amp;"*"),TRUE,FALSE)</f>
        <v>1</v>
      </c>
      <c r="G1437" t="str">
        <f t="shared" si="92"/>
        <v>195-15: Clocks, Countdown</v>
      </c>
    </row>
    <row r="1438" spans="1:7" x14ac:dyDescent="0.25">
      <c r="A1438" s="1" t="str">
        <f t="shared" si="94"/>
        <v>195</v>
      </c>
      <c r="B1438" s="1" t="str">
        <f>TEXT(16,"00")</f>
        <v>16</v>
      </c>
      <c r="C1438" s="1" t="str">
        <f t="shared" si="91"/>
        <v>195-16</v>
      </c>
      <c r="D1438" t="s">
        <v>1435</v>
      </c>
      <c r="E1438" t="b">
        <f>IF(COUNTIF(D1438,"*"&amp;'Keyword Search'!$C$5&amp;"*"),TRUE,FALSE)</f>
        <v>1</v>
      </c>
      <c r="G1438" t="str">
        <f t="shared" si="92"/>
        <v>195-16: Clock and Watchmakers' Repair Parts and Materials</v>
      </c>
    </row>
    <row r="1439" spans="1:7" x14ac:dyDescent="0.25">
      <c r="A1439" s="1" t="str">
        <f t="shared" si="94"/>
        <v>195</v>
      </c>
      <c r="B1439" s="1" t="str">
        <f>TEXT(17,"00")</f>
        <v>17</v>
      </c>
      <c r="C1439" s="1" t="str">
        <f t="shared" si="91"/>
        <v>195-17</v>
      </c>
      <c r="D1439" t="s">
        <v>1436</v>
      </c>
      <c r="E1439" t="b">
        <f>IF(COUNTIF(D1439,"*"&amp;'Keyword Search'!$C$5&amp;"*"),TRUE,FALSE)</f>
        <v>1</v>
      </c>
      <c r="G1439" t="str">
        <f t="shared" si="92"/>
        <v>195-17: Clocks, Battery Operated (See 195-80 for Wall Type)</v>
      </c>
    </row>
    <row r="1440" spans="1:7" x14ac:dyDescent="0.25">
      <c r="A1440" s="1" t="str">
        <f t="shared" si="94"/>
        <v>195</v>
      </c>
      <c r="B1440" s="1" t="str">
        <f>TEXT(18,"00")</f>
        <v>18</v>
      </c>
      <c r="C1440" s="1" t="str">
        <f t="shared" si="91"/>
        <v>195-18</v>
      </c>
      <c r="D1440" t="s">
        <v>1437</v>
      </c>
      <c r="E1440" t="b">
        <f>IF(COUNTIF(D1440,"*"&amp;'Keyword Search'!$C$5&amp;"*"),TRUE,FALSE)</f>
        <v>1</v>
      </c>
      <c r="G1440" t="str">
        <f t="shared" si="92"/>
        <v>195-18: Clocks, Electric, Commercial</v>
      </c>
    </row>
    <row r="1441" spans="1:7" x14ac:dyDescent="0.25">
      <c r="A1441" s="1" t="str">
        <f t="shared" si="94"/>
        <v>195</v>
      </c>
      <c r="B1441" s="1" t="str">
        <f>TEXT(19,"00")</f>
        <v>19</v>
      </c>
      <c r="C1441" s="1" t="str">
        <f t="shared" si="91"/>
        <v>195-19</v>
      </c>
      <c r="D1441" t="s">
        <v>1438</v>
      </c>
      <c r="E1441" t="b">
        <f>IF(COUNTIF(D1441,"*"&amp;'Keyword Search'!$C$5&amp;"*"),TRUE,FALSE)</f>
        <v>1</v>
      </c>
      <c r="G1441" t="str">
        <f t="shared" si="92"/>
        <v>195-19: Clocks, Electronic</v>
      </c>
    </row>
    <row r="1442" spans="1:7" x14ac:dyDescent="0.25">
      <c r="A1442" s="1" t="str">
        <f t="shared" si="94"/>
        <v>195</v>
      </c>
      <c r="B1442" s="1" t="str">
        <f>TEXT(20,"00")</f>
        <v>20</v>
      </c>
      <c r="C1442" s="1" t="str">
        <f t="shared" si="91"/>
        <v>195-20</v>
      </c>
      <c r="D1442" t="s">
        <v>1439</v>
      </c>
      <c r="E1442" t="b">
        <f>IF(COUNTIF(D1442,"*"&amp;'Keyword Search'!$C$5&amp;"*"),TRUE,FALSE)</f>
        <v>1</v>
      </c>
      <c r="G1442" t="str">
        <f t="shared" si="92"/>
        <v>195-20: Clocks, Game, Sports</v>
      </c>
    </row>
    <row r="1443" spans="1:7" x14ac:dyDescent="0.25">
      <c r="A1443" s="1" t="str">
        <f t="shared" si="94"/>
        <v>195</v>
      </c>
      <c r="B1443" s="1" t="str">
        <f>TEXT(23,"00")</f>
        <v>23</v>
      </c>
      <c r="C1443" s="1" t="str">
        <f t="shared" si="91"/>
        <v>195-23</v>
      </c>
      <c r="D1443" t="s">
        <v>1440</v>
      </c>
      <c r="E1443" t="b">
        <f>IF(COUNTIF(D1443,"*"&amp;'Keyword Search'!$C$5&amp;"*"),TRUE,FALSE)</f>
        <v>1</v>
      </c>
      <c r="G1443" t="str">
        <f t="shared" si="92"/>
        <v>195-23: Hourglasses</v>
      </c>
    </row>
    <row r="1444" spans="1:7" x14ac:dyDescent="0.25">
      <c r="A1444" s="1" t="str">
        <f t="shared" si="94"/>
        <v>195</v>
      </c>
      <c r="B1444" s="1" t="str">
        <f>TEXT(24,"00")</f>
        <v>24</v>
      </c>
      <c r="C1444" s="1" t="str">
        <f t="shared" si="91"/>
        <v>195-24</v>
      </c>
      <c r="D1444" t="s">
        <v>1441</v>
      </c>
      <c r="E1444" t="b">
        <f>IF(COUNTIF(D1444,"*"&amp;'Keyword Search'!$C$5&amp;"*"),TRUE,FALSE)</f>
        <v>1</v>
      </c>
      <c r="G1444" t="str">
        <f t="shared" si="92"/>
        <v>195-24: Jewelers' and Watchmakers' Shop Equipment and Furniture</v>
      </c>
    </row>
    <row r="1445" spans="1:7" x14ac:dyDescent="0.25">
      <c r="A1445" s="1" t="str">
        <f t="shared" si="94"/>
        <v>195</v>
      </c>
      <c r="B1445" s="1" t="str">
        <f>TEXT(27,"00")</f>
        <v>27</v>
      </c>
      <c r="C1445" s="1" t="str">
        <f t="shared" si="91"/>
        <v>195-27</v>
      </c>
      <c r="D1445" t="s">
        <v>1442</v>
      </c>
      <c r="E1445" t="b">
        <f>IF(COUNTIF(D1445,"*"&amp;'Keyword Search'!$C$5&amp;"*"),TRUE,FALSE)</f>
        <v>1</v>
      </c>
      <c r="G1445" t="str">
        <f t="shared" si="92"/>
        <v>195-27: Jewelers' and Watchmakers' Tools and Accessories</v>
      </c>
    </row>
    <row r="1446" spans="1:7" x14ac:dyDescent="0.25">
      <c r="A1446" s="1" t="str">
        <f t="shared" si="94"/>
        <v>195</v>
      </c>
      <c r="B1446" s="1" t="str">
        <f>TEXT(30,"00")</f>
        <v>30</v>
      </c>
      <c r="C1446" s="1" t="str">
        <f t="shared" si="91"/>
        <v>195-30</v>
      </c>
      <c r="D1446" t="s">
        <v>1443</v>
      </c>
      <c r="E1446" t="b">
        <f>IF(COUNTIF(D1446,"*"&amp;'Keyword Search'!$C$5&amp;"*"),TRUE,FALSE)</f>
        <v>1</v>
      </c>
      <c r="G1446" t="str">
        <f t="shared" si="92"/>
        <v>195-30: Jewelers' and Watchmakers' Manuals</v>
      </c>
    </row>
    <row r="1447" spans="1:7" x14ac:dyDescent="0.25">
      <c r="A1447" s="1" t="str">
        <f t="shared" si="94"/>
        <v>195</v>
      </c>
      <c r="B1447" s="1" t="str">
        <f>TEXT(32,"00")</f>
        <v>32</v>
      </c>
      <c r="C1447" s="1" t="str">
        <f t="shared" si="91"/>
        <v>195-32</v>
      </c>
      <c r="D1447" t="s">
        <v>1444</v>
      </c>
      <c r="E1447" t="b">
        <f>IF(COUNTIF(D1447,"*"&amp;'Keyword Search'!$C$5&amp;"*"),TRUE,FALSE)</f>
        <v>1</v>
      </c>
      <c r="G1447" t="str">
        <f t="shared" si="92"/>
        <v>195-32: Jewelry, Costume</v>
      </c>
    </row>
    <row r="1448" spans="1:7" x14ac:dyDescent="0.25">
      <c r="A1448" s="1" t="str">
        <f t="shared" si="94"/>
        <v>195</v>
      </c>
      <c r="B1448" s="1" t="str">
        <f>TEXT(33,"00")</f>
        <v>33</v>
      </c>
      <c r="C1448" s="1" t="str">
        <f t="shared" si="91"/>
        <v>195-33</v>
      </c>
      <c r="D1448" t="s">
        <v>1445</v>
      </c>
      <c r="E1448" t="b">
        <f>IF(COUNTIF(D1448,"*"&amp;'Keyword Search'!$C$5&amp;"*"),TRUE,FALSE)</f>
        <v>1</v>
      </c>
      <c r="G1448" t="str">
        <f t="shared" si="92"/>
        <v>195-33: Jewelry, Fine</v>
      </c>
    </row>
    <row r="1449" spans="1:7" x14ac:dyDescent="0.25">
      <c r="A1449" s="1" t="str">
        <f t="shared" si="94"/>
        <v>195</v>
      </c>
      <c r="B1449" s="1" t="str">
        <f>TEXT(40,"00")</f>
        <v>40</v>
      </c>
      <c r="C1449" s="1" t="str">
        <f t="shared" si="91"/>
        <v>195-40</v>
      </c>
      <c r="D1449" t="s">
        <v>1446</v>
      </c>
      <c r="E1449" t="b">
        <f>IF(COUNTIF(D1449,"*"&amp;'Keyword Search'!$C$5&amp;"*"),TRUE,FALSE)</f>
        <v>1</v>
      </c>
      <c r="G1449" t="str">
        <f t="shared" si="92"/>
        <v>195-40: Master Clock Systems and Parts</v>
      </c>
    </row>
    <row r="1450" spans="1:7" x14ac:dyDescent="0.25">
      <c r="A1450" s="1" t="str">
        <f t="shared" si="94"/>
        <v>195</v>
      </c>
      <c r="B1450" s="1" t="str">
        <f>TEXT(49,"00")</f>
        <v>49</v>
      </c>
      <c r="C1450" s="1" t="str">
        <f t="shared" si="91"/>
        <v>195-49</v>
      </c>
      <c r="D1450" t="s">
        <v>1447</v>
      </c>
      <c r="E1450" t="b">
        <f>IF(COUNTIF(D1450,"*"&amp;'Keyword Search'!$C$5&amp;"*"),TRUE,FALSE)</f>
        <v>1</v>
      </c>
      <c r="G1450" t="str">
        <f t="shared" si="92"/>
        <v>195-49: Precious and Semi-Precious Stones, Gems and Pearls</v>
      </c>
    </row>
    <row r="1451" spans="1:7" x14ac:dyDescent="0.25">
      <c r="A1451" s="1" t="str">
        <f t="shared" si="94"/>
        <v>195</v>
      </c>
      <c r="B1451" s="1" t="str">
        <f>TEXT(50,"00")</f>
        <v>50</v>
      </c>
      <c r="C1451" s="1" t="str">
        <f t="shared" si="91"/>
        <v>195-50</v>
      </c>
      <c r="D1451" t="s">
        <v>1448</v>
      </c>
      <c r="E1451" t="b">
        <f>IF(COUNTIF(D1451,"*"&amp;'Keyword Search'!$C$5&amp;"*"),TRUE,FALSE)</f>
        <v>1</v>
      </c>
      <c r="G1451" t="str">
        <f t="shared" si="92"/>
        <v>195-50: Program Clocks, Bells, Lights, and Chimes</v>
      </c>
    </row>
    <row r="1452" spans="1:7" x14ac:dyDescent="0.25">
      <c r="A1452" s="1" t="str">
        <f t="shared" si="94"/>
        <v>195</v>
      </c>
      <c r="B1452" s="1" t="str">
        <f>TEXT(56,"00")</f>
        <v>56</v>
      </c>
      <c r="C1452" s="1" t="str">
        <f t="shared" si="91"/>
        <v>195-56</v>
      </c>
      <c r="D1452" t="s">
        <v>1449</v>
      </c>
      <c r="E1452" t="b">
        <f>IF(COUNTIF(D1452,"*"&amp;'Keyword Search'!$C$5&amp;"*"),TRUE,FALSE)</f>
        <v>1</v>
      </c>
      <c r="G1452" t="str">
        <f t="shared" si="92"/>
        <v>195-56: Recycled Timepiece Accessories and Supplies</v>
      </c>
    </row>
    <row r="1453" spans="1:7" x14ac:dyDescent="0.25">
      <c r="A1453" s="1" t="str">
        <f t="shared" si="94"/>
        <v>195</v>
      </c>
      <c r="B1453" s="1" t="str">
        <f>TEXT(60,"00")</f>
        <v>60</v>
      </c>
      <c r="C1453" s="1" t="str">
        <f t="shared" si="91"/>
        <v>195-60</v>
      </c>
      <c r="D1453" t="s">
        <v>1450</v>
      </c>
      <c r="E1453" t="b">
        <f>IF(COUNTIF(D1453,"*"&amp;'Keyword Search'!$C$5&amp;"*"),TRUE,FALSE)</f>
        <v>1</v>
      </c>
      <c r="G1453" t="str">
        <f t="shared" si="92"/>
        <v>195-60: Stopwatches, Including Liquid Crystal Display</v>
      </c>
    </row>
    <row r="1454" spans="1:7" x14ac:dyDescent="0.25">
      <c r="A1454" s="1" t="str">
        <f t="shared" si="94"/>
        <v>195</v>
      </c>
      <c r="B1454" s="1" t="str">
        <f>TEXT(67,"00")</f>
        <v>67</v>
      </c>
      <c r="C1454" s="1" t="str">
        <f t="shared" si="91"/>
        <v>195-67</v>
      </c>
      <c r="D1454" t="s">
        <v>1451</v>
      </c>
      <c r="E1454" t="b">
        <f>IF(COUNTIF(D1454,"*"&amp;'Keyword Search'!$C$5&amp;"*"),TRUE,FALSE)</f>
        <v>1</v>
      </c>
      <c r="G1454" t="str">
        <f t="shared" si="92"/>
        <v>195-67: Time and Attendance Data Collection Systems</v>
      </c>
    </row>
    <row r="1455" spans="1:7" x14ac:dyDescent="0.25">
      <c r="A1455" s="1" t="str">
        <f t="shared" si="94"/>
        <v>195</v>
      </c>
      <c r="B1455" s="1" t="str">
        <f>TEXT(68,"00")</f>
        <v>68</v>
      </c>
      <c r="C1455" s="1" t="str">
        <f t="shared" si="91"/>
        <v>195-68</v>
      </c>
      <c r="D1455" t="s">
        <v>1452</v>
      </c>
      <c r="E1455" t="b">
        <f>IF(COUNTIF(D1455,"*"&amp;'Keyword Search'!$C$5&amp;"*"),TRUE,FALSE)</f>
        <v>1</v>
      </c>
      <c r="G1455" t="str">
        <f t="shared" si="92"/>
        <v>195-68: Time Clocks and Recorders, Accessories, and Parts</v>
      </c>
    </row>
    <row r="1456" spans="1:7" x14ac:dyDescent="0.25">
      <c r="A1456" s="1" t="str">
        <f t="shared" si="94"/>
        <v>195</v>
      </c>
      <c r="B1456" s="1" t="str">
        <f>TEXT(70,"00")</f>
        <v>70</v>
      </c>
      <c r="C1456" s="1" t="str">
        <f t="shared" si="91"/>
        <v>195-70</v>
      </c>
      <c r="D1456" t="s">
        <v>1453</v>
      </c>
      <c r="E1456" t="b">
        <f>IF(COUNTIF(D1456,"*"&amp;'Keyword Search'!$C$5&amp;"*"),TRUE,FALSE)</f>
        <v>1</v>
      </c>
      <c r="G1456" t="str">
        <f t="shared" si="92"/>
        <v>195-70: Time Indicators, Elapsed</v>
      </c>
    </row>
    <row r="1457" spans="1:7" x14ac:dyDescent="0.25">
      <c r="A1457" s="1" t="str">
        <f t="shared" si="94"/>
        <v>195</v>
      </c>
      <c r="B1457" s="1" t="str">
        <f>TEXT(74,"00")</f>
        <v>74</v>
      </c>
      <c r="C1457" s="1" t="str">
        <f t="shared" si="91"/>
        <v>195-74</v>
      </c>
      <c r="D1457" t="s">
        <v>1454</v>
      </c>
      <c r="E1457" t="b">
        <f>IF(COUNTIF(D1457,"*"&amp;'Keyword Search'!$C$5&amp;"*"),TRUE,FALSE)</f>
        <v>1</v>
      </c>
      <c r="G1457" t="str">
        <f t="shared" si="92"/>
        <v>195-74: Timers, Interval, Including Parks and Accessories, Not Photographic or Laboratory</v>
      </c>
    </row>
    <row r="1458" spans="1:7" x14ac:dyDescent="0.25">
      <c r="A1458" s="1" t="str">
        <f t="shared" si="94"/>
        <v>195</v>
      </c>
      <c r="B1458" s="1" t="str">
        <f>TEXT(80,"00")</f>
        <v>80</v>
      </c>
      <c r="C1458" s="1" t="str">
        <f t="shared" si="91"/>
        <v>195-80</v>
      </c>
      <c r="D1458" t="s">
        <v>1455</v>
      </c>
      <c r="E1458" t="b">
        <f>IF(COUNTIF(D1458,"*"&amp;'Keyword Search'!$C$5&amp;"*"),TRUE,FALSE)</f>
        <v>1</v>
      </c>
      <c r="G1458" t="str">
        <f t="shared" si="92"/>
        <v>195-80: Wall Clocks, Battery</v>
      </c>
    </row>
    <row r="1459" spans="1:7" x14ac:dyDescent="0.25">
      <c r="A1459" s="1" t="str">
        <f t="shared" si="94"/>
        <v>195</v>
      </c>
      <c r="B1459" s="1" t="str">
        <f>TEXT(83,"00")</f>
        <v>83</v>
      </c>
      <c r="C1459" s="1" t="str">
        <f t="shared" si="91"/>
        <v>195-83</v>
      </c>
      <c r="D1459" t="s">
        <v>1456</v>
      </c>
      <c r="E1459" t="b">
        <f>IF(COUNTIF(D1459,"*"&amp;'Keyword Search'!$C$5&amp;"*"),TRUE,FALSE)</f>
        <v>1</v>
      </c>
      <c r="G1459" t="str">
        <f t="shared" si="92"/>
        <v>195-83: Wall Clocks, Electric</v>
      </c>
    </row>
    <row r="1460" spans="1:7" x14ac:dyDescent="0.25">
      <c r="A1460" s="1" t="str">
        <f t="shared" si="94"/>
        <v>195</v>
      </c>
      <c r="B1460" s="1" t="str">
        <f>TEXT(85,"00")</f>
        <v>85</v>
      </c>
      <c r="C1460" s="1" t="str">
        <f t="shared" si="91"/>
        <v>195-85</v>
      </c>
      <c r="D1460" t="s">
        <v>1457</v>
      </c>
      <c r="E1460" t="b">
        <f>IF(COUNTIF(D1460,"*"&amp;'Keyword Search'!$C$5&amp;"*"),TRUE,FALSE)</f>
        <v>1</v>
      </c>
      <c r="G1460" t="str">
        <f t="shared" si="92"/>
        <v>195-85: Watches: Pocket, Wrist, etc.</v>
      </c>
    </row>
    <row r="1461" spans="1:7" x14ac:dyDescent="0.25">
      <c r="A1461" s="1" t="str">
        <f t="shared" si="94"/>
        <v>195</v>
      </c>
      <c r="B1461" s="1" t="str">
        <f>TEXT(88,"00")</f>
        <v>88</v>
      </c>
      <c r="C1461" s="1" t="str">
        <f t="shared" si="91"/>
        <v>195-88</v>
      </c>
      <c r="D1461" t="s">
        <v>1458</v>
      </c>
      <c r="E1461" t="b">
        <f>IF(COUNTIF(D1461,"*"&amp;'Keyword Search'!$C$5&amp;"*"),TRUE,FALSE)</f>
        <v>1</v>
      </c>
      <c r="G1461" t="str">
        <f t="shared" si="92"/>
        <v>195-88: Watchmen's Clocks and Supplies</v>
      </c>
    </row>
    <row r="1462" spans="1:7" x14ac:dyDescent="0.25">
      <c r="A1462" s="5" t="str">
        <f t="shared" ref="A1462:A1495" si="95">TEXT(200,"000")</f>
        <v>200</v>
      </c>
      <c r="B1462" s="5" t="str">
        <f>TEXT(0,"00")</f>
        <v>00</v>
      </c>
      <c r="C1462" s="1"/>
      <c r="D1462" s="2" t="s">
        <v>1459</v>
      </c>
    </row>
    <row r="1463" spans="1:7" x14ac:dyDescent="0.25">
      <c r="A1463" s="1" t="str">
        <f t="shared" si="95"/>
        <v>200</v>
      </c>
      <c r="B1463" s="1" t="str">
        <f>TEXT(10,"00")</f>
        <v>10</v>
      </c>
      <c r="C1463" s="1" t="str">
        <f t="shared" si="91"/>
        <v>200-10</v>
      </c>
      <c r="D1463" t="s">
        <v>1460</v>
      </c>
      <c r="E1463" t="b">
        <f>IF(COUNTIF(D1463,"*"&amp;'Keyword Search'!$C$5&amp;"*"),TRUE,FALSE)</f>
        <v>1</v>
      </c>
      <c r="G1463" t="str">
        <f t="shared" si="92"/>
        <v>200-10: Athletic Clothing</v>
      </c>
    </row>
    <row r="1464" spans="1:7" x14ac:dyDescent="0.25">
      <c r="A1464" s="1" t="str">
        <f t="shared" si="95"/>
        <v>200</v>
      </c>
      <c r="B1464" s="1" t="str">
        <f>TEXT(11,"00")</f>
        <v>11</v>
      </c>
      <c r="C1464" s="1" t="str">
        <f t="shared" si="91"/>
        <v>200-11</v>
      </c>
      <c r="D1464" t="s">
        <v>1461</v>
      </c>
      <c r="E1464" t="b">
        <f>IF(COUNTIF(D1464,"*"&amp;'Keyword Search'!$C$5&amp;"*"),TRUE,FALSE)</f>
        <v>1</v>
      </c>
      <c r="G1464" t="str">
        <f t="shared" si="92"/>
        <v>200-11: Athletic Clothing Accessories</v>
      </c>
    </row>
    <row r="1465" spans="1:7" x14ac:dyDescent="0.25">
      <c r="A1465" s="1" t="str">
        <f t="shared" si="95"/>
        <v>200</v>
      </c>
      <c r="B1465" s="1" t="str">
        <f>TEXT(13,"00")</f>
        <v>13</v>
      </c>
      <c r="C1465" s="1" t="str">
        <f t="shared" si="91"/>
        <v>200-13</v>
      </c>
      <c r="D1465" t="s">
        <v>1462</v>
      </c>
      <c r="E1465" t="b">
        <f>IF(COUNTIF(D1465,"*"&amp;'Keyword Search'!$C$5&amp;"*"),TRUE,FALSE)</f>
        <v>1</v>
      </c>
      <c r="G1465" t="str">
        <f t="shared" si="92"/>
        <v>200-13: Children's Clothing</v>
      </c>
    </row>
    <row r="1466" spans="1:7" x14ac:dyDescent="0.25">
      <c r="A1466" s="1" t="str">
        <f t="shared" si="95"/>
        <v>200</v>
      </c>
      <c r="B1466" s="1" t="str">
        <f>TEXT(16,"00")</f>
        <v>16</v>
      </c>
      <c r="C1466" s="1" t="str">
        <f t="shared" si="91"/>
        <v>200-16</v>
      </c>
      <c r="D1466" t="s">
        <v>1463</v>
      </c>
      <c r="E1466" t="b">
        <f>IF(COUNTIF(D1466,"*"&amp;'Keyword Search'!$C$5&amp;"*"),TRUE,FALSE)</f>
        <v>1</v>
      </c>
      <c r="G1466" t="str">
        <f t="shared" si="92"/>
        <v>200-16: Coats, Jackets, Parkas, Vests, Cold Weather</v>
      </c>
    </row>
    <row r="1467" spans="1:7" x14ac:dyDescent="0.25">
      <c r="A1467" s="1" t="str">
        <f t="shared" si="95"/>
        <v>200</v>
      </c>
      <c r="B1467" s="1" t="str">
        <f>TEXT(18,"00")</f>
        <v>18</v>
      </c>
      <c r="C1467" s="1" t="str">
        <f t="shared" si="91"/>
        <v>200-18</v>
      </c>
      <c r="D1467" t="s">
        <v>1464</v>
      </c>
      <c r="E1467" t="b">
        <f>IF(COUNTIF(D1467,"*"&amp;'Keyword Search'!$C$5&amp;"*"),TRUE,FALSE)</f>
        <v>1</v>
      </c>
      <c r="G1467" t="str">
        <f t="shared" si="92"/>
        <v>200-18: Compostable Disposable Clothing, Including House Slippers and Hats</v>
      </c>
    </row>
    <row r="1468" spans="1:7" x14ac:dyDescent="0.25">
      <c r="A1468" s="1" t="str">
        <f t="shared" si="95"/>
        <v>200</v>
      </c>
      <c r="B1468" s="1" t="str">
        <f>TEXT(19,"00")</f>
        <v>19</v>
      </c>
      <c r="C1468" s="1" t="str">
        <f t="shared" si="91"/>
        <v>200-19</v>
      </c>
      <c r="D1468" t="s">
        <v>1465</v>
      </c>
      <c r="E1468" t="b">
        <f>IF(COUNTIF(D1468,"*"&amp;'Keyword Search'!$C$5&amp;"*"),TRUE,FALSE)</f>
        <v>1</v>
      </c>
      <c r="G1468" t="str">
        <f t="shared" si="92"/>
        <v>200-19: Disposable Clothing (See Class 475 for Hospital Type)</v>
      </c>
    </row>
    <row r="1469" spans="1:7" x14ac:dyDescent="0.25">
      <c r="A1469" s="1" t="str">
        <f t="shared" si="95"/>
        <v>200</v>
      </c>
      <c r="B1469" s="1" t="str">
        <f>TEXT(25,"00")</f>
        <v>25</v>
      </c>
      <c r="C1469" s="1" t="str">
        <f t="shared" si="91"/>
        <v>200-25</v>
      </c>
      <c r="D1469" t="s">
        <v>1466</v>
      </c>
      <c r="E1469" t="b">
        <f>IF(COUNTIF(D1469,"*"&amp;'Keyword Search'!$C$5&amp;"*"),TRUE,FALSE)</f>
        <v>1</v>
      </c>
      <c r="G1469" t="str">
        <f t="shared" si="92"/>
        <v>200-25: Dresses, Skirts, Blouses</v>
      </c>
    </row>
    <row r="1470" spans="1:7" x14ac:dyDescent="0.25">
      <c r="A1470" s="1" t="str">
        <f t="shared" si="95"/>
        <v>200</v>
      </c>
      <c r="B1470" s="1" t="str">
        <f>TEXT(26,"00")</f>
        <v>26</v>
      </c>
      <c r="C1470" s="1" t="str">
        <f t="shared" si="91"/>
        <v>200-26</v>
      </c>
      <c r="D1470" t="s">
        <v>1467</v>
      </c>
      <c r="E1470" t="b">
        <f>IF(COUNTIF(D1470,"*"&amp;'Keyword Search'!$C$5&amp;"*"),TRUE,FALSE)</f>
        <v>1</v>
      </c>
      <c r="G1470" t="str">
        <f t="shared" si="92"/>
        <v>200-26: Food Service Clothing</v>
      </c>
    </row>
    <row r="1471" spans="1:7" x14ac:dyDescent="0.25">
      <c r="A1471" s="1" t="str">
        <f t="shared" si="95"/>
        <v>200</v>
      </c>
      <c r="B1471" s="1" t="str">
        <f>TEXT(27,"00")</f>
        <v>27</v>
      </c>
      <c r="C1471" s="1" t="str">
        <f t="shared" si="91"/>
        <v>200-27</v>
      </c>
      <c r="D1471" t="s">
        <v>1468</v>
      </c>
      <c r="E1471" t="b">
        <f>IF(COUNTIF(D1471,"*"&amp;'Keyword Search'!$C$5&amp;"*"),TRUE,FALSE)</f>
        <v>1</v>
      </c>
      <c r="G1471" t="str">
        <f t="shared" si="92"/>
        <v>200-27: Folkloric Clothing</v>
      </c>
    </row>
    <row r="1472" spans="1:7" x14ac:dyDescent="0.25">
      <c r="A1472" s="1" t="str">
        <f t="shared" si="95"/>
        <v>200</v>
      </c>
      <c r="B1472" s="1" t="str">
        <f>TEXT(28,"00")</f>
        <v>28</v>
      </c>
      <c r="C1472" s="1" t="str">
        <f t="shared" si="91"/>
        <v>200-28</v>
      </c>
      <c r="D1472" t="s">
        <v>1469</v>
      </c>
      <c r="E1472" t="b">
        <f>IF(COUNTIF(D1472,"*"&amp;'Keyword Search'!$C$5&amp;"*"),TRUE,FALSE)</f>
        <v>1</v>
      </c>
      <c r="G1472" t="str">
        <f t="shared" si="92"/>
        <v>200-28: Formal Clothing: Tuxedos, Formal Gowns, etc.</v>
      </c>
    </row>
    <row r="1473" spans="1:7" x14ac:dyDescent="0.25">
      <c r="A1473" s="1" t="str">
        <f t="shared" si="95"/>
        <v>200</v>
      </c>
      <c r="B1473" s="1" t="str">
        <f>TEXT(31,"00")</f>
        <v>31</v>
      </c>
      <c r="C1473" s="1" t="str">
        <f t="shared" si="91"/>
        <v>200-31</v>
      </c>
      <c r="D1473" t="s">
        <v>1470</v>
      </c>
      <c r="E1473" t="b">
        <f>IF(COUNTIF(D1473,"*"&amp;'Keyword Search'!$C$5&amp;"*"),TRUE,FALSE)</f>
        <v>1</v>
      </c>
      <c r="G1473" t="str">
        <f t="shared" si="92"/>
        <v>200-31: Hazardous Environment Clothing</v>
      </c>
    </row>
    <row r="1474" spans="1:7" x14ac:dyDescent="0.25">
      <c r="A1474" s="1" t="str">
        <f t="shared" si="95"/>
        <v>200</v>
      </c>
      <c r="B1474" s="1" t="str">
        <f>TEXT(32,"00")</f>
        <v>32</v>
      </c>
      <c r="C1474" s="1" t="str">
        <f t="shared" si="91"/>
        <v>200-32</v>
      </c>
      <c r="D1474" t="s">
        <v>1471</v>
      </c>
      <c r="E1474" t="b">
        <f>IF(COUNTIF(D1474,"*"&amp;'Keyword Search'!$C$5&amp;"*"),TRUE,FALSE)</f>
        <v>1</v>
      </c>
      <c r="G1474" t="str">
        <f t="shared" si="92"/>
        <v>200-32: Hospital Wear, Patient</v>
      </c>
    </row>
    <row r="1475" spans="1:7" x14ac:dyDescent="0.25">
      <c r="A1475" s="1" t="str">
        <f t="shared" si="95"/>
        <v>200</v>
      </c>
      <c r="B1475" s="1" t="str">
        <f>TEXT(34,"00")</f>
        <v>34</v>
      </c>
      <c r="C1475" s="1" t="str">
        <f t="shared" ref="C1475:C1538" si="96">CONCATENATE(A1475,"-",B1475)</f>
        <v>200-34</v>
      </c>
      <c r="D1475" t="s">
        <v>1472</v>
      </c>
      <c r="E1475" t="b">
        <f>IF(COUNTIF(D1475,"*"&amp;'Keyword Search'!$C$5&amp;"*"),TRUE,FALSE)</f>
        <v>1</v>
      </c>
      <c r="G1475" t="str">
        <f t="shared" si="92"/>
        <v>200-34: Hospital Wear, Professional</v>
      </c>
    </row>
    <row r="1476" spans="1:7" x14ac:dyDescent="0.25">
      <c r="A1476" s="1" t="str">
        <f t="shared" si="95"/>
        <v>200</v>
      </c>
      <c r="B1476" s="1" t="str">
        <f>TEXT(36,"00")</f>
        <v>36</v>
      </c>
      <c r="C1476" s="1" t="str">
        <f t="shared" si="96"/>
        <v>200-36</v>
      </c>
      <c r="D1476" t="s">
        <v>1473</v>
      </c>
      <c r="E1476" t="b">
        <f>IF(COUNTIF(D1476,"*"&amp;'Keyword Search'!$C$5&amp;"*"),TRUE,FALSE)</f>
        <v>1</v>
      </c>
      <c r="G1476" t="str">
        <f t="shared" ref="G1476:G1539" si="97">CONCATENATE(C1476,": ",D1476)</f>
        <v>200-36: Infant Apparel, Including Booties and Shoes</v>
      </c>
    </row>
    <row r="1477" spans="1:7" x14ac:dyDescent="0.25">
      <c r="A1477" s="1" t="str">
        <f t="shared" si="95"/>
        <v>200</v>
      </c>
      <c r="B1477" s="1" t="str">
        <f>TEXT(38,"00")</f>
        <v>38</v>
      </c>
      <c r="C1477" s="1" t="str">
        <f t="shared" si="96"/>
        <v>200-38</v>
      </c>
      <c r="D1477" t="s">
        <v>1474</v>
      </c>
      <c r="E1477" t="b">
        <f>IF(COUNTIF(D1477,"*"&amp;'Keyword Search'!$C$5&amp;"*"),TRUE,FALSE)</f>
        <v>1</v>
      </c>
      <c r="G1477" t="str">
        <f t="shared" si="97"/>
        <v>200-38: Insulated Clothing</v>
      </c>
    </row>
    <row r="1478" spans="1:7" x14ac:dyDescent="0.25">
      <c r="A1478" s="1" t="str">
        <f t="shared" si="95"/>
        <v>200</v>
      </c>
      <c r="B1478" s="1" t="str">
        <f>TEXT(40,"00")</f>
        <v>40</v>
      </c>
      <c r="C1478" s="1" t="str">
        <f t="shared" si="96"/>
        <v>200-40</v>
      </c>
      <c r="D1478" t="s">
        <v>1475</v>
      </c>
      <c r="E1478" t="b">
        <f>IF(COUNTIF(D1478,"*"&amp;'Keyword Search'!$C$5&amp;"*"),TRUE,FALSE)</f>
        <v>1</v>
      </c>
      <c r="G1478" t="str">
        <f t="shared" si="97"/>
        <v>200-40: Laboratory Clothing, All Kinds (See 175-03 for Aprons and Gloves)</v>
      </c>
    </row>
    <row r="1479" spans="1:7" x14ac:dyDescent="0.25">
      <c r="A1479" s="1" t="str">
        <f t="shared" si="95"/>
        <v>200</v>
      </c>
      <c r="B1479" s="1" t="str">
        <f>TEXT(42,"00")</f>
        <v>42</v>
      </c>
      <c r="C1479" s="1" t="str">
        <f t="shared" si="96"/>
        <v>200-42</v>
      </c>
      <c r="D1479" t="s">
        <v>1476</v>
      </c>
      <c r="E1479" t="b">
        <f>IF(COUNTIF(D1479,"*"&amp;'Keyword Search'!$C$5&amp;"*"),TRUE,FALSE)</f>
        <v>1</v>
      </c>
      <c r="G1479" t="str">
        <f t="shared" si="97"/>
        <v>200-42: Maternity Clothing</v>
      </c>
    </row>
    <row r="1480" spans="1:7" x14ac:dyDescent="0.25">
      <c r="A1480" s="1" t="str">
        <f t="shared" si="95"/>
        <v>200</v>
      </c>
      <c r="B1480" s="1" t="str">
        <f>TEXT(44,"00")</f>
        <v>44</v>
      </c>
      <c r="C1480" s="1" t="str">
        <f t="shared" si="96"/>
        <v>200-44</v>
      </c>
      <c r="D1480" t="s">
        <v>1477</v>
      </c>
      <c r="E1480" t="b">
        <f>IF(COUNTIF(D1480,"*"&amp;'Keyword Search'!$C$5&amp;"*"),TRUE,FALSE)</f>
        <v>1</v>
      </c>
      <c r="G1480" t="str">
        <f t="shared" si="97"/>
        <v>200-44: Pants, Slacks, Trousers, Shorts, Jeans, etc.</v>
      </c>
    </row>
    <row r="1481" spans="1:7" x14ac:dyDescent="0.25">
      <c r="A1481" s="1" t="str">
        <f t="shared" si="95"/>
        <v>200</v>
      </c>
      <c r="B1481" s="1" t="str">
        <f>TEXT(45,"00")</f>
        <v>45</v>
      </c>
      <c r="C1481" s="1" t="str">
        <f t="shared" si="96"/>
        <v>200-45</v>
      </c>
      <c r="D1481" t="s">
        <v>1478</v>
      </c>
      <c r="E1481" t="b">
        <f>IF(COUNTIF(D1481,"*"&amp;'Keyword Search'!$C$5&amp;"*"),TRUE,FALSE)</f>
        <v>1</v>
      </c>
      <c r="G1481" t="str">
        <f t="shared" si="97"/>
        <v>200-45: Party Wear</v>
      </c>
    </row>
    <row r="1482" spans="1:7" x14ac:dyDescent="0.25">
      <c r="A1482" s="1" t="str">
        <f t="shared" si="95"/>
        <v>200</v>
      </c>
      <c r="B1482" s="1" t="str">
        <f>TEXT(49,"00")</f>
        <v>49</v>
      </c>
      <c r="C1482" s="1" t="str">
        <f t="shared" si="96"/>
        <v>200-49</v>
      </c>
      <c r="D1482" t="s">
        <v>1479</v>
      </c>
      <c r="E1482" t="b">
        <f>IF(COUNTIF(D1482,"*"&amp;'Keyword Search'!$C$5&amp;"*"),TRUE,FALSE)</f>
        <v>1</v>
      </c>
      <c r="G1482" t="str">
        <f t="shared" si="97"/>
        <v>200-49: Inmate Clothing</v>
      </c>
    </row>
    <row r="1483" spans="1:7" x14ac:dyDescent="0.25">
      <c r="A1483" s="1" t="str">
        <f t="shared" si="95"/>
        <v>200</v>
      </c>
      <c r="B1483" s="1" t="str">
        <f>TEXT(56,"00")</f>
        <v>56</v>
      </c>
      <c r="C1483" s="1" t="str">
        <f t="shared" si="96"/>
        <v>200-56</v>
      </c>
      <c r="D1483" t="s">
        <v>1480</v>
      </c>
      <c r="E1483" t="b">
        <f>IF(COUNTIF(D1483,"*"&amp;'Keyword Search'!$C$5&amp;"*"),TRUE,FALSE)</f>
        <v>1</v>
      </c>
      <c r="G1483" t="str">
        <f t="shared" si="97"/>
        <v>200-56: Recycled Clothing</v>
      </c>
    </row>
    <row r="1484" spans="1:7" x14ac:dyDescent="0.25">
      <c r="A1484" s="1" t="str">
        <f t="shared" si="95"/>
        <v>200</v>
      </c>
      <c r="B1484" s="1" t="str">
        <f>TEXT(70,"00")</f>
        <v>70</v>
      </c>
      <c r="C1484" s="1" t="str">
        <f t="shared" si="96"/>
        <v>200-70</v>
      </c>
      <c r="D1484" t="s">
        <v>1481</v>
      </c>
      <c r="E1484" t="b">
        <f>IF(COUNTIF(D1484,"*"&amp;'Keyword Search'!$C$5&amp;"*"),TRUE,FALSE)</f>
        <v>1</v>
      </c>
      <c r="G1484" t="str">
        <f t="shared" si="97"/>
        <v>200-70: Shirts, Dress and Casual</v>
      </c>
    </row>
    <row r="1485" spans="1:7" x14ac:dyDescent="0.25">
      <c r="A1485" s="1" t="str">
        <f t="shared" si="95"/>
        <v>200</v>
      </c>
      <c r="B1485" s="1" t="str">
        <f>TEXT(74,"00")</f>
        <v>74</v>
      </c>
      <c r="C1485" s="1" t="str">
        <f t="shared" si="96"/>
        <v>200-74</v>
      </c>
      <c r="D1485" t="s">
        <v>1482</v>
      </c>
      <c r="E1485" t="b">
        <f>IF(COUNTIF(D1485,"*"&amp;'Keyword Search'!$C$5&amp;"*"),TRUE,FALSE)</f>
        <v>1</v>
      </c>
      <c r="G1485" t="str">
        <f t="shared" si="97"/>
        <v>200-74: Silk Screened and Embroidered Clothing and Apparel</v>
      </c>
    </row>
    <row r="1486" spans="1:7" x14ac:dyDescent="0.25">
      <c r="A1486" s="1" t="str">
        <f t="shared" si="95"/>
        <v>200</v>
      </c>
      <c r="B1486" s="1" t="str">
        <f>TEXT(76,"00")</f>
        <v>76</v>
      </c>
      <c r="C1486" s="1" t="str">
        <f t="shared" si="96"/>
        <v>200-76</v>
      </c>
      <c r="D1486" t="s">
        <v>1483</v>
      </c>
      <c r="E1486" t="b">
        <f>IF(COUNTIF(D1486,"*"&amp;'Keyword Search'!$C$5&amp;"*"),TRUE,FALSE)</f>
        <v>1</v>
      </c>
      <c r="G1486" t="str">
        <f t="shared" si="97"/>
        <v>200-76: Suits: Dress and Casual</v>
      </c>
    </row>
    <row r="1487" spans="1:7" x14ac:dyDescent="0.25">
      <c r="A1487" s="1" t="str">
        <f t="shared" si="95"/>
        <v>200</v>
      </c>
      <c r="B1487" s="1" t="str">
        <f>TEXT(78,"00")</f>
        <v>78</v>
      </c>
      <c r="C1487" s="1" t="str">
        <f t="shared" si="96"/>
        <v>200-78</v>
      </c>
      <c r="D1487" t="s">
        <v>1484</v>
      </c>
      <c r="E1487" t="b">
        <f>IF(COUNTIF(D1487,"*"&amp;'Keyword Search'!$C$5&amp;"*"),TRUE,FALSE)</f>
        <v>1</v>
      </c>
      <c r="G1487" t="str">
        <f t="shared" si="97"/>
        <v>200-78: Sweaters</v>
      </c>
    </row>
    <row r="1488" spans="1:7" x14ac:dyDescent="0.25">
      <c r="A1488" s="1" t="str">
        <f t="shared" si="95"/>
        <v>200</v>
      </c>
      <c r="B1488" s="1" t="str">
        <f>TEXT(79,"00")</f>
        <v>79</v>
      </c>
      <c r="C1488" s="1" t="str">
        <f t="shared" si="96"/>
        <v>200-79</v>
      </c>
      <c r="D1488" t="s">
        <v>1485</v>
      </c>
      <c r="E1488" t="b">
        <f>IF(COUNTIF(D1488,"*"&amp;'Keyword Search'!$C$5&amp;"*"),TRUE,FALSE)</f>
        <v>1</v>
      </c>
      <c r="G1488" t="str">
        <f t="shared" si="97"/>
        <v>200-79: Swimwear</v>
      </c>
    </row>
    <row r="1489" spans="1:7" x14ac:dyDescent="0.25">
      <c r="A1489" s="1" t="str">
        <f t="shared" si="95"/>
        <v>200</v>
      </c>
      <c r="B1489" s="1" t="str">
        <f>TEXT(85,"00")</f>
        <v>85</v>
      </c>
      <c r="C1489" s="1" t="str">
        <f t="shared" si="96"/>
        <v>200-85</v>
      </c>
      <c r="D1489" t="s">
        <v>1486</v>
      </c>
      <c r="E1489" t="b">
        <f>IF(COUNTIF(D1489,"*"&amp;'Keyword Search'!$C$5&amp;"*"),TRUE,FALSE)</f>
        <v>1</v>
      </c>
      <c r="G1489" t="str">
        <f t="shared" si="97"/>
        <v>200-85: Uniforms, Blended Fabric</v>
      </c>
    </row>
    <row r="1490" spans="1:7" x14ac:dyDescent="0.25">
      <c r="A1490" s="1" t="str">
        <f t="shared" si="95"/>
        <v>200</v>
      </c>
      <c r="B1490" s="1" t="str">
        <f>TEXT(86,"00")</f>
        <v>86</v>
      </c>
      <c r="C1490" s="1" t="str">
        <f t="shared" si="96"/>
        <v>200-86</v>
      </c>
      <c r="D1490" t="s">
        <v>1487</v>
      </c>
      <c r="E1490" t="b">
        <f>IF(COUNTIF(D1490,"*"&amp;'Keyword Search'!$C$5&amp;"*"),TRUE,FALSE)</f>
        <v>1</v>
      </c>
      <c r="G1490" t="str">
        <f t="shared" si="97"/>
        <v>200-86: Uniforms, Cotton</v>
      </c>
    </row>
    <row r="1491" spans="1:7" x14ac:dyDescent="0.25">
      <c r="A1491" s="1" t="str">
        <f t="shared" si="95"/>
        <v>200</v>
      </c>
      <c r="B1491" s="1" t="str">
        <f>TEXT(87,"00")</f>
        <v>87</v>
      </c>
      <c r="C1491" s="1" t="str">
        <f t="shared" si="96"/>
        <v>200-87</v>
      </c>
      <c r="D1491" t="s">
        <v>1488</v>
      </c>
      <c r="E1491" t="b">
        <f>IF(COUNTIF(D1491,"*"&amp;'Keyword Search'!$C$5&amp;"*"),TRUE,FALSE)</f>
        <v>1</v>
      </c>
      <c r="G1491" t="str">
        <f t="shared" si="97"/>
        <v>200-87: Uniforms, Synthetic Fabric</v>
      </c>
    </row>
    <row r="1492" spans="1:7" x14ac:dyDescent="0.25">
      <c r="A1492" s="1" t="str">
        <f t="shared" si="95"/>
        <v>200</v>
      </c>
      <c r="B1492" s="1" t="str">
        <f>TEXT(88,"00")</f>
        <v>88</v>
      </c>
      <c r="C1492" s="1" t="str">
        <f t="shared" si="96"/>
        <v>200-88</v>
      </c>
      <c r="D1492" t="s">
        <v>1489</v>
      </c>
      <c r="E1492" t="b">
        <f>IF(COUNTIF(D1492,"*"&amp;'Keyword Search'!$C$5&amp;"*"),TRUE,FALSE)</f>
        <v>1</v>
      </c>
      <c r="G1492" t="str">
        <f t="shared" si="97"/>
        <v>200-88: Uniforms, Wool and Woolen Blends</v>
      </c>
    </row>
    <row r="1493" spans="1:7" x14ac:dyDescent="0.25">
      <c r="A1493" s="1" t="str">
        <f t="shared" si="95"/>
        <v>200</v>
      </c>
      <c r="B1493" s="1" t="str">
        <f>TEXT(90,"00")</f>
        <v>90</v>
      </c>
      <c r="C1493" s="1" t="str">
        <f t="shared" si="96"/>
        <v>200-90</v>
      </c>
      <c r="D1493" t="s">
        <v>1490</v>
      </c>
      <c r="E1493" t="b">
        <f>IF(COUNTIF(D1493,"*"&amp;'Keyword Search'!$C$5&amp;"*"),TRUE,FALSE)</f>
        <v>1</v>
      </c>
      <c r="G1493" t="str">
        <f t="shared" si="97"/>
        <v>200-90: Waistcoats</v>
      </c>
    </row>
    <row r="1494" spans="1:7" x14ac:dyDescent="0.25">
      <c r="A1494" s="1" t="str">
        <f t="shared" si="95"/>
        <v>200</v>
      </c>
      <c r="B1494" s="1" t="str">
        <f>TEXT(91,"00")</f>
        <v>91</v>
      </c>
      <c r="C1494" s="1" t="str">
        <f t="shared" si="96"/>
        <v>200-91</v>
      </c>
      <c r="D1494" t="s">
        <v>1491</v>
      </c>
      <c r="E1494" t="b">
        <f>IF(COUNTIF(D1494,"*"&amp;'Keyword Search'!$C$5&amp;"*"),TRUE,FALSE)</f>
        <v>1</v>
      </c>
      <c r="G1494" t="str">
        <f t="shared" si="97"/>
        <v>200-91: Uniforms, Arc Rated for Electrical Work</v>
      </c>
    </row>
    <row r="1495" spans="1:7" x14ac:dyDescent="0.25">
      <c r="A1495" s="1" t="str">
        <f t="shared" si="95"/>
        <v>200</v>
      </c>
      <c r="B1495" s="1" t="str">
        <f>TEXT(92,"00")</f>
        <v>92</v>
      </c>
      <c r="C1495" s="1" t="str">
        <f t="shared" si="96"/>
        <v>200-92</v>
      </c>
      <c r="D1495" t="s">
        <v>1492</v>
      </c>
      <c r="E1495" t="b">
        <f>IF(COUNTIF(D1495,"*"&amp;'Keyword Search'!$C$5&amp;"*"),TRUE,FALSE)</f>
        <v>1</v>
      </c>
      <c r="G1495" t="str">
        <f t="shared" si="97"/>
        <v>200-92: Work Clothes</v>
      </c>
    </row>
    <row r="1496" spans="1:7" x14ac:dyDescent="0.25">
      <c r="A1496" s="5" t="str">
        <f t="shared" ref="A1496:A1525" si="98">TEXT(201,"000")</f>
        <v>201</v>
      </c>
      <c r="B1496" s="5" t="str">
        <f>TEXT(0,"00")</f>
        <v>00</v>
      </c>
      <c r="C1496" s="1"/>
      <c r="D1496" s="2" t="s">
        <v>1493</v>
      </c>
    </row>
    <row r="1497" spans="1:7" x14ac:dyDescent="0.25">
      <c r="A1497" s="1" t="str">
        <f t="shared" si="98"/>
        <v>201</v>
      </c>
      <c r="B1497" s="1" t="str">
        <f>TEXT(13,"00")</f>
        <v>13</v>
      </c>
      <c r="C1497" s="1" t="str">
        <f t="shared" si="96"/>
        <v>201-13</v>
      </c>
      <c r="D1497" t="s">
        <v>1494</v>
      </c>
      <c r="E1497" t="b">
        <f>IF(COUNTIF(D1497,"*"&amp;'Keyword Search'!$C$5&amp;"*"),TRUE,FALSE)</f>
        <v>1</v>
      </c>
      <c r="G1497" t="str">
        <f t="shared" si="97"/>
        <v>201-13: Aprons, Bibs, Smocks, Non-disposable (See 200-32,34 for Hospital type)</v>
      </c>
    </row>
    <row r="1498" spans="1:7" x14ac:dyDescent="0.25">
      <c r="A1498" s="1" t="str">
        <f t="shared" si="98"/>
        <v>201</v>
      </c>
      <c r="B1498" s="1" t="str">
        <f>TEXT(17,"00")</f>
        <v>17</v>
      </c>
      <c r="C1498" s="1" t="str">
        <f t="shared" si="96"/>
        <v>201-17</v>
      </c>
      <c r="D1498" t="s">
        <v>1495</v>
      </c>
      <c r="E1498" t="b">
        <f>IF(COUNTIF(D1498,"*"&amp;'Keyword Search'!$C$5&amp;"*"),TRUE,FALSE)</f>
        <v>1</v>
      </c>
      <c r="G1498" t="str">
        <f t="shared" si="97"/>
        <v>201-17: Bags, Clothing</v>
      </c>
    </row>
    <row r="1499" spans="1:7" x14ac:dyDescent="0.25">
      <c r="A1499" s="1" t="str">
        <f t="shared" si="98"/>
        <v>201</v>
      </c>
      <c r="B1499" s="1" t="str">
        <f>TEXT(19,"00")</f>
        <v>19</v>
      </c>
      <c r="C1499" s="1" t="str">
        <f t="shared" si="96"/>
        <v>201-19</v>
      </c>
      <c r="D1499" t="s">
        <v>1496</v>
      </c>
      <c r="E1499" t="b">
        <f>IF(COUNTIF(D1499,"*"&amp;'Keyword Search'!$C$5&amp;"*"),TRUE,FALSE)</f>
        <v>1</v>
      </c>
      <c r="G1499" t="str">
        <f t="shared" si="97"/>
        <v>201-19: Bandanas, Handkerchiefs, Ties, etc.</v>
      </c>
    </row>
    <row r="1500" spans="1:7" x14ac:dyDescent="0.25">
      <c r="A1500" s="1" t="str">
        <f t="shared" si="98"/>
        <v>201</v>
      </c>
      <c r="B1500" s="1" t="str">
        <f>TEXT(20,"00")</f>
        <v>20</v>
      </c>
      <c r="C1500" s="1" t="str">
        <f t="shared" si="96"/>
        <v>201-20</v>
      </c>
      <c r="D1500" t="s">
        <v>1497</v>
      </c>
      <c r="E1500" t="b">
        <f>IF(COUNTIF(D1500,"*"&amp;'Keyword Search'!$C$5&amp;"*"),TRUE,FALSE)</f>
        <v>1</v>
      </c>
      <c r="G1500" t="str">
        <f t="shared" si="97"/>
        <v>201-20: Bands: Arm, Hat, Head, Sweat, etc.</v>
      </c>
    </row>
    <row r="1501" spans="1:7" x14ac:dyDescent="0.25">
      <c r="A1501" s="1" t="str">
        <f t="shared" si="98"/>
        <v>201</v>
      </c>
      <c r="B1501" s="1" t="str">
        <f>TEXT(25,"00")</f>
        <v>25</v>
      </c>
      <c r="C1501" s="1" t="str">
        <f t="shared" si="96"/>
        <v>201-25</v>
      </c>
      <c r="D1501" t="s">
        <v>1498</v>
      </c>
      <c r="E1501" t="b">
        <f>IF(COUNTIF(D1501,"*"&amp;'Keyword Search'!$C$5&amp;"*"),TRUE,FALSE)</f>
        <v>1</v>
      </c>
      <c r="G1501" t="str">
        <f t="shared" si="97"/>
        <v>201-25: Belts and Suspenders</v>
      </c>
    </row>
    <row r="1502" spans="1:7" x14ac:dyDescent="0.25">
      <c r="A1502" s="1" t="str">
        <f t="shared" si="98"/>
        <v>201</v>
      </c>
      <c r="B1502" s="1" t="str">
        <f>TEXT(27,"00")</f>
        <v>27</v>
      </c>
      <c r="C1502" s="1" t="str">
        <f t="shared" si="96"/>
        <v>201-27</v>
      </c>
      <c r="D1502" t="s">
        <v>1499</v>
      </c>
      <c r="E1502" t="b">
        <f>IF(COUNTIF(D1502,"*"&amp;'Keyword Search'!$C$5&amp;"*"),TRUE,FALSE)</f>
        <v>1</v>
      </c>
      <c r="G1502" t="str">
        <f t="shared" si="97"/>
        <v>201-27: Brushes, Clothes</v>
      </c>
    </row>
    <row r="1503" spans="1:7" x14ac:dyDescent="0.25">
      <c r="A1503" s="1" t="str">
        <f t="shared" si="98"/>
        <v>201</v>
      </c>
      <c r="B1503" s="1" t="str">
        <f>TEXT(30,"00")</f>
        <v>30</v>
      </c>
      <c r="C1503" s="1" t="str">
        <f t="shared" si="96"/>
        <v>201-30</v>
      </c>
      <c r="D1503" t="s">
        <v>1500</v>
      </c>
      <c r="E1503" t="b">
        <f>IF(COUNTIF(D1503,"*"&amp;'Keyword Search'!$C$5&amp;"*"),TRUE,FALSE)</f>
        <v>1</v>
      </c>
      <c r="G1503" t="str">
        <f t="shared" si="97"/>
        <v>201-30: Caps, All Types, Except Disposable and Hospital Types</v>
      </c>
    </row>
    <row r="1504" spans="1:7" x14ac:dyDescent="0.25">
      <c r="A1504" s="1" t="str">
        <f t="shared" si="98"/>
        <v>201</v>
      </c>
      <c r="B1504" s="1" t="str">
        <f>TEXT(37,"00")</f>
        <v>37</v>
      </c>
      <c r="C1504" s="1" t="str">
        <f t="shared" si="96"/>
        <v>201-37</v>
      </c>
      <c r="D1504" t="s">
        <v>1501</v>
      </c>
      <c r="E1504" t="b">
        <f>IF(COUNTIF(D1504,"*"&amp;'Keyword Search'!$C$5&amp;"*"),TRUE,FALSE)</f>
        <v>1</v>
      </c>
      <c r="G1504" t="str">
        <f t="shared" si="97"/>
        <v>201-37: Emblems, Braids, Buttons, and Patches For Caps and Uniforms, Including Chevrons, Epaulettes and Shoulder Boards</v>
      </c>
    </row>
    <row r="1505" spans="1:7" x14ac:dyDescent="0.25">
      <c r="A1505" s="1" t="str">
        <f t="shared" si="98"/>
        <v>201</v>
      </c>
      <c r="B1505" s="1" t="str">
        <f>TEXT(39,"00")</f>
        <v>39</v>
      </c>
      <c r="C1505" s="1" t="str">
        <f t="shared" si="96"/>
        <v>201-39</v>
      </c>
      <c r="D1505" t="s">
        <v>1502</v>
      </c>
      <c r="E1505" t="b">
        <f>IF(COUNTIF(D1505,"*"&amp;'Keyword Search'!$C$5&amp;"*"),TRUE,FALSE)</f>
        <v>1</v>
      </c>
      <c r="G1505" t="str">
        <f t="shared" si="97"/>
        <v>201-39: Gloves, Cloth Type, All Types</v>
      </c>
    </row>
    <row r="1506" spans="1:7" x14ac:dyDescent="0.25">
      <c r="A1506" s="1" t="str">
        <f t="shared" si="98"/>
        <v>201</v>
      </c>
      <c r="B1506" s="1" t="str">
        <f>TEXT(40,"00")</f>
        <v>40</v>
      </c>
      <c r="C1506" s="1" t="str">
        <f t="shared" si="96"/>
        <v>201-40</v>
      </c>
      <c r="D1506" t="s">
        <v>1503</v>
      </c>
      <c r="E1506" t="b">
        <f>IF(COUNTIF(D1506,"*"&amp;'Keyword Search'!$C$5&amp;"*"),TRUE,FALSE)</f>
        <v>1</v>
      </c>
      <c r="G1506" t="str">
        <f t="shared" si="97"/>
        <v>201-40: Gloves, Cowhide and Leather, All Types</v>
      </c>
    </row>
    <row r="1507" spans="1:7" x14ac:dyDescent="0.25">
      <c r="A1507" s="1" t="str">
        <f t="shared" si="98"/>
        <v>201</v>
      </c>
      <c r="B1507" s="1" t="str">
        <f>TEXT(41,"00")</f>
        <v>41</v>
      </c>
      <c r="C1507" s="1" t="str">
        <f t="shared" si="96"/>
        <v>201-41</v>
      </c>
      <c r="D1507" t="s">
        <v>1504</v>
      </c>
      <c r="E1507" t="b">
        <f>IF(COUNTIF(D1507,"*"&amp;'Keyword Search'!$C$5&amp;"*"),TRUE,FALSE)</f>
        <v>1</v>
      </c>
      <c r="G1507" t="str">
        <f t="shared" si="97"/>
        <v>201-41: Gloves, Neoprene and Rubber, All Types</v>
      </c>
    </row>
    <row r="1508" spans="1:7" x14ac:dyDescent="0.25">
      <c r="A1508" s="1" t="str">
        <f t="shared" si="98"/>
        <v>201</v>
      </c>
      <c r="B1508" s="1" t="str">
        <f>TEXT(42,"00")</f>
        <v>42</v>
      </c>
      <c r="C1508" s="1" t="str">
        <f t="shared" si="96"/>
        <v>201-42</v>
      </c>
      <c r="D1508" t="s">
        <v>1505</v>
      </c>
      <c r="E1508" t="b">
        <f>IF(COUNTIF(D1508,"*"&amp;'Keyword Search'!$C$5&amp;"*"),TRUE,FALSE)</f>
        <v>1</v>
      </c>
      <c r="G1508" t="str">
        <f t="shared" si="97"/>
        <v>201-42: Gloves: Latex, Plastic, PVC, Poly, Synthetic, Vinyl, etc., All Types</v>
      </c>
    </row>
    <row r="1509" spans="1:7" x14ac:dyDescent="0.25">
      <c r="A1509" s="1" t="str">
        <f t="shared" si="98"/>
        <v>201</v>
      </c>
      <c r="B1509" s="1" t="str">
        <f>TEXT(45,"00")</f>
        <v>45</v>
      </c>
      <c r="C1509" s="1" t="str">
        <f t="shared" si="96"/>
        <v>201-45</v>
      </c>
      <c r="D1509" t="s">
        <v>1506</v>
      </c>
      <c r="E1509" t="b">
        <f>IF(COUNTIF(D1509,"*"&amp;'Keyword Search'!$C$5&amp;"*"),TRUE,FALSE)</f>
        <v>1</v>
      </c>
      <c r="G1509" t="str">
        <f t="shared" si="97"/>
        <v>201-45: Hats, Felt</v>
      </c>
    </row>
    <row r="1510" spans="1:7" x14ac:dyDescent="0.25">
      <c r="A1510" s="1" t="str">
        <f t="shared" si="98"/>
        <v>201</v>
      </c>
      <c r="B1510" s="1" t="str">
        <f>TEXT(46,"00")</f>
        <v>46</v>
      </c>
      <c r="C1510" s="1" t="str">
        <f t="shared" si="96"/>
        <v>201-46</v>
      </c>
      <c r="D1510" t="s">
        <v>1507</v>
      </c>
      <c r="E1510" t="b">
        <f>IF(COUNTIF(D1510,"*"&amp;'Keyword Search'!$C$5&amp;"*"),TRUE,FALSE)</f>
        <v>1</v>
      </c>
      <c r="G1510" t="str">
        <f t="shared" si="97"/>
        <v>201-46: Hats, Straw</v>
      </c>
    </row>
    <row r="1511" spans="1:7" x14ac:dyDescent="0.25">
      <c r="A1511" s="1" t="str">
        <f t="shared" si="98"/>
        <v>201</v>
      </c>
      <c r="B1511" s="1" t="str">
        <f>TEXT(47,"00")</f>
        <v>47</v>
      </c>
      <c r="C1511" s="1" t="str">
        <f t="shared" si="96"/>
        <v>201-47</v>
      </c>
      <c r="D1511" t="s">
        <v>1508</v>
      </c>
      <c r="E1511" t="b">
        <f>IF(COUNTIF(D1511,"*"&amp;'Keyword Search'!$C$5&amp;"*"),TRUE,FALSE)</f>
        <v>1</v>
      </c>
      <c r="G1511" t="str">
        <f t="shared" si="97"/>
        <v>201-47: Hats, Miscellaneous (See 201-65 for Rain Type and 345-56 for Safety Type)</v>
      </c>
    </row>
    <row r="1512" spans="1:7" x14ac:dyDescent="0.25">
      <c r="A1512" s="1" t="str">
        <f t="shared" si="98"/>
        <v>201</v>
      </c>
      <c r="B1512" s="1" t="str">
        <f>TEXT(49,"00")</f>
        <v>49</v>
      </c>
      <c r="C1512" s="1" t="str">
        <f t="shared" si="96"/>
        <v>201-49</v>
      </c>
      <c r="D1512" t="s">
        <v>1509</v>
      </c>
      <c r="E1512" t="b">
        <f>IF(COUNTIF(D1512,"*"&amp;'Keyword Search'!$C$5&amp;"*"),TRUE,FALSE)</f>
        <v>1</v>
      </c>
      <c r="G1512" t="str">
        <f t="shared" si="97"/>
        <v>201-49: Hoods, Mittens, Mufflers, Scarves, Warmers, etc., Cold Weather</v>
      </c>
    </row>
    <row r="1513" spans="1:7" x14ac:dyDescent="0.25">
      <c r="A1513" s="1" t="str">
        <f t="shared" si="98"/>
        <v>201</v>
      </c>
      <c r="B1513" s="1" t="str">
        <f>TEXT(51,"00")</f>
        <v>51</v>
      </c>
      <c r="C1513" s="1" t="str">
        <f t="shared" si="96"/>
        <v>201-51</v>
      </c>
      <c r="D1513" t="s">
        <v>1510</v>
      </c>
      <c r="E1513" t="b">
        <f>IF(COUNTIF(D1513,"*"&amp;'Keyword Search'!$C$5&amp;"*"),TRUE,FALSE)</f>
        <v>1</v>
      </c>
      <c r="G1513" t="str">
        <f t="shared" si="97"/>
        <v>201-51: Hosiery and Socks</v>
      </c>
    </row>
    <row r="1514" spans="1:7" x14ac:dyDescent="0.25">
      <c r="A1514" s="1" t="str">
        <f t="shared" si="98"/>
        <v>201</v>
      </c>
      <c r="B1514" s="1" t="str">
        <f>TEXT(55,"00")</f>
        <v>55</v>
      </c>
      <c r="C1514" s="1" t="str">
        <f t="shared" si="96"/>
        <v>201-55</v>
      </c>
      <c r="D1514" t="s">
        <v>1511</v>
      </c>
      <c r="E1514" t="b">
        <f>IF(COUNTIF(D1514,"*"&amp;'Keyword Search'!$C$5&amp;"*"),TRUE,FALSE)</f>
        <v>1</v>
      </c>
      <c r="G1514" t="str">
        <f t="shared" si="97"/>
        <v>201-55: Liners, Glove</v>
      </c>
    </row>
    <row r="1515" spans="1:7" x14ac:dyDescent="0.25">
      <c r="A1515" s="1" t="str">
        <f t="shared" si="98"/>
        <v>201</v>
      </c>
      <c r="B1515" s="1" t="str">
        <f>TEXT(58,"00")</f>
        <v>58</v>
      </c>
      <c r="C1515" s="1" t="str">
        <f t="shared" si="96"/>
        <v>201-58</v>
      </c>
      <c r="D1515" t="s">
        <v>1512</v>
      </c>
      <c r="E1515" t="b">
        <f>IF(COUNTIF(D1515,"*"&amp;'Keyword Search'!$C$5&amp;"*"),TRUE,FALSE)</f>
        <v>1</v>
      </c>
      <c r="G1515" t="str">
        <f t="shared" si="97"/>
        <v>201-58: Moth Balls</v>
      </c>
    </row>
    <row r="1516" spans="1:7" x14ac:dyDescent="0.25">
      <c r="A1516" s="1" t="str">
        <f t="shared" si="98"/>
        <v>201</v>
      </c>
      <c r="B1516" s="1" t="str">
        <f>TEXT(62,"00")</f>
        <v>62</v>
      </c>
      <c r="C1516" s="1" t="str">
        <f t="shared" si="96"/>
        <v>201-62</v>
      </c>
      <c r="D1516" t="s">
        <v>1513</v>
      </c>
      <c r="E1516" t="b">
        <f>IF(COUNTIF(D1516,"*"&amp;'Keyword Search'!$C$5&amp;"*"),TRUE,FALSE)</f>
        <v>1</v>
      </c>
      <c r="G1516" t="str">
        <f t="shared" si="97"/>
        <v>201-62: Pacifiers, etc. for Infants</v>
      </c>
    </row>
    <row r="1517" spans="1:7" x14ac:dyDescent="0.25">
      <c r="A1517" s="1" t="str">
        <f t="shared" si="98"/>
        <v>201</v>
      </c>
      <c r="B1517" s="1" t="str">
        <f>TEXT(65,"00")</f>
        <v>65</v>
      </c>
      <c r="C1517" s="1" t="str">
        <f t="shared" si="96"/>
        <v>201-65</v>
      </c>
      <c r="D1517" t="s">
        <v>1514</v>
      </c>
      <c r="E1517" t="b">
        <f>IF(COUNTIF(D1517,"*"&amp;'Keyword Search'!$C$5&amp;"*"),TRUE,FALSE)</f>
        <v>1</v>
      </c>
      <c r="G1517" t="str">
        <f t="shared" si="97"/>
        <v>201-65: Rainwear: Raincoats, Hats, Slicker Suits, Storm Suits, Umbrellas, etc.</v>
      </c>
    </row>
    <row r="1518" spans="1:7" x14ac:dyDescent="0.25">
      <c r="A1518" s="1" t="str">
        <f t="shared" si="98"/>
        <v>201</v>
      </c>
      <c r="B1518" s="1" t="str">
        <f>TEXT(66,"00")</f>
        <v>66</v>
      </c>
      <c r="C1518" s="1" t="str">
        <f t="shared" si="96"/>
        <v>201-66</v>
      </c>
      <c r="D1518" t="s">
        <v>1515</v>
      </c>
      <c r="E1518" t="b">
        <f>IF(COUNTIF(D1518,"*"&amp;'Keyword Search'!$C$5&amp;"*"),TRUE,FALSE)</f>
        <v>1</v>
      </c>
      <c r="G1518" t="str">
        <f t="shared" si="97"/>
        <v>201-66: Recycled Clothing Accessories</v>
      </c>
    </row>
    <row r="1519" spans="1:7" x14ac:dyDescent="0.25">
      <c r="A1519" s="1" t="str">
        <f t="shared" si="98"/>
        <v>201</v>
      </c>
      <c r="B1519" s="1" t="str">
        <f>TEXT(67,"00")</f>
        <v>67</v>
      </c>
      <c r="C1519" s="1" t="str">
        <f t="shared" si="96"/>
        <v>201-67</v>
      </c>
      <c r="D1519" t="s">
        <v>1516</v>
      </c>
      <c r="E1519" t="b">
        <f>IF(COUNTIF(D1519,"*"&amp;'Keyword Search'!$C$5&amp;"*"),TRUE,FALSE)</f>
        <v>1</v>
      </c>
      <c r="G1519" t="str">
        <f t="shared" si="97"/>
        <v>201-67: Robes, Caps, and Gowns, Choir and Graduation Types</v>
      </c>
    </row>
    <row r="1520" spans="1:7" x14ac:dyDescent="0.25">
      <c r="A1520" s="1" t="str">
        <f t="shared" si="98"/>
        <v>201</v>
      </c>
      <c r="B1520" s="1" t="str">
        <f>TEXT(73,"00")</f>
        <v>73</v>
      </c>
      <c r="C1520" s="1" t="str">
        <f t="shared" si="96"/>
        <v>201-73</v>
      </c>
      <c r="D1520" t="s">
        <v>1517</v>
      </c>
      <c r="E1520" t="b">
        <f>IF(COUNTIF(D1520,"*"&amp;'Keyword Search'!$C$5&amp;"*"),TRUE,FALSE)</f>
        <v>1</v>
      </c>
      <c r="G1520" t="str">
        <f t="shared" si="97"/>
        <v>201-73: Shower Accessories: Bath Robes, Caps, Shoes, Wraps, etc.</v>
      </c>
    </row>
    <row r="1521" spans="1:7" x14ac:dyDescent="0.25">
      <c r="A1521" s="1" t="str">
        <f t="shared" si="98"/>
        <v>201</v>
      </c>
      <c r="B1521" s="1" t="str">
        <f>TEXT(80,"00")</f>
        <v>80</v>
      </c>
      <c r="C1521" s="1" t="str">
        <f t="shared" si="96"/>
        <v>201-80</v>
      </c>
      <c r="D1521" t="s">
        <v>1518</v>
      </c>
      <c r="E1521" t="b">
        <f>IF(COUNTIF(D1521,"*"&amp;'Keyword Search'!$C$5&amp;"*"),TRUE,FALSE)</f>
        <v>1</v>
      </c>
      <c r="G1521" t="str">
        <f t="shared" si="97"/>
        <v>201-80: Tie Holders and Racks</v>
      </c>
    </row>
    <row r="1522" spans="1:7" x14ac:dyDescent="0.25">
      <c r="A1522" s="1" t="str">
        <f t="shared" si="98"/>
        <v>201</v>
      </c>
      <c r="B1522" s="1" t="str">
        <f>TEXT(86,"00")</f>
        <v>86</v>
      </c>
      <c r="C1522" s="1" t="str">
        <f t="shared" si="96"/>
        <v>201-86</v>
      </c>
      <c r="D1522" t="s">
        <v>1519</v>
      </c>
      <c r="E1522" t="b">
        <f>IF(COUNTIF(D1522,"*"&amp;'Keyword Search'!$C$5&amp;"*"),TRUE,FALSE)</f>
        <v>1</v>
      </c>
      <c r="G1522" t="str">
        <f t="shared" si="97"/>
        <v>201-86: Undergarments and Sleepwear, Women's</v>
      </c>
    </row>
    <row r="1523" spans="1:7" x14ac:dyDescent="0.25">
      <c r="A1523" s="1" t="str">
        <f t="shared" si="98"/>
        <v>201</v>
      </c>
      <c r="B1523" s="1" t="str">
        <f>TEXT(87,"00")</f>
        <v>87</v>
      </c>
      <c r="C1523" s="1" t="str">
        <f t="shared" si="96"/>
        <v>201-87</v>
      </c>
      <c r="D1523" t="s">
        <v>1520</v>
      </c>
      <c r="E1523" t="b">
        <f>IF(COUNTIF(D1523,"*"&amp;'Keyword Search'!$C$5&amp;"*"),TRUE,FALSE)</f>
        <v>1</v>
      </c>
      <c r="G1523" t="str">
        <f t="shared" si="97"/>
        <v>201-87: Undergarments and Sleepwear, Men's</v>
      </c>
    </row>
    <row r="1524" spans="1:7" x14ac:dyDescent="0.25">
      <c r="A1524" s="1" t="str">
        <f t="shared" si="98"/>
        <v>201</v>
      </c>
      <c r="B1524" s="1" t="str">
        <f>TEXT(88,"00")</f>
        <v>88</v>
      </c>
      <c r="C1524" s="1" t="str">
        <f t="shared" si="96"/>
        <v>201-88</v>
      </c>
      <c r="D1524" t="s">
        <v>1521</v>
      </c>
      <c r="E1524" t="b">
        <f>IF(COUNTIF(D1524,"*"&amp;'Keyword Search'!$C$5&amp;"*"),TRUE,FALSE)</f>
        <v>1</v>
      </c>
      <c r="G1524" t="str">
        <f t="shared" si="97"/>
        <v>201-88: Undergarments and Sleepwear, Unisex</v>
      </c>
    </row>
    <row r="1525" spans="1:7" x14ac:dyDescent="0.25">
      <c r="A1525" s="1" t="str">
        <f t="shared" si="98"/>
        <v>201</v>
      </c>
      <c r="B1525" s="1" t="str">
        <f>TEXT(98,"00")</f>
        <v>98</v>
      </c>
      <c r="C1525" s="1" t="str">
        <f t="shared" si="96"/>
        <v>201-98</v>
      </c>
      <c r="D1525" t="s">
        <v>1522</v>
      </c>
      <c r="E1525" t="b">
        <f>IF(COUNTIF(D1525,"*"&amp;'Keyword Search'!$C$5&amp;"*"),TRUE,FALSE)</f>
        <v>1</v>
      </c>
      <c r="G1525" t="str">
        <f t="shared" si="97"/>
        <v>201-98: Marching Band Uniforms and Supplies</v>
      </c>
    </row>
    <row r="1526" spans="1:7" x14ac:dyDescent="0.25">
      <c r="A1526" s="5" t="str">
        <f t="shared" ref="A1526:A1551" si="99">TEXT(203,"000")</f>
        <v>203</v>
      </c>
      <c r="B1526" s="5" t="str">
        <f>TEXT(0,"00")</f>
        <v>00</v>
      </c>
      <c r="C1526" s="1"/>
      <c r="D1526" s="2" t="s">
        <v>1523</v>
      </c>
    </row>
    <row r="1527" spans="1:7" x14ac:dyDescent="0.25">
      <c r="A1527" s="1" t="str">
        <f t="shared" si="99"/>
        <v>203</v>
      </c>
      <c r="B1527" s="1" t="str">
        <f>TEXT(10,"00")</f>
        <v>10</v>
      </c>
      <c r="C1527" s="1" t="str">
        <f t="shared" si="96"/>
        <v>203-10</v>
      </c>
      <c r="D1527" t="s">
        <v>1524</v>
      </c>
      <c r="E1527" t="b">
        <f>IF(COUNTIF(D1527,"*"&amp;'Keyword Search'!$C$5&amp;"*"),TRUE,FALSE)</f>
        <v>1</v>
      </c>
      <c r="G1527" t="str">
        <f t="shared" si="97"/>
        <v>203-10: *Batteries, Computer and Peripheral, Environmentally Certified Products</v>
      </c>
    </row>
    <row r="1528" spans="1:7" x14ac:dyDescent="0.25">
      <c r="A1528" s="1" t="str">
        <f t="shared" si="99"/>
        <v>203</v>
      </c>
      <c r="B1528" s="1" t="str">
        <f>TEXT(14,"00")</f>
        <v>14</v>
      </c>
      <c r="C1528" s="1" t="str">
        <f t="shared" si="96"/>
        <v>203-14</v>
      </c>
      <c r="D1528" t="s">
        <v>1525</v>
      </c>
      <c r="E1528" t="b">
        <f>IF(COUNTIF(D1528,"*"&amp;'Keyword Search'!$C$5&amp;"*"),TRUE,FALSE)</f>
        <v>1</v>
      </c>
      <c r="G1528" t="str">
        <f t="shared" si="97"/>
        <v>203-14: *Battery Chargers, Computer and Peripheral, Environmentally Certified Products</v>
      </c>
    </row>
    <row r="1529" spans="1:7" x14ac:dyDescent="0.25">
      <c r="A1529" s="1" t="str">
        <f t="shared" si="99"/>
        <v>203</v>
      </c>
      <c r="B1529" s="1" t="str">
        <f>TEXT(20,"00")</f>
        <v>20</v>
      </c>
      <c r="C1529" s="1" t="str">
        <f t="shared" si="96"/>
        <v>203-20</v>
      </c>
      <c r="D1529" t="s">
        <v>1526</v>
      </c>
      <c r="E1529" t="b">
        <f>IF(COUNTIF(D1529,"*"&amp;'Keyword Search'!$C$5&amp;"*"),TRUE,FALSE)</f>
        <v>1</v>
      </c>
      <c r="G1529" t="str">
        <f t="shared" si="97"/>
        <v>203-20: Braces: Monitor, PC's, CRT's, Desk Top Printers, etc., Environmentally Certified Products</v>
      </c>
    </row>
    <row r="1530" spans="1:7" x14ac:dyDescent="0.25">
      <c r="A1530" s="1" t="str">
        <f t="shared" si="99"/>
        <v>203</v>
      </c>
      <c r="B1530" s="1" t="str">
        <f>TEXT(23,"00")</f>
        <v>23</v>
      </c>
      <c r="C1530" s="1" t="str">
        <f t="shared" si="96"/>
        <v>203-23</v>
      </c>
      <c r="D1530" t="s">
        <v>1527</v>
      </c>
      <c r="E1530" t="b">
        <f>IF(COUNTIF(D1530,"*"&amp;'Keyword Search'!$C$5&amp;"*"),TRUE,FALSE)</f>
        <v>1</v>
      </c>
      <c r="G1530" t="str">
        <f t="shared" si="97"/>
        <v>203-23: Carts, Computer, Environmentally Certified Products</v>
      </c>
    </row>
    <row r="1531" spans="1:7" x14ac:dyDescent="0.25">
      <c r="A1531" s="1" t="str">
        <f t="shared" si="99"/>
        <v>203</v>
      </c>
      <c r="B1531" s="1" t="str">
        <f>TEXT(25,"00")</f>
        <v>25</v>
      </c>
      <c r="C1531" s="1" t="str">
        <f t="shared" si="96"/>
        <v>203-25</v>
      </c>
      <c r="D1531" t="s">
        <v>1528</v>
      </c>
      <c r="E1531" t="b">
        <f>IF(COUNTIF(D1531,"*"&amp;'Keyword Search'!$C$5&amp;"*"),TRUE,FALSE)</f>
        <v>1</v>
      </c>
      <c r="G1531" t="str">
        <f t="shared" si="97"/>
        <v>203-25: Cleaners for Keyboards, Monitors, Tapes, Diskettes, etc., Environmentally Certified Products</v>
      </c>
    </row>
    <row r="1532" spans="1:7" x14ac:dyDescent="0.25">
      <c r="A1532" s="1" t="str">
        <f t="shared" si="99"/>
        <v>203</v>
      </c>
      <c r="B1532" s="1" t="str">
        <f>TEXT(30,"00")</f>
        <v>30</v>
      </c>
      <c r="C1532" s="1" t="str">
        <f t="shared" si="96"/>
        <v>203-30</v>
      </c>
      <c r="D1532" t="s">
        <v>1529</v>
      </c>
      <c r="E1532" t="b">
        <f>IF(COUNTIF(D1532,"*"&amp;'Keyword Search'!$C$5&amp;"*"),TRUE,FALSE)</f>
        <v>1</v>
      </c>
      <c r="G1532" t="str">
        <f t="shared" si="97"/>
        <v>203-30: Compact Disks, DVD, ROM, etc., Environmentally Certified Products</v>
      </c>
    </row>
    <row r="1533" spans="1:7" x14ac:dyDescent="0.25">
      <c r="A1533" s="1" t="str">
        <f t="shared" si="99"/>
        <v>203</v>
      </c>
      <c r="B1533" s="1" t="str">
        <f>TEXT(32,"00")</f>
        <v>32</v>
      </c>
      <c r="C1533" s="1" t="str">
        <f t="shared" si="96"/>
        <v>203-32</v>
      </c>
      <c r="D1533" t="s">
        <v>1530</v>
      </c>
      <c r="E1533" t="b">
        <f>IF(COUNTIF(D1533,"*"&amp;'Keyword Search'!$C$5&amp;"*"),TRUE,FALSE)</f>
        <v>1</v>
      </c>
      <c r="G1533" t="str">
        <f t="shared" si="97"/>
        <v>203-32: *Computer Instructional Aids and Training Devices, Environmentally Certified Products</v>
      </c>
    </row>
    <row r="1534" spans="1:7" x14ac:dyDescent="0.25">
      <c r="A1534" s="1" t="str">
        <f t="shared" si="99"/>
        <v>203</v>
      </c>
      <c r="B1534" s="1" t="str">
        <f>TEXT(34,"00")</f>
        <v>34</v>
      </c>
      <c r="C1534" s="1" t="str">
        <f t="shared" si="96"/>
        <v>203-34</v>
      </c>
      <c r="D1534" t="s">
        <v>1531</v>
      </c>
      <c r="E1534" t="b">
        <f>IF(COUNTIF(D1534,"*"&amp;'Keyword Search'!$C$5&amp;"*"),TRUE,FALSE)</f>
        <v>1</v>
      </c>
      <c r="G1534" t="str">
        <f t="shared" si="97"/>
        <v>203-34: Covers and Enclosures, Acoustical and Protective., For Equipment, Environmentally Certified Products</v>
      </c>
    </row>
    <row r="1535" spans="1:7" x14ac:dyDescent="0.25">
      <c r="A1535" s="1" t="str">
        <f t="shared" si="99"/>
        <v>203</v>
      </c>
      <c r="B1535" s="1" t="str">
        <f>TEXT(37,"00")</f>
        <v>37</v>
      </c>
      <c r="C1535" s="1" t="str">
        <f t="shared" si="96"/>
        <v>203-37</v>
      </c>
      <c r="D1535" t="s">
        <v>1532</v>
      </c>
      <c r="E1535" t="b">
        <f>IF(COUNTIF(D1535,"*"&amp;'Keyword Search'!$C$5&amp;"*"),TRUE,FALSE)</f>
        <v>1</v>
      </c>
      <c r="G1535" t="str">
        <f t="shared" si="97"/>
        <v>203-37: CRT Holders, Cases, Glare Screens, Locks, etc., Environmentally Certified Products</v>
      </c>
    </row>
    <row r="1536" spans="1:7" x14ac:dyDescent="0.25">
      <c r="A1536" s="1" t="str">
        <f t="shared" si="99"/>
        <v>203</v>
      </c>
      <c r="B1536" s="1" t="str">
        <f>TEXT(42,"00")</f>
        <v>42</v>
      </c>
      <c r="C1536" s="1" t="str">
        <f t="shared" si="96"/>
        <v>203-42</v>
      </c>
      <c r="D1536" t="s">
        <v>1533</v>
      </c>
      <c r="E1536" t="b">
        <f>IF(COUNTIF(D1536,"*"&amp;'Keyword Search'!$C$5&amp;"*"),TRUE,FALSE)</f>
        <v>1</v>
      </c>
      <c r="G1536" t="str">
        <f t="shared" si="97"/>
        <v>203-42: Diskettes, Disk Packs, Floppy Diskettes, Labels, etc., Environmentally Certified Products</v>
      </c>
    </row>
    <row r="1537" spans="1:7" x14ac:dyDescent="0.25">
      <c r="A1537" s="1" t="str">
        <f t="shared" si="99"/>
        <v>203</v>
      </c>
      <c r="B1537" s="1" t="str">
        <f>TEXT(47,"00")</f>
        <v>47</v>
      </c>
      <c r="C1537" s="1" t="str">
        <f t="shared" si="96"/>
        <v>203-47</v>
      </c>
      <c r="D1537" t="s">
        <v>1534</v>
      </c>
      <c r="E1537" t="b">
        <f>IF(COUNTIF(D1537,"*"&amp;'Keyword Search'!$C$5&amp;"*"),TRUE,FALSE)</f>
        <v>1</v>
      </c>
      <c r="G1537" t="str">
        <f t="shared" si="97"/>
        <v>203-47: Fasteners and Accessories, Thumb Lock, Environmentally Certified Products</v>
      </c>
    </row>
    <row r="1538" spans="1:7" x14ac:dyDescent="0.25">
      <c r="A1538" s="1" t="str">
        <f t="shared" si="99"/>
        <v>203</v>
      </c>
      <c r="B1538" s="1" t="str">
        <f>TEXT(49,"00")</f>
        <v>49</v>
      </c>
      <c r="C1538" s="1" t="str">
        <f t="shared" si="96"/>
        <v>203-49</v>
      </c>
      <c r="D1538" t="s">
        <v>1535</v>
      </c>
      <c r="E1538" t="b">
        <f>IF(COUNTIF(D1538,"*"&amp;'Keyword Search'!$C$5&amp;"*"),TRUE,FALSE)</f>
        <v>1</v>
      </c>
      <c r="G1538" t="str">
        <f t="shared" si="97"/>
        <v>203-49: Forms Bursters, Decollators, Detachers, Feeders, Strippers and Related Accessories, Environmentally Certified Products</v>
      </c>
    </row>
    <row r="1539" spans="1:7" x14ac:dyDescent="0.25">
      <c r="A1539" s="1" t="str">
        <f t="shared" si="99"/>
        <v>203</v>
      </c>
      <c r="B1539" s="1" t="str">
        <f>TEXT(50,"00")</f>
        <v>50</v>
      </c>
      <c r="C1539" s="1" t="str">
        <f t="shared" ref="C1539:C1601" si="100">CONCATENATE(A1539,"-",B1539)</f>
        <v>203-50</v>
      </c>
      <c r="D1539" t="s">
        <v>1536</v>
      </c>
      <c r="E1539" t="b">
        <f>IF(COUNTIF(D1539,"*"&amp;'Keyword Search'!$C$5&amp;"*"),TRUE,FALSE)</f>
        <v>1</v>
      </c>
      <c r="G1539" t="str">
        <f t="shared" si="97"/>
        <v>203-50: Forms, Charts, Templates, Rulers, etc., Environmentally Certified Products</v>
      </c>
    </row>
    <row r="1540" spans="1:7" x14ac:dyDescent="0.25">
      <c r="A1540" s="1" t="str">
        <f t="shared" si="99"/>
        <v>203</v>
      </c>
      <c r="B1540" s="1" t="str">
        <f>TEXT(55,"00")</f>
        <v>55</v>
      </c>
      <c r="C1540" s="1" t="str">
        <f t="shared" si="100"/>
        <v>203-55</v>
      </c>
      <c r="D1540" t="s">
        <v>1537</v>
      </c>
      <c r="E1540" t="b">
        <f>IF(COUNTIF(D1540,"*"&amp;'Keyword Search'!$C$5&amp;"*"),TRUE,FALSE)</f>
        <v>1</v>
      </c>
      <c r="G1540" t="str">
        <f t="shared" ref="G1540:G1603" si="101">CONCATENATE(C1540,": ",D1540)</f>
        <v>203-55: Graphic Supplies for Plotters and Printer Plotters: Inks, Pens, Penholders, Chemicals, Paper, etc., Environmentally Certified Products</v>
      </c>
    </row>
    <row r="1541" spans="1:7" x14ac:dyDescent="0.25">
      <c r="A1541" s="1" t="str">
        <f t="shared" si="99"/>
        <v>203</v>
      </c>
      <c r="B1541" s="1" t="str">
        <f>TEXT(60,"00")</f>
        <v>60</v>
      </c>
      <c r="C1541" s="1" t="str">
        <f t="shared" si="100"/>
        <v>203-60</v>
      </c>
      <c r="D1541" t="s">
        <v>1538</v>
      </c>
      <c r="E1541" t="b">
        <f>IF(COUNTIF(D1541,"*"&amp;'Keyword Search'!$C$5&amp;"*"),TRUE,FALSE)</f>
        <v>1</v>
      </c>
      <c r="G1541" t="str">
        <f t="shared" si="101"/>
        <v>203-60: Keyboard Dust Covers, Key Top Covers, Keyboard Drawers, Wrist Supports, etc., Environmentally Certified Products</v>
      </c>
    </row>
    <row r="1542" spans="1:7" x14ac:dyDescent="0.25">
      <c r="A1542" s="1" t="str">
        <f t="shared" si="99"/>
        <v>203</v>
      </c>
      <c r="B1542" s="1" t="str">
        <f>TEXT(67,"00")</f>
        <v>67</v>
      </c>
      <c r="C1542" s="1" t="str">
        <f t="shared" si="100"/>
        <v>203-67</v>
      </c>
      <c r="D1542" t="s">
        <v>1539</v>
      </c>
      <c r="E1542" t="b">
        <f>IF(COUNTIF(D1542,"*"&amp;'Keyword Search'!$C$5&amp;"*"),TRUE,FALSE)</f>
        <v>1</v>
      </c>
      <c r="G1542" t="str">
        <f t="shared" si="101"/>
        <v>203-67: *Power Supplies: Surge Protectors, Uninterruptible Power Supplies, Switches, etc., Environmentally Certified Products</v>
      </c>
    </row>
    <row r="1543" spans="1:7" x14ac:dyDescent="0.25">
      <c r="A1543" s="1" t="str">
        <f t="shared" si="99"/>
        <v>203</v>
      </c>
      <c r="B1543" s="1" t="str">
        <f>TEXT(72,"00")</f>
        <v>72</v>
      </c>
      <c r="C1543" s="1" t="str">
        <f t="shared" si="100"/>
        <v>203-72</v>
      </c>
      <c r="D1543" t="s">
        <v>1540</v>
      </c>
      <c r="E1543" t="b">
        <f>IF(COUNTIF(D1543,"*"&amp;'Keyword Search'!$C$5&amp;"*"),TRUE,FALSE)</f>
        <v>1</v>
      </c>
      <c r="G1543" t="str">
        <f t="shared" si="101"/>
        <v>203-72: Printer Accessories and Supplies: Chemicals, Forms Tractors, Inks and Cartridges, Paper, Label Sheets, Sheet Feeders, Toner Cartridges, Wheels, etc., Environmentally Certified Products</v>
      </c>
    </row>
    <row r="1544" spans="1:7" x14ac:dyDescent="0.25">
      <c r="A1544" s="1" t="str">
        <f t="shared" si="99"/>
        <v>203</v>
      </c>
      <c r="B1544" s="1" t="str">
        <f>TEXT(75,"00")</f>
        <v>75</v>
      </c>
      <c r="C1544" s="1" t="str">
        <f t="shared" si="100"/>
        <v>203-75</v>
      </c>
      <c r="D1544" t="s">
        <v>1541</v>
      </c>
      <c r="E1544" t="b">
        <f>IF(COUNTIF(D1544,"*"&amp;'Keyword Search'!$C$5&amp;"*"),TRUE,FALSE)</f>
        <v>1</v>
      </c>
      <c r="G1544" t="str">
        <f t="shared" si="101"/>
        <v>203-75: *Projection Devices and Accessories: Interactive Conferencing Boards, LCD, Pads, Panels, etc., Environmentally Certified Products</v>
      </c>
    </row>
    <row r="1545" spans="1:7" x14ac:dyDescent="0.25">
      <c r="A1545" s="1" t="str">
        <f t="shared" si="99"/>
        <v>203</v>
      </c>
      <c r="B1545" s="1" t="str">
        <f>TEXT(79,"00")</f>
        <v>79</v>
      </c>
      <c r="C1545" s="1" t="str">
        <f t="shared" si="100"/>
        <v>203-79</v>
      </c>
      <c r="D1545" t="s">
        <v>1542</v>
      </c>
      <c r="E1545" t="b">
        <f>IF(COUNTIF(D1545,"*"&amp;'Keyword Search'!$C$5&amp;"*"),TRUE,FALSE)</f>
        <v>1</v>
      </c>
      <c r="G1545" t="str">
        <f t="shared" si="101"/>
        <v>203-79: Recycled Computer Accessories and Supplies, Environmentally Certified Products</v>
      </c>
    </row>
    <row r="1546" spans="1:7" x14ac:dyDescent="0.25">
      <c r="A1546" s="1" t="str">
        <f t="shared" si="99"/>
        <v>203</v>
      </c>
      <c r="B1546" s="1" t="str">
        <f>TEXT(82,"00")</f>
        <v>82</v>
      </c>
      <c r="C1546" s="1" t="str">
        <f t="shared" si="100"/>
        <v>203-82</v>
      </c>
      <c r="D1546" t="s">
        <v>1543</v>
      </c>
      <c r="E1546" t="b">
        <f>IF(COUNTIF(D1546,"*"&amp;'Keyword Search'!$C$5&amp;"*"),TRUE,FALSE)</f>
        <v>1</v>
      </c>
      <c r="G1546" t="str">
        <f t="shared" si="101"/>
        <v>203-82: Sleeves, CD/DVD, Environmentally Certified Products</v>
      </c>
    </row>
    <row r="1547" spans="1:7" x14ac:dyDescent="0.25">
      <c r="A1547" s="1" t="str">
        <f t="shared" si="99"/>
        <v>203</v>
      </c>
      <c r="B1547" s="1" t="str">
        <f>TEXT(84,"00")</f>
        <v>84</v>
      </c>
      <c r="C1547" s="1" t="str">
        <f t="shared" si="100"/>
        <v>203-84</v>
      </c>
      <c r="D1547" t="s">
        <v>1544</v>
      </c>
      <c r="E1547" t="b">
        <f>IF(COUNTIF(D1547,"*"&amp;'Keyword Search'!$C$5&amp;"*"),TRUE,FALSE)</f>
        <v>1</v>
      </c>
      <c r="G1547" t="str">
        <f t="shared" si="101"/>
        <v>203-84: Storage Devices for Tapes and Diskettes: Containers, Racks, etc., Environmentally Certified Products</v>
      </c>
    </row>
    <row r="1548" spans="1:7" x14ac:dyDescent="0.25">
      <c r="A1548" s="1" t="str">
        <f t="shared" si="99"/>
        <v>203</v>
      </c>
      <c r="B1548" s="1" t="str">
        <f>TEXT(85,"00")</f>
        <v>85</v>
      </c>
      <c r="C1548" s="1" t="str">
        <f t="shared" si="100"/>
        <v>203-85</v>
      </c>
      <c r="D1548" t="s">
        <v>1545</v>
      </c>
      <c r="E1548" t="b">
        <f>IF(COUNTIF(D1548,"*"&amp;'Keyword Search'!$C$5&amp;"*"),TRUE,FALSE)</f>
        <v>1</v>
      </c>
      <c r="G1548" t="str">
        <f t="shared" si="101"/>
        <v>203-85: *Systems Environmental Monitor for Computer Rooms, Environmentally Certified Products</v>
      </c>
    </row>
    <row r="1549" spans="1:7" x14ac:dyDescent="0.25">
      <c r="A1549" s="1" t="str">
        <f t="shared" si="99"/>
        <v>203</v>
      </c>
      <c r="B1549" s="1" t="str">
        <f>TEXT(87,"00")</f>
        <v>87</v>
      </c>
      <c r="C1549" s="1" t="str">
        <f t="shared" si="100"/>
        <v>203-87</v>
      </c>
      <c r="D1549" t="s">
        <v>1546</v>
      </c>
      <c r="E1549" t="b">
        <f>IF(COUNTIF(D1549,"*"&amp;'Keyword Search'!$C$5&amp;"*"),TRUE,FALSE)</f>
        <v>1</v>
      </c>
      <c r="G1549" t="str">
        <f t="shared" si="101"/>
        <v>203-87: Tapes, Tape Cartridges, Tape Cassettes, Tape Reels, Tape Labels, etc., Environmentally Certified Products</v>
      </c>
    </row>
    <row r="1550" spans="1:7" x14ac:dyDescent="0.25">
      <c r="A1550" s="1" t="str">
        <f t="shared" si="99"/>
        <v>203</v>
      </c>
      <c r="B1550" s="1" t="str">
        <f>TEXT(89,"00")</f>
        <v>89</v>
      </c>
      <c r="C1550" s="1" t="str">
        <f t="shared" si="100"/>
        <v>203-89</v>
      </c>
      <c r="D1550" t="s">
        <v>1547</v>
      </c>
      <c r="E1550" t="b">
        <f>IF(COUNTIF(D1550,"*"&amp;'Keyword Search'!$C$5&amp;"*"),TRUE,FALSE)</f>
        <v>1</v>
      </c>
      <c r="G1550" t="str">
        <f t="shared" si="101"/>
        <v>203-89: *Testing Equipment for Computers and Related Equipment, Environmentally Certified Products</v>
      </c>
    </row>
    <row r="1551" spans="1:7" x14ac:dyDescent="0.25">
      <c r="A1551" s="1" t="str">
        <f t="shared" si="99"/>
        <v>203</v>
      </c>
      <c r="B1551" s="1" t="str">
        <f>TEXT(91,"00")</f>
        <v>91</v>
      </c>
      <c r="C1551" s="1" t="str">
        <f t="shared" si="100"/>
        <v>203-91</v>
      </c>
      <c r="D1551" t="s">
        <v>1548</v>
      </c>
      <c r="E1551" t="b">
        <f>IF(COUNTIF(D1551,"*"&amp;'Keyword Search'!$C$5&amp;"*"),TRUE,FALSE)</f>
        <v>1</v>
      </c>
      <c r="G1551" t="str">
        <f t="shared" si="101"/>
        <v>203-91: *Tools, Computer, Environmentally Certified Products</v>
      </c>
    </row>
    <row r="1552" spans="1:7" x14ac:dyDescent="0.25">
      <c r="A1552" s="5" t="str">
        <f t="shared" ref="A1552:A1601" si="102">TEXT(204,"000")</f>
        <v>204</v>
      </c>
      <c r="B1552" s="5" t="str">
        <f>TEXT(0,"00")</f>
        <v>00</v>
      </c>
      <c r="C1552" s="1"/>
      <c r="D1552" s="2" t="s">
        <v>1549</v>
      </c>
    </row>
    <row r="1553" spans="1:7" x14ac:dyDescent="0.25">
      <c r="A1553" s="1" t="str">
        <f t="shared" si="102"/>
        <v>204</v>
      </c>
      <c r="B1553" s="1" t="str">
        <f>TEXT(10,"00")</f>
        <v>10</v>
      </c>
      <c r="C1553" s="1" t="str">
        <f t="shared" si="100"/>
        <v>204-10</v>
      </c>
      <c r="D1553" t="s">
        <v>1550</v>
      </c>
      <c r="E1553" t="b">
        <f>IF(COUNTIF(D1553,"*"&amp;'Keyword Search'!$C$5&amp;"*"),TRUE,FALSE)</f>
        <v>1</v>
      </c>
      <c r="G1553" t="str">
        <f t="shared" si="101"/>
        <v>204-10: *Cabinets and Cases: Desktop Cases, Tower Cases, Drive Cabinets, etc.</v>
      </c>
    </row>
    <row r="1554" spans="1:7" x14ac:dyDescent="0.25">
      <c r="A1554" s="1" t="str">
        <f t="shared" si="102"/>
        <v>204</v>
      </c>
      <c r="B1554" s="1" t="str">
        <f>TEXT(13,"00")</f>
        <v>13</v>
      </c>
      <c r="C1554" s="1" t="str">
        <f t="shared" si="100"/>
        <v>204-13</v>
      </c>
      <c r="D1554" t="s">
        <v>1551</v>
      </c>
      <c r="E1554" t="b">
        <f>IF(COUNTIF(D1554,"*"&amp;'Keyword Search'!$C$5&amp;"*"),TRUE,FALSE)</f>
        <v>1</v>
      </c>
      <c r="G1554" t="str">
        <f t="shared" si="101"/>
        <v>204-13: *Cable: Printer, Disk, Network, etc.</v>
      </c>
    </row>
    <row r="1555" spans="1:7" x14ac:dyDescent="0.25">
      <c r="A1555" s="1" t="str">
        <f t="shared" si="102"/>
        <v>204</v>
      </c>
      <c r="B1555" s="1" t="str">
        <f>TEXT(16,"00")</f>
        <v>16</v>
      </c>
      <c r="C1555" s="1" t="str">
        <f t="shared" si="100"/>
        <v>204-16</v>
      </c>
      <c r="D1555" t="s">
        <v>1552</v>
      </c>
      <c r="E1555" t="b">
        <f>IF(COUNTIF(D1555,"*"&amp;'Keyword Search'!$C$5&amp;"*"),TRUE,FALSE)</f>
        <v>1</v>
      </c>
      <c r="G1555" t="str">
        <f t="shared" si="101"/>
        <v>204-16: *Chips: Accelerator, Graphics, Math Co-Processor, Memory (RAM and ROM), Network, SIMMS, etc.</v>
      </c>
    </row>
    <row r="1556" spans="1:7" x14ac:dyDescent="0.25">
      <c r="A1556" s="1" t="str">
        <f t="shared" si="102"/>
        <v>204</v>
      </c>
      <c r="B1556" s="1" t="str">
        <f>TEXT(19,"00")</f>
        <v>19</v>
      </c>
      <c r="C1556" s="1" t="str">
        <f t="shared" si="100"/>
        <v>204-19</v>
      </c>
      <c r="D1556" t="s">
        <v>1553</v>
      </c>
      <c r="E1556" t="b">
        <f>IF(COUNTIF(D1556,"*"&amp;'Keyword Search'!$C$5&amp;"*"),TRUE,FALSE)</f>
        <v>1</v>
      </c>
      <c r="G1556" t="str">
        <f t="shared" si="101"/>
        <v>204-19: *Communication Boards: Fax, Modem, Internal, etc.</v>
      </c>
    </row>
    <row r="1557" spans="1:7" x14ac:dyDescent="0.25">
      <c r="A1557" s="1" t="str">
        <f t="shared" si="102"/>
        <v>204</v>
      </c>
      <c r="B1557" s="1" t="str">
        <f>TEXT(20,"00")</f>
        <v>20</v>
      </c>
      <c r="C1557" s="1" t="str">
        <f t="shared" si="100"/>
        <v>204-20</v>
      </c>
      <c r="D1557" t="s">
        <v>1554</v>
      </c>
      <c r="E1557" t="b">
        <f>IF(COUNTIF(D1557,"*"&amp;'Keyword Search'!$C$5&amp;"*"),TRUE,FALSE)</f>
        <v>1</v>
      </c>
      <c r="G1557" t="str">
        <f t="shared" si="101"/>
        <v>204-20: *Communication Control Units: Concentrators, Multiplexers, Couplers, Scan Converters, etc.</v>
      </c>
    </row>
    <row r="1558" spans="1:7" x14ac:dyDescent="0.25">
      <c r="A1558" s="1" t="str">
        <f t="shared" si="102"/>
        <v>204</v>
      </c>
      <c r="B1558" s="1" t="str">
        <f>TEXT(22,"00")</f>
        <v>22</v>
      </c>
      <c r="C1558" s="1" t="str">
        <f t="shared" si="100"/>
        <v>204-22</v>
      </c>
      <c r="D1558" t="s">
        <v>1555</v>
      </c>
      <c r="E1558" t="b">
        <f>IF(COUNTIF(D1558,"*"&amp;'Keyword Search'!$C$5&amp;"*"),TRUE,FALSE)</f>
        <v>1</v>
      </c>
      <c r="G1558" t="str">
        <f t="shared" si="101"/>
        <v>204-22: *Computer Kiosk: Informational, Touchscreen or Keyboard Input</v>
      </c>
    </row>
    <row r="1559" spans="1:7" x14ac:dyDescent="0.25">
      <c r="A1559" s="1" t="str">
        <f t="shared" si="102"/>
        <v>204</v>
      </c>
      <c r="B1559" s="1" t="str">
        <f>TEXT(24,"00")</f>
        <v>24</v>
      </c>
      <c r="C1559" s="1" t="str">
        <f t="shared" si="100"/>
        <v>204-24</v>
      </c>
      <c r="D1559" t="s">
        <v>1556</v>
      </c>
      <c r="E1559" t="b">
        <f>IF(COUNTIF(D1559,"*"&amp;'Keyword Search'!$C$5&amp;"*"),TRUE,FALSE)</f>
        <v>1</v>
      </c>
      <c r="G1559" t="str">
        <f t="shared" si="101"/>
        <v>204-24: *Controllers, Programmable: Industrial Control Devices, Robots, etc.</v>
      </c>
    </row>
    <row r="1560" spans="1:7" x14ac:dyDescent="0.25">
      <c r="A1560" s="1" t="str">
        <f t="shared" si="102"/>
        <v>204</v>
      </c>
      <c r="B1560" s="1" t="str">
        <f>TEXT(25,"00")</f>
        <v>25</v>
      </c>
      <c r="C1560" s="1" t="str">
        <f t="shared" si="100"/>
        <v>204-25</v>
      </c>
      <c r="D1560" t="s">
        <v>1557</v>
      </c>
      <c r="E1560" t="b">
        <f>IF(COUNTIF(D1560,"*"&amp;'Keyword Search'!$C$5&amp;"*"),TRUE,FALSE)</f>
        <v>1</v>
      </c>
      <c r="G1560" t="str">
        <f t="shared" si="101"/>
        <v>204-25: *Controllers, Tape: Tape Subsystems, etc.</v>
      </c>
    </row>
    <row r="1561" spans="1:7" x14ac:dyDescent="0.25">
      <c r="A1561" s="1" t="str">
        <f t="shared" si="102"/>
        <v>204</v>
      </c>
      <c r="B1561" s="1" t="str">
        <f>TEXT(28,"00")</f>
        <v>28</v>
      </c>
      <c r="C1561" s="1" t="str">
        <f t="shared" si="100"/>
        <v>204-28</v>
      </c>
      <c r="D1561" t="s">
        <v>1558</v>
      </c>
      <c r="E1561" t="b">
        <f>IF(COUNTIF(D1561,"*"&amp;'Keyword Search'!$C$5&amp;"*"),TRUE,FALSE)</f>
        <v>1</v>
      </c>
      <c r="G1561" t="str">
        <f t="shared" si="101"/>
        <v>204-28: *Data Entry and Remote Job Entry Devices: Voice Activated: Voice Recognition, Voice Digitization, Speech Synthesizers, etc.</v>
      </c>
    </row>
    <row r="1562" spans="1:7" x14ac:dyDescent="0.25">
      <c r="A1562" s="1" t="str">
        <f t="shared" si="102"/>
        <v>204</v>
      </c>
      <c r="B1562" s="1" t="str">
        <f>TEXT(29,"00")</f>
        <v>29</v>
      </c>
      <c r="C1562" s="1" t="str">
        <f t="shared" si="100"/>
        <v>204-29</v>
      </c>
      <c r="D1562" t="s">
        <v>1559</v>
      </c>
      <c r="E1562" t="b">
        <f>IF(COUNTIF(D1562,"*"&amp;'Keyword Search'!$C$5&amp;"*"),TRUE,FALSE)</f>
        <v>1</v>
      </c>
      <c r="G1562" t="str">
        <f t="shared" si="101"/>
        <v>204-29: *Data/File Security Hardware/Software, to Include Encryption</v>
      </c>
    </row>
    <row r="1563" spans="1:7" x14ac:dyDescent="0.25">
      <c r="A1563" s="1" t="str">
        <f t="shared" si="102"/>
        <v>204</v>
      </c>
      <c r="B1563" s="1" t="str">
        <f>TEXT(32,"00")</f>
        <v>32</v>
      </c>
      <c r="C1563" s="1" t="str">
        <f t="shared" si="100"/>
        <v>204-32</v>
      </c>
      <c r="D1563" t="s">
        <v>1560</v>
      </c>
      <c r="E1563" t="b">
        <f>IF(COUNTIF(D1563,"*"&amp;'Keyword Search'!$C$5&amp;"*"),TRUE,FALSE)</f>
        <v>1</v>
      </c>
      <c r="G1563" t="str">
        <f t="shared" si="101"/>
        <v>204-32: *Drives, External; Jump Drives, Flash Drives, Thumb Drives, USB Drives, etc.</v>
      </c>
    </row>
    <row r="1564" spans="1:7" x14ac:dyDescent="0.25">
      <c r="A1564" s="1" t="str">
        <f t="shared" si="102"/>
        <v>204</v>
      </c>
      <c r="B1564" s="1" t="str">
        <f>TEXT(33,"00")</f>
        <v>33</v>
      </c>
      <c r="C1564" s="1" t="str">
        <f t="shared" si="100"/>
        <v>204-33</v>
      </c>
      <c r="D1564" t="s">
        <v>1561</v>
      </c>
      <c r="E1564" t="b">
        <f>IF(COUNTIF(D1564,"*"&amp;'Keyword Search'!$C$5&amp;"*"),TRUE,FALSE)</f>
        <v>1</v>
      </c>
      <c r="G1564" t="str">
        <f t="shared" si="101"/>
        <v>204-33: *Drives, Compact Disk: CD ROM, DVR, etc.</v>
      </c>
    </row>
    <row r="1565" spans="1:7" x14ac:dyDescent="0.25">
      <c r="A1565" s="1" t="str">
        <f t="shared" si="102"/>
        <v>204</v>
      </c>
      <c r="B1565" s="1" t="str">
        <f>TEXT(34,"00")</f>
        <v>34</v>
      </c>
      <c r="C1565" s="1" t="str">
        <f t="shared" si="100"/>
        <v>204-34</v>
      </c>
      <c r="D1565" t="s">
        <v>1562</v>
      </c>
      <c r="E1565" t="b">
        <f>IF(COUNTIF(D1565,"*"&amp;'Keyword Search'!$C$5&amp;"*"),TRUE,FALSE)</f>
        <v>1</v>
      </c>
      <c r="G1565" t="str">
        <f t="shared" si="101"/>
        <v>204-34: *Drives, Floppy Disk</v>
      </c>
    </row>
    <row r="1566" spans="1:7" x14ac:dyDescent="0.25">
      <c r="A1566" s="1" t="str">
        <f t="shared" si="102"/>
        <v>204</v>
      </c>
      <c r="B1566" s="1" t="str">
        <f>TEXT(35,"00")</f>
        <v>35</v>
      </c>
      <c r="C1566" s="1" t="str">
        <f t="shared" si="100"/>
        <v>204-35</v>
      </c>
      <c r="D1566" t="s">
        <v>1563</v>
      </c>
      <c r="E1566" t="b">
        <f>IF(COUNTIF(D1566,"*"&amp;'Keyword Search'!$C$5&amp;"*"),TRUE,FALSE)</f>
        <v>1</v>
      </c>
      <c r="G1566" t="str">
        <f t="shared" si="101"/>
        <v>204-35: *Drives, Internal: Hard/Fixed Disk</v>
      </c>
    </row>
    <row r="1567" spans="1:7" x14ac:dyDescent="0.25">
      <c r="A1567" s="1" t="str">
        <f t="shared" si="102"/>
        <v>204</v>
      </c>
      <c r="B1567" s="1" t="str">
        <f>TEXT(37,"00")</f>
        <v>37</v>
      </c>
      <c r="C1567" s="1" t="str">
        <f t="shared" si="100"/>
        <v>204-37</v>
      </c>
      <c r="D1567" t="s">
        <v>1564</v>
      </c>
      <c r="E1567" t="b">
        <f>IF(COUNTIF(D1567,"*"&amp;'Keyword Search'!$C$5&amp;"*"),TRUE,FALSE)</f>
        <v>1</v>
      </c>
      <c r="G1567" t="str">
        <f t="shared" si="101"/>
        <v>204-37: *Drives, Tape</v>
      </c>
    </row>
    <row r="1568" spans="1:7" x14ac:dyDescent="0.25">
      <c r="A1568" s="1" t="str">
        <f t="shared" si="102"/>
        <v>204</v>
      </c>
      <c r="B1568" s="1" t="str">
        <f>TEXT(39,"00")</f>
        <v>39</v>
      </c>
      <c r="C1568" s="1" t="str">
        <f t="shared" si="100"/>
        <v>204-39</v>
      </c>
      <c r="D1568" t="s">
        <v>1565</v>
      </c>
      <c r="E1568" t="b">
        <f>IF(COUNTIF(D1568,"*"&amp;'Keyword Search'!$C$5&amp;"*"),TRUE,FALSE)</f>
        <v>1</v>
      </c>
      <c r="G1568" t="str">
        <f t="shared" si="101"/>
        <v>204-39: *Duplicators: DVD, CD, Hard Drives, etc.</v>
      </c>
    </row>
    <row r="1569" spans="1:7" x14ac:dyDescent="0.25">
      <c r="A1569" s="1" t="str">
        <f t="shared" si="102"/>
        <v>204</v>
      </c>
      <c r="B1569" s="1" t="str">
        <f>TEXT(42,"00")</f>
        <v>42</v>
      </c>
      <c r="C1569" s="1" t="str">
        <f t="shared" si="100"/>
        <v>204-42</v>
      </c>
      <c r="D1569" t="s">
        <v>1566</v>
      </c>
      <c r="E1569" t="b">
        <f>IF(COUNTIF(D1569,"*"&amp;'Keyword Search'!$C$5&amp;"*"),TRUE,FALSE)</f>
        <v>1</v>
      </c>
      <c r="G1569" t="str">
        <f t="shared" si="101"/>
        <v>204-42: *Expansion/Accelerator Boards: Hard Drive Controller Cards, Memory, Processor, SCSI, Video Cards, etc.</v>
      </c>
    </row>
    <row r="1570" spans="1:7" x14ac:dyDescent="0.25">
      <c r="A1570" s="1" t="str">
        <f t="shared" si="102"/>
        <v>204</v>
      </c>
      <c r="B1570" s="1" t="str">
        <f>TEXT(46,"00")</f>
        <v>46</v>
      </c>
      <c r="C1570" s="1" t="str">
        <f t="shared" si="100"/>
        <v>204-46</v>
      </c>
      <c r="D1570" t="s">
        <v>1567</v>
      </c>
      <c r="E1570" t="b">
        <f>IF(COUNTIF(D1570,"*"&amp;'Keyword Search'!$C$5&amp;"*"),TRUE,FALSE)</f>
        <v>1</v>
      </c>
      <c r="G1570" t="str">
        <f t="shared" si="101"/>
        <v>204-46: *Imaging Systems, Microcomputer: Digital Imaging Network (DIN), Technology, and Digital Imaging Communications in Medicine (DICOM)</v>
      </c>
    </row>
    <row r="1571" spans="1:7" x14ac:dyDescent="0.25">
      <c r="A1571" s="1" t="str">
        <f t="shared" si="102"/>
        <v>204</v>
      </c>
      <c r="B1571" s="1" t="str">
        <f>TEXT(47,"00")</f>
        <v>47</v>
      </c>
      <c r="C1571" s="1" t="str">
        <f t="shared" si="100"/>
        <v>204-47</v>
      </c>
      <c r="D1571" t="s">
        <v>1568</v>
      </c>
      <c r="E1571" t="b">
        <f>IF(COUNTIF(D1571,"*"&amp;'Keyword Search'!$C$5&amp;"*"),TRUE,FALSE)</f>
        <v>1</v>
      </c>
      <c r="G1571" t="str">
        <f t="shared" si="101"/>
        <v>204-47: *Integrated Hardware-Software I.T. Solution, Microcomputer</v>
      </c>
    </row>
    <row r="1572" spans="1:7" x14ac:dyDescent="0.25">
      <c r="A1572" s="1" t="str">
        <f t="shared" si="102"/>
        <v>204</v>
      </c>
      <c r="B1572" s="1" t="str">
        <f>TEXT(48,"00")</f>
        <v>48</v>
      </c>
      <c r="C1572" s="1" t="str">
        <f t="shared" si="100"/>
        <v>204-48</v>
      </c>
      <c r="D1572" t="s">
        <v>1569</v>
      </c>
      <c r="E1572" t="b">
        <f>IF(COUNTIF(D1572,"*"&amp;'Keyword Search'!$C$5&amp;"*"),TRUE,FALSE)</f>
        <v>1</v>
      </c>
      <c r="G1572" t="str">
        <f t="shared" si="101"/>
        <v>204-48: *Keyboards</v>
      </c>
    </row>
    <row r="1573" spans="1:7" x14ac:dyDescent="0.25">
      <c r="A1573" s="1" t="str">
        <f t="shared" si="102"/>
        <v>204</v>
      </c>
      <c r="B1573" s="1" t="str">
        <f>TEXT(53,"00")</f>
        <v>53</v>
      </c>
      <c r="C1573" s="1" t="str">
        <f t="shared" si="100"/>
        <v>204-53</v>
      </c>
      <c r="D1573" t="s">
        <v>1570</v>
      </c>
      <c r="E1573" t="b">
        <f>IF(COUNTIF(D1573,"*"&amp;'Keyword Search'!$C$5&amp;"*"),TRUE,FALSE)</f>
        <v>1</v>
      </c>
      <c r="G1573" t="str">
        <f t="shared" si="101"/>
        <v>204-53: *Microcomputers, Desktop or Tower based</v>
      </c>
    </row>
    <row r="1574" spans="1:7" x14ac:dyDescent="0.25">
      <c r="A1574" s="1" t="str">
        <f t="shared" si="102"/>
        <v>204</v>
      </c>
      <c r="B1574" s="1" t="str">
        <f>TEXT(54,"00")</f>
        <v>54</v>
      </c>
      <c r="C1574" s="1" t="str">
        <f t="shared" si="100"/>
        <v>204-54</v>
      </c>
      <c r="D1574" t="s">
        <v>1571</v>
      </c>
      <c r="E1574" t="b">
        <f>IF(COUNTIF(D1574,"*"&amp;'Keyword Search'!$C$5&amp;"*"),TRUE,FALSE)</f>
        <v>1</v>
      </c>
      <c r="G1574" t="str">
        <f t="shared" si="101"/>
        <v>204-54: *Microcomputers, Laptop, Notebook and Tablets</v>
      </c>
    </row>
    <row r="1575" spans="1:7" x14ac:dyDescent="0.25">
      <c r="A1575" s="1" t="str">
        <f t="shared" si="102"/>
        <v>204</v>
      </c>
      <c r="B1575" s="1" t="str">
        <f>TEXT(55,"00")</f>
        <v>55</v>
      </c>
      <c r="C1575" s="1" t="str">
        <f t="shared" si="100"/>
        <v>204-55</v>
      </c>
      <c r="D1575" t="s">
        <v>1572</v>
      </c>
      <c r="E1575" t="b">
        <f>IF(COUNTIF(D1575,"*"&amp;'Keyword Search'!$C$5&amp;"*"),TRUE,FALSE)</f>
        <v>1</v>
      </c>
      <c r="G1575" t="str">
        <f t="shared" si="101"/>
        <v>204-55: *Microcomputers, Multi-Processor</v>
      </c>
    </row>
    <row r="1576" spans="1:7" x14ac:dyDescent="0.25">
      <c r="A1576" s="1" t="str">
        <f t="shared" si="102"/>
        <v>204</v>
      </c>
      <c r="B1576" s="1" t="str">
        <f>TEXT(58,"00")</f>
        <v>58</v>
      </c>
      <c r="C1576" s="1" t="str">
        <f t="shared" si="100"/>
        <v>204-58</v>
      </c>
      <c r="D1576" t="s">
        <v>1573</v>
      </c>
      <c r="E1576" t="b">
        <f>IF(COUNTIF(D1576,"*"&amp;'Keyword Search'!$C$5&amp;"*"),TRUE,FALSE)</f>
        <v>1</v>
      </c>
      <c r="G1576" t="str">
        <f t="shared" si="101"/>
        <v>204-58: *Modems, External, Data Communications</v>
      </c>
    </row>
    <row r="1577" spans="1:7" x14ac:dyDescent="0.25">
      <c r="A1577" s="1" t="str">
        <f t="shared" si="102"/>
        <v>204</v>
      </c>
      <c r="B1577" s="1" t="str">
        <f>TEXT(60,"00")</f>
        <v>60</v>
      </c>
      <c r="C1577" s="1" t="str">
        <f t="shared" si="100"/>
        <v>204-60</v>
      </c>
      <c r="D1577" t="s">
        <v>1574</v>
      </c>
      <c r="E1577" t="b">
        <f>IF(COUNTIF(D1577,"*"&amp;'Keyword Search'!$C$5&amp;"*"),TRUE,FALSE)</f>
        <v>1</v>
      </c>
      <c r="G1577" t="str">
        <f t="shared" si="101"/>
        <v>204-60: *Monitors, Color and Monochrome (CGA, VGA, SVGA, LCD, etc.)</v>
      </c>
    </row>
    <row r="1578" spans="1:7" x14ac:dyDescent="0.25">
      <c r="A1578" s="1" t="str">
        <f t="shared" si="102"/>
        <v>204</v>
      </c>
      <c r="B1578" s="1" t="str">
        <f>TEXT(62,"00")</f>
        <v>62</v>
      </c>
      <c r="C1578" s="1" t="str">
        <f t="shared" si="100"/>
        <v>204-62</v>
      </c>
      <c r="D1578" t="s">
        <v>1575</v>
      </c>
      <c r="E1578" t="b">
        <f>IF(COUNTIF(D1578,"*"&amp;'Keyword Search'!$C$5&amp;"*"),TRUE,FALSE)</f>
        <v>1</v>
      </c>
      <c r="G1578" t="str">
        <f t="shared" si="101"/>
        <v>204-62: *Motherboards</v>
      </c>
    </row>
    <row r="1579" spans="1:7" x14ac:dyDescent="0.25">
      <c r="A1579" s="1" t="str">
        <f t="shared" si="102"/>
        <v>204</v>
      </c>
      <c r="B1579" s="1" t="str">
        <f>TEXT(64,"00")</f>
        <v>64</v>
      </c>
      <c r="C1579" s="1" t="str">
        <f t="shared" si="100"/>
        <v>204-64</v>
      </c>
      <c r="D1579" t="s">
        <v>1576</v>
      </c>
      <c r="E1579" t="b">
        <f>IF(COUNTIF(D1579,"*"&amp;'Keyword Search'!$C$5&amp;"*"),TRUE,FALSE)</f>
        <v>1</v>
      </c>
      <c r="G1579" t="str">
        <f t="shared" si="101"/>
        <v>204-64: *Network Components: Adapter Cards, Bridges, Connectors, Expansion Modules/Ports, Firewall Devices, Hubs, Line Drivers, MSAUs, Routers, Switches, Transceivers, etc.</v>
      </c>
    </row>
    <row r="1580" spans="1:7" x14ac:dyDescent="0.25">
      <c r="A1580" s="1" t="str">
        <f t="shared" si="102"/>
        <v>204</v>
      </c>
      <c r="B1580" s="1" t="str">
        <f>TEXT(68,"00")</f>
        <v>68</v>
      </c>
      <c r="C1580" s="1" t="str">
        <f t="shared" si="100"/>
        <v>204-68</v>
      </c>
      <c r="D1580" t="s">
        <v>1577</v>
      </c>
      <c r="E1580" t="b">
        <f>IF(COUNTIF(D1580,"*"&amp;'Keyword Search'!$C$5&amp;"*"),TRUE,FALSE)</f>
        <v>1</v>
      </c>
      <c r="G1580" t="str">
        <f t="shared" si="101"/>
        <v>204-68: *Peripherals, Miscellaneous: Joy Sticks, Graphic Digitizers, Light Pens, Mice, Pen Pads, Trackballs, Secure I.D. Access Cards, Headsets and Microphones, etc.</v>
      </c>
    </row>
    <row r="1581" spans="1:7" x14ac:dyDescent="0.25">
      <c r="A1581" s="1" t="str">
        <f t="shared" si="102"/>
        <v>204</v>
      </c>
      <c r="B1581" s="1" t="str">
        <f>TEXT(70,"00")</f>
        <v>70</v>
      </c>
      <c r="C1581" s="1" t="str">
        <f t="shared" si="100"/>
        <v>204-70</v>
      </c>
      <c r="D1581" t="s">
        <v>1578</v>
      </c>
      <c r="E1581" t="b">
        <f>IF(COUNTIF(D1581,"*"&amp;'Keyword Search'!$C$5&amp;"*"),TRUE,FALSE)</f>
        <v>1</v>
      </c>
      <c r="G1581" t="str">
        <f t="shared" si="101"/>
        <v>204-70: *Picture Archiving Computer System (PACS)</v>
      </c>
    </row>
    <row r="1582" spans="1:7" x14ac:dyDescent="0.25">
      <c r="A1582" s="1" t="str">
        <f t="shared" si="102"/>
        <v>204</v>
      </c>
      <c r="B1582" s="1" t="str">
        <f>TEXT(71,"00")</f>
        <v>71</v>
      </c>
      <c r="C1582" s="1" t="str">
        <f t="shared" si="100"/>
        <v>204-71</v>
      </c>
      <c r="D1582" t="s">
        <v>1579</v>
      </c>
      <c r="E1582" t="b">
        <f>IF(COUNTIF(D1582,"*"&amp;'Keyword Search'!$C$5&amp;"*"),TRUE,FALSE)</f>
        <v>1</v>
      </c>
      <c r="G1582" t="str">
        <f t="shared" si="101"/>
        <v>204-71: *Plotters, Graphic</v>
      </c>
    </row>
    <row r="1583" spans="1:7" x14ac:dyDescent="0.25">
      <c r="A1583" s="1" t="str">
        <f t="shared" si="102"/>
        <v>204</v>
      </c>
      <c r="B1583" s="1" t="str">
        <f>TEXT(72,"00")</f>
        <v>72</v>
      </c>
      <c r="C1583" s="1" t="str">
        <f t="shared" si="100"/>
        <v>204-72</v>
      </c>
      <c r="D1583" t="s">
        <v>1580</v>
      </c>
      <c r="E1583" t="b">
        <f>IF(COUNTIF(D1583,"*"&amp;'Keyword Search'!$C$5&amp;"*"),TRUE,FALSE)</f>
        <v>1</v>
      </c>
      <c r="G1583" t="str">
        <f t="shared" si="101"/>
        <v>204-72: *Power Supplies and Power Related Parts, Internal</v>
      </c>
    </row>
    <row r="1584" spans="1:7" x14ac:dyDescent="0.25">
      <c r="A1584" s="1" t="str">
        <f t="shared" si="102"/>
        <v>204</v>
      </c>
      <c r="B1584" s="1" t="str">
        <f>TEXT(74,"00")</f>
        <v>74</v>
      </c>
      <c r="C1584" s="1" t="str">
        <f t="shared" si="100"/>
        <v>204-74</v>
      </c>
      <c r="D1584" t="s">
        <v>1581</v>
      </c>
      <c r="E1584" t="b">
        <f>IF(COUNTIF(D1584,"*"&amp;'Keyword Search'!$C$5&amp;"*"),TRUE,FALSE)</f>
        <v>1</v>
      </c>
      <c r="G1584" t="str">
        <f t="shared" si="101"/>
        <v>204-74: *Printer Sharing Devices, Multi-function Devices</v>
      </c>
    </row>
    <row r="1585" spans="1:7" x14ac:dyDescent="0.25">
      <c r="A1585" s="1" t="str">
        <f t="shared" si="102"/>
        <v>204</v>
      </c>
      <c r="B1585" s="1" t="str">
        <f>TEXT(75,"00")</f>
        <v>75</v>
      </c>
      <c r="C1585" s="1" t="str">
        <f t="shared" si="100"/>
        <v>204-75</v>
      </c>
      <c r="D1585" t="s">
        <v>1582</v>
      </c>
      <c r="E1585" t="b">
        <f>IF(COUNTIF(D1585,"*"&amp;'Keyword Search'!$C$5&amp;"*"),TRUE,FALSE)</f>
        <v>1</v>
      </c>
      <c r="G1585" t="str">
        <f t="shared" si="101"/>
        <v>204-75: *Printers, Dot Matrix</v>
      </c>
    </row>
    <row r="1586" spans="1:7" x14ac:dyDescent="0.25">
      <c r="A1586" s="1" t="str">
        <f t="shared" si="102"/>
        <v>204</v>
      </c>
      <c r="B1586" s="1" t="str">
        <f>TEXT(76,"00")</f>
        <v>76</v>
      </c>
      <c r="C1586" s="1" t="str">
        <f t="shared" si="100"/>
        <v>204-76</v>
      </c>
      <c r="D1586" t="s">
        <v>1583</v>
      </c>
      <c r="E1586" t="b">
        <f>IF(COUNTIF(D1586,"*"&amp;'Keyword Search'!$C$5&amp;"*"),TRUE,FALSE)</f>
        <v>1</v>
      </c>
      <c r="G1586" t="str">
        <f t="shared" si="101"/>
        <v>204-76: *Printers, Inkjet</v>
      </c>
    </row>
    <row r="1587" spans="1:7" x14ac:dyDescent="0.25">
      <c r="A1587" s="1" t="str">
        <f t="shared" si="102"/>
        <v>204</v>
      </c>
      <c r="B1587" s="1" t="str">
        <f>TEXT(77,"00")</f>
        <v>77</v>
      </c>
      <c r="C1587" s="1" t="str">
        <f t="shared" si="100"/>
        <v>204-77</v>
      </c>
      <c r="D1587" t="s">
        <v>1584</v>
      </c>
      <c r="E1587" t="b">
        <f>IF(COUNTIF(D1587,"*"&amp;'Keyword Search'!$C$5&amp;"*"),TRUE,FALSE)</f>
        <v>1</v>
      </c>
      <c r="G1587" t="str">
        <f t="shared" si="101"/>
        <v>204-77: *Printers, Laser</v>
      </c>
    </row>
    <row r="1588" spans="1:7" x14ac:dyDescent="0.25">
      <c r="A1588" s="1" t="str">
        <f t="shared" si="102"/>
        <v>204</v>
      </c>
      <c r="B1588" s="1" t="str">
        <f>TEXT(78,"00")</f>
        <v>78</v>
      </c>
      <c r="C1588" s="1" t="str">
        <f t="shared" si="100"/>
        <v>204-78</v>
      </c>
      <c r="D1588" t="s">
        <v>1585</v>
      </c>
      <c r="E1588" t="b">
        <f>IF(COUNTIF(D1588,"*"&amp;'Keyword Search'!$C$5&amp;"*"),TRUE,FALSE)</f>
        <v>1</v>
      </c>
      <c r="G1588" t="str">
        <f t="shared" si="101"/>
        <v>204-78: *Printers, Pen Plotter</v>
      </c>
    </row>
    <row r="1589" spans="1:7" x14ac:dyDescent="0.25">
      <c r="A1589" s="1" t="str">
        <f t="shared" si="102"/>
        <v>204</v>
      </c>
      <c r="B1589" s="1" t="str">
        <f>TEXT(79,"00")</f>
        <v>79</v>
      </c>
      <c r="C1589" s="1" t="str">
        <f t="shared" si="100"/>
        <v>204-79</v>
      </c>
      <c r="D1589" t="s">
        <v>1586</v>
      </c>
      <c r="E1589" t="b">
        <f>IF(COUNTIF(D1589,"*"&amp;'Keyword Search'!$C$5&amp;"*"),TRUE,FALSE)</f>
        <v>1</v>
      </c>
      <c r="G1589" t="str">
        <f t="shared" si="101"/>
        <v>204-79: *Printers, Digital</v>
      </c>
    </row>
    <row r="1590" spans="1:7" x14ac:dyDescent="0.25">
      <c r="A1590" s="1" t="str">
        <f t="shared" si="102"/>
        <v>204</v>
      </c>
      <c r="B1590" s="1" t="str">
        <f>TEXT(80,"00")</f>
        <v>80</v>
      </c>
      <c r="C1590" s="1" t="str">
        <f t="shared" si="100"/>
        <v>204-80</v>
      </c>
      <c r="D1590" t="s">
        <v>1587</v>
      </c>
      <c r="E1590" t="b">
        <f>IF(COUNTIF(D1590,"*"&amp;'Keyword Search'!$C$5&amp;"*"),TRUE,FALSE)</f>
        <v>1</v>
      </c>
      <c r="G1590" t="str">
        <f t="shared" si="101"/>
        <v>204-80: *Printers, Thermal</v>
      </c>
    </row>
    <row r="1591" spans="1:7" x14ac:dyDescent="0.25">
      <c r="A1591" s="1" t="str">
        <f t="shared" si="102"/>
        <v>204</v>
      </c>
      <c r="B1591" s="1" t="str">
        <f>TEXT(82,"00")</f>
        <v>82</v>
      </c>
      <c r="C1591" s="1" t="str">
        <f t="shared" si="100"/>
        <v>204-82</v>
      </c>
      <c r="D1591" t="s">
        <v>1588</v>
      </c>
      <c r="E1591" t="b">
        <f>IF(COUNTIF(D1591,"*"&amp;'Keyword Search'!$C$5&amp;"*"),TRUE,FALSE)</f>
        <v>1</v>
      </c>
      <c r="G1591" t="str">
        <f t="shared" si="101"/>
        <v>204-82: *Printers, Microcomputer (Not Otherwise Classified)</v>
      </c>
    </row>
    <row r="1592" spans="1:7" x14ac:dyDescent="0.25">
      <c r="A1592" s="1" t="str">
        <f t="shared" si="102"/>
        <v>204</v>
      </c>
      <c r="B1592" s="1" t="str">
        <f>TEXT(83,"00")</f>
        <v>83</v>
      </c>
      <c r="C1592" s="1" t="str">
        <f t="shared" si="100"/>
        <v>204-83</v>
      </c>
      <c r="D1592" t="s">
        <v>1589</v>
      </c>
      <c r="E1592" t="b">
        <f>IF(COUNTIF(D1592,"*"&amp;'Keyword Search'!$C$5&amp;"*"),TRUE,FALSE)</f>
        <v>1</v>
      </c>
      <c r="G1592" t="str">
        <f t="shared" si="101"/>
        <v>204-83: *Recycled Microcomputer Hardware and Peripherals</v>
      </c>
    </row>
    <row r="1593" spans="1:7" x14ac:dyDescent="0.25">
      <c r="A1593" s="1" t="str">
        <f t="shared" si="102"/>
        <v>204</v>
      </c>
      <c r="B1593" s="1" t="str">
        <f>TEXT(84,"00")</f>
        <v>84</v>
      </c>
      <c r="C1593" s="1" t="str">
        <f t="shared" si="100"/>
        <v>204-84</v>
      </c>
      <c r="D1593" t="s">
        <v>1590</v>
      </c>
      <c r="E1593" t="b">
        <f>IF(COUNTIF(D1593,"*"&amp;'Keyword Search'!$C$5&amp;"*"),TRUE,FALSE)</f>
        <v>1</v>
      </c>
      <c r="G1593" t="str">
        <f t="shared" si="101"/>
        <v>204-84: *Retrieval Systems, Computer Assisted: Indexing, Retrieval, CD ROM Jukebox, etc., and Access Systems</v>
      </c>
    </row>
    <row r="1594" spans="1:7" x14ac:dyDescent="0.25">
      <c r="A1594" s="1" t="str">
        <f t="shared" si="102"/>
        <v>204</v>
      </c>
      <c r="B1594" s="1" t="str">
        <f>TEXT(87,"00")</f>
        <v>87</v>
      </c>
      <c r="C1594" s="1" t="str">
        <f t="shared" si="100"/>
        <v>204-87</v>
      </c>
      <c r="D1594" t="s">
        <v>1591</v>
      </c>
      <c r="E1594" t="b">
        <f>IF(COUNTIF(D1594,"*"&amp;'Keyword Search'!$C$5&amp;"*"),TRUE,FALSE)</f>
        <v>1</v>
      </c>
      <c r="G1594" t="str">
        <f t="shared" si="101"/>
        <v>204-87: *Scanners, Film</v>
      </c>
    </row>
    <row r="1595" spans="1:7" x14ac:dyDescent="0.25">
      <c r="A1595" s="1" t="str">
        <f t="shared" si="102"/>
        <v>204</v>
      </c>
      <c r="B1595" s="1" t="str">
        <f>TEXT(88,"00")</f>
        <v>88</v>
      </c>
      <c r="C1595" s="1" t="str">
        <f t="shared" si="100"/>
        <v>204-88</v>
      </c>
      <c r="D1595" t="s">
        <v>1592</v>
      </c>
      <c r="E1595" t="b">
        <f>IF(COUNTIF(D1595,"*"&amp;'Keyword Search'!$C$5&amp;"*"),TRUE,FALSE)</f>
        <v>1</v>
      </c>
      <c r="G1595" t="str">
        <f t="shared" si="101"/>
        <v>204-88: *Scanners, Document: Handheld, Desktop and High Volume</v>
      </c>
    </row>
    <row r="1596" spans="1:7" x14ac:dyDescent="0.25">
      <c r="A1596" s="1" t="str">
        <f t="shared" si="102"/>
        <v>204</v>
      </c>
      <c r="B1596" s="1" t="str">
        <f>TEXT(89,"00")</f>
        <v>89</v>
      </c>
      <c r="C1596" s="1" t="str">
        <f t="shared" si="100"/>
        <v>204-89</v>
      </c>
      <c r="D1596" t="s">
        <v>1593</v>
      </c>
      <c r="E1596" t="b">
        <f>IF(COUNTIF(D1596,"*"&amp;'Keyword Search'!$C$5&amp;"*"),TRUE,FALSE)</f>
        <v>1</v>
      </c>
      <c r="G1596" t="str">
        <f t="shared" si="101"/>
        <v>204-89: *Scanners and Readers, Magnetic Strip</v>
      </c>
    </row>
    <row r="1597" spans="1:7" x14ac:dyDescent="0.25">
      <c r="A1597" s="1" t="str">
        <f t="shared" si="102"/>
        <v>204</v>
      </c>
      <c r="B1597" s="1" t="str">
        <f>TEXT(90,"00")</f>
        <v>90</v>
      </c>
      <c r="C1597" s="1" t="str">
        <f t="shared" si="100"/>
        <v>204-90</v>
      </c>
      <c r="D1597" t="s">
        <v>1594</v>
      </c>
      <c r="E1597" t="b">
        <f>IF(COUNTIF(D1597,"*"&amp;'Keyword Search'!$C$5&amp;"*"),TRUE,FALSE)</f>
        <v>1</v>
      </c>
      <c r="G1597" t="str">
        <f t="shared" si="101"/>
        <v>204-90: *Scanners and Readers, Optical Character and Magnetic Type: Bar Code, Remittance Scanner and Processors, Point of Sale Scanners, etc.</v>
      </c>
    </row>
    <row r="1598" spans="1:7" x14ac:dyDescent="0.25">
      <c r="A1598" s="1" t="str">
        <f t="shared" si="102"/>
        <v>204</v>
      </c>
      <c r="B1598" s="1" t="str">
        <f>TEXT(91,"00")</f>
        <v>91</v>
      </c>
      <c r="C1598" s="1" t="str">
        <f t="shared" si="100"/>
        <v>204-91</v>
      </c>
      <c r="D1598" t="s">
        <v>1595</v>
      </c>
      <c r="E1598" t="b">
        <f>IF(COUNTIF(D1598,"*"&amp;'Keyword Search'!$C$5&amp;"*"),TRUE,FALSE)</f>
        <v>1</v>
      </c>
      <c r="G1598" t="str">
        <f t="shared" si="101"/>
        <v>204-91: *Servers, Microcomputer: Application, Database, File, Mail, Network, Web, etc.</v>
      </c>
    </row>
    <row r="1599" spans="1:7" x14ac:dyDescent="0.25">
      <c r="A1599" s="1" t="str">
        <f t="shared" si="102"/>
        <v>204</v>
      </c>
      <c r="B1599" s="1" t="str">
        <f>TEXT(93,"00")</f>
        <v>93</v>
      </c>
      <c r="C1599" s="1" t="str">
        <f t="shared" si="100"/>
        <v>204-93</v>
      </c>
      <c r="D1599" t="s">
        <v>1596</v>
      </c>
      <c r="E1599" t="b">
        <f>IF(COUNTIF(D1599,"*"&amp;'Keyword Search'!$C$5&amp;"*"),TRUE,FALSE)</f>
        <v>1</v>
      </c>
      <c r="G1599" t="str">
        <f t="shared" si="101"/>
        <v>204-93: *Terminals and CRTs: Data Processing Systems</v>
      </c>
    </row>
    <row r="1600" spans="1:7" x14ac:dyDescent="0.25">
      <c r="A1600" s="1" t="str">
        <f t="shared" si="102"/>
        <v>204</v>
      </c>
      <c r="B1600" s="1" t="str">
        <f>TEXT(95,"00")</f>
        <v>95</v>
      </c>
      <c r="C1600" s="1" t="str">
        <f t="shared" si="100"/>
        <v>204-95</v>
      </c>
      <c r="D1600" t="s">
        <v>1597</v>
      </c>
      <c r="E1600" t="b">
        <f>IF(COUNTIF(D1600,"*"&amp;'Keyword Search'!$C$5&amp;"*"),TRUE,FALSE)</f>
        <v>1</v>
      </c>
      <c r="G1600" t="str">
        <f t="shared" si="101"/>
        <v>204-95: *Word Processing Equipment, Accessories and Supplies (Not Otherwise Classified)</v>
      </c>
    </row>
    <row r="1601" spans="1:7" x14ac:dyDescent="0.25">
      <c r="A1601" s="1" t="str">
        <f t="shared" si="102"/>
        <v>204</v>
      </c>
      <c r="B1601" s="1" t="str">
        <f>TEXT(96,"00")</f>
        <v>96</v>
      </c>
      <c r="C1601" s="1" t="str">
        <f t="shared" si="100"/>
        <v>204-96</v>
      </c>
      <c r="D1601" t="s">
        <v>1598</v>
      </c>
      <c r="E1601" t="b">
        <f>IF(COUNTIF(D1601,"*"&amp;'Keyword Search'!$C$5&amp;"*"),TRUE,FALSE)</f>
        <v>1</v>
      </c>
      <c r="G1601" t="str">
        <f t="shared" si="101"/>
        <v>204-96: *Workstations: SPARC, RISC, etc., For Use With CAD and CAM, etc.</v>
      </c>
    </row>
    <row r="1602" spans="1:7" x14ac:dyDescent="0.25">
      <c r="A1602" s="5" t="str">
        <f t="shared" ref="A1602:A1651" si="103">TEXT(205,"000")</f>
        <v>205</v>
      </c>
      <c r="B1602" s="5" t="str">
        <f>TEXT(0,"00")</f>
        <v>00</v>
      </c>
      <c r="C1602" s="1"/>
      <c r="D1602" s="2" t="s">
        <v>1599</v>
      </c>
    </row>
    <row r="1603" spans="1:7" x14ac:dyDescent="0.25">
      <c r="A1603" s="1" t="str">
        <f t="shared" si="103"/>
        <v>205</v>
      </c>
      <c r="B1603" s="1" t="str">
        <f>TEXT(10,"00")</f>
        <v>10</v>
      </c>
      <c r="C1603" s="1" t="str">
        <f t="shared" ref="C1603:C1666" si="104">CONCATENATE(A1603,"-",B1603)</f>
        <v>205-10</v>
      </c>
      <c r="D1603" t="s">
        <v>1600</v>
      </c>
      <c r="E1603" t="b">
        <f>IF(COUNTIF(D1603,"*"&amp;'Keyword Search'!$C$5&amp;"*"),TRUE,FALSE)</f>
        <v>1</v>
      </c>
      <c r="G1603" t="str">
        <f t="shared" si="101"/>
        <v>205-10: *Cabinets and Cases: Desktop Cases, Tower Cases, Drive Cabinets, etc., Environmentally Certified Products</v>
      </c>
    </row>
    <row r="1604" spans="1:7" x14ac:dyDescent="0.25">
      <c r="A1604" s="1" t="str">
        <f t="shared" si="103"/>
        <v>205</v>
      </c>
      <c r="B1604" s="1" t="str">
        <f>TEXT(13,"00")</f>
        <v>13</v>
      </c>
      <c r="C1604" s="1" t="str">
        <f t="shared" si="104"/>
        <v>205-13</v>
      </c>
      <c r="D1604" t="s">
        <v>1601</v>
      </c>
      <c r="E1604" t="b">
        <f>IF(COUNTIF(D1604,"*"&amp;'Keyword Search'!$C$5&amp;"*"),TRUE,FALSE)</f>
        <v>1</v>
      </c>
      <c r="G1604" t="str">
        <f t="shared" ref="G1604:G1667" si="105">CONCATENATE(C1604,": ",D1604)</f>
        <v>205-13: *Cables: Printer, Disk, Network, etc., Environmentally Certified Products</v>
      </c>
    </row>
    <row r="1605" spans="1:7" x14ac:dyDescent="0.25">
      <c r="A1605" s="1" t="str">
        <f t="shared" si="103"/>
        <v>205</v>
      </c>
      <c r="B1605" s="1" t="str">
        <f>TEXT(16,"00")</f>
        <v>16</v>
      </c>
      <c r="C1605" s="1" t="str">
        <f t="shared" si="104"/>
        <v>205-16</v>
      </c>
      <c r="D1605" t="s">
        <v>1602</v>
      </c>
      <c r="E1605" t="b">
        <f>IF(COUNTIF(D1605,"*"&amp;'Keyword Search'!$C$5&amp;"*"),TRUE,FALSE)</f>
        <v>1</v>
      </c>
      <c r="G1605" t="str">
        <f t="shared" si="105"/>
        <v>205-16: *Chips: Accelerator, Graphics, Math Co-Processor, Memory (RAM and ROM), Network, SIMMS, etc., Environmentally Certified Products</v>
      </c>
    </row>
    <row r="1606" spans="1:7" x14ac:dyDescent="0.25">
      <c r="A1606" s="1" t="str">
        <f t="shared" si="103"/>
        <v>205</v>
      </c>
      <c r="B1606" s="1" t="str">
        <f>TEXT(19,"00")</f>
        <v>19</v>
      </c>
      <c r="C1606" s="1" t="str">
        <f t="shared" si="104"/>
        <v>205-19</v>
      </c>
      <c r="D1606" t="s">
        <v>1603</v>
      </c>
      <c r="E1606" t="b">
        <f>IF(COUNTIF(D1606,"*"&amp;'Keyword Search'!$C$5&amp;"*"),TRUE,FALSE)</f>
        <v>1</v>
      </c>
      <c r="G1606" t="str">
        <f t="shared" si="105"/>
        <v>205-19: *Communication Boards: Fax, Modem, Internal, etc., Environmentally Certified Products</v>
      </c>
    </row>
    <row r="1607" spans="1:7" x14ac:dyDescent="0.25">
      <c r="A1607" s="1" t="str">
        <f t="shared" si="103"/>
        <v>205</v>
      </c>
      <c r="B1607" s="1" t="str">
        <f>TEXT(20,"00")</f>
        <v>20</v>
      </c>
      <c r="C1607" s="1" t="str">
        <f t="shared" si="104"/>
        <v>205-20</v>
      </c>
      <c r="D1607" t="s">
        <v>1604</v>
      </c>
      <c r="E1607" t="b">
        <f>IF(COUNTIF(D1607,"*"&amp;'Keyword Search'!$C$5&amp;"*"),TRUE,FALSE)</f>
        <v>1</v>
      </c>
      <c r="G1607" t="str">
        <f t="shared" si="105"/>
        <v>205-20: *Communication Control Units: Concentrators, Multiplexers, Couplers, Scan Converters, etc., Environmentally Certified Products</v>
      </c>
    </row>
    <row r="1608" spans="1:7" x14ac:dyDescent="0.25">
      <c r="A1608" s="1" t="str">
        <f t="shared" si="103"/>
        <v>205</v>
      </c>
      <c r="B1608" s="1" t="str">
        <f>TEXT(22,"00")</f>
        <v>22</v>
      </c>
      <c r="C1608" s="1" t="str">
        <f t="shared" si="104"/>
        <v>205-22</v>
      </c>
      <c r="D1608" t="s">
        <v>1605</v>
      </c>
      <c r="E1608" t="b">
        <f>IF(COUNTIF(D1608,"*"&amp;'Keyword Search'!$C$5&amp;"*"),TRUE,FALSE)</f>
        <v>1</v>
      </c>
      <c r="G1608" t="str">
        <f t="shared" si="105"/>
        <v>205-22: *Computer Kiosks: Informational, Touchscreen or Keyboard Input, Environmentally Certified Products</v>
      </c>
    </row>
    <row r="1609" spans="1:7" x14ac:dyDescent="0.25">
      <c r="A1609" s="1" t="str">
        <f t="shared" si="103"/>
        <v>205</v>
      </c>
      <c r="B1609" s="1" t="str">
        <f>TEXT(24,"00")</f>
        <v>24</v>
      </c>
      <c r="C1609" s="1" t="str">
        <f t="shared" si="104"/>
        <v>205-24</v>
      </c>
      <c r="D1609" t="s">
        <v>1606</v>
      </c>
      <c r="E1609" t="b">
        <f>IF(COUNTIF(D1609,"*"&amp;'Keyword Search'!$C$5&amp;"*"),TRUE,FALSE)</f>
        <v>1</v>
      </c>
      <c r="G1609" t="str">
        <f t="shared" si="105"/>
        <v>205-24: *Controllers, Programmable: Industrial Control Devices, Robots, etc., Environmentally Certified Products</v>
      </c>
    </row>
    <row r="1610" spans="1:7" x14ac:dyDescent="0.25">
      <c r="A1610" s="1" t="str">
        <f t="shared" si="103"/>
        <v>205</v>
      </c>
      <c r="B1610" s="1" t="str">
        <f>TEXT(25,"00")</f>
        <v>25</v>
      </c>
      <c r="C1610" s="1" t="str">
        <f t="shared" si="104"/>
        <v>205-25</v>
      </c>
      <c r="D1610" t="s">
        <v>1607</v>
      </c>
      <c r="E1610" t="b">
        <f>IF(COUNTIF(D1610,"*"&amp;'Keyword Search'!$C$5&amp;"*"),TRUE,FALSE)</f>
        <v>1</v>
      </c>
      <c r="G1610" t="str">
        <f t="shared" si="105"/>
        <v>205-25: *Controllers, Tape: Tape Subsystems, etc., Environmentally Certified Products2</v>
      </c>
    </row>
    <row r="1611" spans="1:7" x14ac:dyDescent="0.25">
      <c r="A1611" s="1" t="str">
        <f t="shared" si="103"/>
        <v>205</v>
      </c>
      <c r="B1611" s="1" t="str">
        <f>TEXT(28,"00")</f>
        <v>28</v>
      </c>
      <c r="C1611" s="1" t="str">
        <f t="shared" si="104"/>
        <v>205-28</v>
      </c>
      <c r="D1611" t="s">
        <v>1608</v>
      </c>
      <c r="E1611" t="b">
        <f>IF(COUNTIF(D1611,"*"&amp;'Keyword Search'!$C$5&amp;"*"),TRUE,FALSE)</f>
        <v>1</v>
      </c>
      <c r="G1611" t="str">
        <f t="shared" si="105"/>
        <v>205-28: *Data Entry and Remote Job Entry Devices, Voice Activated: Voice Recognition, Voice Digitization, Speech Synthesizers, etc., Environmentally Certified Products</v>
      </c>
    </row>
    <row r="1612" spans="1:7" x14ac:dyDescent="0.25">
      <c r="A1612" s="1" t="str">
        <f t="shared" si="103"/>
        <v>205</v>
      </c>
      <c r="B1612" s="1" t="str">
        <f>TEXT(29,"00")</f>
        <v>29</v>
      </c>
      <c r="C1612" s="1" t="str">
        <f t="shared" si="104"/>
        <v>205-29</v>
      </c>
      <c r="D1612" t="s">
        <v>1609</v>
      </c>
      <c r="E1612" t="b">
        <f>IF(COUNTIF(D1612,"*"&amp;'Keyword Search'!$C$5&amp;"*"),TRUE,FALSE)</f>
        <v>1</v>
      </c>
      <c r="G1612" t="str">
        <f t="shared" si="105"/>
        <v>205-29: *Data/File Security Hardware/Software, to Include Encryption, Environmentally Certified Products</v>
      </c>
    </row>
    <row r="1613" spans="1:7" x14ac:dyDescent="0.25">
      <c r="A1613" s="1" t="str">
        <f t="shared" si="103"/>
        <v>205</v>
      </c>
      <c r="B1613" s="1" t="str">
        <f>TEXT(32,"00")</f>
        <v>32</v>
      </c>
      <c r="C1613" s="1" t="str">
        <f t="shared" si="104"/>
        <v>205-32</v>
      </c>
      <c r="D1613" t="s">
        <v>1610</v>
      </c>
      <c r="E1613" t="b">
        <f>IF(COUNTIF(D1613,"*"&amp;'Keyword Search'!$C$5&amp;"*"),TRUE,FALSE)</f>
        <v>1</v>
      </c>
      <c r="G1613" t="str">
        <f t="shared" si="105"/>
        <v>205-32: *Drives, External: Jump Drives, Flash Drives, etc., Environmentally Certified Products</v>
      </c>
    </row>
    <row r="1614" spans="1:7" x14ac:dyDescent="0.25">
      <c r="A1614" s="1" t="str">
        <f t="shared" si="103"/>
        <v>205</v>
      </c>
      <c r="B1614" s="1" t="str">
        <f>TEXT(33,"00")</f>
        <v>33</v>
      </c>
      <c r="C1614" s="1" t="str">
        <f t="shared" si="104"/>
        <v>205-33</v>
      </c>
      <c r="D1614" t="s">
        <v>1611</v>
      </c>
      <c r="E1614" t="b">
        <f>IF(COUNTIF(D1614,"*"&amp;'Keyword Search'!$C$5&amp;"*"),TRUE,FALSE)</f>
        <v>1</v>
      </c>
      <c r="G1614" t="str">
        <f t="shared" si="105"/>
        <v>205-33: *Drives, Compact Disk (CD ROM, DVR, etc.), Environmentally Certified Products</v>
      </c>
    </row>
    <row r="1615" spans="1:7" x14ac:dyDescent="0.25">
      <c r="A1615" s="1" t="str">
        <f t="shared" si="103"/>
        <v>205</v>
      </c>
      <c r="B1615" s="1" t="str">
        <f>TEXT(34,"00")</f>
        <v>34</v>
      </c>
      <c r="C1615" s="1" t="str">
        <f t="shared" si="104"/>
        <v>205-34</v>
      </c>
      <c r="D1615" t="s">
        <v>1612</v>
      </c>
      <c r="E1615" t="b">
        <f>IF(COUNTIF(D1615,"*"&amp;'Keyword Search'!$C$5&amp;"*"),TRUE,FALSE)</f>
        <v>1</v>
      </c>
      <c r="G1615" t="str">
        <f t="shared" si="105"/>
        <v>205-34: *Drives, Floppy Disk, Environmentally Certified Products</v>
      </c>
    </row>
    <row r="1616" spans="1:7" x14ac:dyDescent="0.25">
      <c r="A1616" s="1" t="str">
        <f t="shared" si="103"/>
        <v>205</v>
      </c>
      <c r="B1616" s="1" t="str">
        <f>TEXT(35,"00")</f>
        <v>35</v>
      </c>
      <c r="C1616" s="1" t="str">
        <f t="shared" si="104"/>
        <v>205-35</v>
      </c>
      <c r="D1616" t="s">
        <v>1613</v>
      </c>
      <c r="E1616" t="b">
        <f>IF(COUNTIF(D1616,"*"&amp;'Keyword Search'!$C$5&amp;"*"),TRUE,FALSE)</f>
        <v>1</v>
      </c>
      <c r="G1616" t="str">
        <f t="shared" si="105"/>
        <v>205-35: *Drives, Hard/Fixed Disk, Environmentally Certified Products</v>
      </c>
    </row>
    <row r="1617" spans="1:7" x14ac:dyDescent="0.25">
      <c r="A1617" s="1" t="str">
        <f t="shared" si="103"/>
        <v>205</v>
      </c>
      <c r="B1617" s="1" t="str">
        <f>TEXT(37,"00")</f>
        <v>37</v>
      </c>
      <c r="C1617" s="1" t="str">
        <f t="shared" si="104"/>
        <v>205-37</v>
      </c>
      <c r="D1617" t="s">
        <v>1614</v>
      </c>
      <c r="E1617" t="b">
        <f>IF(COUNTIF(D1617,"*"&amp;'Keyword Search'!$C$5&amp;"*"),TRUE,FALSE)</f>
        <v>1</v>
      </c>
      <c r="G1617" t="str">
        <f t="shared" si="105"/>
        <v>205-37: *Drives, Tape, Environmentally Certified Products</v>
      </c>
    </row>
    <row r="1618" spans="1:7" x14ac:dyDescent="0.25">
      <c r="A1618" s="1" t="str">
        <f t="shared" si="103"/>
        <v>205</v>
      </c>
      <c r="B1618" s="1" t="str">
        <f>TEXT(39,"00")</f>
        <v>39</v>
      </c>
      <c r="C1618" s="1" t="str">
        <f t="shared" si="104"/>
        <v>205-39</v>
      </c>
      <c r="D1618" t="s">
        <v>1615</v>
      </c>
      <c r="E1618" t="b">
        <f>IF(COUNTIF(D1618,"*"&amp;'Keyword Search'!$C$5&amp;"*"),TRUE,FALSE)</f>
        <v>1</v>
      </c>
      <c r="G1618" t="str">
        <f t="shared" si="105"/>
        <v>205-39: *Duplicators, DVD, CD, Hard Drives, etc., Environmentally Certified Products</v>
      </c>
    </row>
    <row r="1619" spans="1:7" x14ac:dyDescent="0.25">
      <c r="A1619" s="1" t="str">
        <f t="shared" si="103"/>
        <v>205</v>
      </c>
      <c r="B1619" s="1" t="str">
        <f>TEXT(42,"00")</f>
        <v>42</v>
      </c>
      <c r="C1619" s="1" t="str">
        <f t="shared" si="104"/>
        <v>205-42</v>
      </c>
      <c r="D1619" t="s">
        <v>1616</v>
      </c>
      <c r="E1619" t="b">
        <f>IF(COUNTIF(D1619,"*"&amp;'Keyword Search'!$C$5&amp;"*"),TRUE,FALSE)</f>
        <v>1</v>
      </c>
      <c r="G1619" t="str">
        <f t="shared" si="105"/>
        <v>205-42: *Expansion/Accelerator Boards: Hard Drive Controller Cards, Memory, Processor, SCSI, Video Cards, etc., Environmentally Certified Products</v>
      </c>
    </row>
    <row r="1620" spans="1:7" x14ac:dyDescent="0.25">
      <c r="A1620" s="1" t="str">
        <f t="shared" si="103"/>
        <v>205</v>
      </c>
      <c r="B1620" s="1" t="str">
        <f>TEXT(46,"00")</f>
        <v>46</v>
      </c>
      <c r="C1620" s="1" t="str">
        <f t="shared" si="104"/>
        <v>205-46</v>
      </c>
      <c r="D1620" t="s">
        <v>1617</v>
      </c>
      <c r="E1620" t="b">
        <f>IF(COUNTIF(D1620,"*"&amp;'Keyword Search'!$C$5&amp;"*"),TRUE,FALSE)</f>
        <v>1</v>
      </c>
      <c r="G1620" t="str">
        <f t="shared" si="105"/>
        <v>205-46: *Imaging Systems, Microcomputer, Including Digital Imaging Network (DIN), Technology, and Digital Imaging Communications in Medicine (DICOM), Environmentally Certified Products</v>
      </c>
    </row>
    <row r="1621" spans="1:7" x14ac:dyDescent="0.25">
      <c r="A1621" s="1" t="str">
        <f t="shared" si="103"/>
        <v>205</v>
      </c>
      <c r="B1621" s="1" t="str">
        <f>TEXT(47,"00")</f>
        <v>47</v>
      </c>
      <c r="C1621" s="1" t="str">
        <f t="shared" si="104"/>
        <v>205-47</v>
      </c>
      <c r="D1621" t="s">
        <v>1618</v>
      </c>
      <c r="E1621" t="b">
        <f>IF(COUNTIF(D1621,"*"&amp;'Keyword Search'!$C$5&amp;"*"),TRUE,FALSE)</f>
        <v>1</v>
      </c>
      <c r="G1621" t="str">
        <f t="shared" si="105"/>
        <v>205-47: *Integrated Hardware-Software I.T. Solution (Microcomputer), Environmentally Certified Products</v>
      </c>
    </row>
    <row r="1622" spans="1:7" x14ac:dyDescent="0.25">
      <c r="A1622" s="1" t="str">
        <f t="shared" si="103"/>
        <v>205</v>
      </c>
      <c r="B1622" s="1" t="str">
        <f>TEXT(48,"00")</f>
        <v>48</v>
      </c>
      <c r="C1622" s="1" t="str">
        <f t="shared" si="104"/>
        <v>205-48</v>
      </c>
      <c r="D1622" t="s">
        <v>1619</v>
      </c>
      <c r="E1622" t="b">
        <f>IF(COUNTIF(D1622,"*"&amp;'Keyword Search'!$C$5&amp;"*"),TRUE,FALSE)</f>
        <v>1</v>
      </c>
      <c r="G1622" t="str">
        <f t="shared" si="105"/>
        <v>205-48: *Keyboards, Environmentally Certified Products</v>
      </c>
    </row>
    <row r="1623" spans="1:7" x14ac:dyDescent="0.25">
      <c r="A1623" s="1" t="str">
        <f t="shared" si="103"/>
        <v>205</v>
      </c>
      <c r="B1623" s="1" t="str">
        <f>TEXT(53,"00")</f>
        <v>53</v>
      </c>
      <c r="C1623" s="1" t="str">
        <f t="shared" si="104"/>
        <v>205-53</v>
      </c>
      <c r="D1623" t="s">
        <v>1620</v>
      </c>
      <c r="E1623" t="b">
        <f>IF(COUNTIF(D1623,"*"&amp;'Keyword Search'!$C$5&amp;"*"),TRUE,FALSE)</f>
        <v>1</v>
      </c>
      <c r="G1623" t="str">
        <f t="shared" si="105"/>
        <v>205-53: *Microcomputers, Desktop or Tower based, Environmentally Certified Products</v>
      </c>
    </row>
    <row r="1624" spans="1:7" x14ac:dyDescent="0.25">
      <c r="A1624" s="1" t="str">
        <f t="shared" si="103"/>
        <v>205</v>
      </c>
      <c r="B1624" s="1" t="str">
        <f>TEXT(54,"00")</f>
        <v>54</v>
      </c>
      <c r="C1624" s="1" t="str">
        <f t="shared" si="104"/>
        <v>205-54</v>
      </c>
      <c r="D1624" t="s">
        <v>1621</v>
      </c>
      <c r="E1624" t="b">
        <f>IF(COUNTIF(D1624,"*"&amp;'Keyword Search'!$C$5&amp;"*"),TRUE,FALSE)</f>
        <v>1</v>
      </c>
      <c r="G1624" t="str">
        <f t="shared" si="105"/>
        <v>205-54: *Microcomputers, Handheld, Laptop, and Notebook, Environmentally Certified Products</v>
      </c>
    </row>
    <row r="1625" spans="1:7" x14ac:dyDescent="0.25">
      <c r="A1625" s="1" t="str">
        <f t="shared" si="103"/>
        <v>205</v>
      </c>
      <c r="B1625" s="1" t="str">
        <f>TEXT(55,"00")</f>
        <v>55</v>
      </c>
      <c r="C1625" s="1" t="str">
        <f t="shared" si="104"/>
        <v>205-55</v>
      </c>
      <c r="D1625" t="s">
        <v>1622</v>
      </c>
      <c r="E1625" t="b">
        <f>IF(COUNTIF(D1625,"*"&amp;'Keyword Search'!$C$5&amp;"*"),TRUE,FALSE)</f>
        <v>1</v>
      </c>
      <c r="G1625" t="str">
        <f t="shared" si="105"/>
        <v>205-55: *Microcomputers, Multi-Processor, Environmentally Certified Products</v>
      </c>
    </row>
    <row r="1626" spans="1:7" x14ac:dyDescent="0.25">
      <c r="A1626" s="1" t="str">
        <f t="shared" si="103"/>
        <v>205</v>
      </c>
      <c r="B1626" s="1" t="str">
        <f>TEXT(58,"00")</f>
        <v>58</v>
      </c>
      <c r="C1626" s="1" t="str">
        <f t="shared" si="104"/>
        <v>205-58</v>
      </c>
      <c r="D1626" t="s">
        <v>1623</v>
      </c>
      <c r="E1626" t="b">
        <f>IF(COUNTIF(D1626,"*"&amp;'Keyword Search'!$C$5&amp;"*"),TRUE,FALSE)</f>
        <v>1</v>
      </c>
      <c r="G1626" t="str">
        <f t="shared" si="105"/>
        <v>205-58: *Modems, External, Data Communications, Environmentally Certified Products</v>
      </c>
    </row>
    <row r="1627" spans="1:7" x14ac:dyDescent="0.25">
      <c r="A1627" s="1" t="str">
        <f t="shared" si="103"/>
        <v>205</v>
      </c>
      <c r="B1627" s="1" t="str">
        <f>TEXT(60,"00")</f>
        <v>60</v>
      </c>
      <c r="C1627" s="1" t="str">
        <f t="shared" si="104"/>
        <v>205-60</v>
      </c>
      <c r="D1627" t="s">
        <v>1624</v>
      </c>
      <c r="E1627" t="b">
        <f>IF(COUNTIF(D1627,"*"&amp;'Keyword Search'!$C$5&amp;"*"),TRUE,FALSE)</f>
        <v>1</v>
      </c>
      <c r="G1627" t="str">
        <f t="shared" si="105"/>
        <v>205-60: *Monitors, Color and Monochrome (CGA, VGA, SVGA, etc.), Environmentally Certified Products</v>
      </c>
    </row>
    <row r="1628" spans="1:7" x14ac:dyDescent="0.25">
      <c r="A1628" s="1" t="str">
        <f t="shared" si="103"/>
        <v>205</v>
      </c>
      <c r="B1628" s="1" t="str">
        <f>TEXT(62,"00")</f>
        <v>62</v>
      </c>
      <c r="C1628" s="1" t="str">
        <f t="shared" si="104"/>
        <v>205-62</v>
      </c>
      <c r="D1628" t="s">
        <v>1625</v>
      </c>
      <c r="E1628" t="b">
        <f>IF(COUNTIF(D1628,"*"&amp;'Keyword Search'!$C$5&amp;"*"),TRUE,FALSE)</f>
        <v>1</v>
      </c>
      <c r="G1628" t="str">
        <f t="shared" si="105"/>
        <v>205-62: *Motherboards, Environmentally Certified Products</v>
      </c>
    </row>
    <row r="1629" spans="1:7" x14ac:dyDescent="0.25">
      <c r="A1629" s="1" t="str">
        <f t="shared" si="103"/>
        <v>205</v>
      </c>
      <c r="B1629" s="1" t="str">
        <f>TEXT(64,"00")</f>
        <v>64</v>
      </c>
      <c r="C1629" s="1" t="str">
        <f t="shared" si="104"/>
        <v>205-64</v>
      </c>
      <c r="D1629" t="s">
        <v>1626</v>
      </c>
      <c r="E1629" t="b">
        <f>IF(COUNTIF(D1629,"*"&amp;'Keyword Search'!$C$5&amp;"*"),TRUE,FALSE)</f>
        <v>1</v>
      </c>
      <c r="G1629" t="str">
        <f t="shared" si="105"/>
        <v>205-64: *Network Components: Adapter Cards, Bridges, Connectors, Expansion Modules/Ports, Firewall Devices, Hubs, Line Drivers, MSAUs, Routers, Transceivers, etc., Environmentally Certified Products</v>
      </c>
    </row>
    <row r="1630" spans="1:7" x14ac:dyDescent="0.25">
      <c r="A1630" s="1" t="str">
        <f t="shared" si="103"/>
        <v>205</v>
      </c>
      <c r="B1630" s="1" t="str">
        <f>TEXT(68,"00")</f>
        <v>68</v>
      </c>
      <c r="C1630" s="1" t="str">
        <f t="shared" si="104"/>
        <v>205-68</v>
      </c>
      <c r="D1630" t="s">
        <v>1627</v>
      </c>
      <c r="E1630" t="b">
        <f>IF(COUNTIF(D1630,"*"&amp;'Keyword Search'!$C$5&amp;"*"),TRUE,FALSE)</f>
        <v>1</v>
      </c>
      <c r="G1630" t="str">
        <f t="shared" si="105"/>
        <v>205-68: *Peripherals, Miscellaneous: Joy Sticks, Graphic Digitizers, Light Pens, Mice, Pen Pads, Trackballs, Secure I.D. Access Cards, Headsets and Microphones, etc., Environmentally Certified Products</v>
      </c>
    </row>
    <row r="1631" spans="1:7" x14ac:dyDescent="0.25">
      <c r="A1631" s="1" t="str">
        <f t="shared" si="103"/>
        <v>205</v>
      </c>
      <c r="B1631" s="1" t="str">
        <f>TEXT(70,"00")</f>
        <v>70</v>
      </c>
      <c r="C1631" s="1" t="str">
        <f t="shared" si="104"/>
        <v>205-70</v>
      </c>
      <c r="D1631" t="s">
        <v>1628</v>
      </c>
      <c r="E1631" t="b">
        <f>IF(COUNTIF(D1631,"*"&amp;'Keyword Search'!$C$5&amp;"*"),TRUE,FALSE)</f>
        <v>1</v>
      </c>
      <c r="G1631" t="str">
        <f t="shared" si="105"/>
        <v>205-70: *Picture Archiving Computer System (PACS), Environmentally Certified Products</v>
      </c>
    </row>
    <row r="1632" spans="1:7" x14ac:dyDescent="0.25">
      <c r="A1632" s="1" t="str">
        <f t="shared" si="103"/>
        <v>205</v>
      </c>
      <c r="B1632" s="1" t="str">
        <f>TEXT(71,"00")</f>
        <v>71</v>
      </c>
      <c r="C1632" s="1" t="str">
        <f t="shared" si="104"/>
        <v>205-71</v>
      </c>
      <c r="D1632" t="s">
        <v>1629</v>
      </c>
      <c r="E1632" t="b">
        <f>IF(COUNTIF(D1632,"*"&amp;'Keyword Search'!$C$5&amp;"*"),TRUE,FALSE)</f>
        <v>1</v>
      </c>
      <c r="G1632" t="str">
        <f t="shared" si="105"/>
        <v>205-71: *Plotters, Graphic, Environmentally Certified Products</v>
      </c>
    </row>
    <row r="1633" spans="1:7" x14ac:dyDescent="0.25">
      <c r="A1633" s="1" t="str">
        <f t="shared" si="103"/>
        <v>205</v>
      </c>
      <c r="B1633" s="1" t="str">
        <f>TEXT(72,"00")</f>
        <v>72</v>
      </c>
      <c r="C1633" s="1" t="str">
        <f t="shared" si="104"/>
        <v>205-72</v>
      </c>
      <c r="D1633" t="s">
        <v>1630</v>
      </c>
      <c r="E1633" t="b">
        <f>IF(COUNTIF(D1633,"*"&amp;'Keyword Search'!$C$5&amp;"*"),TRUE,FALSE)</f>
        <v>1</v>
      </c>
      <c r="G1633" t="str">
        <f t="shared" si="105"/>
        <v>205-72: *Power Supplies and Power Related Parts, Internal, Environmentally Certified Products</v>
      </c>
    </row>
    <row r="1634" spans="1:7" x14ac:dyDescent="0.25">
      <c r="A1634" s="1" t="str">
        <f t="shared" si="103"/>
        <v>205</v>
      </c>
      <c r="B1634" s="1" t="str">
        <f>TEXT(74,"00")</f>
        <v>74</v>
      </c>
      <c r="C1634" s="1" t="str">
        <f t="shared" si="104"/>
        <v>205-74</v>
      </c>
      <c r="D1634" t="s">
        <v>1631</v>
      </c>
      <c r="E1634" t="b">
        <f>IF(COUNTIF(D1634,"*"&amp;'Keyword Search'!$C$5&amp;"*"),TRUE,FALSE)</f>
        <v>1</v>
      </c>
      <c r="G1634" t="str">
        <f t="shared" si="105"/>
        <v>205-74: *Printer Sharing Devices, Environmentally Certified Products</v>
      </c>
    </row>
    <row r="1635" spans="1:7" x14ac:dyDescent="0.25">
      <c r="A1635" s="1" t="str">
        <f t="shared" si="103"/>
        <v>205</v>
      </c>
      <c r="B1635" s="1" t="str">
        <f>TEXT(75,"00")</f>
        <v>75</v>
      </c>
      <c r="C1635" s="1" t="str">
        <f t="shared" si="104"/>
        <v>205-75</v>
      </c>
      <c r="D1635" t="s">
        <v>1632</v>
      </c>
      <c r="E1635" t="b">
        <f>IF(COUNTIF(D1635,"*"&amp;'Keyword Search'!$C$5&amp;"*"),TRUE,FALSE)</f>
        <v>1</v>
      </c>
      <c r="G1635" t="str">
        <f t="shared" si="105"/>
        <v>205-75: *Printers, Dot Matrix, Environmentally Certified Products</v>
      </c>
    </row>
    <row r="1636" spans="1:7" x14ac:dyDescent="0.25">
      <c r="A1636" s="1" t="str">
        <f t="shared" si="103"/>
        <v>205</v>
      </c>
      <c r="B1636" s="1" t="str">
        <f>TEXT(76,"00")</f>
        <v>76</v>
      </c>
      <c r="C1636" s="1" t="str">
        <f t="shared" si="104"/>
        <v>205-76</v>
      </c>
      <c r="D1636" t="s">
        <v>1633</v>
      </c>
      <c r="E1636" t="b">
        <f>IF(COUNTIF(D1636,"*"&amp;'Keyword Search'!$C$5&amp;"*"),TRUE,FALSE)</f>
        <v>1</v>
      </c>
      <c r="G1636" t="str">
        <f t="shared" si="105"/>
        <v>205-76: *Printers, Inkjet, Environmentally Certified Products</v>
      </c>
    </row>
    <row r="1637" spans="1:7" x14ac:dyDescent="0.25">
      <c r="A1637" s="1" t="str">
        <f t="shared" si="103"/>
        <v>205</v>
      </c>
      <c r="B1637" s="1" t="str">
        <f>TEXT(77,"00")</f>
        <v>77</v>
      </c>
      <c r="C1637" s="1" t="str">
        <f t="shared" si="104"/>
        <v>205-77</v>
      </c>
      <c r="D1637" t="s">
        <v>1634</v>
      </c>
      <c r="E1637" t="b">
        <f>IF(COUNTIF(D1637,"*"&amp;'Keyword Search'!$C$5&amp;"*"),TRUE,FALSE)</f>
        <v>1</v>
      </c>
      <c r="G1637" t="str">
        <f t="shared" si="105"/>
        <v>205-77: *Printers, Laser, Environmentally Certified Products</v>
      </c>
    </row>
    <row r="1638" spans="1:7" x14ac:dyDescent="0.25">
      <c r="A1638" s="1" t="str">
        <f t="shared" si="103"/>
        <v>205</v>
      </c>
      <c r="B1638" s="1" t="str">
        <f>TEXT(78,"00")</f>
        <v>78</v>
      </c>
      <c r="C1638" s="1" t="str">
        <f t="shared" si="104"/>
        <v>205-78</v>
      </c>
      <c r="D1638" t="s">
        <v>1635</v>
      </c>
      <c r="E1638" t="b">
        <f>IF(COUNTIF(D1638,"*"&amp;'Keyword Search'!$C$5&amp;"*"),TRUE,FALSE)</f>
        <v>1</v>
      </c>
      <c r="G1638" t="str">
        <f t="shared" si="105"/>
        <v>205-78: *Printers, Pen Plotter, Environmentally Certified Products</v>
      </c>
    </row>
    <row r="1639" spans="1:7" x14ac:dyDescent="0.25">
      <c r="A1639" s="1" t="str">
        <f t="shared" si="103"/>
        <v>205</v>
      </c>
      <c r="B1639" s="1" t="str">
        <f>TEXT(79,"00")</f>
        <v>79</v>
      </c>
      <c r="C1639" s="1" t="str">
        <f t="shared" si="104"/>
        <v>205-79</v>
      </c>
      <c r="D1639" t="s">
        <v>1636</v>
      </c>
      <c r="E1639" t="b">
        <f>IF(COUNTIF(D1639,"*"&amp;'Keyword Search'!$C$5&amp;"*"),TRUE,FALSE)</f>
        <v>1</v>
      </c>
      <c r="G1639" t="str">
        <f t="shared" si="105"/>
        <v>205-79: *Printers, Digital, Environmentally Certified Products</v>
      </c>
    </row>
    <row r="1640" spans="1:7" x14ac:dyDescent="0.25">
      <c r="A1640" s="1" t="str">
        <f t="shared" si="103"/>
        <v>205</v>
      </c>
      <c r="B1640" s="1" t="str">
        <f>TEXT(80,"00")</f>
        <v>80</v>
      </c>
      <c r="C1640" s="1" t="str">
        <f t="shared" si="104"/>
        <v>205-80</v>
      </c>
      <c r="D1640" t="s">
        <v>1637</v>
      </c>
      <c r="E1640" t="b">
        <f>IF(COUNTIF(D1640,"*"&amp;'Keyword Search'!$C$5&amp;"*"),TRUE,FALSE)</f>
        <v>1</v>
      </c>
      <c r="G1640" t="str">
        <f t="shared" si="105"/>
        <v>205-80: *Printers, Thermal, Environmentally Certified Products</v>
      </c>
    </row>
    <row r="1641" spans="1:7" x14ac:dyDescent="0.25">
      <c r="A1641" s="1" t="str">
        <f t="shared" si="103"/>
        <v>205</v>
      </c>
      <c r="B1641" s="1" t="str">
        <f>TEXT(82,"00")</f>
        <v>82</v>
      </c>
      <c r="C1641" s="1" t="str">
        <f t="shared" si="104"/>
        <v>205-82</v>
      </c>
      <c r="D1641" t="s">
        <v>1638</v>
      </c>
      <c r="E1641" t="b">
        <f>IF(COUNTIF(D1641,"*"&amp;'Keyword Search'!$C$5&amp;"*"),TRUE,FALSE)</f>
        <v>1</v>
      </c>
      <c r="G1641" t="str">
        <f t="shared" si="105"/>
        <v>205-82: *Printers, Microcomputer (Not Otherwise Classified), Environmentally Certified Products</v>
      </c>
    </row>
    <row r="1642" spans="1:7" x14ac:dyDescent="0.25">
      <c r="A1642" s="1" t="str">
        <f t="shared" si="103"/>
        <v>205</v>
      </c>
      <c r="B1642" s="1" t="str">
        <f>TEXT(83,"00")</f>
        <v>83</v>
      </c>
      <c r="C1642" s="1" t="str">
        <f t="shared" si="104"/>
        <v>205-83</v>
      </c>
      <c r="D1642" t="s">
        <v>1639</v>
      </c>
      <c r="E1642" t="b">
        <f>IF(COUNTIF(D1642,"*"&amp;'Keyword Search'!$C$5&amp;"*"),TRUE,FALSE)</f>
        <v>1</v>
      </c>
      <c r="G1642" t="str">
        <f t="shared" si="105"/>
        <v>205-83: *Recycled Microcomputer Hardware and Peripherals, Environmentally Certified Products</v>
      </c>
    </row>
    <row r="1643" spans="1:7" x14ac:dyDescent="0.25">
      <c r="A1643" s="1" t="str">
        <f t="shared" si="103"/>
        <v>205</v>
      </c>
      <c r="B1643" s="1" t="str">
        <f>TEXT(84,"00")</f>
        <v>84</v>
      </c>
      <c r="C1643" s="1" t="str">
        <f t="shared" si="104"/>
        <v>205-84</v>
      </c>
      <c r="D1643" t="s">
        <v>1640</v>
      </c>
      <c r="E1643" t="b">
        <f>IF(COUNTIF(D1643,"*"&amp;'Keyword Search'!$C$5&amp;"*"),TRUE,FALSE)</f>
        <v>1</v>
      </c>
      <c r="G1643" t="str">
        <f t="shared" si="105"/>
        <v>205-84: *Retrieval Systems, Computer Assisted: Indexing, Retrieval, CD ROM Jukebox, etc. and Access Systems, Environmentally Certified Products</v>
      </c>
    </row>
    <row r="1644" spans="1:7" x14ac:dyDescent="0.25">
      <c r="A1644" s="1" t="str">
        <f t="shared" si="103"/>
        <v>205</v>
      </c>
      <c r="B1644" s="1" t="str">
        <f>TEXT(87,"00")</f>
        <v>87</v>
      </c>
      <c r="C1644" s="1" t="str">
        <f t="shared" si="104"/>
        <v>205-87</v>
      </c>
      <c r="D1644" t="s">
        <v>1641</v>
      </c>
      <c r="E1644" t="b">
        <f>IF(COUNTIF(D1644,"*"&amp;'Keyword Search'!$C$5&amp;"*"),TRUE,FALSE)</f>
        <v>1</v>
      </c>
      <c r="G1644" t="str">
        <f t="shared" si="105"/>
        <v>205-87: *Scanners, Film, Environmentally Certified Products</v>
      </c>
    </row>
    <row r="1645" spans="1:7" x14ac:dyDescent="0.25">
      <c r="A1645" s="1" t="str">
        <f t="shared" si="103"/>
        <v>205</v>
      </c>
      <c r="B1645" s="1" t="str">
        <f>TEXT(88,"00")</f>
        <v>88</v>
      </c>
      <c r="C1645" s="1" t="str">
        <f t="shared" si="104"/>
        <v>205-88</v>
      </c>
      <c r="D1645" t="s">
        <v>1642</v>
      </c>
      <c r="E1645" t="b">
        <f>IF(COUNTIF(D1645,"*"&amp;'Keyword Search'!$C$5&amp;"*"),TRUE,FALSE)</f>
        <v>1</v>
      </c>
      <c r="G1645" t="str">
        <f t="shared" si="105"/>
        <v>205-88: *Scanners, Document: Handheld, Desktop and High Volume, Environmentally Certified Products</v>
      </c>
    </row>
    <row r="1646" spans="1:7" x14ac:dyDescent="0.25">
      <c r="A1646" s="1" t="str">
        <f t="shared" si="103"/>
        <v>205</v>
      </c>
      <c r="B1646" s="1" t="str">
        <f>TEXT(89,"00")</f>
        <v>89</v>
      </c>
      <c r="C1646" s="1" t="str">
        <f t="shared" si="104"/>
        <v>205-89</v>
      </c>
      <c r="D1646" t="s">
        <v>1643</v>
      </c>
      <c r="E1646" t="b">
        <f>IF(COUNTIF(D1646,"*"&amp;'Keyword Search'!$C$5&amp;"*"),TRUE,FALSE)</f>
        <v>1</v>
      </c>
      <c r="G1646" t="str">
        <f t="shared" si="105"/>
        <v>205-89: *Scanners and Readers, Magnetic Strip, Environmentally Certified Products</v>
      </c>
    </row>
    <row r="1647" spans="1:7" x14ac:dyDescent="0.25">
      <c r="A1647" s="1" t="str">
        <f t="shared" si="103"/>
        <v>205</v>
      </c>
      <c r="B1647" s="1" t="str">
        <f>TEXT(90,"00")</f>
        <v>90</v>
      </c>
      <c r="C1647" s="1" t="str">
        <f t="shared" si="104"/>
        <v>205-90</v>
      </c>
      <c r="D1647" t="s">
        <v>1644</v>
      </c>
      <c r="E1647" t="b">
        <f>IF(COUNTIF(D1647,"*"&amp;'Keyword Search'!$C$5&amp;"*"),TRUE,FALSE)</f>
        <v>1</v>
      </c>
      <c r="G1647" t="str">
        <f t="shared" si="105"/>
        <v>205-90: *Scanners and Readers, Optical Character and Magnetic Type: Bar Code, Remittance Scanner/Processors, Point of Sale Scanners, etc., Environmentally Certified Products</v>
      </c>
    </row>
    <row r="1648" spans="1:7" x14ac:dyDescent="0.25">
      <c r="A1648" s="1" t="str">
        <f t="shared" si="103"/>
        <v>205</v>
      </c>
      <c r="B1648" s="1" t="str">
        <f>TEXT(91,"00")</f>
        <v>91</v>
      </c>
      <c r="C1648" s="1" t="str">
        <f t="shared" si="104"/>
        <v>205-91</v>
      </c>
      <c r="D1648" t="s">
        <v>1645</v>
      </c>
      <c r="E1648" t="b">
        <f>IF(COUNTIF(D1648,"*"&amp;'Keyword Search'!$C$5&amp;"*"),TRUE,FALSE)</f>
        <v>1</v>
      </c>
      <c r="G1648" t="str">
        <f t="shared" si="105"/>
        <v>205-91: *Servers, Microcomputer, Application, Database, File, Mail, Network, Web, etc., Environmentally Certified Products</v>
      </c>
    </row>
    <row r="1649" spans="1:7" x14ac:dyDescent="0.25">
      <c r="A1649" s="1" t="str">
        <f t="shared" si="103"/>
        <v>205</v>
      </c>
      <c r="B1649" s="1" t="str">
        <f>TEXT(93,"00")</f>
        <v>93</v>
      </c>
      <c r="C1649" s="1" t="str">
        <f t="shared" si="104"/>
        <v>205-93</v>
      </c>
      <c r="D1649" t="s">
        <v>1646</v>
      </c>
      <c r="E1649" t="b">
        <f>IF(COUNTIF(D1649,"*"&amp;'Keyword Search'!$C$5&amp;"*"),TRUE,FALSE)</f>
        <v>1</v>
      </c>
      <c r="G1649" t="str">
        <f t="shared" si="105"/>
        <v>205-93: *Terminals and CRTs: Data Processing Systems, Environmentally Certified Products</v>
      </c>
    </row>
    <row r="1650" spans="1:7" x14ac:dyDescent="0.25">
      <c r="A1650" s="1" t="str">
        <f t="shared" si="103"/>
        <v>205</v>
      </c>
      <c r="B1650" s="1" t="str">
        <f>TEXT(95,"00")</f>
        <v>95</v>
      </c>
      <c r="C1650" s="1" t="str">
        <f t="shared" si="104"/>
        <v>205-95</v>
      </c>
      <c r="D1650" t="s">
        <v>1647</v>
      </c>
      <c r="E1650" t="b">
        <f>IF(COUNTIF(D1650,"*"&amp;'Keyword Search'!$C$5&amp;"*"),TRUE,FALSE)</f>
        <v>1</v>
      </c>
      <c r="G1650" t="str">
        <f t="shared" si="105"/>
        <v>205-95: *Word Processing Equipment, Accessories and Supplies (Not Otherwise Classified), Environmentally Certified Products</v>
      </c>
    </row>
    <row r="1651" spans="1:7" x14ac:dyDescent="0.25">
      <c r="A1651" s="1" t="str">
        <f t="shared" si="103"/>
        <v>205</v>
      </c>
      <c r="B1651" s="1" t="str">
        <f>TEXT(96,"00")</f>
        <v>96</v>
      </c>
      <c r="C1651" s="1" t="str">
        <f t="shared" si="104"/>
        <v>205-96</v>
      </c>
      <c r="D1651" t="s">
        <v>1648</v>
      </c>
      <c r="E1651" t="b">
        <f>IF(COUNTIF(D1651,"*"&amp;'Keyword Search'!$C$5&amp;"*"),TRUE,FALSE)</f>
        <v>1</v>
      </c>
      <c r="G1651" t="str">
        <f t="shared" si="105"/>
        <v>205-96: *Workstations: SPARC, RISC, etc., For Use With CAD and CAM, etc., Environmentally Certified Products</v>
      </c>
    </row>
    <row r="1652" spans="1:7" x14ac:dyDescent="0.25">
      <c r="A1652" s="5" t="str">
        <f t="shared" ref="A1652:A1697" si="106">TEXT(206,"000")</f>
        <v>206</v>
      </c>
      <c r="B1652" s="5" t="str">
        <f>TEXT(0,"00")</f>
        <v>00</v>
      </c>
      <c r="C1652" s="1"/>
      <c r="D1652" s="2" t="s">
        <v>1649</v>
      </c>
    </row>
    <row r="1653" spans="1:7" x14ac:dyDescent="0.25">
      <c r="A1653" s="1" t="str">
        <f t="shared" si="106"/>
        <v>206</v>
      </c>
      <c r="B1653" s="1" t="str">
        <f>TEXT(14,"00")</f>
        <v>14</v>
      </c>
      <c r="C1653" s="1" t="str">
        <f t="shared" si="104"/>
        <v>206-14</v>
      </c>
      <c r="D1653" t="s">
        <v>1650</v>
      </c>
      <c r="E1653" t="b">
        <f>IF(COUNTIF(D1653,"*"&amp;'Keyword Search'!$C$5&amp;"*"),TRUE,FALSE)</f>
        <v>1</v>
      </c>
      <c r="G1653" t="str">
        <f t="shared" si="105"/>
        <v>206-14: *Cables: Printer, Disk, Network, etc.</v>
      </c>
    </row>
    <row r="1654" spans="1:7" x14ac:dyDescent="0.25">
      <c r="A1654" s="1" t="str">
        <f t="shared" si="106"/>
        <v>206</v>
      </c>
      <c r="B1654" s="1" t="str">
        <f>TEXT(17,"00")</f>
        <v>17</v>
      </c>
      <c r="C1654" s="1" t="str">
        <f t="shared" si="104"/>
        <v>206-17</v>
      </c>
      <c r="D1654" t="s">
        <v>1651</v>
      </c>
      <c r="E1654" t="b">
        <f>IF(COUNTIF(D1654,"*"&amp;'Keyword Search'!$C$5&amp;"*"),TRUE,FALSE)</f>
        <v>1</v>
      </c>
      <c r="G1654" t="str">
        <f t="shared" si="105"/>
        <v>206-17: *Chips: Accelerator, Graphics, Math Co-Processor, Memory (RAM and ROM), Network, etc.</v>
      </c>
    </row>
    <row r="1655" spans="1:7" x14ac:dyDescent="0.25">
      <c r="A1655" s="1" t="str">
        <f t="shared" si="106"/>
        <v>206</v>
      </c>
      <c r="B1655" s="1" t="str">
        <f>TEXT(20,"00")</f>
        <v>20</v>
      </c>
      <c r="C1655" s="1" t="str">
        <f t="shared" si="104"/>
        <v>206-20</v>
      </c>
      <c r="D1655" t="s">
        <v>1652</v>
      </c>
      <c r="E1655" t="b">
        <f>IF(COUNTIF(D1655,"*"&amp;'Keyword Search'!$C$5&amp;"*"),TRUE,FALSE)</f>
        <v>1</v>
      </c>
      <c r="G1655" t="str">
        <f t="shared" si="105"/>
        <v>206-20: *Communication Boards: Fax, Modem, Internal, Network Cards, Ethernet, etc.</v>
      </c>
    </row>
    <row r="1656" spans="1:7" x14ac:dyDescent="0.25">
      <c r="A1656" s="1" t="str">
        <f t="shared" si="106"/>
        <v>206</v>
      </c>
      <c r="B1656" s="1" t="str">
        <f>TEXT(21,"00")</f>
        <v>21</v>
      </c>
      <c r="C1656" s="1" t="str">
        <f t="shared" si="104"/>
        <v>206-21</v>
      </c>
      <c r="D1656" t="s">
        <v>1653</v>
      </c>
      <c r="E1656" t="b">
        <f>IF(COUNTIF(D1656,"*"&amp;'Keyword Search'!$C$5&amp;"*"),TRUE,FALSE)</f>
        <v>1</v>
      </c>
      <c r="G1656" t="str">
        <f t="shared" si="105"/>
        <v>206-21: *Communication Control Units: Concentrators, Multiplexers, Couplers, etc.</v>
      </c>
    </row>
    <row r="1657" spans="1:7" x14ac:dyDescent="0.25">
      <c r="A1657" s="1" t="str">
        <f t="shared" si="106"/>
        <v>206</v>
      </c>
      <c r="B1657" s="1" t="str">
        <f>TEXT(23,"00")</f>
        <v>23</v>
      </c>
      <c r="C1657" s="1" t="str">
        <f t="shared" si="104"/>
        <v>206-23</v>
      </c>
      <c r="D1657" t="s">
        <v>1654</v>
      </c>
      <c r="E1657" t="b">
        <f>IF(COUNTIF(D1657,"*"&amp;'Keyword Search'!$C$5&amp;"*"),TRUE,FALSE)</f>
        <v>1</v>
      </c>
      <c r="G1657" t="str">
        <f t="shared" si="105"/>
        <v>206-23: *Communication Processors and Protocol Converters: Front-End Processor, Network Interface Module, Protocol Interchange, Switching Controls, etc.</v>
      </c>
    </row>
    <row r="1658" spans="1:7" x14ac:dyDescent="0.25">
      <c r="A1658" s="1" t="str">
        <f t="shared" si="106"/>
        <v>206</v>
      </c>
      <c r="B1658" s="1" t="str">
        <f>TEXT(25,"00")</f>
        <v>25</v>
      </c>
      <c r="C1658" s="1" t="str">
        <f t="shared" si="104"/>
        <v>206-25</v>
      </c>
      <c r="D1658" t="s">
        <v>1655</v>
      </c>
      <c r="E1658" t="b">
        <f>IF(COUNTIF(D1658,"*"&amp;'Keyword Search'!$C$5&amp;"*"),TRUE,FALSE)</f>
        <v>1</v>
      </c>
      <c r="G1658" t="str">
        <f t="shared" si="105"/>
        <v>206-25: *Computer Systems, Digital</v>
      </c>
    </row>
    <row r="1659" spans="1:7" x14ac:dyDescent="0.25">
      <c r="A1659" s="1" t="str">
        <f t="shared" si="106"/>
        <v>206</v>
      </c>
      <c r="B1659" s="1" t="str">
        <f>TEXT(27,"00")</f>
        <v>27</v>
      </c>
      <c r="C1659" s="1" t="str">
        <f t="shared" si="104"/>
        <v>206-27</v>
      </c>
      <c r="D1659" t="s">
        <v>1656</v>
      </c>
      <c r="E1659" t="b">
        <f>IF(COUNTIF(D1659,"*"&amp;'Keyword Search'!$C$5&amp;"*"),TRUE,FALSE)</f>
        <v>1</v>
      </c>
      <c r="G1659" t="str">
        <f t="shared" si="105"/>
        <v>206-27: *Computer Systems, Laboratory Control</v>
      </c>
    </row>
    <row r="1660" spans="1:7" x14ac:dyDescent="0.25">
      <c r="A1660" s="1" t="str">
        <f t="shared" si="106"/>
        <v>206</v>
      </c>
      <c r="B1660" s="1" t="str">
        <f>TEXT(28,"00")</f>
        <v>28</v>
      </c>
      <c r="C1660" s="1" t="str">
        <f t="shared" si="104"/>
        <v>206-28</v>
      </c>
      <c r="D1660" t="s">
        <v>1657</v>
      </c>
      <c r="E1660" t="b">
        <f>IF(COUNTIF(D1660,"*"&amp;'Keyword Search'!$C$5&amp;"*"),TRUE,FALSE)</f>
        <v>1</v>
      </c>
      <c r="G1660" t="str">
        <f t="shared" si="105"/>
        <v>206-28: *Computer Systems, Process Control</v>
      </c>
    </row>
    <row r="1661" spans="1:7" x14ac:dyDescent="0.25">
      <c r="A1661" s="1" t="str">
        <f t="shared" si="106"/>
        <v>206</v>
      </c>
      <c r="B1661" s="1" t="str">
        <f>TEXT(31,"00")</f>
        <v>31</v>
      </c>
      <c r="C1661" s="1" t="str">
        <f t="shared" si="104"/>
        <v>206-31</v>
      </c>
      <c r="D1661" t="s">
        <v>1658</v>
      </c>
      <c r="E1661" t="b">
        <f>IF(COUNTIF(D1661,"*"&amp;'Keyword Search'!$C$5&amp;"*"),TRUE,FALSE)</f>
        <v>1</v>
      </c>
      <c r="G1661" t="str">
        <f t="shared" si="105"/>
        <v>206-31: *Controllers, Disk: Disk Subsystems, etc.</v>
      </c>
    </row>
    <row r="1662" spans="1:7" x14ac:dyDescent="0.25">
      <c r="A1662" s="1" t="str">
        <f t="shared" si="106"/>
        <v>206</v>
      </c>
      <c r="B1662" s="1" t="str">
        <f>TEXT(32,"00")</f>
        <v>32</v>
      </c>
      <c r="C1662" s="1" t="str">
        <f t="shared" si="104"/>
        <v>206-32</v>
      </c>
      <c r="D1662" t="s">
        <v>1659</v>
      </c>
      <c r="E1662" t="b">
        <f>IF(COUNTIF(D1662,"*"&amp;'Keyword Search'!$C$5&amp;"*"),TRUE,FALSE)</f>
        <v>1</v>
      </c>
      <c r="G1662" t="str">
        <f t="shared" si="105"/>
        <v>206-32: *Controllers, Local and Remote</v>
      </c>
    </row>
    <row r="1663" spans="1:7" x14ac:dyDescent="0.25">
      <c r="A1663" s="1" t="str">
        <f t="shared" si="106"/>
        <v>206</v>
      </c>
      <c r="B1663" s="1" t="str">
        <f>TEXT(34,"00")</f>
        <v>34</v>
      </c>
      <c r="C1663" s="1" t="str">
        <f t="shared" si="104"/>
        <v>206-34</v>
      </c>
      <c r="D1663" t="s">
        <v>1660</v>
      </c>
      <c r="E1663" t="b">
        <f>IF(COUNTIF(D1663,"*"&amp;'Keyword Search'!$C$5&amp;"*"),TRUE,FALSE)</f>
        <v>1</v>
      </c>
      <c r="G1663" t="str">
        <f t="shared" si="105"/>
        <v>206-34: *Controllers, Peripheral: Plotters, Printers, Digitizers, etc.</v>
      </c>
    </row>
    <row r="1664" spans="1:7" x14ac:dyDescent="0.25">
      <c r="A1664" s="1" t="str">
        <f t="shared" si="106"/>
        <v>206</v>
      </c>
      <c r="B1664" s="1" t="str">
        <f>TEXT(36,"00")</f>
        <v>36</v>
      </c>
      <c r="C1664" s="1" t="str">
        <f t="shared" si="104"/>
        <v>206-36</v>
      </c>
      <c r="D1664" t="s">
        <v>1557</v>
      </c>
      <c r="E1664" t="b">
        <f>IF(COUNTIF(D1664,"*"&amp;'Keyword Search'!$C$5&amp;"*"),TRUE,FALSE)</f>
        <v>1</v>
      </c>
      <c r="G1664" t="str">
        <f t="shared" si="105"/>
        <v>206-36: *Controllers, Tape: Tape Subsystems, etc.</v>
      </c>
    </row>
    <row r="1665" spans="1:7" x14ac:dyDescent="0.25">
      <c r="A1665" s="1" t="str">
        <f t="shared" si="106"/>
        <v>206</v>
      </c>
      <c r="B1665" s="1" t="str">
        <f>TEXT(40,"00")</f>
        <v>40</v>
      </c>
      <c r="C1665" s="1" t="str">
        <f t="shared" si="104"/>
        <v>206-40</v>
      </c>
      <c r="D1665" t="s">
        <v>1661</v>
      </c>
      <c r="E1665" t="b">
        <f>IF(COUNTIF(D1665,"*"&amp;'Keyword Search'!$C$5&amp;"*"),TRUE,FALSE)</f>
        <v>1</v>
      </c>
      <c r="G1665" t="str">
        <f t="shared" si="105"/>
        <v>206-40: *Data Entry and Remote Job Entry Devices, Voice Activated: Voice Recognition, Voice Digitization, Speech Synthesizers, etc.</v>
      </c>
    </row>
    <row r="1666" spans="1:7" x14ac:dyDescent="0.25">
      <c r="A1666" s="1" t="str">
        <f t="shared" si="106"/>
        <v>206</v>
      </c>
      <c r="B1666" s="1" t="str">
        <f>TEXT(44,"00")</f>
        <v>44</v>
      </c>
      <c r="C1666" s="1" t="str">
        <f t="shared" si="104"/>
        <v>206-44</v>
      </c>
      <c r="D1666" t="s">
        <v>1662</v>
      </c>
      <c r="E1666" t="b">
        <f>IF(COUNTIF(D1666,"*"&amp;'Keyword Search'!$C$5&amp;"*"),TRUE,FALSE)</f>
        <v>1</v>
      </c>
      <c r="G1666" t="str">
        <f t="shared" si="105"/>
        <v>206-44: *Drives: Compact Disk, ROM, etc.</v>
      </c>
    </row>
    <row r="1667" spans="1:7" x14ac:dyDescent="0.25">
      <c r="A1667" s="1" t="str">
        <f t="shared" si="106"/>
        <v>206</v>
      </c>
      <c r="B1667" s="1" t="str">
        <f>TEXT(45,"00")</f>
        <v>45</v>
      </c>
      <c r="C1667" s="1" t="str">
        <f t="shared" ref="C1667:C1730" si="107">CONCATENATE(A1667,"-",B1667)</f>
        <v>206-45</v>
      </c>
      <c r="D1667" t="s">
        <v>1663</v>
      </c>
      <c r="E1667" t="b">
        <f>IF(COUNTIF(D1667,"*"&amp;'Keyword Search'!$C$5&amp;"*"),TRUE,FALSE)</f>
        <v>1</v>
      </c>
      <c r="G1667" t="str">
        <f t="shared" si="105"/>
        <v>206-45: *Drives: Floppy Disk</v>
      </c>
    </row>
    <row r="1668" spans="1:7" x14ac:dyDescent="0.25">
      <c r="A1668" s="1" t="str">
        <f t="shared" si="106"/>
        <v>206</v>
      </c>
      <c r="B1668" s="1" t="str">
        <f>TEXT(46,"00")</f>
        <v>46</v>
      </c>
      <c r="C1668" s="1" t="str">
        <f t="shared" si="107"/>
        <v>206-46</v>
      </c>
      <c r="D1668" t="s">
        <v>1664</v>
      </c>
      <c r="E1668" t="b">
        <f>IF(COUNTIF(D1668,"*"&amp;'Keyword Search'!$C$5&amp;"*"),TRUE,FALSE)</f>
        <v>1</v>
      </c>
      <c r="G1668" t="str">
        <f t="shared" ref="G1668:G1731" si="108">CONCATENATE(C1668,": ",D1668)</f>
        <v>206-46: *Drives: Hard and Fixed Disk</v>
      </c>
    </row>
    <row r="1669" spans="1:7" x14ac:dyDescent="0.25">
      <c r="A1669" s="1" t="str">
        <f t="shared" si="106"/>
        <v>206</v>
      </c>
      <c r="B1669" s="1" t="str">
        <f>TEXT(47,"00")</f>
        <v>47</v>
      </c>
      <c r="C1669" s="1" t="str">
        <f t="shared" si="107"/>
        <v>206-47</v>
      </c>
      <c r="D1669" t="s">
        <v>1564</v>
      </c>
      <c r="E1669" t="b">
        <f>IF(COUNTIF(D1669,"*"&amp;'Keyword Search'!$C$5&amp;"*"),TRUE,FALSE)</f>
        <v>1</v>
      </c>
      <c r="G1669" t="str">
        <f t="shared" si="108"/>
        <v>206-47: *Drives, Tape</v>
      </c>
    </row>
    <row r="1670" spans="1:7" x14ac:dyDescent="0.25">
      <c r="A1670" s="1" t="str">
        <f t="shared" si="106"/>
        <v>206</v>
      </c>
      <c r="B1670" s="1" t="str">
        <f>TEXT(51,"00")</f>
        <v>51</v>
      </c>
      <c r="C1670" s="1" t="str">
        <f t="shared" si="107"/>
        <v>206-51</v>
      </c>
      <c r="D1670" t="s">
        <v>1665</v>
      </c>
      <c r="E1670" t="b">
        <f>IF(COUNTIF(D1670,"*"&amp;'Keyword Search'!$C$5&amp;"*"),TRUE,FALSE)</f>
        <v>1</v>
      </c>
      <c r="G1670" t="str">
        <f t="shared" si="108"/>
        <v>206-51: *Expansion and Accelerator Boards: Memory, Processor, etc.</v>
      </c>
    </row>
    <row r="1671" spans="1:7" x14ac:dyDescent="0.25">
      <c r="A1671" s="1" t="str">
        <f t="shared" si="106"/>
        <v>206</v>
      </c>
      <c r="B1671" s="1" t="str">
        <f>TEXT(54,"00")</f>
        <v>54</v>
      </c>
      <c r="C1671" s="1" t="str">
        <f t="shared" si="107"/>
        <v>206-54</v>
      </c>
      <c r="D1671" t="s">
        <v>1666</v>
      </c>
      <c r="E1671" t="b">
        <f>IF(COUNTIF(D1671,"*"&amp;'Keyword Search'!$C$5&amp;"*"),TRUE,FALSE)</f>
        <v>1</v>
      </c>
      <c r="G1671" t="str">
        <f t="shared" si="108"/>
        <v>206-54: *Geographic Information Systems (GIS)</v>
      </c>
    </row>
    <row r="1672" spans="1:7" x14ac:dyDescent="0.25">
      <c r="A1672" s="1" t="str">
        <f t="shared" si="106"/>
        <v>206</v>
      </c>
      <c r="B1672" s="1" t="str">
        <f>TEXT(55,"00")</f>
        <v>55</v>
      </c>
      <c r="C1672" s="1" t="str">
        <f t="shared" si="107"/>
        <v>206-55</v>
      </c>
      <c r="D1672" t="s">
        <v>1667</v>
      </c>
      <c r="E1672" t="b">
        <f>IF(COUNTIF(D1672,"*"&amp;'Keyword Search'!$C$5&amp;"*"),TRUE,FALSE)</f>
        <v>1</v>
      </c>
      <c r="G1672" t="str">
        <f t="shared" si="108"/>
        <v>206-55: *Integrated Hardware-Software IT, Turnkey Solution, Server and Mainframe Computer</v>
      </c>
    </row>
    <row r="1673" spans="1:7" x14ac:dyDescent="0.25">
      <c r="A1673" s="1" t="str">
        <f t="shared" si="106"/>
        <v>206</v>
      </c>
      <c r="B1673" s="1" t="str">
        <f>TEXT(56,"00")</f>
        <v>56</v>
      </c>
      <c r="C1673" s="1" t="str">
        <f t="shared" si="107"/>
        <v>206-56</v>
      </c>
      <c r="D1673" t="s">
        <v>1668</v>
      </c>
      <c r="E1673" t="b">
        <f>IF(COUNTIF(D1673,"*"&amp;'Keyword Search'!$C$5&amp;"*"),TRUE,FALSE)</f>
        <v>1</v>
      </c>
      <c r="G1673" t="str">
        <f t="shared" si="108"/>
        <v>206-56: *Imaging Systems, Server and Main Frame Computer (Incl. Digital Imaging Network and Technology)</v>
      </c>
    </row>
    <row r="1674" spans="1:7" x14ac:dyDescent="0.25">
      <c r="A1674" s="1" t="str">
        <f t="shared" si="106"/>
        <v>206</v>
      </c>
      <c r="B1674" s="1" t="str">
        <f>TEXT(57,"00")</f>
        <v>57</v>
      </c>
      <c r="C1674" s="1" t="str">
        <f t="shared" si="107"/>
        <v>206-57</v>
      </c>
      <c r="D1674" t="s">
        <v>1569</v>
      </c>
      <c r="E1674" t="b">
        <f>IF(COUNTIF(D1674,"*"&amp;'Keyword Search'!$C$5&amp;"*"),TRUE,FALSE)</f>
        <v>1</v>
      </c>
      <c r="G1674" t="str">
        <f t="shared" si="108"/>
        <v>206-57: *Keyboards</v>
      </c>
    </row>
    <row r="1675" spans="1:7" x14ac:dyDescent="0.25">
      <c r="A1675" s="1" t="str">
        <f t="shared" si="106"/>
        <v>206</v>
      </c>
      <c r="B1675" s="1" t="str">
        <f>TEXT(59,"00")</f>
        <v>59</v>
      </c>
      <c r="C1675" s="1" t="str">
        <f t="shared" si="107"/>
        <v>206-59</v>
      </c>
      <c r="D1675" t="s">
        <v>1669</v>
      </c>
      <c r="E1675" t="b">
        <f>IF(COUNTIF(D1675,"*"&amp;'Keyword Search'!$C$5&amp;"*"),TRUE,FALSE)</f>
        <v>1</v>
      </c>
      <c r="G1675" t="str">
        <f t="shared" si="108"/>
        <v>206-59: *Modems, External Data Communications</v>
      </c>
    </row>
    <row r="1676" spans="1:7" x14ac:dyDescent="0.25">
      <c r="A1676" s="1" t="str">
        <f t="shared" si="106"/>
        <v>206</v>
      </c>
      <c r="B1676" s="1" t="str">
        <f>TEXT(61,"00")</f>
        <v>61</v>
      </c>
      <c r="C1676" s="1" t="str">
        <f t="shared" si="107"/>
        <v>206-61</v>
      </c>
      <c r="D1676" t="s">
        <v>1670</v>
      </c>
      <c r="E1676" t="b">
        <f>IF(COUNTIF(D1676,"*"&amp;'Keyword Search'!$C$5&amp;"*"),TRUE,FALSE)</f>
        <v>1</v>
      </c>
      <c r="G1676" t="str">
        <f t="shared" si="108"/>
        <v>206-61: *Monitors, Color and Monochrome, CGA, VGA, SVGA, LCD, etc.</v>
      </c>
    </row>
    <row r="1677" spans="1:7" x14ac:dyDescent="0.25">
      <c r="A1677" s="1" t="str">
        <f t="shared" si="106"/>
        <v>206</v>
      </c>
      <c r="B1677" s="1" t="str">
        <f>TEXT(64,"00")</f>
        <v>64</v>
      </c>
      <c r="C1677" s="1" t="str">
        <f t="shared" si="107"/>
        <v>206-64</v>
      </c>
      <c r="D1677" t="s">
        <v>1671</v>
      </c>
      <c r="E1677" t="b">
        <f>IF(COUNTIF(D1677,"*"&amp;'Keyword Search'!$C$5&amp;"*"),TRUE,FALSE)</f>
        <v>1</v>
      </c>
      <c r="G1677" t="str">
        <f t="shared" si="108"/>
        <v>206-64: *Network Components: Adapter Cards, Bridges, Connectors, Expansion Modules and Ports, Hubs, Line Drivers, MSAUs, Routers, Switches, Transceivers, etc.</v>
      </c>
    </row>
    <row r="1678" spans="1:7" x14ac:dyDescent="0.25">
      <c r="A1678" s="1" t="str">
        <f t="shared" si="106"/>
        <v>206</v>
      </c>
      <c r="B1678" s="1" t="str">
        <f>TEXT(66,"00")</f>
        <v>66</v>
      </c>
      <c r="C1678" s="1" t="str">
        <f t="shared" si="107"/>
        <v>206-66</v>
      </c>
      <c r="D1678" t="s">
        <v>1672</v>
      </c>
      <c r="E1678" t="b">
        <f>IF(COUNTIF(D1678,"*"&amp;'Keyword Search'!$C$5&amp;"*"),TRUE,FALSE)</f>
        <v>1</v>
      </c>
      <c r="G1678" t="str">
        <f t="shared" si="108"/>
        <v>206-66: *Peripherals, Miscellaneous: Graphic Digitizers, Joy Sticks, Light Pens, Mice, Pen Pads, Trackballs, etc.</v>
      </c>
    </row>
    <row r="1679" spans="1:7" x14ac:dyDescent="0.25">
      <c r="A1679" s="1" t="str">
        <f t="shared" si="106"/>
        <v>206</v>
      </c>
      <c r="B1679" s="1" t="str">
        <f>TEXT(68,"00")</f>
        <v>68</v>
      </c>
      <c r="C1679" s="1" t="str">
        <f t="shared" si="107"/>
        <v>206-68</v>
      </c>
      <c r="D1679" t="s">
        <v>1580</v>
      </c>
      <c r="E1679" t="b">
        <f>IF(COUNTIF(D1679,"*"&amp;'Keyword Search'!$C$5&amp;"*"),TRUE,FALSE)</f>
        <v>1</v>
      </c>
      <c r="G1679" t="str">
        <f t="shared" si="108"/>
        <v>206-68: *Power Supplies and Power Related Parts, Internal</v>
      </c>
    </row>
    <row r="1680" spans="1:7" x14ac:dyDescent="0.25">
      <c r="A1680" s="1" t="str">
        <f t="shared" si="106"/>
        <v>206</v>
      </c>
      <c r="B1680" s="1" t="str">
        <f>TEXT(70,"00")</f>
        <v>70</v>
      </c>
      <c r="C1680" s="1" t="str">
        <f t="shared" si="107"/>
        <v>206-70</v>
      </c>
      <c r="D1680" t="s">
        <v>1581</v>
      </c>
      <c r="E1680" t="b">
        <f>IF(COUNTIF(D1680,"*"&amp;'Keyword Search'!$C$5&amp;"*"),TRUE,FALSE)</f>
        <v>1</v>
      </c>
      <c r="G1680" t="str">
        <f t="shared" si="108"/>
        <v>206-70: *Printer Sharing Devices, Multi-function Devices</v>
      </c>
    </row>
    <row r="1681" spans="1:7" x14ac:dyDescent="0.25">
      <c r="A1681" s="1" t="str">
        <f t="shared" si="106"/>
        <v>206</v>
      </c>
      <c r="B1681" s="1" t="str">
        <f>TEXT(71,"00")</f>
        <v>71</v>
      </c>
      <c r="C1681" s="1" t="str">
        <f t="shared" si="107"/>
        <v>206-71</v>
      </c>
      <c r="D1681" t="s">
        <v>1582</v>
      </c>
      <c r="E1681" t="b">
        <f>IF(COUNTIF(D1681,"*"&amp;'Keyword Search'!$C$5&amp;"*"),TRUE,FALSE)</f>
        <v>1</v>
      </c>
      <c r="G1681" t="str">
        <f t="shared" si="108"/>
        <v>206-71: *Printers, Dot Matrix</v>
      </c>
    </row>
    <row r="1682" spans="1:7" x14ac:dyDescent="0.25">
      <c r="A1682" s="1" t="str">
        <f t="shared" si="106"/>
        <v>206</v>
      </c>
      <c r="B1682" s="1" t="str">
        <f>TEXT(72,"00")</f>
        <v>72</v>
      </c>
      <c r="C1682" s="1" t="str">
        <f t="shared" si="107"/>
        <v>206-72</v>
      </c>
      <c r="D1682" t="s">
        <v>1673</v>
      </c>
      <c r="E1682" t="b">
        <f>IF(COUNTIF(D1682,"*"&amp;'Keyword Search'!$C$5&amp;"*"),TRUE,FALSE)</f>
        <v>1</v>
      </c>
      <c r="G1682" t="str">
        <f t="shared" si="108"/>
        <v>206-72: *Printer: High Speed, Line Printers, and Printer Subsystems</v>
      </c>
    </row>
    <row r="1683" spans="1:7" x14ac:dyDescent="0.25">
      <c r="A1683" s="1" t="str">
        <f t="shared" si="106"/>
        <v>206</v>
      </c>
      <c r="B1683" s="1" t="str">
        <f>TEXT(73,"00")</f>
        <v>73</v>
      </c>
      <c r="C1683" s="1" t="str">
        <f t="shared" si="107"/>
        <v>206-73</v>
      </c>
      <c r="D1683" t="s">
        <v>1583</v>
      </c>
      <c r="E1683" t="b">
        <f>IF(COUNTIF(D1683,"*"&amp;'Keyword Search'!$C$5&amp;"*"),TRUE,FALSE)</f>
        <v>1</v>
      </c>
      <c r="G1683" t="str">
        <f t="shared" si="108"/>
        <v>206-73: *Printers, Inkjet</v>
      </c>
    </row>
    <row r="1684" spans="1:7" x14ac:dyDescent="0.25">
      <c r="A1684" s="1" t="str">
        <f t="shared" si="106"/>
        <v>206</v>
      </c>
      <c r="B1684" s="1" t="str">
        <f>TEXT(74,"00")</f>
        <v>74</v>
      </c>
      <c r="C1684" s="1" t="str">
        <f t="shared" si="107"/>
        <v>206-74</v>
      </c>
      <c r="D1684" t="s">
        <v>1584</v>
      </c>
      <c r="E1684" t="b">
        <f>IF(COUNTIF(D1684,"*"&amp;'Keyword Search'!$C$5&amp;"*"),TRUE,FALSE)</f>
        <v>1</v>
      </c>
      <c r="G1684" t="str">
        <f t="shared" si="108"/>
        <v>206-74: *Printers, Laser</v>
      </c>
    </row>
    <row r="1685" spans="1:7" x14ac:dyDescent="0.25">
      <c r="A1685" s="1" t="str">
        <f t="shared" si="106"/>
        <v>206</v>
      </c>
      <c r="B1685" s="1" t="str">
        <f>TEXT(75,"00")</f>
        <v>75</v>
      </c>
      <c r="C1685" s="1" t="str">
        <f t="shared" si="107"/>
        <v>206-75</v>
      </c>
      <c r="D1685" t="s">
        <v>1585</v>
      </c>
      <c r="E1685" t="b">
        <f>IF(COUNTIF(D1685,"*"&amp;'Keyword Search'!$C$5&amp;"*"),TRUE,FALSE)</f>
        <v>1</v>
      </c>
      <c r="G1685" t="str">
        <f t="shared" si="108"/>
        <v>206-75: *Printers, Pen Plotter</v>
      </c>
    </row>
    <row r="1686" spans="1:7" x14ac:dyDescent="0.25">
      <c r="A1686" s="1" t="str">
        <f t="shared" si="106"/>
        <v>206</v>
      </c>
      <c r="B1686" s="1" t="str">
        <f>TEXT(76,"00")</f>
        <v>76</v>
      </c>
      <c r="C1686" s="1" t="str">
        <f t="shared" si="107"/>
        <v>206-76</v>
      </c>
      <c r="D1686" t="s">
        <v>1674</v>
      </c>
      <c r="E1686" t="b">
        <f>IF(COUNTIF(D1686,"*"&amp;'Keyword Search'!$C$5&amp;"*"),TRUE,FALSE)</f>
        <v>1</v>
      </c>
      <c r="G1686" t="str">
        <f t="shared" si="108"/>
        <v>206-76: *Printers, 3D</v>
      </c>
    </row>
    <row r="1687" spans="1:7" x14ac:dyDescent="0.25">
      <c r="A1687" s="1" t="str">
        <f t="shared" si="106"/>
        <v>206</v>
      </c>
      <c r="B1687" s="1" t="str">
        <f>TEXT(77,"00")</f>
        <v>77</v>
      </c>
      <c r="C1687" s="1" t="str">
        <f t="shared" si="107"/>
        <v>206-77</v>
      </c>
      <c r="D1687" t="s">
        <v>1587</v>
      </c>
      <c r="E1687" t="b">
        <f>IF(COUNTIF(D1687,"*"&amp;'Keyword Search'!$C$5&amp;"*"),TRUE,FALSE)</f>
        <v>1</v>
      </c>
      <c r="G1687" t="str">
        <f t="shared" si="108"/>
        <v>206-77: *Printers, Thermal</v>
      </c>
    </row>
    <row r="1688" spans="1:7" x14ac:dyDescent="0.25">
      <c r="A1688" s="1" t="str">
        <f t="shared" si="106"/>
        <v>206</v>
      </c>
      <c r="B1688" s="1" t="str">
        <f>TEXT(78,"00")</f>
        <v>78</v>
      </c>
      <c r="C1688" s="1" t="str">
        <f t="shared" si="107"/>
        <v>206-78</v>
      </c>
      <c r="D1688" t="s">
        <v>1675</v>
      </c>
      <c r="E1688" t="b">
        <f>IF(COUNTIF(D1688,"*"&amp;'Keyword Search'!$C$5&amp;"*"),TRUE,FALSE)</f>
        <v>1</v>
      </c>
      <c r="G1688" t="str">
        <f t="shared" si="108"/>
        <v>206-78: *Printers, Mainframe Computer (Not Otherwise Classified)</v>
      </c>
    </row>
    <row r="1689" spans="1:7" x14ac:dyDescent="0.25">
      <c r="A1689" s="1" t="str">
        <f t="shared" si="106"/>
        <v>206</v>
      </c>
      <c r="B1689" s="1" t="str">
        <f>TEXT(79,"00")</f>
        <v>79</v>
      </c>
      <c r="C1689" s="1" t="str">
        <f t="shared" si="107"/>
        <v>206-79</v>
      </c>
      <c r="D1689" t="s">
        <v>1676</v>
      </c>
      <c r="E1689" t="b">
        <f>IF(COUNTIF(D1689,"*"&amp;'Keyword Search'!$C$5&amp;"*"),TRUE,FALSE)</f>
        <v>1</v>
      </c>
      <c r="G1689" t="str">
        <f t="shared" si="108"/>
        <v>206-79: *Recycled Mainframe Computer Hardware and Peripherals</v>
      </c>
    </row>
    <row r="1690" spans="1:7" x14ac:dyDescent="0.25">
      <c r="A1690" s="1" t="str">
        <f t="shared" si="106"/>
        <v>206</v>
      </c>
      <c r="B1690" s="1" t="str">
        <f>TEXT(80,"00")</f>
        <v>80</v>
      </c>
      <c r="C1690" s="1" t="str">
        <f t="shared" si="107"/>
        <v>206-80</v>
      </c>
      <c r="D1690" t="s">
        <v>1677</v>
      </c>
      <c r="E1690" t="b">
        <f>IF(COUNTIF(D1690,"*"&amp;'Keyword Search'!$C$5&amp;"*"),TRUE,FALSE)</f>
        <v>1</v>
      </c>
      <c r="G1690" t="str">
        <f t="shared" si="108"/>
        <v>206-80: *Retrieval Systems, Computer Aided: Indexing, Retrieval and Access Systems, CD ROM Jukebox, etc.</v>
      </c>
    </row>
    <row r="1691" spans="1:7" x14ac:dyDescent="0.25">
      <c r="A1691" s="1" t="str">
        <f t="shared" si="106"/>
        <v>206</v>
      </c>
      <c r="B1691" s="1" t="str">
        <f>TEXT(83,"00")</f>
        <v>83</v>
      </c>
      <c r="C1691" s="1" t="str">
        <f t="shared" si="107"/>
        <v>206-83</v>
      </c>
      <c r="D1691" t="s">
        <v>1591</v>
      </c>
      <c r="E1691" t="b">
        <f>IF(COUNTIF(D1691,"*"&amp;'Keyword Search'!$C$5&amp;"*"),TRUE,FALSE)</f>
        <v>1</v>
      </c>
      <c r="G1691" t="str">
        <f t="shared" si="108"/>
        <v>206-83: *Scanners, Film</v>
      </c>
    </row>
    <row r="1692" spans="1:7" x14ac:dyDescent="0.25">
      <c r="A1692" s="1" t="str">
        <f t="shared" si="106"/>
        <v>206</v>
      </c>
      <c r="B1692" s="1" t="str">
        <f>TEXT(84,"00")</f>
        <v>84</v>
      </c>
      <c r="C1692" s="1" t="str">
        <f t="shared" si="107"/>
        <v>206-84</v>
      </c>
      <c r="D1692" t="s">
        <v>1678</v>
      </c>
      <c r="E1692" t="b">
        <f>IF(COUNTIF(D1692,"*"&amp;'Keyword Search'!$C$5&amp;"*"),TRUE,FALSE)</f>
        <v>1</v>
      </c>
      <c r="G1692" t="str">
        <f t="shared" si="108"/>
        <v>206-84: *Scanners, Document: Handheld, Desktop, and High Volume</v>
      </c>
    </row>
    <row r="1693" spans="1:7" x14ac:dyDescent="0.25">
      <c r="A1693" s="1" t="str">
        <f t="shared" si="106"/>
        <v>206</v>
      </c>
      <c r="B1693" s="1" t="str">
        <f>TEXT(85,"00")</f>
        <v>85</v>
      </c>
      <c r="C1693" s="1" t="str">
        <f t="shared" si="107"/>
        <v>206-85</v>
      </c>
      <c r="D1693" t="s">
        <v>1593</v>
      </c>
      <c r="E1693" t="b">
        <f>IF(COUNTIF(D1693,"*"&amp;'Keyword Search'!$C$5&amp;"*"),TRUE,FALSE)</f>
        <v>1</v>
      </c>
      <c r="G1693" t="str">
        <f t="shared" si="108"/>
        <v>206-85: *Scanners and Readers, Magnetic Strip</v>
      </c>
    </row>
    <row r="1694" spans="1:7" x14ac:dyDescent="0.25">
      <c r="A1694" s="1" t="str">
        <f t="shared" si="106"/>
        <v>206</v>
      </c>
      <c r="B1694" s="1" t="str">
        <f>TEXT(86,"00")</f>
        <v>86</v>
      </c>
      <c r="C1694" s="1" t="str">
        <f t="shared" si="107"/>
        <v>206-86</v>
      </c>
      <c r="D1694" t="s">
        <v>1679</v>
      </c>
      <c r="E1694" t="b">
        <f>IF(COUNTIF(D1694,"*"&amp;'Keyword Search'!$C$5&amp;"*"),TRUE,FALSE)</f>
        <v>1</v>
      </c>
      <c r="G1694" t="str">
        <f t="shared" si="108"/>
        <v>206-86: *Scanners and Readers, Optical Character: Bar Code, Remittance Scanner and Processors, etc.</v>
      </c>
    </row>
    <row r="1695" spans="1:7" x14ac:dyDescent="0.25">
      <c r="A1695" s="1" t="str">
        <f t="shared" si="106"/>
        <v>206</v>
      </c>
      <c r="B1695" s="1" t="str">
        <f>TEXT(87,"00")</f>
        <v>87</v>
      </c>
      <c r="C1695" s="1" t="str">
        <f t="shared" si="107"/>
        <v>206-87</v>
      </c>
      <c r="D1695" t="s">
        <v>1680</v>
      </c>
      <c r="E1695" t="b">
        <f>IF(COUNTIF(D1695,"*"&amp;'Keyword Search'!$C$5&amp;"*"),TRUE,FALSE)</f>
        <v>1</v>
      </c>
      <c r="G1695" t="str">
        <f t="shared" si="108"/>
        <v>206-87: *Servers, Mainframe Computer, Application, Database, File, Mail, Network, Web, etc.</v>
      </c>
    </row>
    <row r="1696" spans="1:7" x14ac:dyDescent="0.25">
      <c r="A1696" s="1" t="str">
        <f t="shared" si="106"/>
        <v>206</v>
      </c>
      <c r="B1696" s="1" t="str">
        <f>TEXT(89,"00")</f>
        <v>89</v>
      </c>
      <c r="C1696" s="1" t="str">
        <f t="shared" si="107"/>
        <v>206-89</v>
      </c>
      <c r="D1696" t="s">
        <v>1681</v>
      </c>
      <c r="E1696" t="b">
        <f>IF(COUNTIF(D1696,"*"&amp;'Keyword Search'!$C$5&amp;"*"),TRUE,FALSE)</f>
        <v>1</v>
      </c>
      <c r="G1696" t="str">
        <f t="shared" si="108"/>
        <v>206-89: *Storage Devices, Electronic, Disk Drive Compatible, Network Attached Storage (NAS), Storage Attached Network (SAN)</v>
      </c>
    </row>
    <row r="1697" spans="1:7" x14ac:dyDescent="0.25">
      <c r="A1697" s="1" t="str">
        <f t="shared" si="106"/>
        <v>206</v>
      </c>
      <c r="B1697" s="1" t="str">
        <f>TEXT(93,"00")</f>
        <v>93</v>
      </c>
      <c r="C1697" s="1" t="str">
        <f t="shared" si="107"/>
        <v>206-93</v>
      </c>
      <c r="D1697" t="s">
        <v>1596</v>
      </c>
      <c r="E1697" t="b">
        <f>IF(COUNTIF(D1697,"*"&amp;'Keyword Search'!$C$5&amp;"*"),TRUE,FALSE)</f>
        <v>1</v>
      </c>
      <c r="G1697" t="str">
        <f t="shared" si="108"/>
        <v>206-93: *Terminals and CRTs: Data Processing Systems</v>
      </c>
    </row>
    <row r="1698" spans="1:7" x14ac:dyDescent="0.25">
      <c r="A1698" s="5" t="str">
        <f t="shared" ref="A1698:A1723" si="109">TEXT(207,"000")</f>
        <v>207</v>
      </c>
      <c r="B1698" s="5" t="str">
        <f>TEXT(0,"00")</f>
        <v>00</v>
      </c>
      <c r="C1698" s="1"/>
      <c r="D1698" s="2" t="s">
        <v>1682</v>
      </c>
    </row>
    <row r="1699" spans="1:7" x14ac:dyDescent="0.25">
      <c r="A1699" s="1" t="str">
        <f t="shared" si="109"/>
        <v>207</v>
      </c>
      <c r="B1699" s="1" t="str">
        <f>TEXT(10,"00")</f>
        <v>10</v>
      </c>
      <c r="C1699" s="1" t="str">
        <f t="shared" si="107"/>
        <v>207-10</v>
      </c>
      <c r="D1699" t="s">
        <v>1683</v>
      </c>
      <c r="E1699" t="b">
        <f>IF(COUNTIF(D1699,"*"&amp;'Keyword Search'!$C$5&amp;"*"),TRUE,FALSE)</f>
        <v>1</v>
      </c>
      <c r="G1699" t="str">
        <f t="shared" si="108"/>
        <v>207-10: *Batteries, Computer, Peripheral and Universal Power Supply (UPS)</v>
      </c>
    </row>
    <row r="1700" spans="1:7" x14ac:dyDescent="0.25">
      <c r="A1700" s="1" t="str">
        <f t="shared" si="109"/>
        <v>207</v>
      </c>
      <c r="B1700" s="1" t="str">
        <f>TEXT(14,"00")</f>
        <v>14</v>
      </c>
      <c r="C1700" s="1" t="str">
        <f t="shared" si="107"/>
        <v>207-14</v>
      </c>
      <c r="D1700" t="s">
        <v>1684</v>
      </c>
      <c r="E1700" t="b">
        <f>IF(COUNTIF(D1700,"*"&amp;'Keyword Search'!$C$5&amp;"*"),TRUE,FALSE)</f>
        <v>1</v>
      </c>
      <c r="G1700" t="str">
        <f t="shared" si="108"/>
        <v>207-14: *Battery Chargers, Computer and Peripheral</v>
      </c>
    </row>
    <row r="1701" spans="1:7" x14ac:dyDescent="0.25">
      <c r="A1701" s="1" t="str">
        <f t="shared" si="109"/>
        <v>207</v>
      </c>
      <c r="B1701" s="1" t="str">
        <f>TEXT(20,"00")</f>
        <v>20</v>
      </c>
      <c r="C1701" s="1" t="str">
        <f t="shared" si="107"/>
        <v>207-20</v>
      </c>
      <c r="D1701" t="s">
        <v>1685</v>
      </c>
      <c r="E1701" t="b">
        <f>IF(COUNTIF(D1701,"*"&amp;'Keyword Search'!$C$5&amp;"*"),TRUE,FALSE)</f>
        <v>1</v>
      </c>
      <c r="G1701" t="str">
        <f t="shared" si="108"/>
        <v>207-20: *Braces: Monitor, PC's, CRT's, Desk Top Printers, etc.</v>
      </c>
    </row>
    <row r="1702" spans="1:7" x14ac:dyDescent="0.25">
      <c r="A1702" s="1" t="str">
        <f t="shared" si="109"/>
        <v>207</v>
      </c>
      <c r="B1702" s="1" t="str">
        <f>TEXT(23,"00")</f>
        <v>23</v>
      </c>
      <c r="C1702" s="1" t="str">
        <f t="shared" si="107"/>
        <v>207-23</v>
      </c>
      <c r="D1702" t="s">
        <v>1686</v>
      </c>
      <c r="E1702" t="b">
        <f>IF(COUNTIF(D1702,"*"&amp;'Keyword Search'!$C$5&amp;"*"),TRUE,FALSE)</f>
        <v>1</v>
      </c>
      <c r="G1702" t="str">
        <f t="shared" si="108"/>
        <v>207-23: *Carts, Computer</v>
      </c>
    </row>
    <row r="1703" spans="1:7" x14ac:dyDescent="0.25">
      <c r="A1703" s="1" t="str">
        <f t="shared" si="109"/>
        <v>207</v>
      </c>
      <c r="B1703" s="1" t="str">
        <f>TEXT(25,"00")</f>
        <v>25</v>
      </c>
      <c r="C1703" s="1" t="str">
        <f t="shared" si="107"/>
        <v>207-25</v>
      </c>
      <c r="D1703" t="s">
        <v>1687</v>
      </c>
      <c r="E1703" t="b">
        <f>IF(COUNTIF(D1703,"*"&amp;'Keyword Search'!$C$5&amp;"*"),TRUE,FALSE)</f>
        <v>1</v>
      </c>
      <c r="G1703" t="str">
        <f t="shared" si="108"/>
        <v>207-25: *Cleaners for Keyboards, Monitors, Tapes, Diskettes, etc.</v>
      </c>
    </row>
    <row r="1704" spans="1:7" x14ac:dyDescent="0.25">
      <c r="A1704" s="1" t="str">
        <f t="shared" si="109"/>
        <v>207</v>
      </c>
      <c r="B1704" s="1" t="str">
        <f>TEXT(30,"00")</f>
        <v>30</v>
      </c>
      <c r="C1704" s="1" t="str">
        <f t="shared" si="107"/>
        <v>207-30</v>
      </c>
      <c r="D1704" t="s">
        <v>1688</v>
      </c>
      <c r="E1704" t="b">
        <f>IF(COUNTIF(D1704,"*"&amp;'Keyword Search'!$C$5&amp;"*"),TRUE,FALSE)</f>
        <v>1</v>
      </c>
      <c r="G1704" t="str">
        <f t="shared" si="108"/>
        <v>207-30: *Compact Disks (CD), DVD, ROM, Blu-Ray, etc.</v>
      </c>
    </row>
    <row r="1705" spans="1:7" x14ac:dyDescent="0.25">
      <c r="A1705" s="1" t="str">
        <f t="shared" si="109"/>
        <v>207</v>
      </c>
      <c r="B1705" s="1" t="str">
        <f>TEXT(32,"00")</f>
        <v>32</v>
      </c>
      <c r="C1705" s="1" t="str">
        <f t="shared" si="107"/>
        <v>207-32</v>
      </c>
      <c r="D1705" t="s">
        <v>1689</v>
      </c>
      <c r="E1705" t="b">
        <f>IF(COUNTIF(D1705,"*"&amp;'Keyword Search'!$C$5&amp;"*"),TRUE,FALSE)</f>
        <v>1</v>
      </c>
      <c r="G1705" t="str">
        <f t="shared" si="108"/>
        <v>207-32: *Computer Instructional Aids and Training Devices</v>
      </c>
    </row>
    <row r="1706" spans="1:7" x14ac:dyDescent="0.25">
      <c r="A1706" s="1" t="str">
        <f t="shared" si="109"/>
        <v>207</v>
      </c>
      <c r="B1706" s="1" t="str">
        <f>TEXT(34,"00")</f>
        <v>34</v>
      </c>
      <c r="C1706" s="1" t="str">
        <f t="shared" si="107"/>
        <v>207-34</v>
      </c>
      <c r="D1706" t="s">
        <v>1690</v>
      </c>
      <c r="E1706" t="b">
        <f>IF(COUNTIF(D1706,"*"&amp;'Keyword Search'!$C$5&amp;"*"),TRUE,FALSE)</f>
        <v>1</v>
      </c>
      <c r="G1706" t="str">
        <f t="shared" si="108"/>
        <v>207-34: *Covers and Enclosures, Acoustical and Protective, For Equipment</v>
      </c>
    </row>
    <row r="1707" spans="1:7" x14ac:dyDescent="0.25">
      <c r="A1707" s="1" t="str">
        <f t="shared" si="109"/>
        <v>207</v>
      </c>
      <c r="B1707" s="1" t="str">
        <f>TEXT(37,"00")</f>
        <v>37</v>
      </c>
      <c r="C1707" s="1" t="str">
        <f t="shared" si="107"/>
        <v>207-37</v>
      </c>
      <c r="D1707" t="s">
        <v>1691</v>
      </c>
      <c r="E1707" t="b">
        <f>IF(COUNTIF(D1707,"*"&amp;'Keyword Search'!$C$5&amp;"*"),TRUE,FALSE)</f>
        <v>1</v>
      </c>
      <c r="G1707" t="str">
        <f t="shared" si="108"/>
        <v>207-37: *CRT Holders, Cases, Glare Screens, Locks, etc.</v>
      </c>
    </row>
    <row r="1708" spans="1:7" x14ac:dyDescent="0.25">
      <c r="A1708" s="1" t="str">
        <f t="shared" si="109"/>
        <v>207</v>
      </c>
      <c r="B1708" s="1" t="str">
        <f>TEXT(42,"00")</f>
        <v>42</v>
      </c>
      <c r="C1708" s="1" t="str">
        <f t="shared" si="107"/>
        <v>207-42</v>
      </c>
      <c r="D1708" t="s">
        <v>1692</v>
      </c>
      <c r="E1708" t="b">
        <f>IF(COUNTIF(D1708,"*"&amp;'Keyword Search'!$C$5&amp;"*"),TRUE,FALSE)</f>
        <v>1</v>
      </c>
      <c r="G1708" t="str">
        <f t="shared" si="108"/>
        <v>207-42: *Diskettes, Disk Packs, Labels, etc.</v>
      </c>
    </row>
    <row r="1709" spans="1:7" x14ac:dyDescent="0.25">
      <c r="A1709" s="1" t="str">
        <f t="shared" si="109"/>
        <v>207</v>
      </c>
      <c r="B1709" s="1" t="str">
        <f>TEXT(47,"00")</f>
        <v>47</v>
      </c>
      <c r="C1709" s="1" t="str">
        <f t="shared" si="107"/>
        <v>207-47</v>
      </c>
      <c r="D1709" t="s">
        <v>1693</v>
      </c>
      <c r="E1709" t="b">
        <f>IF(COUNTIF(D1709,"*"&amp;'Keyword Search'!$C$5&amp;"*"),TRUE,FALSE)</f>
        <v>1</v>
      </c>
      <c r="G1709" t="str">
        <f t="shared" si="108"/>
        <v>207-47: *Fasteners and Accessories, Thumb Lock</v>
      </c>
    </row>
    <row r="1710" spans="1:7" x14ac:dyDescent="0.25">
      <c r="A1710" s="1" t="str">
        <f t="shared" si="109"/>
        <v>207</v>
      </c>
      <c r="B1710" s="1" t="str">
        <f>TEXT(49,"00")</f>
        <v>49</v>
      </c>
      <c r="C1710" s="1" t="str">
        <f t="shared" si="107"/>
        <v>207-49</v>
      </c>
      <c r="D1710" t="s">
        <v>1694</v>
      </c>
      <c r="E1710" t="b">
        <f>IF(COUNTIF(D1710,"*"&amp;'Keyword Search'!$C$5&amp;"*"),TRUE,FALSE)</f>
        <v>1</v>
      </c>
      <c r="G1710" t="str">
        <f t="shared" si="108"/>
        <v>207-49: *Forms Bursters, Decollators, Detachers, Feeders, Strippers and Related Accessories</v>
      </c>
    </row>
    <row r="1711" spans="1:7" x14ac:dyDescent="0.25">
      <c r="A1711" s="1" t="str">
        <f t="shared" si="109"/>
        <v>207</v>
      </c>
      <c r="B1711" s="1" t="str">
        <f>TEXT(50,"00")</f>
        <v>50</v>
      </c>
      <c r="C1711" s="1" t="str">
        <f t="shared" si="107"/>
        <v>207-50</v>
      </c>
      <c r="D1711" t="s">
        <v>1695</v>
      </c>
      <c r="E1711" t="b">
        <f>IF(COUNTIF(D1711,"*"&amp;'Keyword Search'!$C$5&amp;"*"),TRUE,FALSE)</f>
        <v>1</v>
      </c>
      <c r="G1711" t="str">
        <f t="shared" si="108"/>
        <v>207-50: *Forms, Charts, Templates, Rulers, etc.</v>
      </c>
    </row>
    <row r="1712" spans="1:7" x14ac:dyDescent="0.25">
      <c r="A1712" s="1" t="str">
        <f t="shared" si="109"/>
        <v>207</v>
      </c>
      <c r="B1712" s="1" t="str">
        <f>TEXT(55,"00")</f>
        <v>55</v>
      </c>
      <c r="C1712" s="1" t="str">
        <f t="shared" si="107"/>
        <v>207-55</v>
      </c>
      <c r="D1712" t="s">
        <v>1696</v>
      </c>
      <c r="E1712" t="b">
        <f>IF(COUNTIF(D1712,"*"&amp;'Keyword Search'!$C$5&amp;"*"),TRUE,FALSE)</f>
        <v>1</v>
      </c>
      <c r="G1712" t="str">
        <f t="shared" si="108"/>
        <v>207-55: *Graphic Supplies for Plotters and Printer Plotters: Inks, Pens, Penholders, Chemicals, Paper, etc.</v>
      </c>
    </row>
    <row r="1713" spans="1:7" x14ac:dyDescent="0.25">
      <c r="A1713" s="1" t="str">
        <f t="shared" si="109"/>
        <v>207</v>
      </c>
      <c r="B1713" s="1" t="str">
        <f>TEXT(60,"00")</f>
        <v>60</v>
      </c>
      <c r="C1713" s="1" t="str">
        <f t="shared" si="107"/>
        <v>207-60</v>
      </c>
      <c r="D1713" t="s">
        <v>1697</v>
      </c>
      <c r="E1713" t="b">
        <f>IF(COUNTIF(D1713,"*"&amp;'Keyword Search'!$C$5&amp;"*"),TRUE,FALSE)</f>
        <v>1</v>
      </c>
      <c r="G1713" t="str">
        <f t="shared" si="108"/>
        <v>207-60: *Keyboard Dust Covers, Key Top Covers, Keyboard Drawers, Wrist Supports, etc.</v>
      </c>
    </row>
    <row r="1714" spans="1:7" x14ac:dyDescent="0.25">
      <c r="A1714" s="1" t="str">
        <f t="shared" si="109"/>
        <v>207</v>
      </c>
      <c r="B1714" s="1" t="str">
        <f>TEXT(67,"00")</f>
        <v>67</v>
      </c>
      <c r="C1714" s="1" t="str">
        <f t="shared" si="107"/>
        <v>207-67</v>
      </c>
      <c r="D1714" t="s">
        <v>1698</v>
      </c>
      <c r="E1714" t="b">
        <f>IF(COUNTIF(D1714,"*"&amp;'Keyword Search'!$C$5&amp;"*"),TRUE,FALSE)</f>
        <v>1</v>
      </c>
      <c r="G1714" t="str">
        <f t="shared" si="108"/>
        <v>207-67: *Power Supplies: Surge Protectors, Uninterruptible Power Supplies, Switches, etc.</v>
      </c>
    </row>
    <row r="1715" spans="1:7" x14ac:dyDescent="0.25">
      <c r="A1715" s="1" t="str">
        <f t="shared" si="109"/>
        <v>207</v>
      </c>
      <c r="B1715" s="1" t="str">
        <f>TEXT(72,"00")</f>
        <v>72</v>
      </c>
      <c r="C1715" s="1" t="str">
        <f t="shared" si="107"/>
        <v>207-72</v>
      </c>
      <c r="D1715" t="s">
        <v>1699</v>
      </c>
      <c r="E1715" t="b">
        <f>IF(COUNTIF(D1715,"*"&amp;'Keyword Search'!$C$5&amp;"*"),TRUE,FALSE)</f>
        <v>1</v>
      </c>
      <c r="G1715" t="str">
        <f t="shared" si="108"/>
        <v>207-72: *Printer Accessories and Supplies: Chemicals, Forms Tractors, Inks and Cartridges, Paper, Label Sheets, Sheet Feeders, Toner Cartridges, Wheels, etc.</v>
      </c>
    </row>
    <row r="1716" spans="1:7" x14ac:dyDescent="0.25">
      <c r="A1716" s="1" t="str">
        <f t="shared" si="109"/>
        <v>207</v>
      </c>
      <c r="B1716" s="1" t="str">
        <f>TEXT(75,"00")</f>
        <v>75</v>
      </c>
      <c r="C1716" s="1" t="str">
        <f t="shared" si="107"/>
        <v>207-75</v>
      </c>
      <c r="D1716" t="s">
        <v>1700</v>
      </c>
      <c r="E1716" t="b">
        <f>IF(COUNTIF(D1716,"*"&amp;'Keyword Search'!$C$5&amp;"*"),TRUE,FALSE)</f>
        <v>1</v>
      </c>
      <c r="G1716" t="str">
        <f t="shared" si="108"/>
        <v>207-75: *Projection Devices and Accessories: Interactive Conferencing Boards, LCD, Pads, Panels, etc.</v>
      </c>
    </row>
    <row r="1717" spans="1:7" x14ac:dyDescent="0.25">
      <c r="A1717" s="1" t="str">
        <f t="shared" si="109"/>
        <v>207</v>
      </c>
      <c r="B1717" s="1" t="str">
        <f>TEXT(79,"00")</f>
        <v>79</v>
      </c>
      <c r="C1717" s="1" t="str">
        <f t="shared" si="107"/>
        <v>207-79</v>
      </c>
      <c r="D1717" t="s">
        <v>1701</v>
      </c>
      <c r="E1717" t="b">
        <f>IF(COUNTIF(D1717,"*"&amp;'Keyword Search'!$C$5&amp;"*"),TRUE,FALSE)</f>
        <v>1</v>
      </c>
      <c r="G1717" t="str">
        <f t="shared" si="108"/>
        <v>207-79: *Recycled Computer Accessories and Supplies</v>
      </c>
    </row>
    <row r="1718" spans="1:7" x14ac:dyDescent="0.25">
      <c r="A1718" s="1" t="str">
        <f t="shared" si="109"/>
        <v>207</v>
      </c>
      <c r="B1718" s="1" t="str">
        <f>TEXT(82,"00")</f>
        <v>82</v>
      </c>
      <c r="C1718" s="1" t="str">
        <f t="shared" si="107"/>
        <v>207-82</v>
      </c>
      <c r="D1718" t="s">
        <v>1702</v>
      </c>
      <c r="E1718" t="b">
        <f>IF(COUNTIF(D1718,"*"&amp;'Keyword Search'!$C$5&amp;"*"),TRUE,FALSE)</f>
        <v>1</v>
      </c>
      <c r="G1718" t="str">
        <f t="shared" si="108"/>
        <v>207-82: *Sleeves, CD and DVD</v>
      </c>
    </row>
    <row r="1719" spans="1:7" x14ac:dyDescent="0.25">
      <c r="A1719" s="1" t="str">
        <f t="shared" si="109"/>
        <v>207</v>
      </c>
      <c r="B1719" s="1" t="str">
        <f>TEXT(84,"00")</f>
        <v>84</v>
      </c>
      <c r="C1719" s="1" t="str">
        <f t="shared" si="107"/>
        <v>207-84</v>
      </c>
      <c r="D1719" t="s">
        <v>1703</v>
      </c>
      <c r="E1719" t="b">
        <f>IF(COUNTIF(D1719,"*"&amp;'Keyword Search'!$C$5&amp;"*"),TRUE,FALSE)</f>
        <v>1</v>
      </c>
      <c r="G1719" t="str">
        <f t="shared" si="108"/>
        <v>207-84: *Storage Devices for Tapes and Diskettes: Containers, Racks, etc.</v>
      </c>
    </row>
    <row r="1720" spans="1:7" x14ac:dyDescent="0.25">
      <c r="A1720" s="1" t="str">
        <f t="shared" si="109"/>
        <v>207</v>
      </c>
      <c r="B1720" s="1" t="str">
        <f>TEXT(85,"00")</f>
        <v>85</v>
      </c>
      <c r="C1720" s="1" t="str">
        <f t="shared" si="107"/>
        <v>207-85</v>
      </c>
      <c r="D1720" t="s">
        <v>1704</v>
      </c>
      <c r="E1720" t="b">
        <f>IF(COUNTIF(D1720,"*"&amp;'Keyword Search'!$C$5&amp;"*"),TRUE,FALSE)</f>
        <v>1</v>
      </c>
      <c r="G1720" t="str">
        <f t="shared" si="108"/>
        <v>207-85: *Systems Environmental Monitoring for Computer Rooms</v>
      </c>
    </row>
    <row r="1721" spans="1:7" x14ac:dyDescent="0.25">
      <c r="A1721" s="1" t="str">
        <f t="shared" si="109"/>
        <v>207</v>
      </c>
      <c r="B1721" s="1" t="str">
        <f>TEXT(87,"00")</f>
        <v>87</v>
      </c>
      <c r="C1721" s="1" t="str">
        <f t="shared" si="107"/>
        <v>207-87</v>
      </c>
      <c r="D1721" t="s">
        <v>1705</v>
      </c>
      <c r="E1721" t="b">
        <f>IF(COUNTIF(D1721,"*"&amp;'Keyword Search'!$C$5&amp;"*"),TRUE,FALSE)</f>
        <v>1</v>
      </c>
      <c r="G1721" t="str">
        <f t="shared" si="108"/>
        <v>207-87: *Tapes, Tape Cartridges, Tape Cassettes, Tape Reels, Tape Labels, etc.</v>
      </c>
    </row>
    <row r="1722" spans="1:7" x14ac:dyDescent="0.25">
      <c r="A1722" s="1" t="str">
        <f t="shared" si="109"/>
        <v>207</v>
      </c>
      <c r="B1722" s="1" t="str">
        <f>TEXT(89,"00")</f>
        <v>89</v>
      </c>
      <c r="C1722" s="1" t="str">
        <f t="shared" si="107"/>
        <v>207-89</v>
      </c>
      <c r="D1722" t="s">
        <v>1706</v>
      </c>
      <c r="E1722" t="b">
        <f>IF(COUNTIF(D1722,"*"&amp;'Keyword Search'!$C$5&amp;"*"),TRUE,FALSE)</f>
        <v>1</v>
      </c>
      <c r="G1722" t="str">
        <f t="shared" si="108"/>
        <v>207-89: *Testing Equipment for Computers and Related Equipment</v>
      </c>
    </row>
    <row r="1723" spans="1:7" x14ac:dyDescent="0.25">
      <c r="A1723" s="1" t="str">
        <f t="shared" si="109"/>
        <v>207</v>
      </c>
      <c r="B1723" s="1" t="str">
        <f>TEXT(91,"00")</f>
        <v>91</v>
      </c>
      <c r="C1723" s="1" t="str">
        <f t="shared" si="107"/>
        <v>207-91</v>
      </c>
      <c r="D1723" t="s">
        <v>1707</v>
      </c>
      <c r="E1723" t="b">
        <f>IF(COUNTIF(D1723,"*"&amp;'Keyword Search'!$C$5&amp;"*"),TRUE,FALSE)</f>
        <v>1</v>
      </c>
      <c r="G1723" t="str">
        <f t="shared" si="108"/>
        <v>207-91: *Tools, Computer</v>
      </c>
    </row>
    <row r="1724" spans="1:7" x14ac:dyDescent="0.25">
      <c r="A1724" s="5" t="str">
        <f t="shared" ref="A1724:A1785" si="110">TEXT(208,"000")</f>
        <v>208</v>
      </c>
      <c r="B1724" s="5" t="str">
        <f>TEXT(0,"00")</f>
        <v>00</v>
      </c>
      <c r="C1724" s="1"/>
      <c r="D1724" s="2" t="s">
        <v>1708</v>
      </c>
    </row>
    <row r="1725" spans="1:7" x14ac:dyDescent="0.25">
      <c r="A1725" s="1" t="str">
        <f t="shared" si="110"/>
        <v>208</v>
      </c>
      <c r="B1725" s="1" t="str">
        <f>TEXT(10,"00")</f>
        <v>10</v>
      </c>
      <c r="C1725" s="1" t="str">
        <f t="shared" si="107"/>
        <v>208-10</v>
      </c>
      <c r="D1725" t="s">
        <v>1709</v>
      </c>
      <c r="E1725" t="b">
        <f>IF(COUNTIF(D1725,"*"&amp;'Keyword Search'!$C$5&amp;"*"),TRUE,FALSE)</f>
        <v>1</v>
      </c>
      <c r="G1725" t="str">
        <f t="shared" si="108"/>
        <v>208-10: *Accounting/Financial: Bookkeeping, Billing and Invoicing, Budgeting, Payroll, Taxes, etc., Microcomputer</v>
      </c>
    </row>
    <row r="1726" spans="1:7" x14ac:dyDescent="0.25">
      <c r="A1726" s="1" t="str">
        <f t="shared" si="110"/>
        <v>208</v>
      </c>
      <c r="B1726" s="1" t="str">
        <f>TEXT(11,"00")</f>
        <v>11</v>
      </c>
      <c r="C1726" s="1" t="str">
        <f t="shared" si="107"/>
        <v>208-11</v>
      </c>
      <c r="D1726" t="s">
        <v>1710</v>
      </c>
      <c r="E1726" t="b">
        <f>IF(COUNTIF(D1726,"*"&amp;'Keyword Search'!$C$5&amp;"*"),TRUE,FALSE)</f>
        <v>1</v>
      </c>
      <c r="G1726" t="str">
        <f t="shared" si="108"/>
        <v>208-11: *Application Software, (Not Otherwise Classified), Microcomputer</v>
      </c>
    </row>
    <row r="1727" spans="1:7" x14ac:dyDescent="0.25">
      <c r="A1727" s="1" t="str">
        <f t="shared" si="110"/>
        <v>208</v>
      </c>
      <c r="B1727" s="1" t="str">
        <f>TEXT(12,"00")</f>
        <v>12</v>
      </c>
      <c r="C1727" s="1" t="str">
        <f t="shared" si="107"/>
        <v>208-12</v>
      </c>
      <c r="D1727" t="s">
        <v>1711</v>
      </c>
      <c r="E1727" t="b">
        <f>IF(COUNTIF(D1727,"*"&amp;'Keyword Search'!$C$5&amp;"*"),TRUE,FALSE)</f>
        <v>1</v>
      </c>
      <c r="G1727" t="str">
        <f t="shared" si="108"/>
        <v>208-12: *Architectural Software, Microcomputer</v>
      </c>
    </row>
    <row r="1728" spans="1:7" x14ac:dyDescent="0.25">
      <c r="A1728" s="1" t="str">
        <f t="shared" si="110"/>
        <v>208</v>
      </c>
      <c r="B1728" s="1" t="str">
        <f>TEXT(15,"00")</f>
        <v>15</v>
      </c>
      <c r="C1728" s="1" t="str">
        <f t="shared" si="107"/>
        <v>208-15</v>
      </c>
      <c r="D1728" t="s">
        <v>1712</v>
      </c>
      <c r="E1728" t="b">
        <f>IF(COUNTIF(D1728,"*"&amp;'Keyword Search'!$C$5&amp;"*"),TRUE,FALSE)</f>
        <v>1</v>
      </c>
      <c r="G1728" t="str">
        <f t="shared" si="108"/>
        <v>208-15: *Aviation Software, Flight Control, Ground Support, Testing, etc., Microcomputer</v>
      </c>
    </row>
    <row r="1729" spans="1:7" x14ac:dyDescent="0.25">
      <c r="A1729" s="1" t="str">
        <f t="shared" si="110"/>
        <v>208</v>
      </c>
      <c r="B1729" s="1" t="str">
        <f>TEXT(18,"00")</f>
        <v>18</v>
      </c>
      <c r="C1729" s="1" t="str">
        <f t="shared" si="107"/>
        <v>208-18</v>
      </c>
      <c r="D1729" t="s">
        <v>1713</v>
      </c>
      <c r="E1729" t="b">
        <f>IF(COUNTIF(D1729,"*"&amp;'Keyword Search'!$C$5&amp;"*"),TRUE,FALSE)</f>
        <v>1</v>
      </c>
      <c r="G1729" t="str">
        <f t="shared" si="108"/>
        <v>208-18: *Bar Code Software, Microcomputer</v>
      </c>
    </row>
    <row r="1730" spans="1:7" x14ac:dyDescent="0.25">
      <c r="A1730" s="1" t="str">
        <f t="shared" si="110"/>
        <v>208</v>
      </c>
      <c r="B1730" s="1" t="str">
        <f>TEXT(19,"00")</f>
        <v>19</v>
      </c>
      <c r="C1730" s="1" t="str">
        <f t="shared" si="107"/>
        <v>208-19</v>
      </c>
      <c r="D1730" t="s">
        <v>1714</v>
      </c>
      <c r="E1730" t="b">
        <f>IF(COUNTIF(D1730,"*"&amp;'Keyword Search'!$C$5&amp;"*"),TRUE,FALSE)</f>
        <v>1</v>
      </c>
      <c r="G1730" t="str">
        <f t="shared" si="108"/>
        <v>208-19: *Biometric Authentication System Software, Microcomputer</v>
      </c>
    </row>
    <row r="1731" spans="1:7" x14ac:dyDescent="0.25">
      <c r="A1731" s="1" t="str">
        <f t="shared" si="110"/>
        <v>208</v>
      </c>
      <c r="B1731" s="1" t="str">
        <f>TEXT(20,"00")</f>
        <v>20</v>
      </c>
      <c r="C1731" s="1" t="str">
        <f t="shared" ref="C1731:C1794" si="111">CONCATENATE(A1731,"-",B1731)</f>
        <v>208-20</v>
      </c>
      <c r="D1731" t="s">
        <v>1715</v>
      </c>
      <c r="E1731" t="b">
        <f>IF(COUNTIF(D1731,"*"&amp;'Keyword Search'!$C$5&amp;"*"),TRUE,FALSE)</f>
        <v>1</v>
      </c>
      <c r="G1731" t="str">
        <f t="shared" si="108"/>
        <v>208-20: *Business Software, Misc.: Agenda, Labels, Mail List, Planning, Scheduling, etc., Microcomputer</v>
      </c>
    </row>
    <row r="1732" spans="1:7" x14ac:dyDescent="0.25">
      <c r="A1732" s="1" t="str">
        <f t="shared" si="110"/>
        <v>208</v>
      </c>
      <c r="B1732" s="1" t="str">
        <f>TEXT(21,"00")</f>
        <v>21</v>
      </c>
      <c r="C1732" s="1" t="str">
        <f t="shared" si="111"/>
        <v>208-21</v>
      </c>
      <c r="D1732" t="s">
        <v>1716</v>
      </c>
      <c r="E1732" t="b">
        <f>IF(COUNTIF(D1732,"*"&amp;'Keyword Search'!$C$5&amp;"*"),TRUE,FALSE)</f>
        <v>1</v>
      </c>
      <c r="G1732" t="str">
        <f t="shared" ref="G1732:G1795" si="112">CONCATENATE(C1732,": ",D1732)</f>
        <v>208-21: *Business Intelligence Software, Microcomputer</v>
      </c>
    </row>
    <row r="1733" spans="1:7" x14ac:dyDescent="0.25">
      <c r="A1733" s="1" t="str">
        <f t="shared" si="110"/>
        <v>208</v>
      </c>
      <c r="B1733" s="1" t="str">
        <f>TEXT(27,"00")</f>
        <v>27</v>
      </c>
      <c r="C1733" s="1" t="str">
        <f t="shared" si="111"/>
        <v>208-27</v>
      </c>
      <c r="D1733" t="s">
        <v>1717</v>
      </c>
      <c r="E1733" t="b">
        <f>IF(COUNTIF(D1733,"*"&amp;'Keyword Search'!$C$5&amp;"*"),TRUE,FALSE)</f>
        <v>1</v>
      </c>
      <c r="G1733" t="str">
        <f t="shared" si="112"/>
        <v>208-27: *Communications: Networking, Linking, etc. (Includes Clustering Software), Microcomputer</v>
      </c>
    </row>
    <row r="1734" spans="1:7" x14ac:dyDescent="0.25">
      <c r="A1734" s="1" t="str">
        <f t="shared" si="110"/>
        <v>208</v>
      </c>
      <c r="B1734" s="1" t="str">
        <f>TEXT(30,"00")</f>
        <v>30</v>
      </c>
      <c r="C1734" s="1" t="str">
        <f t="shared" si="111"/>
        <v>208-30</v>
      </c>
      <c r="D1734" t="s">
        <v>1718</v>
      </c>
      <c r="E1734" t="b">
        <f>IF(COUNTIF(D1734,"*"&amp;'Keyword Search'!$C$5&amp;"*"),TRUE,FALSE)</f>
        <v>1</v>
      </c>
      <c r="G1734" t="str">
        <f t="shared" si="112"/>
        <v>208-30: *Computer Aided Design (CAD) and Vectorization Software, Microcomputer</v>
      </c>
    </row>
    <row r="1735" spans="1:7" x14ac:dyDescent="0.25">
      <c r="A1735" s="1" t="str">
        <f t="shared" si="110"/>
        <v>208</v>
      </c>
      <c r="B1735" s="1" t="str">
        <f>TEXT(31,"00")</f>
        <v>31</v>
      </c>
      <c r="C1735" s="1" t="str">
        <f t="shared" si="111"/>
        <v>208-31</v>
      </c>
      <c r="D1735" t="s">
        <v>1719</v>
      </c>
      <c r="E1735" t="b">
        <f>IF(COUNTIF(D1735,"*"&amp;'Keyword Search'!$C$5&amp;"*"),TRUE,FALSE)</f>
        <v>1</v>
      </c>
      <c r="G1735" t="str">
        <f t="shared" si="112"/>
        <v>208-31: *Course Evaluation Software, Microcomputer</v>
      </c>
    </row>
    <row r="1736" spans="1:7" x14ac:dyDescent="0.25">
      <c r="A1736" s="1" t="str">
        <f t="shared" si="110"/>
        <v>208</v>
      </c>
      <c r="B1736" s="1" t="str">
        <f>TEXT(32,"00")</f>
        <v>32</v>
      </c>
      <c r="C1736" s="1" t="str">
        <f t="shared" si="111"/>
        <v>208-32</v>
      </c>
      <c r="D1736" t="s">
        <v>1720</v>
      </c>
      <c r="E1736" t="b">
        <f>IF(COUNTIF(D1736,"*"&amp;'Keyword Search'!$C$5&amp;"*"),TRUE,FALSE)</f>
        <v>1</v>
      </c>
      <c r="G1736" t="str">
        <f t="shared" si="112"/>
        <v>208-32: *Customer Relationship Management Software (CRM), Microcomputer</v>
      </c>
    </row>
    <row r="1737" spans="1:7" x14ac:dyDescent="0.25">
      <c r="A1737" s="1" t="str">
        <f t="shared" si="110"/>
        <v>208</v>
      </c>
      <c r="B1737" s="1" t="str">
        <f>TEXT(34,"00")</f>
        <v>34</v>
      </c>
      <c r="C1737" s="1" t="str">
        <f t="shared" si="111"/>
        <v>208-34</v>
      </c>
      <c r="D1737" t="s">
        <v>1721</v>
      </c>
      <c r="E1737" t="b">
        <f>IF(COUNTIF(D1737,"*"&amp;'Keyword Search'!$C$5&amp;"*"),TRUE,FALSE)</f>
        <v>1</v>
      </c>
      <c r="G1737" t="str">
        <f t="shared" si="112"/>
        <v>208-34: *Customer Flow Management System (Queuing System) Including Parts, Labor and Installation</v>
      </c>
    </row>
    <row r="1738" spans="1:7" x14ac:dyDescent="0.25">
      <c r="A1738" s="1" t="str">
        <f t="shared" si="110"/>
        <v>208</v>
      </c>
      <c r="B1738" s="1" t="str">
        <f>TEXT(36,"00")</f>
        <v>36</v>
      </c>
      <c r="C1738" s="1" t="str">
        <f t="shared" si="111"/>
        <v>208-36</v>
      </c>
      <c r="D1738" t="s">
        <v>1722</v>
      </c>
      <c r="E1738" t="b">
        <f>IF(COUNTIF(D1738,"*"&amp;'Keyword Search'!$C$5&amp;"*"),TRUE,FALSE)</f>
        <v>1</v>
      </c>
      <c r="G1738" t="str">
        <f t="shared" si="112"/>
        <v>208-36: *Data Processing Software, Microcomputer</v>
      </c>
    </row>
    <row r="1739" spans="1:7" x14ac:dyDescent="0.25">
      <c r="A1739" s="1" t="str">
        <f t="shared" si="110"/>
        <v>208</v>
      </c>
      <c r="B1739" s="1" t="str">
        <f>TEXT(37,"00")</f>
        <v>37</v>
      </c>
      <c r="C1739" s="1" t="str">
        <f t="shared" si="111"/>
        <v>208-37</v>
      </c>
      <c r="D1739" t="s">
        <v>1723</v>
      </c>
      <c r="E1739" t="b">
        <f>IF(COUNTIF(D1739,"*"&amp;'Keyword Search'!$C$5&amp;"*"),TRUE,FALSE)</f>
        <v>1</v>
      </c>
      <c r="G1739" t="str">
        <f t="shared" si="112"/>
        <v>208-37: *Database Software, Microcomputer</v>
      </c>
    </row>
    <row r="1740" spans="1:7" x14ac:dyDescent="0.25">
      <c r="A1740" s="1" t="str">
        <f t="shared" si="110"/>
        <v>208</v>
      </c>
      <c r="B1740" s="1" t="str">
        <f>TEXT(39,"00")</f>
        <v>39</v>
      </c>
      <c r="C1740" s="1" t="str">
        <f t="shared" si="111"/>
        <v>208-39</v>
      </c>
      <c r="D1740" t="s">
        <v>1724</v>
      </c>
      <c r="E1740" t="b">
        <f>IF(COUNTIF(D1740,"*"&amp;'Keyword Search'!$C$5&amp;"*"),TRUE,FALSE)</f>
        <v>1</v>
      </c>
      <c r="G1740" t="str">
        <f t="shared" si="112"/>
        <v>208-39: *Desktop Publishing, Microcomputer</v>
      </c>
    </row>
    <row r="1741" spans="1:7" x14ac:dyDescent="0.25">
      <c r="A1741" s="1" t="str">
        <f t="shared" si="110"/>
        <v>208</v>
      </c>
      <c r="B1741" s="1" t="str">
        <f>TEXT(40,"00")</f>
        <v>40</v>
      </c>
      <c r="C1741" s="1" t="str">
        <f t="shared" si="111"/>
        <v>208-40</v>
      </c>
      <c r="D1741" t="s">
        <v>1725</v>
      </c>
      <c r="E1741" t="b">
        <f>IF(COUNTIF(D1741,"*"&amp;'Keyword Search'!$C$5&amp;"*"),TRUE,FALSE)</f>
        <v>1</v>
      </c>
      <c r="G1741" t="str">
        <f t="shared" si="112"/>
        <v>208-40: *Driver and Hardware Support Programs, Microcomputer</v>
      </c>
    </row>
    <row r="1742" spans="1:7" x14ac:dyDescent="0.25">
      <c r="A1742" s="1" t="str">
        <f t="shared" si="110"/>
        <v>208</v>
      </c>
      <c r="B1742" s="1" t="str">
        <f>TEXT(41,"00")</f>
        <v>41</v>
      </c>
      <c r="C1742" s="1" t="str">
        <f t="shared" si="111"/>
        <v>208-41</v>
      </c>
      <c r="D1742" t="s">
        <v>1726</v>
      </c>
      <c r="E1742" t="b">
        <f>IF(COUNTIF(D1742,"*"&amp;'Keyword Search'!$C$5&amp;"*"),TRUE,FALSE)</f>
        <v>1</v>
      </c>
      <c r="G1742" t="str">
        <f t="shared" si="112"/>
        <v>208-41: *Engineering Software, Microcomputer</v>
      </c>
    </row>
    <row r="1743" spans="1:7" x14ac:dyDescent="0.25">
      <c r="A1743" s="1" t="str">
        <f t="shared" si="110"/>
        <v>208</v>
      </c>
      <c r="B1743" s="1" t="str">
        <f>TEXT(42,"00")</f>
        <v>42</v>
      </c>
      <c r="C1743" s="1" t="str">
        <f t="shared" si="111"/>
        <v>208-42</v>
      </c>
      <c r="D1743" t="s">
        <v>1727</v>
      </c>
      <c r="E1743" t="b">
        <f>IF(COUNTIF(D1743,"*"&amp;'Keyword Search'!$C$5&amp;"*"),TRUE,FALSE)</f>
        <v>1</v>
      </c>
      <c r="G1743" t="str">
        <f t="shared" si="112"/>
        <v>208-42: *EDI (Electronic Data Interchange) Translator Software, Microcomputer</v>
      </c>
    </row>
    <row r="1744" spans="1:7" x14ac:dyDescent="0.25">
      <c r="A1744" s="1" t="str">
        <f t="shared" si="110"/>
        <v>208</v>
      </c>
      <c r="B1744" s="1" t="str">
        <f>TEXT(43,"00")</f>
        <v>43</v>
      </c>
      <c r="C1744" s="1" t="str">
        <f t="shared" si="111"/>
        <v>208-43</v>
      </c>
      <c r="D1744" t="s">
        <v>1728</v>
      </c>
      <c r="E1744" t="b">
        <f>IF(COUNTIF(D1744,"*"&amp;'Keyword Search'!$C$5&amp;"*"),TRUE,FALSE)</f>
        <v>1</v>
      </c>
      <c r="G1744" t="str">
        <f t="shared" si="112"/>
        <v>208-43: *Educational: eLearning, Foreign Languages, Math, Science, Social Studies, etc., Microcomputer</v>
      </c>
    </row>
    <row r="1745" spans="1:7" x14ac:dyDescent="0.25">
      <c r="A1745" s="1" t="str">
        <f t="shared" si="110"/>
        <v>208</v>
      </c>
      <c r="B1745" s="1" t="str">
        <f>TEXT(44,"00")</f>
        <v>44</v>
      </c>
      <c r="C1745" s="1" t="str">
        <f t="shared" si="111"/>
        <v>208-44</v>
      </c>
      <c r="D1745" t="s">
        <v>1729</v>
      </c>
      <c r="E1745" t="b">
        <f>IF(COUNTIF(D1745,"*"&amp;'Keyword Search'!$C$5&amp;"*"),TRUE,FALSE)</f>
        <v>1</v>
      </c>
      <c r="G1745" t="str">
        <f t="shared" si="112"/>
        <v>208-44: *E-Mail Software, Microcomputer</v>
      </c>
    </row>
    <row r="1746" spans="1:7" x14ac:dyDescent="0.25">
      <c r="A1746" s="1" t="str">
        <f t="shared" si="110"/>
        <v>208</v>
      </c>
      <c r="B1746" s="1" t="str">
        <f>TEXT(45,"00")</f>
        <v>45</v>
      </c>
      <c r="C1746" s="1" t="str">
        <f t="shared" si="111"/>
        <v>208-45</v>
      </c>
      <c r="D1746" t="s">
        <v>1730</v>
      </c>
      <c r="E1746" t="b">
        <f>IF(COUNTIF(D1746,"*"&amp;'Keyword Search'!$C$5&amp;"*"),TRUE,FALSE)</f>
        <v>1</v>
      </c>
      <c r="G1746" t="str">
        <f t="shared" si="112"/>
        <v>208-45: *Expert System Software, Microcomputer</v>
      </c>
    </row>
    <row r="1747" spans="1:7" x14ac:dyDescent="0.25">
      <c r="A1747" s="1" t="str">
        <f t="shared" si="110"/>
        <v>208</v>
      </c>
      <c r="B1747" s="1" t="str">
        <f>TEXT(46,"00")</f>
        <v>46</v>
      </c>
      <c r="C1747" s="1" t="str">
        <f t="shared" si="111"/>
        <v>208-46</v>
      </c>
      <c r="D1747" t="s">
        <v>1731</v>
      </c>
      <c r="E1747" t="b">
        <f>IF(COUNTIF(D1747,"*"&amp;'Keyword Search'!$C$5&amp;"*"),TRUE,FALSE)</f>
        <v>1</v>
      </c>
      <c r="G1747" t="str">
        <f t="shared" si="112"/>
        <v>208-46: *E-Commerce Software, Microcomputer</v>
      </c>
    </row>
    <row r="1748" spans="1:7" x14ac:dyDescent="0.25">
      <c r="A1748" s="1" t="str">
        <f t="shared" si="110"/>
        <v>208</v>
      </c>
      <c r="B1748" s="1" t="str">
        <f>TEXT(47,"00")</f>
        <v>47</v>
      </c>
      <c r="C1748" s="1" t="str">
        <f t="shared" si="111"/>
        <v>208-47</v>
      </c>
      <c r="D1748" t="s">
        <v>1732</v>
      </c>
      <c r="E1748" t="b">
        <f>IF(COUNTIF(D1748,"*"&amp;'Keyword Search'!$C$5&amp;"*"),TRUE,FALSE)</f>
        <v>1</v>
      </c>
      <c r="G1748" t="str">
        <f t="shared" si="112"/>
        <v>208-47: *Games: Adventure, Board, Puzzles, Strategy, etc. (See 037-84; 209-48; 785-53; and 805-51 for other type games), Microcomputer</v>
      </c>
    </row>
    <row r="1749" spans="1:7" x14ac:dyDescent="0.25">
      <c r="A1749" s="1" t="str">
        <f t="shared" si="110"/>
        <v>208</v>
      </c>
      <c r="B1749" s="1" t="str">
        <f>TEXT(50,"00")</f>
        <v>50</v>
      </c>
      <c r="C1749" s="1" t="str">
        <f t="shared" si="111"/>
        <v>208-50</v>
      </c>
      <c r="D1749" t="s">
        <v>1733</v>
      </c>
      <c r="E1749" t="b">
        <f>IF(COUNTIF(D1749,"*"&amp;'Keyword Search'!$C$5&amp;"*"),TRUE,FALSE)</f>
        <v>1</v>
      </c>
      <c r="G1749" t="str">
        <f t="shared" si="112"/>
        <v>208-50: *Graphics: Clip Art, Demos, Presentation, Slide Shows, etc., Microcomputer</v>
      </c>
    </row>
    <row r="1750" spans="1:7" x14ac:dyDescent="0.25">
      <c r="A1750" s="1" t="str">
        <f t="shared" si="110"/>
        <v>208</v>
      </c>
      <c r="B1750" s="1" t="str">
        <f>TEXT(51,"00")</f>
        <v>51</v>
      </c>
      <c r="C1750" s="1" t="str">
        <f t="shared" si="111"/>
        <v>208-51</v>
      </c>
      <c r="D1750" t="s">
        <v>1734</v>
      </c>
      <c r="E1750" t="b">
        <f>IF(COUNTIF(D1750,"*"&amp;'Keyword Search'!$C$5&amp;"*"),TRUE,FALSE)</f>
        <v>1</v>
      </c>
      <c r="G1750" t="str">
        <f t="shared" si="112"/>
        <v>208-51: *Human Resources Software, Microcomputer</v>
      </c>
    </row>
    <row r="1751" spans="1:7" x14ac:dyDescent="0.25">
      <c r="A1751" s="1" t="str">
        <f t="shared" si="110"/>
        <v>208</v>
      </c>
      <c r="B1751" s="1" t="str">
        <f>TEXT(53,"00")</f>
        <v>53</v>
      </c>
      <c r="C1751" s="1" t="str">
        <f t="shared" si="111"/>
        <v>208-53</v>
      </c>
      <c r="D1751" t="s">
        <v>1735</v>
      </c>
      <c r="E1751" t="b">
        <f>IF(COUNTIF(D1751,"*"&amp;'Keyword Search'!$C$5&amp;"*"),TRUE,FALSE)</f>
        <v>1</v>
      </c>
      <c r="G1751" t="str">
        <f t="shared" si="112"/>
        <v>208-53: *Integrated Software, Microcomputer</v>
      </c>
    </row>
    <row r="1752" spans="1:7" x14ac:dyDescent="0.25">
      <c r="A1752" s="1" t="str">
        <f t="shared" si="110"/>
        <v>208</v>
      </c>
      <c r="B1752" s="1" t="str">
        <f>TEXT(54,"00")</f>
        <v>54</v>
      </c>
      <c r="C1752" s="1" t="str">
        <f t="shared" si="111"/>
        <v>208-54</v>
      </c>
      <c r="D1752" t="s">
        <v>1736</v>
      </c>
      <c r="E1752" t="b">
        <f>IF(COUNTIF(D1752,"*"&amp;'Keyword Search'!$C$5&amp;"*"),TRUE,FALSE)</f>
        <v>1</v>
      </c>
      <c r="G1752" t="str">
        <f t="shared" si="112"/>
        <v>208-54: *Internet, Web Site and Mobile Application Development Software, Microcomputer</v>
      </c>
    </row>
    <row r="1753" spans="1:7" x14ac:dyDescent="0.25">
      <c r="A1753" s="1" t="str">
        <f t="shared" si="110"/>
        <v>208</v>
      </c>
      <c r="B1753" s="1" t="str">
        <f>TEXT(55,"00")</f>
        <v>55</v>
      </c>
      <c r="C1753" s="1" t="str">
        <f t="shared" si="111"/>
        <v>208-55</v>
      </c>
      <c r="D1753" t="s">
        <v>1737</v>
      </c>
      <c r="E1753" t="b">
        <f>IF(COUNTIF(D1753,"*"&amp;'Keyword Search'!$C$5&amp;"*"),TRUE,FALSE)</f>
        <v>1</v>
      </c>
      <c r="G1753" t="str">
        <f t="shared" si="112"/>
        <v>208-55: *Inventory Management Software, Microcomputer</v>
      </c>
    </row>
    <row r="1754" spans="1:7" x14ac:dyDescent="0.25">
      <c r="A1754" s="1" t="str">
        <f t="shared" si="110"/>
        <v>208</v>
      </c>
      <c r="B1754" s="1" t="str">
        <f>TEXT(56,"00")</f>
        <v>56</v>
      </c>
      <c r="C1754" s="1" t="str">
        <f t="shared" si="111"/>
        <v>208-56</v>
      </c>
      <c r="D1754" t="s">
        <v>1738</v>
      </c>
      <c r="E1754" t="b">
        <f>IF(COUNTIF(D1754,"*"&amp;'Keyword Search'!$C$5&amp;"*"),TRUE,FALSE)</f>
        <v>1</v>
      </c>
      <c r="G1754" t="str">
        <f t="shared" si="112"/>
        <v>208-56: *Logistics and Supply Chain Software, Microcomputer</v>
      </c>
    </row>
    <row r="1755" spans="1:7" x14ac:dyDescent="0.25">
      <c r="A1755" s="1" t="str">
        <f t="shared" si="110"/>
        <v>208</v>
      </c>
      <c r="B1755" s="1" t="str">
        <f>TEXT(57,"00")</f>
        <v>57</v>
      </c>
      <c r="C1755" s="1" t="str">
        <f t="shared" si="111"/>
        <v>208-57</v>
      </c>
      <c r="D1755" t="s">
        <v>1739</v>
      </c>
      <c r="E1755" t="b">
        <f>IF(COUNTIF(D1755,"*"&amp;'Keyword Search'!$C$5&amp;"*"),TRUE,FALSE)</f>
        <v>1</v>
      </c>
      <c r="G1755" t="str">
        <f t="shared" si="112"/>
        <v>208-57: *Law Enforcement Software, Microcomputer</v>
      </c>
    </row>
    <row r="1756" spans="1:7" x14ac:dyDescent="0.25">
      <c r="A1756" s="1" t="str">
        <f t="shared" si="110"/>
        <v>208</v>
      </c>
      <c r="B1756" s="1" t="str">
        <f>TEXT(58,"00")</f>
        <v>58</v>
      </c>
      <c r="C1756" s="1" t="str">
        <f t="shared" si="111"/>
        <v>208-58</v>
      </c>
      <c r="D1756" t="s">
        <v>1740</v>
      </c>
      <c r="E1756" t="b">
        <f>IF(COUNTIF(D1756,"*"&amp;'Keyword Search'!$C$5&amp;"*"),TRUE,FALSE)</f>
        <v>1</v>
      </c>
      <c r="G1756" t="str">
        <f t="shared" si="112"/>
        <v>208-58: *Language Translation Software, Microcomputer</v>
      </c>
    </row>
    <row r="1757" spans="1:7" x14ac:dyDescent="0.25">
      <c r="A1757" s="1" t="str">
        <f t="shared" si="110"/>
        <v>208</v>
      </c>
      <c r="B1757" s="1" t="str">
        <f>TEXT(59,"00")</f>
        <v>59</v>
      </c>
      <c r="C1757" s="1" t="str">
        <f t="shared" si="111"/>
        <v>208-59</v>
      </c>
      <c r="D1757" t="s">
        <v>1741</v>
      </c>
      <c r="E1757" t="b">
        <f>IF(COUNTIF(D1757,"*"&amp;'Keyword Search'!$C$5&amp;"*"),TRUE,FALSE)</f>
        <v>1</v>
      </c>
      <c r="G1757" t="str">
        <f t="shared" si="112"/>
        <v>208-59: *Library Information Management and Library Catalog Database Software, Microcomputer</v>
      </c>
    </row>
    <row r="1758" spans="1:7" x14ac:dyDescent="0.25">
      <c r="A1758" s="1" t="str">
        <f t="shared" si="110"/>
        <v>208</v>
      </c>
      <c r="B1758" s="1" t="str">
        <f>TEXT(60,"00")</f>
        <v>60</v>
      </c>
      <c r="C1758" s="1" t="str">
        <f t="shared" si="111"/>
        <v>208-60</v>
      </c>
      <c r="D1758" t="s">
        <v>1742</v>
      </c>
      <c r="E1758" t="b">
        <f>IF(COUNTIF(D1758,"*"&amp;'Keyword Search'!$C$5&amp;"*"),TRUE,FALSE)</f>
        <v>1</v>
      </c>
      <c r="G1758" t="str">
        <f t="shared" si="112"/>
        <v>208-60: *Medical Software, All Types, Microcomputer</v>
      </c>
    </row>
    <row r="1759" spans="1:7" x14ac:dyDescent="0.25">
      <c r="A1759" s="1" t="str">
        <f t="shared" si="110"/>
        <v>208</v>
      </c>
      <c r="B1759" s="1" t="str">
        <f>TEXT(61,"00")</f>
        <v>61</v>
      </c>
      <c r="C1759" s="1" t="str">
        <f t="shared" si="111"/>
        <v>208-61</v>
      </c>
      <c r="D1759" t="s">
        <v>1743</v>
      </c>
      <c r="E1759" t="b">
        <f>IF(COUNTIF(D1759,"*"&amp;'Keyword Search'!$C$5&amp;"*"),TRUE,FALSE)</f>
        <v>1</v>
      </c>
      <c r="G1759" t="str">
        <f t="shared" si="112"/>
        <v>208-61: *OCR and Scanner Software, Microcomputer</v>
      </c>
    </row>
    <row r="1760" spans="1:7" x14ac:dyDescent="0.25">
      <c r="A1760" s="1" t="str">
        <f t="shared" si="110"/>
        <v>208</v>
      </c>
      <c r="B1760" s="1" t="str">
        <f>TEXT(62,"00")</f>
        <v>62</v>
      </c>
      <c r="C1760" s="1" t="str">
        <f t="shared" si="111"/>
        <v>208-62</v>
      </c>
      <c r="D1760" t="s">
        <v>1744</v>
      </c>
      <c r="E1760" t="b">
        <f>IF(COUNTIF(D1760,"*"&amp;'Keyword Search'!$C$5&amp;"*"),TRUE,FALSE)</f>
        <v>1</v>
      </c>
      <c r="G1760" t="str">
        <f t="shared" si="112"/>
        <v>208-62: *Photo Identification Software, Microcomputer</v>
      </c>
    </row>
    <row r="1761" spans="1:7" x14ac:dyDescent="0.25">
      <c r="A1761" s="1" t="str">
        <f t="shared" si="110"/>
        <v>208</v>
      </c>
      <c r="B1761" s="1" t="str">
        <f>TEXT(63,"00")</f>
        <v>63</v>
      </c>
      <c r="C1761" s="1" t="str">
        <f t="shared" si="111"/>
        <v>208-63</v>
      </c>
      <c r="D1761" t="s">
        <v>1745</v>
      </c>
      <c r="E1761" t="b">
        <f>IF(COUNTIF(D1761,"*"&amp;'Keyword Search'!$C$5&amp;"*"),TRUE,FALSE)</f>
        <v>1</v>
      </c>
      <c r="G1761" t="str">
        <f t="shared" si="112"/>
        <v>208-63: *Personnel Software, Microcomputer</v>
      </c>
    </row>
    <row r="1762" spans="1:7" x14ac:dyDescent="0.25">
      <c r="A1762" s="1" t="str">
        <f t="shared" si="110"/>
        <v>208</v>
      </c>
      <c r="B1762" s="1" t="str">
        <f>TEXT(64,"00")</f>
        <v>64</v>
      </c>
      <c r="C1762" s="1" t="str">
        <f t="shared" si="111"/>
        <v>208-64</v>
      </c>
      <c r="D1762" t="s">
        <v>1746</v>
      </c>
      <c r="E1762" t="b">
        <f>IF(COUNTIF(D1762,"*"&amp;'Keyword Search'!$C$5&amp;"*"),TRUE,FALSE)</f>
        <v>1</v>
      </c>
      <c r="G1762" t="str">
        <f t="shared" si="112"/>
        <v>208-64: *Postage/Mailing and Shipping Software, Microcomputer</v>
      </c>
    </row>
    <row r="1763" spans="1:7" x14ac:dyDescent="0.25">
      <c r="A1763" s="1" t="str">
        <f t="shared" si="110"/>
        <v>208</v>
      </c>
      <c r="B1763" s="1" t="str">
        <f>TEXT(65,"00")</f>
        <v>65</v>
      </c>
      <c r="C1763" s="1" t="str">
        <f t="shared" si="111"/>
        <v>208-65</v>
      </c>
      <c r="D1763" t="s">
        <v>1747</v>
      </c>
      <c r="E1763" t="b">
        <f>IF(COUNTIF(D1763,"*"&amp;'Keyword Search'!$C$5&amp;"*"),TRUE,FALSE)</f>
        <v>1</v>
      </c>
      <c r="G1763" t="str">
        <f t="shared" si="112"/>
        <v>208-65: *Point of Sale Software, Microcomputer</v>
      </c>
    </row>
    <row r="1764" spans="1:7" x14ac:dyDescent="0.25">
      <c r="A1764" s="1" t="str">
        <f t="shared" si="110"/>
        <v>208</v>
      </c>
      <c r="B1764" s="1" t="str">
        <f>TEXT(66,"00")</f>
        <v>66</v>
      </c>
      <c r="C1764" s="1" t="str">
        <f t="shared" si="111"/>
        <v>208-66</v>
      </c>
      <c r="D1764" t="s">
        <v>1748</v>
      </c>
      <c r="E1764" t="b">
        <f>IF(COUNTIF(D1764,"*"&amp;'Keyword Search'!$C$5&amp;"*"),TRUE,FALSE)</f>
        <v>1</v>
      </c>
      <c r="G1764" t="str">
        <f t="shared" si="112"/>
        <v>208-66: *Professional: Computer Training, E-learning, Hospital/Pharmacy, Legal, etc. Software, Microcomputer</v>
      </c>
    </row>
    <row r="1765" spans="1:7" x14ac:dyDescent="0.25">
      <c r="A1765" s="1" t="str">
        <f t="shared" si="110"/>
        <v>208</v>
      </c>
      <c r="B1765" s="1" t="str">
        <f>TEXT(67,"00")</f>
        <v>67</v>
      </c>
      <c r="C1765" s="1" t="str">
        <f t="shared" si="111"/>
        <v>208-67</v>
      </c>
      <c r="D1765" t="s">
        <v>1749</v>
      </c>
      <c r="E1765" t="b">
        <f>IF(COUNTIF(D1765,"*"&amp;'Keyword Search'!$C$5&amp;"*"),TRUE,FALSE)</f>
        <v>1</v>
      </c>
      <c r="G1765" t="str">
        <f t="shared" si="112"/>
        <v>208-67: *Programming: Basic, Assembler, Computer Assisted Software Engineering Tools (CASE), Libraries, etc., Microcomputer.</v>
      </c>
    </row>
    <row r="1766" spans="1:7" x14ac:dyDescent="0.25">
      <c r="A1766" s="1" t="str">
        <f t="shared" si="110"/>
        <v>208</v>
      </c>
      <c r="B1766" s="1" t="str">
        <f>TEXT(68,"00")</f>
        <v>68</v>
      </c>
      <c r="C1766" s="1" t="str">
        <f t="shared" si="111"/>
        <v>208-68</v>
      </c>
      <c r="D1766" t="s">
        <v>1750</v>
      </c>
      <c r="E1766" t="b">
        <f>IF(COUNTIF(D1766,"*"&amp;'Keyword Search'!$C$5&amp;"*"),TRUE,FALSE)</f>
        <v>1</v>
      </c>
      <c r="G1766" t="str">
        <f t="shared" si="112"/>
        <v>208-68: *Project Management Software, Microcomputer</v>
      </c>
    </row>
    <row r="1767" spans="1:7" x14ac:dyDescent="0.25">
      <c r="A1767" s="1" t="str">
        <f t="shared" si="110"/>
        <v>208</v>
      </c>
      <c r="B1767" s="1" t="str">
        <f>TEXT(70,"00")</f>
        <v>70</v>
      </c>
      <c r="C1767" s="1" t="str">
        <f t="shared" si="111"/>
        <v>208-70</v>
      </c>
      <c r="D1767" t="s">
        <v>1751</v>
      </c>
      <c r="E1767" t="b">
        <f>IF(COUNTIF(D1767,"*"&amp;'Keyword Search'!$C$5&amp;"*"),TRUE,FALSE)</f>
        <v>1</v>
      </c>
      <c r="G1767" t="str">
        <f t="shared" si="112"/>
        <v>208-70: *Printing Software, Microcomputer</v>
      </c>
    </row>
    <row r="1768" spans="1:7" x14ac:dyDescent="0.25">
      <c r="A1768" s="1" t="str">
        <f t="shared" si="110"/>
        <v>208</v>
      </c>
      <c r="B1768" s="1" t="str">
        <f>TEXT(71,"00")</f>
        <v>71</v>
      </c>
      <c r="C1768" s="1" t="str">
        <f t="shared" si="111"/>
        <v>208-71</v>
      </c>
      <c r="D1768" t="s">
        <v>1752</v>
      </c>
      <c r="E1768" t="b">
        <f>IF(COUNTIF(D1768,"*"&amp;'Keyword Search'!$C$5&amp;"*"),TRUE,FALSE)</f>
        <v>1</v>
      </c>
      <c r="G1768" t="str">
        <f t="shared" si="112"/>
        <v>208-71: *Procurement Software, Microcomputer</v>
      </c>
    </row>
    <row r="1769" spans="1:7" x14ac:dyDescent="0.25">
      <c r="A1769" s="1" t="str">
        <f t="shared" si="110"/>
        <v>208</v>
      </c>
      <c r="B1769" s="1" t="str">
        <f>TEXT(72,"00")</f>
        <v>72</v>
      </c>
      <c r="C1769" s="1" t="str">
        <f t="shared" si="111"/>
        <v>208-72</v>
      </c>
      <c r="D1769" t="s">
        <v>1753</v>
      </c>
      <c r="E1769" t="b">
        <f>IF(COUNTIF(D1769,"*"&amp;'Keyword Search'!$C$5&amp;"*"),TRUE,FALSE)</f>
        <v>1</v>
      </c>
      <c r="G1769" t="str">
        <f t="shared" si="112"/>
        <v>208-72: *Procurement and Accounting Taxonomy Software, Microcomputer</v>
      </c>
    </row>
    <row r="1770" spans="1:7" x14ac:dyDescent="0.25">
      <c r="A1770" s="1" t="str">
        <f t="shared" si="110"/>
        <v>208</v>
      </c>
      <c r="B1770" s="1" t="str">
        <f>TEXT(76,"00")</f>
        <v>76</v>
      </c>
      <c r="C1770" s="1" t="str">
        <f t="shared" si="111"/>
        <v>208-76</v>
      </c>
      <c r="D1770" t="s">
        <v>1754</v>
      </c>
      <c r="E1770" t="b">
        <f>IF(COUNTIF(D1770,"*"&amp;'Keyword Search'!$C$5&amp;"*"),TRUE,FALSE)</f>
        <v>1</v>
      </c>
      <c r="G1770" t="str">
        <f t="shared" si="112"/>
        <v>208-76: *Real Estate/Property Management Software, Microcomputer</v>
      </c>
    </row>
    <row r="1771" spans="1:7" x14ac:dyDescent="0.25">
      <c r="A1771" s="1" t="str">
        <f t="shared" si="110"/>
        <v>208</v>
      </c>
      <c r="B1771" s="1" t="str">
        <f>TEXT(77,"00")</f>
        <v>77</v>
      </c>
      <c r="C1771" s="1" t="str">
        <f t="shared" si="111"/>
        <v>208-77</v>
      </c>
      <c r="D1771" t="s">
        <v>1755</v>
      </c>
      <c r="E1771" t="b">
        <f>IF(COUNTIF(D1771,"*"&amp;'Keyword Search'!$C$5&amp;"*"),TRUE,FALSE)</f>
        <v>1</v>
      </c>
      <c r="G1771" t="str">
        <f t="shared" si="112"/>
        <v>208-77: *Recycled Software, Microcomputer</v>
      </c>
    </row>
    <row r="1772" spans="1:7" x14ac:dyDescent="0.25">
      <c r="A1772" s="1" t="str">
        <f t="shared" si="110"/>
        <v>208</v>
      </c>
      <c r="B1772" s="1" t="str">
        <f>TEXT(78,"00")</f>
        <v>78</v>
      </c>
      <c r="C1772" s="1" t="str">
        <f t="shared" si="111"/>
        <v>208-78</v>
      </c>
      <c r="D1772" t="s">
        <v>1756</v>
      </c>
      <c r="E1772" t="b">
        <f>IF(COUNTIF(D1772,"*"&amp;'Keyword Search'!$C$5&amp;"*"),TRUE,FALSE)</f>
        <v>1</v>
      </c>
      <c r="G1772" t="str">
        <f t="shared" si="112"/>
        <v>208-78: *Redaction, De-identification Software</v>
      </c>
    </row>
    <row r="1773" spans="1:7" x14ac:dyDescent="0.25">
      <c r="A1773" s="1" t="str">
        <f t="shared" si="110"/>
        <v>208</v>
      </c>
      <c r="B1773" s="1" t="str">
        <f>TEXT(79,"00")</f>
        <v>79</v>
      </c>
      <c r="C1773" s="1" t="str">
        <f t="shared" si="111"/>
        <v>208-79</v>
      </c>
      <c r="D1773" t="s">
        <v>1757</v>
      </c>
      <c r="E1773" t="b">
        <f>IF(COUNTIF(D1773,"*"&amp;'Keyword Search'!$C$5&amp;"*"),TRUE,FALSE)</f>
        <v>1</v>
      </c>
      <c r="G1773" t="str">
        <f t="shared" si="112"/>
        <v>208-79: *RPA Software, Microcomputer</v>
      </c>
    </row>
    <row r="1774" spans="1:7" x14ac:dyDescent="0.25">
      <c r="A1774" s="1" t="str">
        <f t="shared" si="110"/>
        <v>208</v>
      </c>
      <c r="B1774" s="1" t="str">
        <f>TEXT(80,"00")</f>
        <v>80</v>
      </c>
      <c r="C1774" s="1" t="str">
        <f t="shared" si="111"/>
        <v>208-80</v>
      </c>
      <c r="D1774" t="s">
        <v>1758</v>
      </c>
      <c r="E1774" t="b">
        <f>IF(COUNTIF(D1774,"*"&amp;'Keyword Search'!$C$5&amp;"*"),TRUE,FALSE)</f>
        <v>1</v>
      </c>
      <c r="G1774" t="str">
        <f t="shared" si="112"/>
        <v>208-80: *Software, Microcomputer (Not Otherwise Classified)</v>
      </c>
    </row>
    <row r="1775" spans="1:7" x14ac:dyDescent="0.25">
      <c r="A1775" s="1" t="str">
        <f t="shared" si="110"/>
        <v>208</v>
      </c>
      <c r="B1775" s="1" t="str">
        <f>TEXT(81,"00")</f>
        <v>81</v>
      </c>
      <c r="C1775" s="1" t="str">
        <f t="shared" si="111"/>
        <v>208-81</v>
      </c>
      <c r="D1775" t="s">
        <v>1759</v>
      </c>
      <c r="E1775" t="b">
        <f>IF(COUNTIF(D1775,"*"&amp;'Keyword Search'!$C$5&amp;"*"),TRUE,FALSE)</f>
        <v>1</v>
      </c>
      <c r="G1775" t="str">
        <f t="shared" si="112"/>
        <v>208-81: *Software For Computer Software Training, Microcomputer</v>
      </c>
    </row>
    <row r="1776" spans="1:7" x14ac:dyDescent="0.25">
      <c r="A1776" s="1" t="str">
        <f t="shared" si="110"/>
        <v>208</v>
      </c>
      <c r="B1776" s="1" t="str">
        <f>TEXT(82,"00")</f>
        <v>82</v>
      </c>
      <c r="C1776" s="1" t="str">
        <f t="shared" si="111"/>
        <v>208-82</v>
      </c>
      <c r="D1776" t="s">
        <v>1760</v>
      </c>
      <c r="E1776" t="b">
        <f>IF(COUNTIF(D1776,"*"&amp;'Keyword Search'!$C$5&amp;"*"),TRUE,FALSE)</f>
        <v>1</v>
      </c>
      <c r="G1776" t="str">
        <f t="shared" si="112"/>
        <v>208-82: *Scientific, Statistical, Engineering, Mathematical, and Mapping Software, Including Photogrammetry, Microcomputer</v>
      </c>
    </row>
    <row r="1777" spans="1:7" x14ac:dyDescent="0.25">
      <c r="A1777" s="1" t="str">
        <f t="shared" si="110"/>
        <v>208</v>
      </c>
      <c r="B1777" s="1" t="str">
        <f>TEXT(83,"00")</f>
        <v>83</v>
      </c>
      <c r="C1777" s="1" t="str">
        <f t="shared" si="111"/>
        <v>208-83</v>
      </c>
      <c r="D1777" t="s">
        <v>1761</v>
      </c>
      <c r="E1777" t="b">
        <f>IF(COUNTIF(D1777,"*"&amp;'Keyword Search'!$C$5&amp;"*"),TRUE,FALSE)</f>
        <v>1</v>
      </c>
      <c r="G1777" t="str">
        <f t="shared" si="112"/>
        <v>208-83: *Shipping, Postal Management and Address Verification Software, Microcomputer</v>
      </c>
    </row>
    <row r="1778" spans="1:7" x14ac:dyDescent="0.25">
      <c r="A1778" s="1" t="str">
        <f t="shared" si="110"/>
        <v>208</v>
      </c>
      <c r="B1778" s="1" t="str">
        <f>TEXT(84,"00")</f>
        <v>84</v>
      </c>
      <c r="C1778" s="1" t="str">
        <f t="shared" si="111"/>
        <v>208-84</v>
      </c>
      <c r="D1778" t="s">
        <v>1762</v>
      </c>
      <c r="E1778" t="b">
        <f>IF(COUNTIF(D1778,"*"&amp;'Keyword Search'!$C$5&amp;"*"),TRUE,FALSE)</f>
        <v>1</v>
      </c>
      <c r="G1778" t="str">
        <f t="shared" si="112"/>
        <v>208-84: *Spreadsheet Software, Microcomputer</v>
      </c>
    </row>
    <row r="1779" spans="1:7" x14ac:dyDescent="0.25">
      <c r="A1779" s="1" t="str">
        <f t="shared" si="110"/>
        <v>208</v>
      </c>
      <c r="B1779" s="1" t="str">
        <f>TEXT(85,"00")</f>
        <v>85</v>
      </c>
      <c r="C1779" s="1" t="str">
        <f t="shared" si="111"/>
        <v>208-85</v>
      </c>
      <c r="D1779" t="s">
        <v>1763</v>
      </c>
      <c r="E1779" t="b">
        <f>IF(COUNTIF(D1779,"*"&amp;'Keyword Search'!$C$5&amp;"*"),TRUE,FALSE)</f>
        <v>1</v>
      </c>
      <c r="G1779" t="str">
        <f t="shared" si="112"/>
        <v>208-85: *Surveying Systems Software, Microcomputer</v>
      </c>
    </row>
    <row r="1780" spans="1:7" x14ac:dyDescent="0.25">
      <c r="A1780" s="1" t="str">
        <f t="shared" si="110"/>
        <v>208</v>
      </c>
      <c r="B1780" s="1" t="str">
        <f>TEXT(86,"00")</f>
        <v>86</v>
      </c>
      <c r="C1780" s="1" t="str">
        <f t="shared" si="111"/>
        <v>208-86</v>
      </c>
      <c r="D1780" t="s">
        <v>1764</v>
      </c>
      <c r="E1780" t="b">
        <f>IF(COUNTIF(D1780,"*"&amp;'Keyword Search'!$C$5&amp;"*"),TRUE,FALSE)</f>
        <v>1</v>
      </c>
      <c r="G1780" t="str">
        <f t="shared" si="112"/>
        <v>208-86: *Sound or Music Editing Software, Microcomputer</v>
      </c>
    </row>
    <row r="1781" spans="1:7" x14ac:dyDescent="0.25">
      <c r="A1781" s="1" t="str">
        <f t="shared" si="110"/>
        <v>208</v>
      </c>
      <c r="B1781" s="1" t="str">
        <f>TEXT(87,"00")</f>
        <v>87</v>
      </c>
      <c r="C1781" s="1" t="str">
        <f t="shared" si="111"/>
        <v>208-87</v>
      </c>
      <c r="D1781" t="s">
        <v>1765</v>
      </c>
      <c r="E1781" t="b">
        <f>IF(COUNTIF(D1781,"*"&amp;'Keyword Search'!$C$5&amp;"*"),TRUE,FALSE)</f>
        <v>1</v>
      </c>
      <c r="G1781" t="str">
        <f t="shared" si="112"/>
        <v>208-87: *Tools, Programming and Case Software, Microcomputer</v>
      </c>
    </row>
    <row r="1782" spans="1:7" x14ac:dyDescent="0.25">
      <c r="A1782" s="1" t="str">
        <f t="shared" si="110"/>
        <v>208</v>
      </c>
      <c r="B1782" s="1" t="str">
        <f>TEXT(88,"00")</f>
        <v>88</v>
      </c>
      <c r="C1782" s="1" t="str">
        <f t="shared" si="111"/>
        <v>208-88</v>
      </c>
      <c r="D1782" t="s">
        <v>1766</v>
      </c>
      <c r="E1782" t="b">
        <f>IF(COUNTIF(D1782,"*"&amp;'Keyword Search'!$C$5&amp;"*"),TRUE,FALSE)</f>
        <v>1</v>
      </c>
      <c r="G1782" t="str">
        <f t="shared" si="112"/>
        <v>208-88: *Software, Monitoring, Microcomputer</v>
      </c>
    </row>
    <row r="1783" spans="1:7" x14ac:dyDescent="0.25">
      <c r="A1783" s="1" t="str">
        <f t="shared" si="110"/>
        <v>208</v>
      </c>
      <c r="B1783" s="1" t="str">
        <f>TEXT(89,"00")</f>
        <v>89</v>
      </c>
      <c r="C1783" s="1" t="str">
        <f t="shared" si="111"/>
        <v>208-89</v>
      </c>
      <c r="D1783" t="s">
        <v>1767</v>
      </c>
      <c r="E1783" t="b">
        <f>IF(COUNTIF(D1783,"*"&amp;'Keyword Search'!$C$5&amp;"*"),TRUE,FALSE)</f>
        <v>1</v>
      </c>
      <c r="G1783" t="str">
        <f t="shared" si="112"/>
        <v>208-89: *Threat Alert Software, Microcomputer</v>
      </c>
    </row>
    <row r="1784" spans="1:7" x14ac:dyDescent="0.25">
      <c r="A1784" s="1" t="str">
        <f t="shared" si="110"/>
        <v>208</v>
      </c>
      <c r="B1784" s="1" t="str">
        <f>TEXT(90,"00")</f>
        <v>90</v>
      </c>
      <c r="C1784" s="1" t="str">
        <f t="shared" si="111"/>
        <v>208-90</v>
      </c>
      <c r="D1784" t="s">
        <v>1768</v>
      </c>
      <c r="E1784" t="b">
        <f>IF(COUNTIF(D1784,"*"&amp;'Keyword Search'!$C$5&amp;"*"),TRUE,FALSE)</f>
        <v>1</v>
      </c>
      <c r="G1784" t="str">
        <f t="shared" si="112"/>
        <v>208-90: *Utilities: Back-up, Batch File, Firewall, Menus, Operating System, Network Operating System, Network Management, Recovery, Screen, Security, Virus Protection, etc., Microcomputer</v>
      </c>
    </row>
    <row r="1785" spans="1:7" x14ac:dyDescent="0.25">
      <c r="A1785" s="1" t="str">
        <f t="shared" si="110"/>
        <v>208</v>
      </c>
      <c r="B1785" s="1" t="str">
        <f>TEXT(94,"00")</f>
        <v>94</v>
      </c>
      <c r="C1785" s="1" t="str">
        <f t="shared" si="111"/>
        <v>208-94</v>
      </c>
      <c r="D1785" t="s">
        <v>1769</v>
      </c>
      <c r="E1785" t="b">
        <f>IF(COUNTIF(D1785,"*"&amp;'Keyword Search'!$C$5&amp;"*"),TRUE,FALSE)</f>
        <v>1</v>
      </c>
      <c r="G1785" t="str">
        <f t="shared" si="112"/>
        <v>208-94: *Word Processing, Text Editors, Spell Checkers, Microcomputer</v>
      </c>
    </row>
    <row r="1786" spans="1:7" x14ac:dyDescent="0.25">
      <c r="A1786" s="5" t="str">
        <f t="shared" ref="A1786:A1832" si="113">TEXT(209,"000")</f>
        <v>209</v>
      </c>
      <c r="B1786" s="5" t="str">
        <f>TEXT(0,"00")</f>
        <v>00</v>
      </c>
      <c r="C1786" s="1"/>
      <c r="D1786" s="2" t="s">
        <v>1770</v>
      </c>
    </row>
    <row r="1787" spans="1:7" x14ac:dyDescent="0.25">
      <c r="A1787" s="1" t="str">
        <f t="shared" si="113"/>
        <v>209</v>
      </c>
      <c r="B1787" s="1" t="str">
        <f>TEXT(11,"00")</f>
        <v>11</v>
      </c>
      <c r="C1787" s="1" t="str">
        <f t="shared" si="111"/>
        <v>209-11</v>
      </c>
      <c r="D1787" t="s">
        <v>1771</v>
      </c>
      <c r="E1787" t="b">
        <f>IF(COUNTIF(D1787,"*"&amp;'Keyword Search'!$C$5&amp;"*"),TRUE,FALSE)</f>
        <v>1</v>
      </c>
      <c r="G1787" t="str">
        <f t="shared" si="112"/>
        <v>209-11: *Accounting/Financial: Bookkeeping, Billing and Invoicing, Budgeting, Payroll, Taxes, etc., Mainframes and Servers</v>
      </c>
    </row>
    <row r="1788" spans="1:7" x14ac:dyDescent="0.25">
      <c r="A1788" s="1" t="str">
        <f t="shared" si="113"/>
        <v>209</v>
      </c>
      <c r="B1788" s="1" t="str">
        <f>TEXT(12,"00")</f>
        <v>12</v>
      </c>
      <c r="C1788" s="1" t="str">
        <f t="shared" si="111"/>
        <v>209-12</v>
      </c>
      <c r="D1788" t="s">
        <v>1772</v>
      </c>
      <c r="E1788" t="b">
        <f>IF(COUNTIF(D1788,"*"&amp;'Keyword Search'!$C$5&amp;"*"),TRUE,FALSE)</f>
        <v>1</v>
      </c>
      <c r="G1788" t="str">
        <f t="shared" si="112"/>
        <v>209-12: *Application Software, Mainframe Computer, Including Cobol</v>
      </c>
    </row>
    <row r="1789" spans="1:7" x14ac:dyDescent="0.25">
      <c r="A1789" s="1" t="str">
        <f t="shared" si="113"/>
        <v>209</v>
      </c>
      <c r="B1789" s="1" t="str">
        <f>TEXT(13,"00")</f>
        <v>13</v>
      </c>
      <c r="C1789" s="1" t="str">
        <f t="shared" si="111"/>
        <v>209-13</v>
      </c>
      <c r="D1789" t="s">
        <v>1773</v>
      </c>
      <c r="E1789" t="b">
        <f>IF(COUNTIF(D1789,"*"&amp;'Keyword Search'!$C$5&amp;"*"),TRUE,FALSE)</f>
        <v>1</v>
      </c>
      <c r="G1789" t="str">
        <f t="shared" si="112"/>
        <v>209-13: *Application Software, Servers</v>
      </c>
    </row>
    <row r="1790" spans="1:7" x14ac:dyDescent="0.25">
      <c r="A1790" s="1" t="str">
        <f t="shared" si="113"/>
        <v>209</v>
      </c>
      <c r="B1790" s="1" t="str">
        <f>TEXT(14,"00")</f>
        <v>14</v>
      </c>
      <c r="C1790" s="1" t="str">
        <f t="shared" si="111"/>
        <v>209-14</v>
      </c>
      <c r="D1790" t="s">
        <v>1774</v>
      </c>
      <c r="E1790" t="b">
        <f>IF(COUNTIF(D1790,"*"&amp;'Keyword Search'!$C$5&amp;"*"),TRUE,FALSE)</f>
        <v>1</v>
      </c>
      <c r="G1790" t="str">
        <f t="shared" si="112"/>
        <v>209-14: *Architectural Software, Mainframes and Servers</v>
      </c>
    </row>
    <row r="1791" spans="1:7" x14ac:dyDescent="0.25">
      <c r="A1791" s="1" t="str">
        <f t="shared" si="113"/>
        <v>209</v>
      </c>
      <c r="B1791" s="1" t="str">
        <f>TEXT(22,"00")</f>
        <v>22</v>
      </c>
      <c r="C1791" s="1" t="str">
        <f t="shared" si="111"/>
        <v>209-22</v>
      </c>
      <c r="D1791" t="s">
        <v>1775</v>
      </c>
      <c r="E1791" t="b">
        <f>IF(COUNTIF(D1791,"*"&amp;'Keyword Search'!$C$5&amp;"*"),TRUE,FALSE)</f>
        <v>1</v>
      </c>
      <c r="G1791" t="str">
        <f t="shared" si="112"/>
        <v>209-22: *Bar Code Software, Mainframes and Servers</v>
      </c>
    </row>
    <row r="1792" spans="1:7" x14ac:dyDescent="0.25">
      <c r="A1792" s="1" t="str">
        <f t="shared" si="113"/>
        <v>209</v>
      </c>
      <c r="B1792" s="1" t="str">
        <f>TEXT(24,"00")</f>
        <v>24</v>
      </c>
      <c r="C1792" s="1" t="str">
        <f t="shared" si="111"/>
        <v>209-24</v>
      </c>
      <c r="D1792" t="s">
        <v>1776</v>
      </c>
      <c r="E1792" t="b">
        <f>IF(COUNTIF(D1792,"*"&amp;'Keyword Search'!$C$5&amp;"*"),TRUE,FALSE)</f>
        <v>1</v>
      </c>
      <c r="G1792" t="str">
        <f t="shared" si="112"/>
        <v>209-24: *Biometric Authentication System Software, Mainframes and Servers</v>
      </c>
    </row>
    <row r="1793" spans="1:7" x14ac:dyDescent="0.25">
      <c r="A1793" s="1" t="str">
        <f t="shared" si="113"/>
        <v>209</v>
      </c>
      <c r="B1793" s="1" t="str">
        <f>TEXT(28,"00")</f>
        <v>28</v>
      </c>
      <c r="C1793" s="1" t="str">
        <f t="shared" si="111"/>
        <v>209-28</v>
      </c>
      <c r="D1793" t="s">
        <v>1777</v>
      </c>
      <c r="E1793" t="b">
        <f>IF(COUNTIF(D1793,"*"&amp;'Keyword Search'!$C$5&amp;"*"),TRUE,FALSE)</f>
        <v>1</v>
      </c>
      <c r="G1793" t="str">
        <f t="shared" si="112"/>
        <v>209-28: *Communications: Networking, Linking, etc., Mainframes and Servers</v>
      </c>
    </row>
    <row r="1794" spans="1:7" x14ac:dyDescent="0.25">
      <c r="A1794" s="1" t="str">
        <f t="shared" si="113"/>
        <v>209</v>
      </c>
      <c r="B1794" s="1" t="str">
        <f>TEXT(31,"00")</f>
        <v>31</v>
      </c>
      <c r="C1794" s="1" t="str">
        <f t="shared" si="111"/>
        <v>209-31</v>
      </c>
      <c r="D1794" t="s">
        <v>1778</v>
      </c>
      <c r="E1794" t="b">
        <f>IF(COUNTIF(D1794,"*"&amp;'Keyword Search'!$C$5&amp;"*"),TRUE,FALSE)</f>
        <v>1</v>
      </c>
      <c r="G1794" t="str">
        <f t="shared" si="112"/>
        <v>209-31: *Computer Aided Design (CAD) Software, Mainframes and Servers</v>
      </c>
    </row>
    <row r="1795" spans="1:7" x14ac:dyDescent="0.25">
      <c r="A1795" s="1" t="str">
        <f t="shared" si="113"/>
        <v>209</v>
      </c>
      <c r="B1795" s="1" t="str">
        <f>TEXT(37,"00")</f>
        <v>37</v>
      </c>
      <c r="C1795" s="1" t="str">
        <f t="shared" ref="C1795:C1858" si="114">CONCATENATE(A1795,"-",B1795)</f>
        <v>209-37</v>
      </c>
      <c r="D1795" t="s">
        <v>1779</v>
      </c>
      <c r="E1795" t="b">
        <f>IF(COUNTIF(D1795,"*"&amp;'Keyword Search'!$C$5&amp;"*"),TRUE,FALSE)</f>
        <v>1</v>
      </c>
      <c r="G1795" t="str">
        <f t="shared" si="112"/>
        <v>209-37: *Data Processing Software, Mainframes and Servers</v>
      </c>
    </row>
    <row r="1796" spans="1:7" x14ac:dyDescent="0.25">
      <c r="A1796" s="1" t="str">
        <f t="shared" si="113"/>
        <v>209</v>
      </c>
      <c r="B1796" s="1" t="str">
        <f>TEXT(38,"00")</f>
        <v>38</v>
      </c>
      <c r="C1796" s="1" t="str">
        <f t="shared" si="114"/>
        <v>209-38</v>
      </c>
      <c r="D1796" t="s">
        <v>1780</v>
      </c>
      <c r="E1796" t="b">
        <f>IF(COUNTIF(D1796,"*"&amp;'Keyword Search'!$C$5&amp;"*"),TRUE,FALSE)</f>
        <v>1</v>
      </c>
      <c r="G1796" t="str">
        <f t="shared" ref="G1796:G1859" si="115">CONCATENATE(C1796,": ",D1796)</f>
        <v>209-38: *Database Software, Mainframes and Servers</v>
      </c>
    </row>
    <row r="1797" spans="1:7" x14ac:dyDescent="0.25">
      <c r="A1797" s="1" t="str">
        <f t="shared" si="113"/>
        <v>209</v>
      </c>
      <c r="B1797" s="1" t="str">
        <f>TEXT(40,"00")</f>
        <v>40</v>
      </c>
      <c r="C1797" s="1" t="str">
        <f t="shared" si="114"/>
        <v>209-40</v>
      </c>
      <c r="D1797" t="s">
        <v>1781</v>
      </c>
      <c r="E1797" t="b">
        <f>IF(COUNTIF(D1797,"*"&amp;'Keyword Search'!$C$5&amp;"*"),TRUE,FALSE)</f>
        <v>1</v>
      </c>
      <c r="G1797" t="str">
        <f t="shared" si="115"/>
        <v>209-40: *Desktop Publishing, Mainframes and Servers</v>
      </c>
    </row>
    <row r="1798" spans="1:7" x14ac:dyDescent="0.25">
      <c r="A1798" s="1" t="str">
        <f t="shared" si="113"/>
        <v>209</v>
      </c>
      <c r="B1798" s="1" t="str">
        <f>TEXT(41,"00")</f>
        <v>41</v>
      </c>
      <c r="C1798" s="1" t="str">
        <f t="shared" si="114"/>
        <v>209-41</v>
      </c>
      <c r="D1798" t="s">
        <v>1782</v>
      </c>
      <c r="E1798" t="b">
        <f>IF(COUNTIF(D1798,"*"&amp;'Keyword Search'!$C$5&amp;"*"),TRUE,FALSE)</f>
        <v>1</v>
      </c>
      <c r="G1798" t="str">
        <f t="shared" si="115"/>
        <v>209-41: *Driver and Hardware Support Programs, Mainframes and Servers</v>
      </c>
    </row>
    <row r="1799" spans="1:7" x14ac:dyDescent="0.25">
      <c r="A1799" s="1" t="str">
        <f t="shared" si="113"/>
        <v>209</v>
      </c>
      <c r="B1799" s="1" t="str">
        <f>TEXT(42,"00")</f>
        <v>42</v>
      </c>
      <c r="C1799" s="1" t="str">
        <f t="shared" si="114"/>
        <v>209-42</v>
      </c>
      <c r="D1799" t="s">
        <v>1783</v>
      </c>
      <c r="E1799" t="b">
        <f>IF(COUNTIF(D1799,"*"&amp;'Keyword Search'!$C$5&amp;"*"),TRUE,FALSE)</f>
        <v>1</v>
      </c>
      <c r="G1799" t="str">
        <f t="shared" si="115"/>
        <v>209-42: *E-Commerce Software, Mainframes and Servers</v>
      </c>
    </row>
    <row r="1800" spans="1:7" x14ac:dyDescent="0.25">
      <c r="A1800" s="1" t="str">
        <f t="shared" si="113"/>
        <v>209</v>
      </c>
      <c r="B1800" s="1" t="str">
        <f>TEXT(43,"00")</f>
        <v>43</v>
      </c>
      <c r="C1800" s="1" t="str">
        <f t="shared" si="114"/>
        <v>209-43</v>
      </c>
      <c r="D1800" t="s">
        <v>1784</v>
      </c>
      <c r="E1800" t="b">
        <f>IF(COUNTIF(D1800,"*"&amp;'Keyword Search'!$C$5&amp;"*"),TRUE,FALSE)</f>
        <v>1</v>
      </c>
      <c r="G1800" t="str">
        <f t="shared" si="115"/>
        <v>209-43: *EDI (Electronic Data Interchange) Translator Software, Mainframes and Servers</v>
      </c>
    </row>
    <row r="1801" spans="1:7" x14ac:dyDescent="0.25">
      <c r="A1801" s="1" t="str">
        <f t="shared" si="113"/>
        <v>209</v>
      </c>
      <c r="B1801" s="1" t="str">
        <f>TEXT(44,"00")</f>
        <v>44</v>
      </c>
      <c r="C1801" s="1" t="str">
        <f t="shared" si="114"/>
        <v>209-44</v>
      </c>
      <c r="D1801" t="s">
        <v>1785</v>
      </c>
      <c r="E1801" t="b">
        <f>IF(COUNTIF(D1801,"*"&amp;'Keyword Search'!$C$5&amp;"*"),TRUE,FALSE)</f>
        <v>1</v>
      </c>
      <c r="G1801" t="str">
        <f t="shared" si="115"/>
        <v>209-44: *Educational: eLearning, Foreign Languages, Math, Science, Social Studies, etc. Mainframes and Servers ,</v>
      </c>
    </row>
    <row r="1802" spans="1:7" x14ac:dyDescent="0.25">
      <c r="A1802" s="1" t="str">
        <f t="shared" si="113"/>
        <v>209</v>
      </c>
      <c r="B1802" s="1" t="str">
        <f>TEXT(45,"00")</f>
        <v>45</v>
      </c>
      <c r="C1802" s="1" t="str">
        <f t="shared" si="114"/>
        <v>209-45</v>
      </c>
      <c r="D1802" t="s">
        <v>1786</v>
      </c>
      <c r="E1802" t="b">
        <f>IF(COUNTIF(D1802,"*"&amp;'Keyword Search'!$C$5&amp;"*"),TRUE,FALSE)</f>
        <v>1</v>
      </c>
      <c r="G1802" t="str">
        <f t="shared" si="115"/>
        <v>209-45: *Email Software, Mainframes and Servers</v>
      </c>
    </row>
    <row r="1803" spans="1:7" x14ac:dyDescent="0.25">
      <c r="A1803" s="1" t="str">
        <f t="shared" si="113"/>
        <v>209</v>
      </c>
      <c r="B1803" s="1" t="str">
        <f>TEXT(46,"00")</f>
        <v>46</v>
      </c>
      <c r="C1803" s="1" t="str">
        <f t="shared" si="114"/>
        <v>209-46</v>
      </c>
      <c r="D1803" t="s">
        <v>1787</v>
      </c>
      <c r="E1803" t="b">
        <f>IF(COUNTIF(D1803,"*"&amp;'Keyword Search'!$C$5&amp;"*"),TRUE,FALSE)</f>
        <v>1</v>
      </c>
      <c r="G1803" t="str">
        <f t="shared" si="115"/>
        <v>209-46: *Expert System Software, Mainframes and Servers</v>
      </c>
    </row>
    <row r="1804" spans="1:7" x14ac:dyDescent="0.25">
      <c r="A1804" s="1" t="str">
        <f t="shared" si="113"/>
        <v>209</v>
      </c>
      <c r="B1804" s="1" t="str">
        <f>TEXT(47,"00")</f>
        <v>47</v>
      </c>
      <c r="C1804" s="1" t="str">
        <f t="shared" si="114"/>
        <v>209-47</v>
      </c>
      <c r="D1804" t="s">
        <v>1788</v>
      </c>
      <c r="E1804" t="b">
        <f>IF(COUNTIF(D1804,"*"&amp;'Keyword Search'!$C$5&amp;"*"),TRUE,FALSE)</f>
        <v>1</v>
      </c>
      <c r="G1804" t="str">
        <f t="shared" si="115"/>
        <v>209-47: *Engineering Software, Mainframes and Servers</v>
      </c>
    </row>
    <row r="1805" spans="1:7" x14ac:dyDescent="0.25">
      <c r="A1805" s="1" t="str">
        <f t="shared" si="113"/>
        <v>209</v>
      </c>
      <c r="B1805" s="1" t="str">
        <f>TEXT(48,"00")</f>
        <v>48</v>
      </c>
      <c r="C1805" s="1" t="str">
        <f t="shared" si="114"/>
        <v>209-48</v>
      </c>
      <c r="D1805" t="s">
        <v>1789</v>
      </c>
      <c r="E1805" t="b">
        <f>IF(COUNTIF(D1805,"*"&amp;'Keyword Search'!$C$5&amp;"*"),TRUE,FALSE)</f>
        <v>1</v>
      </c>
      <c r="G1805" t="str">
        <f t="shared" si="115"/>
        <v>209-48: *Games: Adventure, Board, Puzzles, Strategy, etc. (See 037-84; 208-47; 785-53; and 805-51 for other type games), Mainframes and Servers</v>
      </c>
    </row>
    <row r="1806" spans="1:7" x14ac:dyDescent="0.25">
      <c r="A1806" s="1" t="str">
        <f t="shared" si="113"/>
        <v>209</v>
      </c>
      <c r="B1806" s="1" t="str">
        <f>TEXT(49,"00")</f>
        <v>49</v>
      </c>
      <c r="C1806" s="1" t="str">
        <f t="shared" si="114"/>
        <v>209-49</v>
      </c>
      <c r="D1806" t="s">
        <v>1790</v>
      </c>
      <c r="E1806" t="b">
        <f>IF(COUNTIF(D1806,"*"&amp;'Keyword Search'!$C$5&amp;"*"),TRUE,FALSE)</f>
        <v>1</v>
      </c>
      <c r="G1806" t="str">
        <f t="shared" si="115"/>
        <v>209-49: *Geographic Information System (GIS) Software, Mainframes and Servers</v>
      </c>
    </row>
    <row r="1807" spans="1:7" x14ac:dyDescent="0.25">
      <c r="A1807" s="1" t="str">
        <f t="shared" si="113"/>
        <v>209</v>
      </c>
      <c r="B1807" s="1" t="str">
        <f>TEXT(51,"00")</f>
        <v>51</v>
      </c>
      <c r="C1807" s="1" t="str">
        <f t="shared" si="114"/>
        <v>209-51</v>
      </c>
      <c r="D1807" t="s">
        <v>1791</v>
      </c>
      <c r="E1807" t="b">
        <f>IF(COUNTIF(D1807,"*"&amp;'Keyword Search'!$C$5&amp;"*"),TRUE,FALSE)</f>
        <v>1</v>
      </c>
      <c r="G1807" t="str">
        <f t="shared" si="115"/>
        <v>209-51: *Graphics: Clip Art, Demos, Presentation, Slide Shows, etc., Mainframes and Servers</v>
      </c>
    </row>
    <row r="1808" spans="1:7" x14ac:dyDescent="0.25">
      <c r="A1808" s="1" t="str">
        <f t="shared" si="113"/>
        <v>209</v>
      </c>
      <c r="B1808" s="1" t="str">
        <f>TEXT(52,"00")</f>
        <v>52</v>
      </c>
      <c r="C1808" s="1" t="str">
        <f t="shared" si="114"/>
        <v>209-52</v>
      </c>
      <c r="D1808" t="s">
        <v>1792</v>
      </c>
      <c r="E1808" t="b">
        <f>IF(COUNTIF(D1808,"*"&amp;'Keyword Search'!$C$5&amp;"*"),TRUE,FALSE)</f>
        <v>1</v>
      </c>
      <c r="G1808" t="str">
        <f t="shared" si="115"/>
        <v>209-52: *Human Resources Software, Mainframes and Servers</v>
      </c>
    </row>
    <row r="1809" spans="1:7" x14ac:dyDescent="0.25">
      <c r="A1809" s="1" t="str">
        <f t="shared" si="113"/>
        <v>209</v>
      </c>
      <c r="B1809" s="1" t="str">
        <f>TEXT(54,"00")</f>
        <v>54</v>
      </c>
      <c r="C1809" s="1" t="str">
        <f t="shared" si="114"/>
        <v>209-54</v>
      </c>
      <c r="D1809" t="s">
        <v>1793</v>
      </c>
      <c r="E1809" t="b">
        <f>IF(COUNTIF(D1809,"*"&amp;'Keyword Search'!$C$5&amp;"*"),TRUE,FALSE)</f>
        <v>1</v>
      </c>
      <c r="G1809" t="str">
        <f t="shared" si="115"/>
        <v>209-54: *Internet, Web Site and Mobile Application Software, Mainframes and Servers</v>
      </c>
    </row>
    <row r="1810" spans="1:7" x14ac:dyDescent="0.25">
      <c r="A1810" s="1" t="str">
        <f t="shared" si="113"/>
        <v>209</v>
      </c>
      <c r="B1810" s="1" t="str">
        <f>TEXT(56,"00")</f>
        <v>56</v>
      </c>
      <c r="C1810" s="1" t="str">
        <f t="shared" si="114"/>
        <v>209-56</v>
      </c>
      <c r="D1810" t="s">
        <v>1794</v>
      </c>
      <c r="E1810" t="b">
        <f>IF(COUNTIF(D1810,"*"&amp;'Keyword Search'!$C$5&amp;"*"),TRUE,FALSE)</f>
        <v>1</v>
      </c>
      <c r="G1810" t="str">
        <f t="shared" si="115"/>
        <v>209-56: *Inventory Management Software, Mainframes and Servers</v>
      </c>
    </row>
    <row r="1811" spans="1:7" x14ac:dyDescent="0.25">
      <c r="A1811" s="1" t="str">
        <f t="shared" si="113"/>
        <v>209</v>
      </c>
      <c r="B1811" s="1" t="str">
        <f>TEXT(58,"00")</f>
        <v>58</v>
      </c>
      <c r="C1811" s="1" t="str">
        <f t="shared" si="114"/>
        <v>209-58</v>
      </c>
      <c r="D1811" t="s">
        <v>1795</v>
      </c>
      <c r="E1811" t="b">
        <f>IF(COUNTIF(D1811,"*"&amp;'Keyword Search'!$C$5&amp;"*"),TRUE,FALSE)</f>
        <v>1</v>
      </c>
      <c r="G1811" t="str">
        <f t="shared" si="115"/>
        <v>209-58: *Language Translation Software, Mainframes and Servers</v>
      </c>
    </row>
    <row r="1812" spans="1:7" x14ac:dyDescent="0.25">
      <c r="A1812" s="1" t="str">
        <f t="shared" si="113"/>
        <v>209</v>
      </c>
      <c r="B1812" s="1" t="str">
        <f>TEXT(59,"00")</f>
        <v>59</v>
      </c>
      <c r="C1812" s="1" t="str">
        <f t="shared" si="114"/>
        <v>209-59</v>
      </c>
      <c r="D1812" t="s">
        <v>1796</v>
      </c>
      <c r="E1812" t="b">
        <f>IF(COUNTIF(D1812,"*"&amp;'Keyword Search'!$C$5&amp;"*"),TRUE,FALSE)</f>
        <v>1</v>
      </c>
      <c r="G1812" t="str">
        <f t="shared" si="115"/>
        <v>209-59: *Logistics and Supply Chain Software, Mainframes and Servers</v>
      </c>
    </row>
    <row r="1813" spans="1:7" x14ac:dyDescent="0.25">
      <c r="A1813" s="1" t="str">
        <f t="shared" si="113"/>
        <v>209</v>
      </c>
      <c r="B1813" s="1" t="str">
        <f>TEXT(60,"00")</f>
        <v>60</v>
      </c>
      <c r="C1813" s="1" t="str">
        <f t="shared" si="114"/>
        <v>209-60</v>
      </c>
      <c r="D1813" t="s">
        <v>1797</v>
      </c>
      <c r="E1813" t="b">
        <f>IF(COUNTIF(D1813,"*"&amp;'Keyword Search'!$C$5&amp;"*"),TRUE,FALSE)</f>
        <v>1</v>
      </c>
      <c r="G1813" t="str">
        <f t="shared" si="115"/>
        <v>209-60: *Music or Sound Editing Software, Mainframes and Servers</v>
      </c>
    </row>
    <row r="1814" spans="1:7" x14ac:dyDescent="0.25">
      <c r="A1814" s="1" t="str">
        <f t="shared" si="113"/>
        <v>209</v>
      </c>
      <c r="B1814" s="1" t="str">
        <f>TEXT(62,"00")</f>
        <v>62</v>
      </c>
      <c r="C1814" s="1" t="str">
        <f t="shared" si="114"/>
        <v>209-62</v>
      </c>
      <c r="D1814" t="s">
        <v>1798</v>
      </c>
      <c r="E1814" t="b">
        <f>IF(COUNTIF(D1814,"*"&amp;'Keyword Search'!$C$5&amp;"*"),TRUE,FALSE)</f>
        <v>1</v>
      </c>
      <c r="G1814" t="str">
        <f t="shared" si="115"/>
        <v>209-62: *OCR and Scanner Software, Mainframes and Servers</v>
      </c>
    </row>
    <row r="1815" spans="1:7" x14ac:dyDescent="0.25">
      <c r="A1815" s="1" t="str">
        <f t="shared" si="113"/>
        <v>209</v>
      </c>
      <c r="B1815" s="1" t="str">
        <f>TEXT(64,"00")</f>
        <v>64</v>
      </c>
      <c r="C1815" s="1" t="str">
        <f t="shared" si="114"/>
        <v>209-64</v>
      </c>
      <c r="D1815" t="s">
        <v>1799</v>
      </c>
      <c r="E1815" t="b">
        <f>IF(COUNTIF(D1815,"*"&amp;'Keyword Search'!$C$5&amp;"*"),TRUE,FALSE)</f>
        <v>1</v>
      </c>
      <c r="G1815" t="str">
        <f t="shared" si="115"/>
        <v>209-64: *Personnel Software, Mainframes and Servers</v>
      </c>
    </row>
    <row r="1816" spans="1:7" x14ac:dyDescent="0.25">
      <c r="A1816" s="1" t="str">
        <f t="shared" si="113"/>
        <v>209</v>
      </c>
      <c r="B1816" s="1" t="str">
        <f>TEXT(66,"00")</f>
        <v>66</v>
      </c>
      <c r="C1816" s="1" t="str">
        <f t="shared" si="114"/>
        <v>209-66</v>
      </c>
      <c r="D1816" t="s">
        <v>1800</v>
      </c>
      <c r="E1816" t="b">
        <f>IF(COUNTIF(D1816,"*"&amp;'Keyword Search'!$C$5&amp;"*"),TRUE,FALSE)</f>
        <v>1</v>
      </c>
      <c r="G1816" t="str">
        <f t="shared" si="115"/>
        <v>209-66: *Point of Sale (POS) Software, Mainframes and Servers</v>
      </c>
    </row>
    <row r="1817" spans="1:7" x14ac:dyDescent="0.25">
      <c r="A1817" s="1" t="str">
        <f t="shared" si="113"/>
        <v>209</v>
      </c>
      <c r="B1817" s="1" t="str">
        <f>TEXT(67,"00")</f>
        <v>67</v>
      </c>
      <c r="C1817" s="1" t="str">
        <f t="shared" si="114"/>
        <v>209-67</v>
      </c>
      <c r="D1817" t="s">
        <v>1801</v>
      </c>
      <c r="E1817" t="b">
        <f>IF(COUNTIF(D1817,"*"&amp;'Keyword Search'!$C$5&amp;"*"),TRUE,FALSE)</f>
        <v>1</v>
      </c>
      <c r="G1817" t="str">
        <f t="shared" si="115"/>
        <v>209-67: *Professional: eLearning, Hospital and Pharmacy, Legal, Computer Training, etc., Mainframes and Servers</v>
      </c>
    </row>
    <row r="1818" spans="1:7" x14ac:dyDescent="0.25">
      <c r="A1818" s="1" t="str">
        <f t="shared" si="113"/>
        <v>209</v>
      </c>
      <c r="B1818" s="1" t="str">
        <f>TEXT(68,"00")</f>
        <v>68</v>
      </c>
      <c r="C1818" s="1" t="str">
        <f t="shared" si="114"/>
        <v>209-68</v>
      </c>
      <c r="D1818" t="s">
        <v>1802</v>
      </c>
      <c r="E1818" t="b">
        <f>IF(COUNTIF(D1818,"*"&amp;'Keyword Search'!$C$5&amp;"*"),TRUE,FALSE)</f>
        <v>1</v>
      </c>
      <c r="G1818" t="str">
        <f t="shared" si="115"/>
        <v>209-68: *Programming: Basic, Assembler, etc., Software, Mainframes and Servers</v>
      </c>
    </row>
    <row r="1819" spans="1:7" x14ac:dyDescent="0.25">
      <c r="A1819" s="1" t="str">
        <f t="shared" si="113"/>
        <v>209</v>
      </c>
      <c r="B1819" s="1" t="str">
        <f>TEXT(69,"00")</f>
        <v>69</v>
      </c>
      <c r="C1819" s="1" t="str">
        <f t="shared" si="114"/>
        <v>209-69</v>
      </c>
      <c r="D1819" t="s">
        <v>1803</v>
      </c>
      <c r="E1819" t="b">
        <f>IF(COUNTIF(D1819,"*"&amp;'Keyword Search'!$C$5&amp;"*"),TRUE,FALSE)</f>
        <v>1</v>
      </c>
      <c r="G1819" t="str">
        <f t="shared" si="115"/>
        <v>209-69: *Project Management Software, Mainframes and Servers</v>
      </c>
    </row>
    <row r="1820" spans="1:7" x14ac:dyDescent="0.25">
      <c r="A1820" s="1" t="str">
        <f t="shared" si="113"/>
        <v>209</v>
      </c>
      <c r="B1820" s="1" t="str">
        <f>TEXT(70,"00")</f>
        <v>70</v>
      </c>
      <c r="C1820" s="1" t="str">
        <f t="shared" si="114"/>
        <v>209-70</v>
      </c>
      <c r="D1820" t="s">
        <v>1804</v>
      </c>
      <c r="E1820" t="b">
        <f>IF(COUNTIF(D1820,"*"&amp;'Keyword Search'!$C$5&amp;"*"),TRUE,FALSE)</f>
        <v>1</v>
      </c>
      <c r="G1820" t="str">
        <f t="shared" si="115"/>
        <v>209-70: *Printing Software, Mainframes and Servers</v>
      </c>
    </row>
    <row r="1821" spans="1:7" x14ac:dyDescent="0.25">
      <c r="A1821" s="1" t="str">
        <f t="shared" si="113"/>
        <v>209</v>
      </c>
      <c r="B1821" s="1" t="str">
        <f>TEXT(72,"00")</f>
        <v>72</v>
      </c>
      <c r="C1821" s="1" t="str">
        <f t="shared" si="114"/>
        <v>209-72</v>
      </c>
      <c r="D1821" t="s">
        <v>1805</v>
      </c>
      <c r="E1821" t="b">
        <f>IF(COUNTIF(D1821,"*"&amp;'Keyword Search'!$C$5&amp;"*"),TRUE,FALSE)</f>
        <v>1</v>
      </c>
      <c r="G1821" t="str">
        <f t="shared" si="115"/>
        <v>209-72: *Procurement Software, Mainframes and Servers</v>
      </c>
    </row>
    <row r="1822" spans="1:7" x14ac:dyDescent="0.25">
      <c r="A1822" s="1" t="str">
        <f t="shared" si="113"/>
        <v>209</v>
      </c>
      <c r="B1822" s="1" t="str">
        <f>TEXT(73,"00")</f>
        <v>73</v>
      </c>
      <c r="C1822" s="1" t="str">
        <f t="shared" si="114"/>
        <v>209-73</v>
      </c>
      <c r="D1822" t="s">
        <v>1806</v>
      </c>
      <c r="E1822" t="b">
        <f>IF(COUNTIF(D1822,"*"&amp;'Keyword Search'!$C$5&amp;"*"),TRUE,FALSE)</f>
        <v>1</v>
      </c>
      <c r="G1822" t="str">
        <f t="shared" si="115"/>
        <v>209-73: *Procurement and Accounting Taxonomy Software, Mainframes and Servers</v>
      </c>
    </row>
    <row r="1823" spans="1:7" x14ac:dyDescent="0.25">
      <c r="A1823" s="1" t="str">
        <f t="shared" si="113"/>
        <v>209</v>
      </c>
      <c r="B1823" s="1" t="str">
        <f>TEXT(77,"00")</f>
        <v>77</v>
      </c>
      <c r="C1823" s="1" t="str">
        <f t="shared" si="114"/>
        <v>209-77</v>
      </c>
      <c r="D1823" t="s">
        <v>1807</v>
      </c>
      <c r="E1823" t="b">
        <f>IF(COUNTIF(D1823,"*"&amp;'Keyword Search'!$C$5&amp;"*"),TRUE,FALSE)</f>
        <v>1</v>
      </c>
      <c r="G1823" t="str">
        <f t="shared" si="115"/>
        <v>209-77: *Real Estate and Property Management Software, Mainframes and Servers</v>
      </c>
    </row>
    <row r="1824" spans="1:7" x14ac:dyDescent="0.25">
      <c r="A1824" s="1" t="str">
        <f t="shared" si="113"/>
        <v>209</v>
      </c>
      <c r="B1824" s="1" t="str">
        <f>TEXT(78,"00")</f>
        <v>78</v>
      </c>
      <c r="C1824" s="1" t="str">
        <f t="shared" si="114"/>
        <v>209-78</v>
      </c>
      <c r="D1824" t="s">
        <v>1808</v>
      </c>
      <c r="E1824" t="b">
        <f>IF(COUNTIF(D1824,"*"&amp;'Keyword Search'!$C$5&amp;"*"),TRUE,FALSE)</f>
        <v>1</v>
      </c>
      <c r="G1824" t="str">
        <f t="shared" si="115"/>
        <v>209-78: *Recycled Software, Mainframes and Servers</v>
      </c>
    </row>
    <row r="1825" spans="1:7" x14ac:dyDescent="0.25">
      <c r="A1825" s="1" t="str">
        <f t="shared" si="113"/>
        <v>209</v>
      </c>
      <c r="B1825" s="1" t="str">
        <f>TEXT(82,"00")</f>
        <v>82</v>
      </c>
      <c r="C1825" s="1" t="str">
        <f t="shared" si="114"/>
        <v>209-82</v>
      </c>
      <c r="D1825" t="s">
        <v>1809</v>
      </c>
      <c r="E1825" t="b">
        <f>IF(COUNTIF(D1825,"*"&amp;'Keyword Search'!$C$5&amp;"*"),TRUE,FALSE)</f>
        <v>1</v>
      </c>
      <c r="G1825" t="str">
        <f t="shared" si="115"/>
        <v>209-82: *Scientific, Statistical, Engineering, Mathematical, and Mapping Software, Including Photogrammetry, Mainframes and Servers</v>
      </c>
    </row>
    <row r="1826" spans="1:7" x14ac:dyDescent="0.25">
      <c r="A1826" s="1" t="str">
        <f t="shared" si="113"/>
        <v>209</v>
      </c>
      <c r="B1826" s="1" t="str">
        <f>TEXT(84,"00")</f>
        <v>84</v>
      </c>
      <c r="C1826" s="1" t="str">
        <f t="shared" si="114"/>
        <v>209-84</v>
      </c>
      <c r="D1826" t="s">
        <v>1810</v>
      </c>
      <c r="E1826" t="b">
        <f>IF(COUNTIF(D1826,"*"&amp;'Keyword Search'!$C$5&amp;"*"),TRUE,FALSE)</f>
        <v>1</v>
      </c>
      <c r="G1826" t="str">
        <f t="shared" si="115"/>
        <v>209-84: *Shipping, Postal Management and Address Verification Software, Mainframes and Servers</v>
      </c>
    </row>
    <row r="1827" spans="1:7" x14ac:dyDescent="0.25">
      <c r="A1827" s="1" t="str">
        <f t="shared" si="113"/>
        <v>209</v>
      </c>
      <c r="B1827" s="1" t="str">
        <f>TEXT(85,"00")</f>
        <v>85</v>
      </c>
      <c r="C1827" s="1" t="str">
        <f t="shared" si="114"/>
        <v>209-85</v>
      </c>
      <c r="D1827" t="s">
        <v>1811</v>
      </c>
      <c r="E1827" t="b">
        <f>IF(COUNTIF(D1827,"*"&amp;'Keyword Search'!$C$5&amp;"*"),TRUE,FALSE)</f>
        <v>1</v>
      </c>
      <c r="G1827" t="str">
        <f t="shared" si="115"/>
        <v>209-85: *Spreadsheet Software, Mainframes and Servers</v>
      </c>
    </row>
    <row r="1828" spans="1:7" x14ac:dyDescent="0.25">
      <c r="A1828" s="1" t="str">
        <f t="shared" si="113"/>
        <v>209</v>
      </c>
      <c r="B1828" s="1" t="str">
        <f>TEXT(86,"00")</f>
        <v>86</v>
      </c>
      <c r="C1828" s="1" t="str">
        <f t="shared" si="114"/>
        <v>209-86</v>
      </c>
      <c r="D1828" t="s">
        <v>1812</v>
      </c>
      <c r="E1828" t="b">
        <f>IF(COUNTIF(D1828,"*"&amp;'Keyword Search'!$C$5&amp;"*"),TRUE,FALSE)</f>
        <v>1</v>
      </c>
      <c r="G1828" t="str">
        <f t="shared" si="115"/>
        <v>209-86: *Surveying and Geographical Information Systems (GIS) Software, Mainframes and Servers</v>
      </c>
    </row>
    <row r="1829" spans="1:7" x14ac:dyDescent="0.25">
      <c r="A1829" s="1" t="str">
        <f t="shared" si="113"/>
        <v>209</v>
      </c>
      <c r="B1829" s="1" t="str">
        <f>TEXT(87,"00")</f>
        <v>87</v>
      </c>
      <c r="C1829" s="1" t="str">
        <f t="shared" si="114"/>
        <v>209-87</v>
      </c>
      <c r="D1829" t="s">
        <v>1813</v>
      </c>
      <c r="E1829" t="b">
        <f>IF(COUNTIF(D1829,"*"&amp;'Keyword Search'!$C$5&amp;"*"),TRUE,FALSE)</f>
        <v>1</v>
      </c>
      <c r="G1829" t="str">
        <f t="shared" si="115"/>
        <v>209-87: *Software, Mainframes and Servers (Not Otherwise Classified)</v>
      </c>
    </row>
    <row r="1830" spans="1:7" x14ac:dyDescent="0.25">
      <c r="A1830" s="1" t="str">
        <f t="shared" si="113"/>
        <v>209</v>
      </c>
      <c r="B1830" s="1" t="str">
        <f>TEXT(88,"00")</f>
        <v>88</v>
      </c>
      <c r="C1830" s="1" t="str">
        <f t="shared" si="114"/>
        <v>209-88</v>
      </c>
      <c r="D1830" t="s">
        <v>1814</v>
      </c>
      <c r="E1830" t="b">
        <f>IF(COUNTIF(D1830,"*"&amp;'Keyword Search'!$C$5&amp;"*"),TRUE,FALSE)</f>
        <v>1</v>
      </c>
      <c r="G1830" t="str">
        <f t="shared" si="115"/>
        <v>209-88: *Tools, Programming and Case Software, Mainframes and Servers</v>
      </c>
    </row>
    <row r="1831" spans="1:7" x14ac:dyDescent="0.25">
      <c r="A1831" s="1" t="str">
        <f t="shared" si="113"/>
        <v>209</v>
      </c>
      <c r="B1831" s="1" t="str">
        <f>TEXT(91,"00")</f>
        <v>91</v>
      </c>
      <c r="C1831" s="1" t="str">
        <f t="shared" si="114"/>
        <v>209-91</v>
      </c>
      <c r="D1831" t="s">
        <v>1815</v>
      </c>
      <c r="E1831" t="b">
        <f>IF(COUNTIF(D1831,"*"&amp;'Keyword Search'!$C$5&amp;"*"),TRUE,FALSE)</f>
        <v>1</v>
      </c>
      <c r="G1831" t="str">
        <f t="shared" si="115"/>
        <v>209-91: *Utilities: Back-up, Batch File, Menus, Network Management, Operating System, Recovery, Screen, Security, Virus Protection, etc., Mainframes and Servers</v>
      </c>
    </row>
    <row r="1832" spans="1:7" x14ac:dyDescent="0.25">
      <c r="A1832" s="1" t="str">
        <f t="shared" si="113"/>
        <v>209</v>
      </c>
      <c r="B1832" s="1" t="str">
        <f>TEXT(95,"00")</f>
        <v>95</v>
      </c>
      <c r="C1832" s="1" t="str">
        <f t="shared" si="114"/>
        <v>209-95</v>
      </c>
      <c r="D1832" t="s">
        <v>1816</v>
      </c>
      <c r="E1832" t="b">
        <f>IF(COUNTIF(D1832,"*"&amp;'Keyword Search'!$C$5&amp;"*"),TRUE,FALSE)</f>
        <v>1</v>
      </c>
      <c r="G1832" t="str">
        <f t="shared" si="115"/>
        <v>209-95: *Word Processing, Text Editors, Label Makers, Spell Checkers, etc., Mainframes and Servers</v>
      </c>
    </row>
    <row r="1833" spans="1:7" x14ac:dyDescent="0.25">
      <c r="A1833" s="5" t="str">
        <f t="shared" ref="A1833:A1860" si="116">TEXT(210,"000")</f>
        <v>210</v>
      </c>
      <c r="B1833" s="5" t="str">
        <f>TEXT(0,"00")</f>
        <v>00</v>
      </c>
      <c r="C1833" s="1"/>
      <c r="D1833" s="2" t="s">
        <v>1817</v>
      </c>
    </row>
    <row r="1834" spans="1:7" x14ac:dyDescent="0.25">
      <c r="A1834" s="1" t="str">
        <f t="shared" si="116"/>
        <v>210</v>
      </c>
      <c r="B1834" s="1" t="str">
        <f>TEXT(7,"00")</f>
        <v>07</v>
      </c>
      <c r="C1834" s="1" t="str">
        <f t="shared" si="114"/>
        <v>210-07</v>
      </c>
      <c r="D1834" t="s">
        <v>1818</v>
      </c>
      <c r="E1834" t="b">
        <f>IF(COUNTIF(D1834,"*"&amp;'Keyword Search'!$C$5&amp;"*"),TRUE,FALSE)</f>
        <v>1</v>
      </c>
      <c r="G1834" t="str">
        <f t="shared" si="115"/>
        <v>210-07: Basins, Catch, Including Part and Accessories</v>
      </c>
    </row>
    <row r="1835" spans="1:7" x14ac:dyDescent="0.25">
      <c r="A1835" s="1" t="str">
        <f t="shared" si="116"/>
        <v>210</v>
      </c>
      <c r="B1835" s="1" t="str">
        <f>TEXT(10,"00")</f>
        <v>10</v>
      </c>
      <c r="C1835" s="1" t="str">
        <f t="shared" si="114"/>
        <v>210-10</v>
      </c>
      <c r="D1835" t="s">
        <v>1819</v>
      </c>
      <c r="E1835" t="b">
        <f>IF(COUNTIF(D1835,"*"&amp;'Keyword Search'!$C$5&amp;"*"),TRUE,FALSE)</f>
        <v>1</v>
      </c>
      <c r="G1835" t="str">
        <f t="shared" si="115"/>
        <v>210-10: Blocks, Hollow and Solid, Lightweight</v>
      </c>
    </row>
    <row r="1836" spans="1:7" x14ac:dyDescent="0.25">
      <c r="A1836" s="1" t="str">
        <f t="shared" si="116"/>
        <v>210</v>
      </c>
      <c r="B1836" s="1" t="str">
        <f>TEXT(11,"00")</f>
        <v>11</v>
      </c>
      <c r="C1836" s="1" t="str">
        <f t="shared" si="114"/>
        <v>210-11</v>
      </c>
      <c r="D1836" t="s">
        <v>1820</v>
      </c>
      <c r="E1836" t="b">
        <f>IF(COUNTIF(D1836,"*"&amp;'Keyword Search'!$C$5&amp;"*"),TRUE,FALSE)</f>
        <v>1</v>
      </c>
      <c r="G1836" t="str">
        <f t="shared" si="115"/>
        <v>210-11: Blocks, Hollow and Solid, Normal Weight</v>
      </c>
    </row>
    <row r="1837" spans="1:7" x14ac:dyDescent="0.25">
      <c r="A1837" s="1" t="str">
        <f t="shared" si="116"/>
        <v>210</v>
      </c>
      <c r="B1837" s="1" t="str">
        <f>TEXT(12,"00")</f>
        <v>12</v>
      </c>
      <c r="C1837" s="1" t="str">
        <f t="shared" si="114"/>
        <v>210-12</v>
      </c>
      <c r="D1837" t="s">
        <v>1821</v>
      </c>
      <c r="E1837" t="b">
        <f>IF(COUNTIF(D1837,"*"&amp;'Keyword Search'!$C$5&amp;"*"),TRUE,FALSE)</f>
        <v>1</v>
      </c>
      <c r="G1837" t="str">
        <f t="shared" si="115"/>
        <v>210-12: Blocks, Kiln and Oven</v>
      </c>
    </row>
    <row r="1838" spans="1:7" x14ac:dyDescent="0.25">
      <c r="A1838" s="1" t="str">
        <f t="shared" si="116"/>
        <v>210</v>
      </c>
      <c r="B1838" s="1" t="str">
        <f>TEXT(13,"00")</f>
        <v>13</v>
      </c>
      <c r="C1838" s="1" t="str">
        <f t="shared" si="114"/>
        <v>210-13</v>
      </c>
      <c r="D1838" t="s">
        <v>1822</v>
      </c>
      <c r="E1838" t="b">
        <f>IF(COUNTIF(D1838,"*"&amp;'Keyword Search'!$C$5&amp;"*"),TRUE,FALSE)</f>
        <v>1</v>
      </c>
      <c r="G1838" t="str">
        <f t="shared" si="115"/>
        <v>210-13: Box Voids and Void Concrete Forms, Including Chemical Release Agents</v>
      </c>
    </row>
    <row r="1839" spans="1:7" x14ac:dyDescent="0.25">
      <c r="A1839" s="1" t="str">
        <f t="shared" si="116"/>
        <v>210</v>
      </c>
      <c r="B1839" s="1" t="str">
        <f>TEXT(14,"00")</f>
        <v>14</v>
      </c>
      <c r="C1839" s="1" t="str">
        <f t="shared" si="114"/>
        <v>210-14</v>
      </c>
      <c r="D1839" t="s">
        <v>1823</v>
      </c>
      <c r="E1839" t="b">
        <f>IF(COUNTIF(D1839,"*"&amp;'Keyword Search'!$C$5&amp;"*"),TRUE,FALSE)</f>
        <v>1</v>
      </c>
      <c r="G1839" t="str">
        <f t="shared" si="115"/>
        <v>210-14: Bollard Post, Steel, Removable</v>
      </c>
    </row>
    <row r="1840" spans="1:7" x14ac:dyDescent="0.25">
      <c r="A1840" s="1" t="str">
        <f t="shared" si="116"/>
        <v>210</v>
      </c>
      <c r="B1840" s="1" t="str">
        <f>TEXT(15,"00")</f>
        <v>15</v>
      </c>
      <c r="C1840" s="1" t="str">
        <f t="shared" si="114"/>
        <v>210-15</v>
      </c>
      <c r="D1840" t="s">
        <v>1824</v>
      </c>
      <c r="E1840" t="b">
        <f>IF(COUNTIF(D1840,"*"&amp;'Keyword Search'!$C$5&amp;"*"),TRUE,FALSE)</f>
        <v>1</v>
      </c>
      <c r="G1840" t="str">
        <f t="shared" si="115"/>
        <v>210-15: Bricks, Concrete</v>
      </c>
    </row>
    <row r="1841" spans="1:7" x14ac:dyDescent="0.25">
      <c r="A1841" s="1" t="str">
        <f t="shared" si="116"/>
        <v>210</v>
      </c>
      <c r="B1841" s="1" t="str">
        <f>TEXT(16,"00")</f>
        <v>16</v>
      </c>
      <c r="C1841" s="1" t="str">
        <f t="shared" si="114"/>
        <v>210-16</v>
      </c>
      <c r="D1841" t="s">
        <v>1825</v>
      </c>
      <c r="E1841" t="b">
        <f>IF(COUNTIF(D1841,"*"&amp;'Keyword Search'!$C$5&amp;"*"),TRUE,FALSE)</f>
        <v>1</v>
      </c>
      <c r="G1841" t="str">
        <f t="shared" si="115"/>
        <v>210-16: Concrete Beams, Channels, Roof Decks, Bollards, etc., Prestressed</v>
      </c>
    </row>
    <row r="1842" spans="1:7" x14ac:dyDescent="0.25">
      <c r="A1842" s="1" t="str">
        <f t="shared" si="116"/>
        <v>210</v>
      </c>
      <c r="B1842" s="1" t="str">
        <f>TEXT(17,"00")</f>
        <v>17</v>
      </c>
      <c r="C1842" s="1" t="str">
        <f t="shared" si="114"/>
        <v>210-17</v>
      </c>
      <c r="D1842" t="s">
        <v>1826</v>
      </c>
      <c r="E1842" t="b">
        <f>IF(COUNTIF(D1842,"*"&amp;'Keyword Search'!$C$5&amp;"*"),TRUE,FALSE)</f>
        <v>1</v>
      </c>
      <c r="G1842" t="str">
        <f t="shared" si="115"/>
        <v>210-17: Concrete Bunker Panels</v>
      </c>
    </row>
    <row r="1843" spans="1:7" x14ac:dyDescent="0.25">
      <c r="A1843" s="1" t="str">
        <f t="shared" si="116"/>
        <v>210</v>
      </c>
      <c r="B1843" s="1" t="str">
        <f>TEXT(18,"00")</f>
        <v>18</v>
      </c>
      <c r="C1843" s="1" t="str">
        <f t="shared" si="114"/>
        <v>210-18</v>
      </c>
      <c r="D1843" t="s">
        <v>1827</v>
      </c>
      <c r="E1843" t="b">
        <f>IF(COUNTIF(D1843,"*"&amp;'Keyword Search'!$C$5&amp;"*"),TRUE,FALSE)</f>
        <v>1</v>
      </c>
      <c r="G1843" t="str">
        <f t="shared" si="115"/>
        <v>210-18: Concrete Encased Ducts</v>
      </c>
    </row>
    <row r="1844" spans="1:7" x14ac:dyDescent="0.25">
      <c r="A1844" s="1" t="str">
        <f t="shared" si="116"/>
        <v>210</v>
      </c>
      <c r="B1844" s="1" t="str">
        <f>TEXT(25,"00")</f>
        <v>25</v>
      </c>
      <c r="C1844" s="1" t="str">
        <f t="shared" si="114"/>
        <v>210-25</v>
      </c>
      <c r="D1844" t="s">
        <v>1828</v>
      </c>
      <c r="E1844" t="b">
        <f>IF(COUNTIF(D1844,"*"&amp;'Keyword Search'!$C$5&amp;"*"),TRUE,FALSE)</f>
        <v>1</v>
      </c>
      <c r="G1844" t="str">
        <f t="shared" si="115"/>
        <v>210-25: Concrete Pilings</v>
      </c>
    </row>
    <row r="1845" spans="1:7" x14ac:dyDescent="0.25">
      <c r="A1845" s="1" t="str">
        <f t="shared" si="116"/>
        <v>210</v>
      </c>
      <c r="B1845" s="1" t="str">
        <f>TEXT(26,"00")</f>
        <v>26</v>
      </c>
      <c r="C1845" s="1" t="str">
        <f t="shared" si="114"/>
        <v>210-26</v>
      </c>
      <c r="D1845" t="s">
        <v>1829</v>
      </c>
      <c r="E1845" t="b">
        <f>IF(COUNTIF(D1845,"*"&amp;'Keyword Search'!$C$5&amp;"*"),TRUE,FALSE)</f>
        <v>1</v>
      </c>
      <c r="G1845" t="str">
        <f t="shared" si="115"/>
        <v>210-26: Concrete Support Items, Chairs, etc.</v>
      </c>
    </row>
    <row r="1846" spans="1:7" x14ac:dyDescent="0.25">
      <c r="A1846" s="1" t="str">
        <f t="shared" si="116"/>
        <v>210</v>
      </c>
      <c r="B1846" s="1" t="str">
        <f>TEXT(27,"00")</f>
        <v>27</v>
      </c>
      <c r="C1846" s="1" t="str">
        <f t="shared" si="114"/>
        <v>210-27</v>
      </c>
      <c r="D1846" t="s">
        <v>1830</v>
      </c>
      <c r="E1846" t="b">
        <f>IF(COUNTIF(D1846,"*"&amp;'Keyword Search'!$C$5&amp;"*"),TRUE,FALSE)</f>
        <v>1</v>
      </c>
      <c r="G1846" t="str">
        <f t="shared" si="115"/>
        <v>210-27: Connecting Bands, Corrugated Metal</v>
      </c>
    </row>
    <row r="1847" spans="1:7" x14ac:dyDescent="0.25">
      <c r="A1847" s="1" t="str">
        <f t="shared" si="116"/>
        <v>210</v>
      </c>
      <c r="B1847" s="1" t="str">
        <f>TEXT(28,"00")</f>
        <v>28</v>
      </c>
      <c r="C1847" s="1" t="str">
        <f t="shared" si="114"/>
        <v>210-28</v>
      </c>
      <c r="D1847" t="s">
        <v>1831</v>
      </c>
      <c r="E1847" t="b">
        <f>IF(COUNTIF(D1847,"*"&amp;'Keyword Search'!$C$5&amp;"*"),TRUE,FALSE)</f>
        <v>1</v>
      </c>
      <c r="G1847" t="str">
        <f t="shared" si="115"/>
        <v>210-28: Culverts, Concrete</v>
      </c>
    </row>
    <row r="1848" spans="1:7" x14ac:dyDescent="0.25">
      <c r="A1848" s="1" t="str">
        <f t="shared" si="116"/>
        <v>210</v>
      </c>
      <c r="B1848" s="1" t="str">
        <f>TEXT(29,"00")</f>
        <v>29</v>
      </c>
      <c r="C1848" s="1" t="str">
        <f t="shared" si="114"/>
        <v>210-29</v>
      </c>
      <c r="D1848" t="s">
        <v>1832</v>
      </c>
      <c r="E1848" t="b">
        <f>IF(COUNTIF(D1848,"*"&amp;'Keyword Search'!$C$5&amp;"*"),TRUE,FALSE)</f>
        <v>1</v>
      </c>
      <c r="G1848" t="str">
        <f t="shared" si="115"/>
        <v>210-29: Culverts, Corrugated Metal, Including Well Casing Pipe</v>
      </c>
    </row>
    <row r="1849" spans="1:7" x14ac:dyDescent="0.25">
      <c r="A1849" s="1" t="str">
        <f t="shared" si="116"/>
        <v>210</v>
      </c>
      <c r="B1849" s="1" t="str">
        <f>TEXT(30,"00")</f>
        <v>30</v>
      </c>
      <c r="C1849" s="1" t="str">
        <f t="shared" si="114"/>
        <v>210-30</v>
      </c>
      <c r="D1849" t="s">
        <v>1833</v>
      </c>
      <c r="E1849" t="b">
        <f>IF(COUNTIF(D1849,"*"&amp;'Keyword Search'!$C$5&amp;"*"),TRUE,FALSE)</f>
        <v>1</v>
      </c>
      <c r="G1849" t="str">
        <f t="shared" si="115"/>
        <v>210-30: Curbs, Parking and Curb Boxes: Vehicle, Including Recycled</v>
      </c>
    </row>
    <row r="1850" spans="1:7" x14ac:dyDescent="0.25">
      <c r="A1850" s="1" t="str">
        <f t="shared" si="116"/>
        <v>210</v>
      </c>
      <c r="B1850" s="1" t="str">
        <f>TEXT(31,"00")</f>
        <v>31</v>
      </c>
      <c r="C1850" s="1" t="str">
        <f t="shared" si="114"/>
        <v>210-31</v>
      </c>
      <c r="D1850" t="s">
        <v>1834</v>
      </c>
      <c r="E1850" t="b">
        <f>IF(COUNTIF(D1850,"*"&amp;'Keyword Search'!$C$5&amp;"*"),TRUE,FALSE)</f>
        <v>1</v>
      </c>
      <c r="G1850" t="str">
        <f t="shared" si="115"/>
        <v>210-31: Drains, Including Parts and Accessories</v>
      </c>
    </row>
    <row r="1851" spans="1:7" x14ac:dyDescent="0.25">
      <c r="A1851" s="1" t="str">
        <f t="shared" si="116"/>
        <v>210</v>
      </c>
      <c r="B1851" s="1" t="str">
        <f>TEXT(33,"00")</f>
        <v>33</v>
      </c>
      <c r="C1851" s="1" t="str">
        <f t="shared" si="114"/>
        <v>210-33</v>
      </c>
      <c r="D1851" t="s">
        <v>1835</v>
      </c>
      <c r="E1851" t="b">
        <f>IF(COUNTIF(D1851,"*"&amp;'Keyword Search'!$C$5&amp;"*"),TRUE,FALSE)</f>
        <v>1</v>
      </c>
      <c r="G1851" t="str">
        <f t="shared" si="115"/>
        <v>210-33: Irrigation Pipe, Metal</v>
      </c>
    </row>
    <row r="1852" spans="1:7" x14ac:dyDescent="0.25">
      <c r="A1852" s="1" t="str">
        <f t="shared" si="116"/>
        <v>210</v>
      </c>
      <c r="B1852" s="1" t="str">
        <f>TEXT(35,"00")</f>
        <v>35</v>
      </c>
      <c r="C1852" s="1" t="str">
        <f t="shared" si="114"/>
        <v>210-35</v>
      </c>
      <c r="D1852" t="s">
        <v>1836</v>
      </c>
      <c r="E1852" t="b">
        <f>IF(COUNTIF(D1852,"*"&amp;'Keyword Search'!$C$5&amp;"*"),TRUE,FALSE)</f>
        <v>1</v>
      </c>
      <c r="G1852" t="str">
        <f t="shared" si="115"/>
        <v>210-35: Joint Sealing Compound, Sewer and Drain Pipes</v>
      </c>
    </row>
    <row r="1853" spans="1:7" x14ac:dyDescent="0.25">
      <c r="A1853" s="1" t="str">
        <f t="shared" si="116"/>
        <v>210</v>
      </c>
      <c r="B1853" s="1" t="str">
        <f>TEXT(45,"00")</f>
        <v>45</v>
      </c>
      <c r="C1853" s="1" t="str">
        <f t="shared" si="114"/>
        <v>210-45</v>
      </c>
      <c r="D1853" t="s">
        <v>1837</v>
      </c>
      <c r="E1853" t="b">
        <f>IF(COUNTIF(D1853,"*"&amp;'Keyword Search'!$C$5&amp;"*"),TRUE,FALSE)</f>
        <v>1</v>
      </c>
      <c r="G1853" t="str">
        <f t="shared" si="115"/>
        <v>210-45: Meter Boxes and Concrete Pull Boxes</v>
      </c>
    </row>
    <row r="1854" spans="1:7" x14ac:dyDescent="0.25">
      <c r="A1854" s="1" t="str">
        <f t="shared" si="116"/>
        <v>210</v>
      </c>
      <c r="B1854" s="1" t="str">
        <f>TEXT(47,"00")</f>
        <v>47</v>
      </c>
      <c r="C1854" s="1" t="str">
        <f t="shared" si="114"/>
        <v>210-47</v>
      </c>
      <c r="D1854" t="s">
        <v>1838</v>
      </c>
      <c r="E1854" t="b">
        <f>IF(COUNTIF(D1854,"*"&amp;'Keyword Search'!$C$5&amp;"*"),TRUE,FALSE)</f>
        <v>1</v>
      </c>
      <c r="G1854" t="str">
        <f t="shared" si="115"/>
        <v>210-47: Molds, Concrete, Including Parts and Accessories</v>
      </c>
    </row>
    <row r="1855" spans="1:7" x14ac:dyDescent="0.25">
      <c r="A1855" s="1" t="str">
        <f t="shared" si="116"/>
        <v>210</v>
      </c>
      <c r="B1855" s="1" t="str">
        <f>TEXT(55,"00")</f>
        <v>55</v>
      </c>
      <c r="C1855" s="1" t="str">
        <f t="shared" si="114"/>
        <v>210-55</v>
      </c>
      <c r="D1855" t="s">
        <v>1839</v>
      </c>
      <c r="E1855" t="b">
        <f>IF(COUNTIF(D1855,"*"&amp;'Keyword Search'!$C$5&amp;"*"),TRUE,FALSE)</f>
        <v>1</v>
      </c>
      <c r="G1855" t="str">
        <f t="shared" si="115"/>
        <v>210-55: Paving and Stepping Blocks</v>
      </c>
    </row>
    <row r="1856" spans="1:7" x14ac:dyDescent="0.25">
      <c r="A1856" s="1" t="str">
        <f t="shared" si="116"/>
        <v>210</v>
      </c>
      <c r="B1856" s="1" t="str">
        <f>TEXT(70,"00")</f>
        <v>70</v>
      </c>
      <c r="C1856" s="1" t="str">
        <f t="shared" si="114"/>
        <v>210-70</v>
      </c>
      <c r="D1856" t="s">
        <v>1840</v>
      </c>
      <c r="E1856" t="b">
        <f>IF(COUNTIF(D1856,"*"&amp;'Keyword Search'!$C$5&amp;"*"),TRUE,FALSE)</f>
        <v>1</v>
      </c>
      <c r="G1856" t="str">
        <f t="shared" si="115"/>
        <v>210-70: Recycled Concrete and Metal Products Incl. Culverts, Pilings, and Septic Tanks</v>
      </c>
    </row>
    <row r="1857" spans="1:7" x14ac:dyDescent="0.25">
      <c r="A1857" s="1" t="str">
        <f t="shared" si="116"/>
        <v>210</v>
      </c>
      <c r="B1857" s="1" t="str">
        <f>TEXT(72,"00")</f>
        <v>72</v>
      </c>
      <c r="C1857" s="1" t="str">
        <f t="shared" si="114"/>
        <v>210-72</v>
      </c>
      <c r="D1857" t="s">
        <v>1841</v>
      </c>
      <c r="E1857" t="b">
        <f>IF(COUNTIF(D1857,"*"&amp;'Keyword Search'!$C$5&amp;"*"),TRUE,FALSE)</f>
        <v>1</v>
      </c>
      <c r="G1857" t="str">
        <f t="shared" si="115"/>
        <v>210-72: Risers and Cones, Reinforced Concrete</v>
      </c>
    </row>
    <row r="1858" spans="1:7" x14ac:dyDescent="0.25">
      <c r="A1858" s="1" t="str">
        <f t="shared" si="116"/>
        <v>210</v>
      </c>
      <c r="B1858" s="1" t="str">
        <f>TEXT(75,"00")</f>
        <v>75</v>
      </c>
      <c r="C1858" s="1" t="str">
        <f t="shared" si="114"/>
        <v>210-75</v>
      </c>
      <c r="D1858" t="s">
        <v>1842</v>
      </c>
      <c r="E1858" t="b">
        <f>IF(COUNTIF(D1858,"*"&amp;'Keyword Search'!$C$5&amp;"*"),TRUE,FALSE)</f>
        <v>1</v>
      </c>
      <c r="G1858" t="str">
        <f t="shared" si="115"/>
        <v>210-75: Septic Tanks, Grease Traps, and Water Troughs</v>
      </c>
    </row>
    <row r="1859" spans="1:7" x14ac:dyDescent="0.25">
      <c r="A1859" s="1" t="str">
        <f t="shared" si="116"/>
        <v>210</v>
      </c>
      <c r="B1859" s="1" t="str">
        <f>TEXT(80,"00")</f>
        <v>80</v>
      </c>
      <c r="C1859" s="1" t="str">
        <f t="shared" ref="C1859:C1922" si="117">CONCATENATE(A1859,"-",B1859)</f>
        <v>210-80</v>
      </c>
      <c r="D1859" t="s">
        <v>1843</v>
      </c>
      <c r="E1859" t="b">
        <f>IF(COUNTIF(D1859,"*"&amp;'Keyword Search'!$C$5&amp;"*"),TRUE,FALSE)</f>
        <v>1</v>
      </c>
      <c r="G1859" t="str">
        <f t="shared" si="115"/>
        <v>210-80: Ties and Anchors and Other Masonry Wall Reinforcements</v>
      </c>
    </row>
    <row r="1860" spans="1:7" x14ac:dyDescent="0.25">
      <c r="A1860" s="1" t="str">
        <f t="shared" si="116"/>
        <v>210</v>
      </c>
      <c r="B1860" s="1" t="str">
        <f>TEXT(85,"00")</f>
        <v>85</v>
      </c>
      <c r="C1860" s="1" t="str">
        <f t="shared" si="117"/>
        <v>210-85</v>
      </c>
      <c r="D1860" t="s">
        <v>1844</v>
      </c>
      <c r="E1860" t="b">
        <f>IF(COUNTIF(D1860,"*"&amp;'Keyword Search'!$C$5&amp;"*"),TRUE,FALSE)</f>
        <v>1</v>
      </c>
      <c r="G1860" t="str">
        <f t="shared" ref="G1860:G1923" si="118">CONCATENATE(C1860,": ",D1860)</f>
        <v>210-85: Vents, Foundation, Concrete</v>
      </c>
    </row>
    <row r="1861" spans="1:7" x14ac:dyDescent="0.25">
      <c r="A1861" s="5" t="str">
        <f t="shared" ref="A1861:A1903" si="119">TEXT(220,"000")</f>
        <v>220</v>
      </c>
      <c r="B1861" s="5" t="str">
        <f>TEXT(0,"00")</f>
        <v>00</v>
      </c>
      <c r="C1861" s="1"/>
      <c r="D1861" s="2" t="s">
        <v>1845</v>
      </c>
    </row>
    <row r="1862" spans="1:7" x14ac:dyDescent="0.25">
      <c r="A1862" s="1" t="str">
        <f t="shared" si="119"/>
        <v>220</v>
      </c>
      <c r="B1862" s="1" t="str">
        <f>TEXT(2,"00")</f>
        <v>02</v>
      </c>
      <c r="C1862" s="1" t="str">
        <f t="shared" si="117"/>
        <v>220-02</v>
      </c>
      <c r="D1862" t="s">
        <v>1846</v>
      </c>
      <c r="E1862" t="b">
        <f>IF(COUNTIF(D1862,"*"&amp;'Keyword Search'!$C$5&amp;"*"),TRUE,FALSE)</f>
        <v>1</v>
      </c>
      <c r="G1862" t="str">
        <f t="shared" si="118"/>
        <v>220-02: Accelerometers</v>
      </c>
    </row>
    <row r="1863" spans="1:7" x14ac:dyDescent="0.25">
      <c r="A1863" s="1" t="str">
        <f t="shared" si="119"/>
        <v>220</v>
      </c>
      <c r="B1863" s="1" t="str">
        <f>TEXT(4,"00")</f>
        <v>04</v>
      </c>
      <c r="C1863" s="1" t="str">
        <f t="shared" si="117"/>
        <v>220-04</v>
      </c>
      <c r="D1863" t="s">
        <v>1847</v>
      </c>
      <c r="E1863" t="b">
        <f>IF(COUNTIF(D1863,"*"&amp;'Keyword Search'!$C$5&amp;"*"),TRUE,FALSE)</f>
        <v>1</v>
      </c>
      <c r="G1863" t="str">
        <f t="shared" si="118"/>
        <v>220-04: Actuators and Controls: Robotics, Servo Systems, etc.</v>
      </c>
    </row>
    <row r="1864" spans="1:7" x14ac:dyDescent="0.25">
      <c r="A1864" s="1" t="str">
        <f t="shared" si="119"/>
        <v>220</v>
      </c>
      <c r="B1864" s="1" t="str">
        <f>TEXT(5,"00")</f>
        <v>05</v>
      </c>
      <c r="C1864" s="1" t="str">
        <f t="shared" si="117"/>
        <v>220-05</v>
      </c>
      <c r="D1864" t="s">
        <v>1848</v>
      </c>
      <c r="E1864" t="b">
        <f>IF(COUNTIF(D1864,"*"&amp;'Keyword Search'!$C$5&amp;"*"),TRUE,FALSE)</f>
        <v>1</v>
      </c>
      <c r="G1864" t="str">
        <f t="shared" si="118"/>
        <v>220-05: Avalanche Devices, Equipment, Including Parts and Accessories</v>
      </c>
    </row>
    <row r="1865" spans="1:7" x14ac:dyDescent="0.25">
      <c r="A1865" s="1" t="str">
        <f t="shared" si="119"/>
        <v>220</v>
      </c>
      <c r="B1865" s="1" t="str">
        <f>TEXT(6,"00")</f>
        <v>06</v>
      </c>
      <c r="C1865" s="1" t="str">
        <f t="shared" si="117"/>
        <v>220-06</v>
      </c>
      <c r="D1865" t="s">
        <v>1849</v>
      </c>
      <c r="E1865" t="b">
        <f>IF(COUNTIF(D1865,"*"&amp;'Keyword Search'!$C$5&amp;"*"),TRUE,FALSE)</f>
        <v>1</v>
      </c>
      <c r="G1865" t="str">
        <f t="shared" si="118"/>
        <v>220-06: Charts: Flowmeter, Receiver, Recorder</v>
      </c>
    </row>
    <row r="1866" spans="1:7" x14ac:dyDescent="0.25">
      <c r="A1866" s="1" t="str">
        <f t="shared" si="119"/>
        <v>220</v>
      </c>
      <c r="B1866" s="1" t="str">
        <f>TEXT(7,"00")</f>
        <v>07</v>
      </c>
      <c r="C1866" s="1" t="str">
        <f t="shared" si="117"/>
        <v>220-07</v>
      </c>
      <c r="D1866" t="s">
        <v>1850</v>
      </c>
      <c r="E1866" t="b">
        <f>IF(COUNTIF(D1866,"*"&amp;'Keyword Search'!$C$5&amp;"*"),TRUE,FALSE)</f>
        <v>1</v>
      </c>
      <c r="G1866" t="str">
        <f t="shared" si="118"/>
        <v>220-07: Clinometers and Inclinometers, Slope and Tilt Measurements</v>
      </c>
    </row>
    <row r="1867" spans="1:7" x14ac:dyDescent="0.25">
      <c r="A1867" s="1" t="str">
        <f t="shared" si="119"/>
        <v>220</v>
      </c>
      <c r="B1867" s="1" t="str">
        <f>TEXT(9,"00")</f>
        <v>09</v>
      </c>
      <c r="C1867" s="1" t="str">
        <f t="shared" si="117"/>
        <v>220-09</v>
      </c>
      <c r="D1867" t="s">
        <v>1851</v>
      </c>
      <c r="E1867" t="b">
        <f>IF(COUNTIF(D1867,"*"&amp;'Keyword Search'!$C$5&amp;"*"),TRUE,FALSE)</f>
        <v>1</v>
      </c>
      <c r="G1867" t="str">
        <f t="shared" si="118"/>
        <v>220-09: Conductivity Instruments, Dissolved Solids</v>
      </c>
    </row>
    <row r="1868" spans="1:7" x14ac:dyDescent="0.25">
      <c r="A1868" s="1" t="str">
        <f t="shared" si="119"/>
        <v>220</v>
      </c>
      <c r="B1868" s="1" t="str">
        <f>TEXT(13,"00")</f>
        <v>13</v>
      </c>
      <c r="C1868" s="1" t="str">
        <f t="shared" si="117"/>
        <v>220-13</v>
      </c>
      <c r="D1868" t="s">
        <v>1852</v>
      </c>
      <c r="E1868" t="b">
        <f>IF(COUNTIF(D1868,"*"&amp;'Keyword Search'!$C$5&amp;"*"),TRUE,FALSE)</f>
        <v>1</v>
      </c>
      <c r="G1868" t="str">
        <f t="shared" si="118"/>
        <v>220-13: Examination Equipment: Current, Liquid Penetrant, Magnetic Particle, etc.</v>
      </c>
    </row>
    <row r="1869" spans="1:7" x14ac:dyDescent="0.25">
      <c r="A1869" s="1" t="str">
        <f t="shared" si="119"/>
        <v>220</v>
      </c>
      <c r="B1869" s="1" t="str">
        <f>TEXT(14,"00")</f>
        <v>14</v>
      </c>
      <c r="C1869" s="1" t="str">
        <f t="shared" si="117"/>
        <v>220-14</v>
      </c>
      <c r="D1869" t="s">
        <v>1853</v>
      </c>
      <c r="E1869" t="b">
        <f>IF(COUNTIF(D1869,"*"&amp;'Keyword Search'!$C$5&amp;"*"),TRUE,FALSE)</f>
        <v>1</v>
      </c>
      <c r="G1869" t="str">
        <f t="shared" si="118"/>
        <v>220-14: *Energy Computerized Control Systems:  HVAC, Lighting, Utilities, etc. Combination</v>
      </c>
    </row>
    <row r="1870" spans="1:7" x14ac:dyDescent="0.25">
      <c r="A1870" s="1" t="str">
        <f t="shared" si="119"/>
        <v>220</v>
      </c>
      <c r="B1870" s="1" t="str">
        <f>TEXT(15,"00")</f>
        <v>15</v>
      </c>
      <c r="C1870" s="1" t="str">
        <f t="shared" si="117"/>
        <v>220-15</v>
      </c>
      <c r="D1870" t="s">
        <v>1854</v>
      </c>
      <c r="E1870" t="b">
        <f>IF(COUNTIF(D1870,"*"&amp;'Keyword Search'!$C$5&amp;"*"),TRUE,FALSE)</f>
        <v>1</v>
      </c>
      <c r="G1870" t="str">
        <f t="shared" si="118"/>
        <v>220-15: Flow Controllers, Indicators, Calibrators, and Recorders: Air and Gases</v>
      </c>
    </row>
    <row r="1871" spans="1:7" x14ac:dyDescent="0.25">
      <c r="A1871" s="1" t="str">
        <f t="shared" si="119"/>
        <v>220</v>
      </c>
      <c r="B1871" s="1" t="str">
        <f>TEXT(16,"00")</f>
        <v>16</v>
      </c>
      <c r="C1871" s="1" t="str">
        <f t="shared" si="117"/>
        <v>220-16</v>
      </c>
      <c r="D1871" t="s">
        <v>1855</v>
      </c>
      <c r="E1871" t="b">
        <f>IF(COUNTIF(D1871,"*"&amp;'Keyword Search'!$C$5&amp;"*"),TRUE,FALSE)</f>
        <v>1</v>
      </c>
      <c r="G1871" t="str">
        <f t="shared" si="118"/>
        <v>220-16: Flow Controllers and Recorders, For Liquids</v>
      </c>
    </row>
    <row r="1872" spans="1:7" x14ac:dyDescent="0.25">
      <c r="A1872" s="1" t="str">
        <f t="shared" si="119"/>
        <v>220</v>
      </c>
      <c r="B1872" s="1" t="str">
        <f>TEXT(17,"00")</f>
        <v>17</v>
      </c>
      <c r="C1872" s="1" t="str">
        <f t="shared" si="117"/>
        <v>220-17</v>
      </c>
      <c r="D1872" t="s">
        <v>1856</v>
      </c>
      <c r="E1872" t="b">
        <f>IF(COUNTIF(D1872,"*"&amp;'Keyword Search'!$C$5&amp;"*"),TRUE,FALSE)</f>
        <v>1</v>
      </c>
      <c r="G1872" t="str">
        <f t="shared" si="118"/>
        <v>220-17: Flood Control Devices, Equipment, Including Parts and Accessories</v>
      </c>
    </row>
    <row r="1873" spans="1:7" x14ac:dyDescent="0.25">
      <c r="A1873" s="1" t="str">
        <f t="shared" si="119"/>
        <v>220</v>
      </c>
      <c r="B1873" s="1" t="str">
        <f>TEXT(18,"00")</f>
        <v>18</v>
      </c>
      <c r="C1873" s="1" t="str">
        <f t="shared" si="117"/>
        <v>220-18</v>
      </c>
      <c r="D1873" t="s">
        <v>1857</v>
      </c>
      <c r="E1873" t="b">
        <f>IF(COUNTIF(D1873,"*"&amp;'Keyword Search'!$C$5&amp;"*"),TRUE,FALSE)</f>
        <v>1</v>
      </c>
      <c r="G1873" t="str">
        <f t="shared" si="118"/>
        <v>220-18: Gauges: Altitude, Pressure, Profile, Temperature, Liquid Level, etc.</v>
      </c>
    </row>
    <row r="1874" spans="1:7" x14ac:dyDescent="0.25">
      <c r="A1874" s="1" t="str">
        <f t="shared" si="119"/>
        <v>220</v>
      </c>
      <c r="B1874" s="1" t="str">
        <f>TEXT(19,"00")</f>
        <v>19</v>
      </c>
      <c r="C1874" s="1" t="str">
        <f t="shared" si="117"/>
        <v>220-19</v>
      </c>
      <c r="D1874" t="s">
        <v>1858</v>
      </c>
      <c r="E1874" t="b">
        <f>IF(COUNTIF(D1874,"*"&amp;'Keyword Search'!$C$5&amp;"*"),TRUE,FALSE)</f>
        <v>1</v>
      </c>
      <c r="G1874" t="str">
        <f t="shared" si="118"/>
        <v>220-19: Gyroscopic Instruments</v>
      </c>
    </row>
    <row r="1875" spans="1:7" x14ac:dyDescent="0.25">
      <c r="A1875" s="1" t="str">
        <f t="shared" si="119"/>
        <v>220</v>
      </c>
      <c r="B1875" s="1" t="str">
        <f>TEXT(20,"00")</f>
        <v>20</v>
      </c>
      <c r="C1875" s="1" t="str">
        <f t="shared" si="117"/>
        <v>220-20</v>
      </c>
      <c r="D1875" t="s">
        <v>1859</v>
      </c>
      <c r="E1875" t="b">
        <f>IF(COUNTIF(D1875,"*"&amp;'Keyword Search'!$C$5&amp;"*"),TRUE,FALSE)</f>
        <v>1</v>
      </c>
      <c r="G1875" t="str">
        <f t="shared" si="118"/>
        <v>220-20: Hazardous Environment Detection and Measuring Equipment</v>
      </c>
    </row>
    <row r="1876" spans="1:7" x14ac:dyDescent="0.25">
      <c r="A1876" s="1" t="str">
        <f t="shared" si="119"/>
        <v>220</v>
      </c>
      <c r="B1876" s="1" t="str">
        <f>TEXT(22,"00")</f>
        <v>22</v>
      </c>
      <c r="C1876" s="1" t="str">
        <f t="shared" si="117"/>
        <v>220-22</v>
      </c>
      <c r="D1876" t="s">
        <v>1860</v>
      </c>
      <c r="E1876" t="b">
        <f>IF(COUNTIF(D1876,"*"&amp;'Keyword Search'!$C$5&amp;"*"),TRUE,FALSE)</f>
        <v>1</v>
      </c>
      <c r="G1876" t="str">
        <f t="shared" si="118"/>
        <v>220-22: High Vacuum Controllers, Indicators, and Recorders and Accessories: Ionization Gauges, Thermocouple Gauges, etc.</v>
      </c>
    </row>
    <row r="1877" spans="1:7" x14ac:dyDescent="0.25">
      <c r="A1877" s="1" t="str">
        <f t="shared" si="119"/>
        <v>220</v>
      </c>
      <c r="B1877" s="1" t="str">
        <f>TEXT(23,"00")</f>
        <v>23</v>
      </c>
      <c r="C1877" s="1" t="str">
        <f t="shared" si="117"/>
        <v>220-23</v>
      </c>
      <c r="D1877" t="s">
        <v>1861</v>
      </c>
      <c r="E1877" t="b">
        <f>IF(COUNTIF(D1877,"*"&amp;'Keyword Search'!$C$5&amp;"*"),TRUE,FALSE)</f>
        <v>1</v>
      </c>
      <c r="G1877" t="str">
        <f t="shared" si="118"/>
        <v>220-23: *High Water Detection and Measuring Equipment</v>
      </c>
    </row>
    <row r="1878" spans="1:7" x14ac:dyDescent="0.25">
      <c r="A1878" s="1" t="str">
        <f t="shared" si="119"/>
        <v>220</v>
      </c>
      <c r="B1878" s="1" t="str">
        <f>TEXT(29,"00")</f>
        <v>29</v>
      </c>
      <c r="C1878" s="1" t="str">
        <f t="shared" si="117"/>
        <v>220-29</v>
      </c>
      <c r="D1878" t="s">
        <v>1862</v>
      </c>
      <c r="E1878" t="b">
        <f>IF(COUNTIF(D1878,"*"&amp;'Keyword Search'!$C$5&amp;"*"),TRUE,FALSE)</f>
        <v>1</v>
      </c>
      <c r="G1878" t="str">
        <f t="shared" si="118"/>
        <v>220-29: *Imaging Systems, Infrared Thermal, Not X-Ray</v>
      </c>
    </row>
    <row r="1879" spans="1:7" x14ac:dyDescent="0.25">
      <c r="A1879" s="1" t="str">
        <f t="shared" si="119"/>
        <v>220</v>
      </c>
      <c r="B1879" s="1" t="str">
        <f>TEXT(30,"00")</f>
        <v>30</v>
      </c>
      <c r="C1879" s="1" t="str">
        <f t="shared" si="117"/>
        <v>220-30</v>
      </c>
      <c r="D1879" t="s">
        <v>1863</v>
      </c>
      <c r="E1879" t="b">
        <f>IF(COUNTIF(D1879,"*"&amp;'Keyword Search'!$C$5&amp;"*"),TRUE,FALSE)</f>
        <v>1</v>
      </c>
      <c r="G1879" t="str">
        <f t="shared" si="118"/>
        <v>220-30: Indicating and Recording Instruments, Equipment and Accessories (Not Otherwise Classified)</v>
      </c>
    </row>
    <row r="1880" spans="1:7" x14ac:dyDescent="0.25">
      <c r="A1880" s="1" t="str">
        <f t="shared" si="119"/>
        <v>220</v>
      </c>
      <c r="B1880" s="1" t="str">
        <f>TEXT(33,"00")</f>
        <v>33</v>
      </c>
      <c r="C1880" s="1" t="str">
        <f t="shared" si="117"/>
        <v>220-33</v>
      </c>
      <c r="D1880" t="s">
        <v>1864</v>
      </c>
      <c r="E1880" t="b">
        <f>IF(COUNTIF(D1880,"*"&amp;'Keyword Search'!$C$5&amp;"*"),TRUE,FALSE)</f>
        <v>1</v>
      </c>
      <c r="G1880" t="str">
        <f t="shared" si="118"/>
        <v>220-33: Liquid Level Controllers, Indicators, and Recorders</v>
      </c>
    </row>
    <row r="1881" spans="1:7" x14ac:dyDescent="0.25">
      <c r="A1881" s="1" t="str">
        <f t="shared" si="119"/>
        <v>220</v>
      </c>
      <c r="B1881" s="1" t="str">
        <f>TEXT(34,"00")</f>
        <v>34</v>
      </c>
      <c r="C1881" s="1" t="str">
        <f t="shared" si="117"/>
        <v>220-34</v>
      </c>
      <c r="D1881" t="s">
        <v>1865</v>
      </c>
      <c r="E1881" t="b">
        <f>IF(COUNTIF(D1881,"*"&amp;'Keyword Search'!$C$5&amp;"*"),TRUE,FALSE)</f>
        <v>1</v>
      </c>
      <c r="G1881" t="str">
        <f t="shared" si="118"/>
        <v>220-34: Logging Devices, Electronic, Long-Range Data Collection and Recording for Use at a Remote Location</v>
      </c>
    </row>
    <row r="1882" spans="1:7" x14ac:dyDescent="0.25">
      <c r="A1882" s="1" t="str">
        <f t="shared" si="119"/>
        <v>220</v>
      </c>
      <c r="B1882" s="1" t="str">
        <f>TEXT(35,"00")</f>
        <v>35</v>
      </c>
      <c r="C1882" s="1" t="str">
        <f t="shared" si="117"/>
        <v>220-35</v>
      </c>
      <c r="D1882" t="s">
        <v>1866</v>
      </c>
      <c r="E1882" t="b">
        <f>IF(COUNTIF(D1882,"*"&amp;'Keyword Search'!$C$5&amp;"*"),TRUE,FALSE)</f>
        <v>1</v>
      </c>
      <c r="G1882" t="str">
        <f t="shared" si="118"/>
        <v>220-35: Meters, Gas: Rotary Positive Displacement, Turbine, Diaphragm and Associated Instrumentation</v>
      </c>
    </row>
    <row r="1883" spans="1:7" x14ac:dyDescent="0.25">
      <c r="A1883" s="1" t="str">
        <f t="shared" si="119"/>
        <v>220</v>
      </c>
      <c r="B1883" s="1" t="str">
        <f>TEXT(36,"00")</f>
        <v>36</v>
      </c>
      <c r="C1883" s="1" t="str">
        <f t="shared" si="117"/>
        <v>220-36</v>
      </c>
      <c r="D1883" t="s">
        <v>1867</v>
      </c>
      <c r="E1883" t="b">
        <f>IF(COUNTIF(D1883,"*"&amp;'Keyword Search'!$C$5&amp;"*"),TRUE,FALSE)</f>
        <v>1</v>
      </c>
      <c r="G1883" t="str">
        <f t="shared" si="118"/>
        <v>220-36: Oscillographs, Cathode-Ray Recording System, Including Parts and Accessories</v>
      </c>
    </row>
    <row r="1884" spans="1:7" x14ac:dyDescent="0.25">
      <c r="A1884" s="1" t="str">
        <f t="shared" si="119"/>
        <v>220</v>
      </c>
      <c r="B1884" s="1" t="str">
        <f>TEXT(42,"00")</f>
        <v>42</v>
      </c>
      <c r="C1884" s="1" t="str">
        <f t="shared" si="117"/>
        <v>220-42</v>
      </c>
      <c r="D1884" t="s">
        <v>1868</v>
      </c>
      <c r="E1884" t="b">
        <f>IF(COUNTIF(D1884,"*"&amp;'Keyword Search'!$C$5&amp;"*"),TRUE,FALSE)</f>
        <v>1</v>
      </c>
      <c r="G1884" t="str">
        <f t="shared" si="118"/>
        <v>220-42: Photoelectric Control Devices</v>
      </c>
    </row>
    <row r="1885" spans="1:7" x14ac:dyDescent="0.25">
      <c r="A1885" s="1" t="str">
        <f t="shared" si="119"/>
        <v>220</v>
      </c>
      <c r="B1885" s="1" t="str">
        <f>TEXT(43,"00")</f>
        <v>43</v>
      </c>
      <c r="C1885" s="1" t="str">
        <f t="shared" si="117"/>
        <v>220-43</v>
      </c>
      <c r="D1885" t="s">
        <v>1869</v>
      </c>
      <c r="E1885" t="b">
        <f>IF(COUNTIF(D1885,"*"&amp;'Keyword Search'!$C$5&amp;"*"),TRUE,FALSE)</f>
        <v>1</v>
      </c>
      <c r="G1885" t="str">
        <f t="shared" si="118"/>
        <v>220-43: Position Measuring Devices, X-Y Coordinates</v>
      </c>
    </row>
    <row r="1886" spans="1:7" x14ac:dyDescent="0.25">
      <c r="A1886" s="1" t="str">
        <f t="shared" si="119"/>
        <v>220</v>
      </c>
      <c r="B1886" s="1" t="str">
        <f>TEXT(45,"00")</f>
        <v>45</v>
      </c>
      <c r="C1886" s="1" t="str">
        <f t="shared" si="117"/>
        <v>220-45</v>
      </c>
      <c r="D1886" t="s">
        <v>1870</v>
      </c>
      <c r="E1886" t="b">
        <f>IF(COUNTIF(D1886,"*"&amp;'Keyword Search'!$C$5&amp;"*"),TRUE,FALSE)</f>
        <v>1</v>
      </c>
      <c r="G1886" t="str">
        <f t="shared" si="118"/>
        <v>220-45: Pressure Controllers, Indicators, and Recorders</v>
      </c>
    </row>
    <row r="1887" spans="1:7" x14ac:dyDescent="0.25">
      <c r="A1887" s="1" t="str">
        <f t="shared" si="119"/>
        <v>220</v>
      </c>
      <c r="B1887" s="1" t="str">
        <f>TEXT(46,"00")</f>
        <v>46</v>
      </c>
      <c r="C1887" s="1" t="str">
        <f t="shared" si="117"/>
        <v>220-46</v>
      </c>
      <c r="D1887" t="s">
        <v>1871</v>
      </c>
      <c r="E1887" t="b">
        <f>IF(COUNTIF(D1887,"*"&amp;'Keyword Search'!$C$5&amp;"*"),TRUE,FALSE)</f>
        <v>1</v>
      </c>
      <c r="G1887" t="str">
        <f t="shared" si="118"/>
        <v>220-46: Pressure Converters</v>
      </c>
    </row>
    <row r="1888" spans="1:7" x14ac:dyDescent="0.25">
      <c r="A1888" s="1" t="str">
        <f t="shared" si="119"/>
        <v>220</v>
      </c>
      <c r="B1888" s="1" t="str">
        <f>TEXT(48,"00")</f>
        <v>48</v>
      </c>
      <c r="C1888" s="1" t="str">
        <f t="shared" si="117"/>
        <v>220-48</v>
      </c>
      <c r="D1888" t="s">
        <v>1872</v>
      </c>
      <c r="E1888" t="b">
        <f>IF(COUNTIF(D1888,"*"&amp;'Keyword Search'!$C$5&amp;"*"),TRUE,FALSE)</f>
        <v>1</v>
      </c>
      <c r="G1888" t="str">
        <f t="shared" si="118"/>
        <v>220-48: Radar Instruments, Marine Type, Magnetrons, etc., Including Parts and Accessories</v>
      </c>
    </row>
    <row r="1889" spans="1:7" x14ac:dyDescent="0.25">
      <c r="A1889" s="1" t="str">
        <f t="shared" si="119"/>
        <v>220</v>
      </c>
      <c r="B1889" s="1" t="str">
        <f>TEXT(52,"00")</f>
        <v>52</v>
      </c>
      <c r="C1889" s="1" t="str">
        <f t="shared" si="117"/>
        <v>220-52</v>
      </c>
      <c r="D1889" t="s">
        <v>1873</v>
      </c>
      <c r="E1889" t="b">
        <f>IF(COUNTIF(D1889,"*"&amp;'Keyword Search'!$C$5&amp;"*"),TRUE,FALSE)</f>
        <v>1</v>
      </c>
      <c r="G1889" t="str">
        <f t="shared" si="118"/>
        <v>220-52: *Biometric Card Reader, Including Parts and Accessories</v>
      </c>
    </row>
    <row r="1890" spans="1:7" x14ac:dyDescent="0.25">
      <c r="A1890" s="1" t="str">
        <f t="shared" si="119"/>
        <v>220</v>
      </c>
      <c r="B1890" s="1" t="str">
        <f>TEXT(53,"00")</f>
        <v>53</v>
      </c>
      <c r="C1890" s="1" t="str">
        <f t="shared" si="117"/>
        <v>220-53</v>
      </c>
      <c r="D1890" t="s">
        <v>1874</v>
      </c>
      <c r="E1890" t="b">
        <f>IF(COUNTIF(D1890,"*"&amp;'Keyword Search'!$C$5&amp;"*"),TRUE,FALSE)</f>
        <v>1</v>
      </c>
      <c r="G1890" t="str">
        <f t="shared" si="118"/>
        <v>220-53: Radiant Energy Measuring Devices, Visual, UV, and IR: Light Meters, Except Photographic, Photometers, Pyranometers, Radiometers, etc.</v>
      </c>
    </row>
    <row r="1891" spans="1:7" x14ac:dyDescent="0.25">
      <c r="A1891" s="1" t="str">
        <f t="shared" si="119"/>
        <v>220</v>
      </c>
      <c r="B1891" s="1" t="str">
        <f>TEXT(54,"00")</f>
        <v>54</v>
      </c>
      <c r="C1891" s="1" t="str">
        <f t="shared" si="117"/>
        <v>220-54</v>
      </c>
      <c r="D1891" t="s">
        <v>1875</v>
      </c>
      <c r="E1891" t="b">
        <f>IF(COUNTIF(D1891,"*"&amp;'Keyword Search'!$C$5&amp;"*"),TRUE,FALSE)</f>
        <v>1</v>
      </c>
      <c r="G1891" t="str">
        <f t="shared" si="118"/>
        <v>220-54: Recorders and Plotters, General Laboratory Type, Strip Chart, X-Y, etc., and Supplies: Chart Paper, Developing Chemicals, Ink, Penholders, Pens, etc. (See 690-62 for Power Generation Type)</v>
      </c>
    </row>
    <row r="1892" spans="1:7" x14ac:dyDescent="0.25">
      <c r="A1892" s="1" t="str">
        <f t="shared" si="119"/>
        <v>220</v>
      </c>
      <c r="B1892" s="1" t="str">
        <f>TEXT(55,"00")</f>
        <v>55</v>
      </c>
      <c r="C1892" s="1" t="str">
        <f t="shared" si="117"/>
        <v>220-55</v>
      </c>
      <c r="D1892" t="s">
        <v>1876</v>
      </c>
      <c r="E1892" t="b">
        <f>IF(COUNTIF(D1892,"*"&amp;'Keyword Search'!$C$5&amp;"*"),TRUE,FALSE)</f>
        <v>1</v>
      </c>
      <c r="G1892" t="str">
        <f t="shared" si="118"/>
        <v>220-55: Recycled Recording, Controlling and Indicating Instruments and Supplies</v>
      </c>
    </row>
    <row r="1893" spans="1:7" x14ac:dyDescent="0.25">
      <c r="A1893" s="1" t="str">
        <f t="shared" si="119"/>
        <v>220</v>
      </c>
      <c r="B1893" s="1" t="str">
        <f>TEXT(60,"00")</f>
        <v>60</v>
      </c>
      <c r="C1893" s="1" t="str">
        <f t="shared" si="117"/>
        <v>220-60</v>
      </c>
      <c r="D1893" t="s">
        <v>1877</v>
      </c>
      <c r="E1893" t="b">
        <f>IF(COUNTIF(D1893,"*"&amp;'Keyword Search'!$C$5&amp;"*"),TRUE,FALSE)</f>
        <v>1</v>
      </c>
      <c r="G1893" t="str">
        <f t="shared" si="118"/>
        <v>220-60: Sonar Instruments, Research Type</v>
      </c>
    </row>
    <row r="1894" spans="1:7" x14ac:dyDescent="0.25">
      <c r="A1894" s="1" t="str">
        <f t="shared" si="119"/>
        <v>220</v>
      </c>
      <c r="B1894" s="1" t="str">
        <f>TEXT(61,"00")</f>
        <v>61</v>
      </c>
      <c r="C1894" s="1" t="str">
        <f t="shared" si="117"/>
        <v>220-61</v>
      </c>
      <c r="D1894" t="s">
        <v>1878</v>
      </c>
      <c r="E1894" t="b">
        <f>IF(COUNTIF(D1894,"*"&amp;'Keyword Search'!$C$5&amp;"*"),TRUE,FALSE)</f>
        <v>1</v>
      </c>
      <c r="G1894" t="str">
        <f t="shared" si="118"/>
        <v>220-61: Sound Analysis Equipment and Accessories: Noise Meters and Dosimeters, Sound Level Meters, etc., Including Noise Control Enclosures, etc.</v>
      </c>
    </row>
    <row r="1895" spans="1:7" x14ac:dyDescent="0.25">
      <c r="A1895" s="1" t="str">
        <f t="shared" si="119"/>
        <v>220</v>
      </c>
      <c r="B1895" s="1" t="str">
        <f>TEXT(63,"00")</f>
        <v>63</v>
      </c>
      <c r="C1895" s="1" t="str">
        <f t="shared" si="117"/>
        <v>220-63</v>
      </c>
      <c r="D1895" t="s">
        <v>1879</v>
      </c>
      <c r="E1895" t="b">
        <f>IF(COUNTIF(D1895,"*"&amp;'Keyword Search'!$C$5&amp;"*"),TRUE,FALSE)</f>
        <v>1</v>
      </c>
      <c r="G1895" t="str">
        <f t="shared" si="118"/>
        <v>220-63: Strain Gauges, Force Gauges, and Associated Instruments: Strain Gauge Conditioners, Stress-Strain Plotters, etc.</v>
      </c>
    </row>
    <row r="1896" spans="1:7" x14ac:dyDescent="0.25">
      <c r="A1896" s="1" t="str">
        <f t="shared" si="119"/>
        <v>220</v>
      </c>
      <c r="B1896" s="1" t="str">
        <f>TEXT(66,"00")</f>
        <v>66</v>
      </c>
      <c r="C1896" s="1" t="str">
        <f t="shared" si="117"/>
        <v>220-66</v>
      </c>
      <c r="D1896" t="s">
        <v>1880</v>
      </c>
      <c r="E1896" t="b">
        <f>IF(COUNTIF(D1896,"*"&amp;'Keyword Search'!$C$5&amp;"*"),TRUE,FALSE)</f>
        <v>1</v>
      </c>
      <c r="G1896" t="str">
        <f t="shared" si="118"/>
        <v>220-66: Stroboscopes and Tachometers, Except Automotive</v>
      </c>
    </row>
    <row r="1897" spans="1:7" x14ac:dyDescent="0.25">
      <c r="A1897" s="1" t="str">
        <f t="shared" si="119"/>
        <v>220</v>
      </c>
      <c r="B1897" s="1" t="str">
        <f>TEXT(68,"00")</f>
        <v>68</v>
      </c>
      <c r="C1897" s="1" t="str">
        <f t="shared" si="117"/>
        <v>220-68</v>
      </c>
      <c r="D1897" t="s">
        <v>1881</v>
      </c>
      <c r="E1897" t="b">
        <f>IF(COUNTIF(D1897,"*"&amp;'Keyword Search'!$C$5&amp;"*"),TRUE,FALSE)</f>
        <v>1</v>
      </c>
      <c r="G1897" t="str">
        <f t="shared" si="118"/>
        <v>220-68: Surface Profile Measurement Equipment</v>
      </c>
    </row>
    <row r="1898" spans="1:7" x14ac:dyDescent="0.25">
      <c r="A1898" s="1" t="str">
        <f t="shared" si="119"/>
        <v>220</v>
      </c>
      <c r="B1898" s="1" t="str">
        <f>TEXT(72,"00")</f>
        <v>72</v>
      </c>
      <c r="C1898" s="1" t="str">
        <f t="shared" si="117"/>
        <v>220-72</v>
      </c>
      <c r="D1898" t="s">
        <v>1882</v>
      </c>
      <c r="E1898" t="b">
        <f>IF(COUNTIF(D1898,"*"&amp;'Keyword Search'!$C$5&amp;"*"),TRUE,FALSE)</f>
        <v>1</v>
      </c>
      <c r="G1898" t="str">
        <f t="shared" si="118"/>
        <v>220-72: Temperature Controllers, Indicators, and Recorders, Digital Thermometers, Pyrometers, etc., Including Parts and Accessories: Thermistors, Thermocouples, etc.</v>
      </c>
    </row>
    <row r="1899" spans="1:7" x14ac:dyDescent="0.25">
      <c r="A1899" s="1" t="str">
        <f t="shared" si="119"/>
        <v>220</v>
      </c>
      <c r="B1899" s="1" t="str">
        <f>TEXT(75,"00")</f>
        <v>75</v>
      </c>
      <c r="C1899" s="1" t="str">
        <f t="shared" si="117"/>
        <v>220-75</v>
      </c>
      <c r="D1899" t="s">
        <v>1883</v>
      </c>
      <c r="E1899" t="b">
        <f>IF(COUNTIF(D1899,"*"&amp;'Keyword Search'!$C$5&amp;"*"),TRUE,FALSE)</f>
        <v>1</v>
      </c>
      <c r="G1899" t="str">
        <f t="shared" si="118"/>
        <v>220-75: Transducers and Couplers</v>
      </c>
    </row>
    <row r="1900" spans="1:7" x14ac:dyDescent="0.25">
      <c r="A1900" s="1" t="str">
        <f t="shared" si="119"/>
        <v>220</v>
      </c>
      <c r="B1900" s="1" t="str">
        <f>TEXT(84,"00")</f>
        <v>84</v>
      </c>
      <c r="C1900" s="1" t="str">
        <f t="shared" si="117"/>
        <v>220-84</v>
      </c>
      <c r="D1900" t="s">
        <v>1884</v>
      </c>
      <c r="E1900" t="b">
        <f>IF(COUNTIF(D1900,"*"&amp;'Keyword Search'!$C$5&amp;"*"),TRUE,FALSE)</f>
        <v>1</v>
      </c>
      <c r="G1900" t="str">
        <f t="shared" si="118"/>
        <v>220-84: Vibration Detecting and Measuring Equipment: Geophones, Seismic Amplifiers, Seismographs, etc.</v>
      </c>
    </row>
    <row r="1901" spans="1:7" x14ac:dyDescent="0.25">
      <c r="A1901" s="1" t="str">
        <f t="shared" si="119"/>
        <v>220</v>
      </c>
      <c r="B1901" s="1" t="str">
        <f>TEXT(85,"00")</f>
        <v>85</v>
      </c>
      <c r="C1901" s="1" t="str">
        <f t="shared" si="117"/>
        <v>220-85</v>
      </c>
      <c r="D1901" t="s">
        <v>1885</v>
      </c>
      <c r="E1901" t="b">
        <f>IF(COUNTIF(D1901,"*"&amp;'Keyword Search'!$C$5&amp;"*"),TRUE,FALSE)</f>
        <v>1</v>
      </c>
      <c r="G1901" t="str">
        <f t="shared" si="118"/>
        <v>220-85: Vibration Generating Equipment: Piezoelectric, Sonic, Ultrasonic, etc.</v>
      </c>
    </row>
    <row r="1902" spans="1:7" x14ac:dyDescent="0.25">
      <c r="A1902" s="1" t="str">
        <f t="shared" si="119"/>
        <v>220</v>
      </c>
      <c r="B1902" s="1" t="str">
        <f>TEXT(87,"00")</f>
        <v>87</v>
      </c>
      <c r="C1902" s="1" t="str">
        <f t="shared" si="117"/>
        <v>220-87</v>
      </c>
      <c r="D1902" t="s">
        <v>1886</v>
      </c>
      <c r="E1902" t="b">
        <f>IF(COUNTIF(D1902,"*"&amp;'Keyword Search'!$C$5&amp;"*"),TRUE,FALSE)</f>
        <v>1</v>
      </c>
      <c r="G1902" t="str">
        <f t="shared" si="118"/>
        <v>220-87: *Weather Instruments: Anemometers, Barographs, Barometers, Hygrometers, Lightning Strike Counters, Relative Humidity Meters, Thermographs, Radar Weather Display, etc.</v>
      </c>
    </row>
    <row r="1903" spans="1:7" x14ac:dyDescent="0.25">
      <c r="A1903" s="1" t="str">
        <f t="shared" si="119"/>
        <v>220</v>
      </c>
      <c r="B1903" s="1" t="str">
        <f>TEXT(88,"00")</f>
        <v>88</v>
      </c>
      <c r="C1903" s="1" t="str">
        <f t="shared" si="117"/>
        <v>220-88</v>
      </c>
      <c r="D1903" t="s">
        <v>1887</v>
      </c>
      <c r="E1903" t="b">
        <f>IF(COUNTIF(D1903,"*"&amp;'Keyword Search'!$C$5&amp;"*"),TRUE,FALSE)</f>
        <v>1</v>
      </c>
      <c r="G1903" t="str">
        <f t="shared" si="118"/>
        <v>220-88: *Weather Station</v>
      </c>
    </row>
    <row r="1904" spans="1:7" x14ac:dyDescent="0.25">
      <c r="A1904" s="5" t="str">
        <f>TEXT(225,"000")</f>
        <v>225</v>
      </c>
      <c r="B1904" s="5" t="str">
        <f>TEXT(0,"00")</f>
        <v>00</v>
      </c>
      <c r="C1904" s="1"/>
      <c r="D1904" s="2" t="s">
        <v>1888</v>
      </c>
    </row>
    <row r="1905" spans="1:7" x14ac:dyDescent="0.25">
      <c r="A1905" s="1" t="str">
        <f>TEXT(225,"000")</f>
        <v>225</v>
      </c>
      <c r="B1905" s="1" t="str">
        <f>TEXT(30,"00")</f>
        <v>30</v>
      </c>
      <c r="C1905" s="1" t="str">
        <f t="shared" si="117"/>
        <v>225-30</v>
      </c>
      <c r="D1905" t="s">
        <v>1889</v>
      </c>
      <c r="E1905" t="b">
        <f>IF(COUNTIF(D1905,"*"&amp;'Keyword Search'!$C$5&amp;"*"),TRUE,FALSE)</f>
        <v>1</v>
      </c>
      <c r="G1905" t="str">
        <f t="shared" si="118"/>
        <v>225-30: Coolers, Electric, Water Fountains</v>
      </c>
    </row>
    <row r="1906" spans="1:7" x14ac:dyDescent="0.25">
      <c r="A1906" s="1" t="str">
        <f>TEXT(225,"000")</f>
        <v>225</v>
      </c>
      <c r="B1906" s="1" t="str">
        <f>TEXT(32,"00")</f>
        <v>32</v>
      </c>
      <c r="C1906" s="1" t="str">
        <f t="shared" si="117"/>
        <v>225-32</v>
      </c>
      <c r="D1906" t="s">
        <v>1890</v>
      </c>
      <c r="E1906" t="b">
        <f>IF(COUNTIF(D1906,"*"&amp;'Keyword Search'!$C$5&amp;"*"),TRUE,FALSE)</f>
        <v>1</v>
      </c>
      <c r="G1906" t="str">
        <f t="shared" si="118"/>
        <v>225-32: Coolers, Non-Electric, Water Fountains</v>
      </c>
    </row>
    <row r="1907" spans="1:7" x14ac:dyDescent="0.25">
      <c r="A1907" s="1" t="str">
        <f>TEXT(225,"000")</f>
        <v>225</v>
      </c>
      <c r="B1907" s="1" t="str">
        <f>TEXT(40,"00")</f>
        <v>40</v>
      </c>
      <c r="C1907" s="1" t="str">
        <f t="shared" si="117"/>
        <v>225-40</v>
      </c>
      <c r="D1907" t="s">
        <v>1891</v>
      </c>
      <c r="E1907" t="b">
        <f>IF(COUNTIF(D1907,"*"&amp;'Keyword Search'!$C$5&amp;"*"),TRUE,FALSE)</f>
        <v>1</v>
      </c>
      <c r="G1907" t="str">
        <f t="shared" si="118"/>
        <v>225-40: Coolers, Storage Type, Remote Refrigeration Unit, Including Parts and Accessories</v>
      </c>
    </row>
    <row r="1908" spans="1:7" x14ac:dyDescent="0.25">
      <c r="A1908" s="1" t="str">
        <f>TEXT(225,"000")</f>
        <v>225</v>
      </c>
      <c r="B1908" s="1" t="str">
        <f>TEXT(64,"00")</f>
        <v>64</v>
      </c>
      <c r="C1908" s="1" t="str">
        <f t="shared" si="117"/>
        <v>225-64</v>
      </c>
      <c r="D1908" t="s">
        <v>1892</v>
      </c>
      <c r="E1908" t="b">
        <f>IF(COUNTIF(D1908,"*"&amp;'Keyword Search'!$C$5&amp;"*"),TRUE,FALSE)</f>
        <v>1</v>
      </c>
      <c r="G1908" t="str">
        <f t="shared" si="118"/>
        <v>225-64: Recycled Drinking Fountains and Supplies</v>
      </c>
    </row>
    <row r="1909" spans="1:7" x14ac:dyDescent="0.25">
      <c r="A1909" s="5" t="str">
        <f t="shared" ref="A1909:A1937" si="120">TEXT(232,"000")</f>
        <v>232</v>
      </c>
      <c r="B1909" s="5" t="str">
        <f>TEXT(0,"00")</f>
        <v>00</v>
      </c>
      <c r="C1909" s="1"/>
      <c r="D1909" s="2" t="s">
        <v>1893</v>
      </c>
    </row>
    <row r="1910" spans="1:7" x14ac:dyDescent="0.25">
      <c r="A1910" s="1" t="str">
        <f t="shared" si="120"/>
        <v>232</v>
      </c>
      <c r="B1910" s="1" t="str">
        <f>TEXT(2,"00")</f>
        <v>02</v>
      </c>
      <c r="C1910" s="1" t="str">
        <f t="shared" si="117"/>
        <v>232-02</v>
      </c>
      <c r="D1910" t="s">
        <v>1894</v>
      </c>
      <c r="E1910" t="b">
        <f>IF(COUNTIF(D1910,"*"&amp;'Keyword Search'!$C$5&amp;"*"),TRUE,FALSE)</f>
        <v>1</v>
      </c>
      <c r="G1910" t="str">
        <f t="shared" si="118"/>
        <v>232-02: Artificial Plants, Shrubs, and Trees</v>
      </c>
    </row>
    <row r="1911" spans="1:7" x14ac:dyDescent="0.25">
      <c r="A1911" s="1" t="str">
        <f t="shared" si="120"/>
        <v>232</v>
      </c>
      <c r="B1911" s="1" t="str">
        <f>TEXT(5,"00")</f>
        <v>05</v>
      </c>
      <c r="C1911" s="1" t="str">
        <f t="shared" si="117"/>
        <v>232-05</v>
      </c>
      <c r="D1911" t="s">
        <v>1895</v>
      </c>
      <c r="E1911" t="b">
        <f>IF(COUNTIF(D1911,"*"&amp;'Keyword Search'!$C$5&amp;"*"),TRUE,FALSE)</f>
        <v>1</v>
      </c>
      <c r="G1911" t="str">
        <f t="shared" si="118"/>
        <v>232-05: Basketry Materials</v>
      </c>
    </row>
    <row r="1912" spans="1:7" x14ac:dyDescent="0.25">
      <c r="A1912" s="1" t="str">
        <f t="shared" si="120"/>
        <v>232</v>
      </c>
      <c r="B1912" s="1" t="str">
        <f>TEXT(10,"00")</f>
        <v>10</v>
      </c>
      <c r="C1912" s="1" t="str">
        <f t="shared" si="117"/>
        <v>232-10</v>
      </c>
      <c r="D1912" t="s">
        <v>1896</v>
      </c>
      <c r="E1912" t="b">
        <f>IF(COUNTIF(D1912,"*"&amp;'Keyword Search'!$C$5&amp;"*"),TRUE,FALSE)</f>
        <v>1</v>
      </c>
      <c r="G1912" t="str">
        <f t="shared" si="118"/>
        <v>232-10: Beadcraft Supplies</v>
      </c>
    </row>
    <row r="1913" spans="1:7" x14ac:dyDescent="0.25">
      <c r="A1913" s="1" t="str">
        <f t="shared" si="120"/>
        <v>232</v>
      </c>
      <c r="B1913" s="1" t="str">
        <f>TEXT(15,"00")</f>
        <v>15</v>
      </c>
      <c r="C1913" s="1" t="str">
        <f t="shared" si="117"/>
        <v>232-15</v>
      </c>
      <c r="D1913" t="s">
        <v>1897</v>
      </c>
      <c r="E1913" t="b">
        <f>IF(COUNTIF(D1913,"*"&amp;'Keyword Search'!$C$5&amp;"*"),TRUE,FALSE)</f>
        <v>1</v>
      </c>
      <c r="G1913" t="str">
        <f t="shared" si="118"/>
        <v>232-15: Candle Making Equipment and Supplies (See 393-56 for Candles)</v>
      </c>
    </row>
    <row r="1914" spans="1:7" x14ac:dyDescent="0.25">
      <c r="A1914" s="1" t="str">
        <f t="shared" si="120"/>
        <v>232</v>
      </c>
      <c r="B1914" s="1" t="str">
        <f>TEXT(20,"00")</f>
        <v>20</v>
      </c>
      <c r="C1914" s="1" t="str">
        <f t="shared" si="117"/>
        <v>232-20</v>
      </c>
      <c r="D1914" t="s">
        <v>1898</v>
      </c>
      <c r="E1914" t="b">
        <f>IF(COUNTIF(D1914,"*"&amp;'Keyword Search'!$C$5&amp;"*"),TRUE,FALSE)</f>
        <v>1</v>
      </c>
      <c r="G1914" t="str">
        <f t="shared" si="118"/>
        <v>232-20: Carpet Warp and Roving, Macram?2322500Decoupage Materials and Supplies</v>
      </c>
    </row>
    <row r="1915" spans="1:7" x14ac:dyDescent="0.25">
      <c r="A1915" s="1" t="str">
        <f t="shared" si="120"/>
        <v>232</v>
      </c>
      <c r="B1915" s="1" t="str">
        <f>TEXT(25,"00")</f>
        <v>25</v>
      </c>
      <c r="C1915" s="1" t="str">
        <f t="shared" si="117"/>
        <v>232-25</v>
      </c>
      <c r="D1915" t="s">
        <v>1899</v>
      </c>
      <c r="E1915" t="b">
        <f>IF(COUNTIF(D1915,"*"&amp;'Keyword Search'!$C$5&amp;"*"),TRUE,FALSE)</f>
        <v>1</v>
      </c>
      <c r="G1915" t="str">
        <f t="shared" si="118"/>
        <v>232-25: Decoupage Materials and Supplies</v>
      </c>
    </row>
    <row r="1916" spans="1:7" x14ac:dyDescent="0.25">
      <c r="A1916" s="1" t="str">
        <f t="shared" si="120"/>
        <v>232</v>
      </c>
      <c r="B1916" s="1" t="str">
        <f>TEXT(27,"00")</f>
        <v>27</v>
      </c>
      <c r="C1916" s="1" t="str">
        <f t="shared" si="117"/>
        <v>232-27</v>
      </c>
      <c r="D1916" t="s">
        <v>1900</v>
      </c>
      <c r="E1916" t="b">
        <f>IF(COUNTIF(D1916,"*"&amp;'Keyword Search'!$C$5&amp;"*"),TRUE,FALSE)</f>
        <v>1</v>
      </c>
      <c r="G1916" t="str">
        <f t="shared" si="118"/>
        <v>232-27: Dried Flowers and Plants</v>
      </c>
    </row>
    <row r="1917" spans="1:7" x14ac:dyDescent="0.25">
      <c r="A1917" s="1" t="str">
        <f t="shared" si="120"/>
        <v>232</v>
      </c>
      <c r="B1917" s="1" t="str">
        <f>TEXT(32,"00")</f>
        <v>32</v>
      </c>
      <c r="C1917" s="1" t="str">
        <f t="shared" si="117"/>
        <v>232-32</v>
      </c>
      <c r="D1917" t="s">
        <v>1901</v>
      </c>
      <c r="E1917" t="b">
        <f>IF(COUNTIF(D1917,"*"&amp;'Keyword Search'!$C$5&amp;"*"),TRUE,FALSE)</f>
        <v>1</v>
      </c>
      <c r="G1917" t="str">
        <f t="shared" si="118"/>
        <v>232-32: Floral Arrangements, Artificial</v>
      </c>
    </row>
    <row r="1918" spans="1:7" x14ac:dyDescent="0.25">
      <c r="A1918" s="1" t="str">
        <f t="shared" si="120"/>
        <v>232</v>
      </c>
      <c r="B1918" s="1" t="str">
        <f>TEXT(35,"00")</f>
        <v>35</v>
      </c>
      <c r="C1918" s="1" t="str">
        <f t="shared" si="117"/>
        <v>232-35</v>
      </c>
      <c r="D1918" t="s">
        <v>1902</v>
      </c>
      <c r="E1918" t="b">
        <f>IF(COUNTIF(D1918,"*"&amp;'Keyword Search'!$C$5&amp;"*"),TRUE,FALSE)</f>
        <v>1</v>
      </c>
      <c r="G1918" t="str">
        <f t="shared" si="118"/>
        <v>232-35: Floral Supplies: Artificial Flowers, Floral Tape, etc.</v>
      </c>
    </row>
    <row r="1919" spans="1:7" x14ac:dyDescent="0.25">
      <c r="A1919" s="1" t="str">
        <f t="shared" si="120"/>
        <v>232</v>
      </c>
      <c r="B1919" s="1" t="str">
        <f>TEXT(38,"00")</f>
        <v>38</v>
      </c>
      <c r="C1919" s="1" t="str">
        <f t="shared" si="117"/>
        <v>232-38</v>
      </c>
      <c r="D1919" t="s">
        <v>1903</v>
      </c>
      <c r="E1919" t="b">
        <f>IF(COUNTIF(D1919,"*"&amp;'Keyword Search'!$C$5&amp;"*"),TRUE,FALSE)</f>
        <v>1</v>
      </c>
      <c r="G1919" t="str">
        <f t="shared" si="118"/>
        <v>232-38: Glitter, Sequins, Stars, Feather Craft, Polyester Balls, etc.</v>
      </c>
    </row>
    <row r="1920" spans="1:7" x14ac:dyDescent="0.25">
      <c r="A1920" s="1" t="str">
        <f t="shared" si="120"/>
        <v>232</v>
      </c>
      <c r="B1920" s="1" t="str">
        <f>TEXT(41,"00")</f>
        <v>41</v>
      </c>
      <c r="C1920" s="1" t="str">
        <f t="shared" si="117"/>
        <v>232-41</v>
      </c>
      <c r="D1920" t="s">
        <v>1904</v>
      </c>
      <c r="E1920" t="b">
        <f>IF(COUNTIF(D1920,"*"&amp;'Keyword Search'!$C$5&amp;"*"),TRUE,FALSE)</f>
        <v>1</v>
      </c>
      <c r="G1920" t="str">
        <f t="shared" si="118"/>
        <v>232-41: Kits and Supplies: Crafts, Miscellaneous</v>
      </c>
    </row>
    <row r="1921" spans="1:7" x14ac:dyDescent="0.25">
      <c r="A1921" s="1" t="str">
        <f t="shared" si="120"/>
        <v>232</v>
      </c>
      <c r="B1921" s="1" t="str">
        <f>TEXT(42,"00")</f>
        <v>42</v>
      </c>
      <c r="C1921" s="1" t="str">
        <f t="shared" si="117"/>
        <v>232-42</v>
      </c>
      <c r="D1921" t="s">
        <v>1905</v>
      </c>
      <c r="E1921" t="b">
        <f>IF(COUNTIF(D1921,"*"&amp;'Keyword Search'!$C$5&amp;"*"),TRUE,FALSE)</f>
        <v>1</v>
      </c>
      <c r="G1921" t="str">
        <f t="shared" si="118"/>
        <v>232-42: Kits and Supplies: Foil, Tin, etc.</v>
      </c>
    </row>
    <row r="1922" spans="1:7" x14ac:dyDescent="0.25">
      <c r="A1922" s="1" t="str">
        <f t="shared" si="120"/>
        <v>232</v>
      </c>
      <c r="B1922" s="1" t="str">
        <f>TEXT(43,"00")</f>
        <v>43</v>
      </c>
      <c r="C1922" s="1" t="str">
        <f t="shared" si="117"/>
        <v>232-43</v>
      </c>
      <c r="D1922" t="s">
        <v>1906</v>
      </c>
      <c r="E1922" t="b">
        <f>IF(COUNTIF(D1922,"*"&amp;'Keyword Search'!$C$5&amp;"*"),TRUE,FALSE)</f>
        <v>1</v>
      </c>
      <c r="G1922" t="str">
        <f t="shared" si="118"/>
        <v>232-43: Kits and Supplies: Mosaic</v>
      </c>
    </row>
    <row r="1923" spans="1:7" x14ac:dyDescent="0.25">
      <c r="A1923" s="1" t="str">
        <f t="shared" si="120"/>
        <v>232</v>
      </c>
      <c r="B1923" s="1" t="str">
        <f>TEXT(45,"00")</f>
        <v>45</v>
      </c>
      <c r="C1923" s="1" t="str">
        <f t="shared" ref="C1923:C1986" si="121">CONCATENATE(A1923,"-",B1923)</f>
        <v>232-45</v>
      </c>
      <c r="D1923" t="s">
        <v>1907</v>
      </c>
      <c r="E1923" t="b">
        <f>IF(COUNTIF(D1923,"*"&amp;'Keyword Search'!$C$5&amp;"*"),TRUE,FALSE)</f>
        <v>1</v>
      </c>
      <c r="G1923" t="str">
        <f t="shared" si="118"/>
        <v>232-45: Kits and Supplies: String and Wire Art</v>
      </c>
    </row>
    <row r="1924" spans="1:7" x14ac:dyDescent="0.25">
      <c r="A1924" s="1" t="str">
        <f t="shared" si="120"/>
        <v>232</v>
      </c>
      <c r="B1924" s="1" t="str">
        <f>TEXT(48,"00")</f>
        <v>48</v>
      </c>
      <c r="C1924" s="1" t="str">
        <f t="shared" si="121"/>
        <v>232-48</v>
      </c>
      <c r="D1924" t="s">
        <v>1908</v>
      </c>
      <c r="E1924" t="b">
        <f>IF(COUNTIF(D1924,"*"&amp;'Keyword Search'!$C$5&amp;"*"),TRUE,FALSE)</f>
        <v>1</v>
      </c>
      <c r="G1924" t="str">
        <f t="shared" ref="G1924:G1987" si="122">CONCATENATE(C1924,": ",D1924)</f>
        <v>232-48: Lacing, Crafts</v>
      </c>
    </row>
    <row r="1925" spans="1:7" x14ac:dyDescent="0.25">
      <c r="A1925" s="1" t="str">
        <f t="shared" si="120"/>
        <v>232</v>
      </c>
      <c r="B1925" s="1" t="str">
        <f>TEXT(50,"00")</f>
        <v>50</v>
      </c>
      <c r="C1925" s="1" t="str">
        <f t="shared" si="121"/>
        <v>232-50</v>
      </c>
      <c r="D1925" t="s">
        <v>1909</v>
      </c>
      <c r="E1925" t="b">
        <f>IF(COUNTIF(D1925,"*"&amp;'Keyword Search'!$C$5&amp;"*"),TRUE,FALSE)</f>
        <v>1</v>
      </c>
      <c r="G1925" t="str">
        <f t="shared" si="122"/>
        <v>232-50: Liquid Embroidery and Fabric Painting Supplies</v>
      </c>
    </row>
    <row r="1926" spans="1:7" x14ac:dyDescent="0.25">
      <c r="A1926" s="1" t="str">
        <f t="shared" si="120"/>
        <v>232</v>
      </c>
      <c r="B1926" s="1" t="str">
        <f>TEXT(53,"00")</f>
        <v>53</v>
      </c>
      <c r="C1926" s="1" t="str">
        <f t="shared" si="121"/>
        <v>232-53</v>
      </c>
      <c r="D1926" t="s">
        <v>1910</v>
      </c>
      <c r="E1926" t="b">
        <f>IF(COUNTIF(D1926,"*"&amp;'Keyword Search'!$C$5&amp;"*"),TRUE,FALSE)</f>
        <v>1</v>
      </c>
      <c r="G1926" t="str">
        <f t="shared" si="122"/>
        <v xml:space="preserve">232-53: Miniatures, Craft                                                                                                                                                                                                                                         </v>
      </c>
    </row>
    <row r="1927" spans="1:7" x14ac:dyDescent="0.25">
      <c r="A1927" s="1" t="str">
        <f t="shared" si="120"/>
        <v>232</v>
      </c>
      <c r="B1927" s="1" t="str">
        <f>TEXT(55,"00")</f>
        <v>55</v>
      </c>
      <c r="C1927" s="1" t="str">
        <f t="shared" si="121"/>
        <v>232-55</v>
      </c>
      <c r="D1927" t="s">
        <v>1911</v>
      </c>
      <c r="E1927" t="b">
        <f>IF(COUNTIF(D1927,"*"&amp;'Keyword Search'!$C$5&amp;"*"),TRUE,FALSE)</f>
        <v>1</v>
      </c>
      <c r="G1927" t="str">
        <f t="shared" si="122"/>
        <v>232-55: Model Kits and Parts: Airplane, Automobile, Ship, etc.</v>
      </c>
    </row>
    <row r="1928" spans="1:7" x14ac:dyDescent="0.25">
      <c r="A1928" s="1" t="str">
        <f t="shared" si="120"/>
        <v>232</v>
      </c>
      <c r="B1928" s="1" t="str">
        <f>TEXT(56,"00")</f>
        <v>56</v>
      </c>
      <c r="C1928" s="1" t="str">
        <f t="shared" si="121"/>
        <v>232-56</v>
      </c>
      <c r="D1928" t="s">
        <v>1912</v>
      </c>
      <c r="E1928" t="b">
        <f>IF(COUNTIF(D1928,"*"&amp;'Keyword Search'!$C$5&amp;"*"),TRUE,FALSE)</f>
        <v>1</v>
      </c>
      <c r="G1928" t="str">
        <f t="shared" si="122"/>
        <v>232-56: Molds, For Plaster Cast Projects</v>
      </c>
    </row>
    <row r="1929" spans="1:7" x14ac:dyDescent="0.25">
      <c r="A1929" s="1" t="str">
        <f t="shared" si="120"/>
        <v>232</v>
      </c>
      <c r="B1929" s="1" t="str">
        <f>TEXT(60,"00")</f>
        <v>60</v>
      </c>
      <c r="C1929" s="1" t="str">
        <f t="shared" si="121"/>
        <v>232-60</v>
      </c>
      <c r="D1929" t="s">
        <v>1913</v>
      </c>
      <c r="E1929" t="b">
        <f>IF(COUNTIF(D1929,"*"&amp;'Keyword Search'!$C$5&amp;"*"),TRUE,FALSE)</f>
        <v>1</v>
      </c>
      <c r="G1929" t="str">
        <f t="shared" si="122"/>
        <v>232-60: Needlework Kits and Supplies: Crewel, Embroidery, etc.</v>
      </c>
    </row>
    <row r="1930" spans="1:7" x14ac:dyDescent="0.25">
      <c r="A1930" s="1" t="str">
        <f t="shared" si="120"/>
        <v>232</v>
      </c>
      <c r="B1930" s="1" t="str">
        <f>TEXT(70,"00")</f>
        <v>70</v>
      </c>
      <c r="C1930" s="1" t="str">
        <f t="shared" si="121"/>
        <v>232-70</v>
      </c>
      <c r="D1930" t="s">
        <v>1914</v>
      </c>
      <c r="E1930" t="b">
        <f>IF(COUNTIF(D1930,"*"&amp;'Keyword Search'!$C$5&amp;"*"),TRUE,FALSE)</f>
        <v>1</v>
      </c>
      <c r="G1930" t="str">
        <f t="shared" si="122"/>
        <v>232-70: Precut Wood Kits: Bird Houses, Magazine Baskets, What-not Shelves, etc.</v>
      </c>
    </row>
    <row r="1931" spans="1:7" x14ac:dyDescent="0.25">
      <c r="A1931" s="1" t="str">
        <f t="shared" si="120"/>
        <v>232</v>
      </c>
      <c r="B1931" s="1" t="str">
        <f>TEXT(75,"00")</f>
        <v>75</v>
      </c>
      <c r="C1931" s="1" t="str">
        <f t="shared" si="121"/>
        <v>232-75</v>
      </c>
      <c r="D1931" t="s">
        <v>1915</v>
      </c>
      <c r="E1931" t="b">
        <f>IF(COUNTIF(D1931,"*"&amp;'Keyword Search'!$C$5&amp;"*"),TRUE,FALSE)</f>
        <v>1</v>
      </c>
      <c r="G1931" t="str">
        <f t="shared" si="122"/>
        <v>232-75: Recycled Crafts, General</v>
      </c>
    </row>
    <row r="1932" spans="1:7" x14ac:dyDescent="0.25">
      <c r="A1932" s="1" t="str">
        <f t="shared" si="120"/>
        <v>232</v>
      </c>
      <c r="B1932" s="1" t="str">
        <f>TEXT(77,"00")</f>
        <v>77</v>
      </c>
      <c r="C1932" s="1" t="str">
        <f t="shared" si="121"/>
        <v>232-77</v>
      </c>
      <c r="D1932" t="s">
        <v>1916</v>
      </c>
      <c r="E1932" t="b">
        <f>IF(COUNTIF(D1932,"*"&amp;'Keyword Search'!$C$5&amp;"*"),TRUE,FALSE)</f>
        <v>1</v>
      </c>
      <c r="G1932" t="str">
        <f t="shared" si="122"/>
        <v>232-77: Ribbons, Craft</v>
      </c>
    </row>
    <row r="1933" spans="1:7" x14ac:dyDescent="0.25">
      <c r="A1933" s="1" t="str">
        <f t="shared" si="120"/>
        <v>232</v>
      </c>
      <c r="B1933" s="1" t="str">
        <f>TEXT(78,"00")</f>
        <v>78</v>
      </c>
      <c r="C1933" s="1" t="str">
        <f t="shared" si="121"/>
        <v>232-78</v>
      </c>
      <c r="D1933" t="s">
        <v>1917</v>
      </c>
      <c r="E1933" t="b">
        <f>IF(COUNTIF(D1933,"*"&amp;'Keyword Search'!$C$5&amp;"*"),TRUE,FALSE)</f>
        <v>1</v>
      </c>
      <c r="G1933" t="str">
        <f t="shared" si="122"/>
        <v>232-78: Soap Making Materials and Supplies</v>
      </c>
    </row>
    <row r="1934" spans="1:7" x14ac:dyDescent="0.25">
      <c r="A1934" s="1" t="str">
        <f t="shared" si="120"/>
        <v>232</v>
      </c>
      <c r="B1934" s="1" t="str">
        <f>TEXT(80,"00")</f>
        <v>80</v>
      </c>
      <c r="C1934" s="1" t="str">
        <f t="shared" si="121"/>
        <v>232-80</v>
      </c>
      <c r="D1934" t="s">
        <v>1918</v>
      </c>
      <c r="E1934" t="b">
        <f>IF(COUNTIF(D1934,"*"&amp;'Keyword Search'!$C$5&amp;"*"),TRUE,FALSE)</f>
        <v>1</v>
      </c>
      <c r="G1934" t="str">
        <f t="shared" si="122"/>
        <v>232-80: Styrofoam Shapes and Foam Filler</v>
      </c>
    </row>
    <row r="1935" spans="1:7" x14ac:dyDescent="0.25">
      <c r="A1935" s="1" t="str">
        <f t="shared" si="120"/>
        <v>232</v>
      </c>
      <c r="B1935" s="1" t="str">
        <f>TEXT(85,"00")</f>
        <v>85</v>
      </c>
      <c r="C1935" s="1" t="str">
        <f t="shared" si="121"/>
        <v>232-85</v>
      </c>
      <c r="D1935" t="s">
        <v>1919</v>
      </c>
      <c r="E1935" t="b">
        <f>IF(COUNTIF(D1935,"*"&amp;'Keyword Search'!$C$5&amp;"*"),TRUE,FALSE)</f>
        <v>1</v>
      </c>
      <c r="G1935" t="str">
        <f t="shared" si="122"/>
        <v>232-85: Transfers: Hot Iron, and Rub On Type</v>
      </c>
    </row>
    <row r="1936" spans="1:7" x14ac:dyDescent="0.25">
      <c r="A1936" s="1" t="str">
        <f t="shared" si="120"/>
        <v>232</v>
      </c>
      <c r="B1936" s="1" t="str">
        <f>TEXT(90,"00")</f>
        <v>90</v>
      </c>
      <c r="C1936" s="1" t="str">
        <f t="shared" si="121"/>
        <v>232-90</v>
      </c>
      <c r="D1936" t="s">
        <v>1920</v>
      </c>
      <c r="E1936" t="b">
        <f>IF(COUNTIF(D1936,"*"&amp;'Keyword Search'!$C$5&amp;"*"),TRUE,FALSE)</f>
        <v>1</v>
      </c>
      <c r="G1936" t="str">
        <f t="shared" si="122"/>
        <v>232-90: Weaving Looms and Materials, Hand</v>
      </c>
    </row>
    <row r="1937" spans="1:7" x14ac:dyDescent="0.25">
      <c r="A1937" s="1" t="str">
        <f t="shared" si="120"/>
        <v>232</v>
      </c>
      <c r="B1937" s="1" t="str">
        <f>TEXT(95,"00")</f>
        <v>95</v>
      </c>
      <c r="C1937" s="1" t="str">
        <f t="shared" si="121"/>
        <v>232-95</v>
      </c>
      <c r="D1937" t="s">
        <v>1921</v>
      </c>
      <c r="E1937" t="b">
        <f>IF(COUNTIF(D1937,"*"&amp;'Keyword Search'!$C$5&amp;"*"),TRUE,FALSE)</f>
        <v>1</v>
      </c>
      <c r="G1937" t="str">
        <f t="shared" si="122"/>
        <v>232-95: Wood Burning, Wood Carving, Wood Working Tools, Furniture and Supplies</v>
      </c>
    </row>
    <row r="1938" spans="1:7" x14ac:dyDescent="0.25">
      <c r="A1938" s="5" t="str">
        <f t="shared" ref="A1938:A1949" si="123">TEXT(233,"000")</f>
        <v>233</v>
      </c>
      <c r="B1938" s="5" t="str">
        <f>TEXT(0,"00")</f>
        <v>00</v>
      </c>
      <c r="C1938" s="1"/>
      <c r="D1938" s="2" t="s">
        <v>1922</v>
      </c>
    </row>
    <row r="1939" spans="1:7" x14ac:dyDescent="0.25">
      <c r="A1939" s="1" t="str">
        <f t="shared" si="123"/>
        <v>233</v>
      </c>
      <c r="B1939" s="1" t="str">
        <f>TEXT(20,"00")</f>
        <v>20</v>
      </c>
      <c r="C1939" s="1" t="str">
        <f t="shared" si="121"/>
        <v>233-20</v>
      </c>
      <c r="D1939" t="s">
        <v>1923</v>
      </c>
      <c r="E1939" t="b">
        <f>IF(COUNTIF(D1939,"*"&amp;'Keyword Search'!$C$5&amp;"*"),TRUE,FALSE)</f>
        <v>1</v>
      </c>
      <c r="G1939" t="str">
        <f t="shared" si="122"/>
        <v>233-20: Ceramic and Pottery Equipment and Supplies</v>
      </c>
    </row>
    <row r="1940" spans="1:7" x14ac:dyDescent="0.25">
      <c r="A1940" s="1" t="str">
        <f t="shared" si="123"/>
        <v>233</v>
      </c>
      <c r="B1940" s="1" t="str">
        <f>TEXT(32,"00")</f>
        <v>32</v>
      </c>
      <c r="C1940" s="1" t="str">
        <f t="shared" si="121"/>
        <v>233-32</v>
      </c>
      <c r="D1940" t="s">
        <v>1924</v>
      </c>
      <c r="E1940" t="b">
        <f>IF(COUNTIF(D1940,"*"&amp;'Keyword Search'!$C$5&amp;"*"),TRUE,FALSE)</f>
        <v>1</v>
      </c>
      <c r="G1940" t="str">
        <f t="shared" si="122"/>
        <v>233-32: Faceting and Cabbing Equipment and Accessories</v>
      </c>
    </row>
    <row r="1941" spans="1:7" x14ac:dyDescent="0.25">
      <c r="A1941" s="1" t="str">
        <f t="shared" si="123"/>
        <v>233</v>
      </c>
      <c r="B1941" s="1" t="str">
        <f>TEXT(35,"00")</f>
        <v>35</v>
      </c>
      <c r="C1941" s="1" t="str">
        <f t="shared" si="121"/>
        <v>233-35</v>
      </c>
      <c r="D1941" t="s">
        <v>1925</v>
      </c>
      <c r="E1941" t="b">
        <f>IF(COUNTIF(D1941,"*"&amp;'Keyword Search'!$C$5&amp;"*"),TRUE,FALSE)</f>
        <v>1</v>
      </c>
      <c r="G1941" t="str">
        <f t="shared" si="122"/>
        <v>233-35: Glass Blowing Equipment and Supplies</v>
      </c>
    </row>
    <row r="1942" spans="1:7" x14ac:dyDescent="0.25">
      <c r="A1942" s="1" t="str">
        <f t="shared" si="123"/>
        <v>233</v>
      </c>
      <c r="B1942" s="1" t="str">
        <f>TEXT(55,"00")</f>
        <v>55</v>
      </c>
      <c r="C1942" s="1" t="str">
        <f t="shared" si="121"/>
        <v>233-55</v>
      </c>
      <c r="D1942" t="s">
        <v>1926</v>
      </c>
      <c r="E1942" t="b">
        <f>IF(COUNTIF(D1942,"*"&amp;'Keyword Search'!$C$5&amp;"*"),TRUE,FALSE)</f>
        <v>1</v>
      </c>
      <c r="G1942" t="str">
        <f t="shared" si="122"/>
        <v>233-55: Kilns and Furnaces, For Ceramic and Enameling, Including Parts and Accessories</v>
      </c>
    </row>
    <row r="1943" spans="1:7" x14ac:dyDescent="0.25">
      <c r="A1943" s="1" t="str">
        <f t="shared" si="123"/>
        <v>233</v>
      </c>
      <c r="B1943" s="1" t="str">
        <f>TEXT(60,"00")</f>
        <v>60</v>
      </c>
      <c r="C1943" s="1" t="str">
        <f t="shared" si="121"/>
        <v>233-60</v>
      </c>
      <c r="D1943" t="s">
        <v>1927</v>
      </c>
      <c r="E1943" t="b">
        <f>IF(COUNTIF(D1943,"*"&amp;'Keyword Search'!$C$5&amp;"*"),TRUE,FALSE)</f>
        <v>1</v>
      </c>
      <c r="G1943" t="str">
        <f t="shared" si="122"/>
        <v>233-60: Lapidary Equipment, Jewelry Findings, and Supplies</v>
      </c>
    </row>
    <row r="1944" spans="1:7" x14ac:dyDescent="0.25">
      <c r="A1944" s="1" t="str">
        <f t="shared" si="123"/>
        <v>233</v>
      </c>
      <c r="B1944" s="1" t="str">
        <f>TEXT(65,"00")</f>
        <v>65</v>
      </c>
      <c r="C1944" s="1" t="str">
        <f t="shared" si="121"/>
        <v>233-65</v>
      </c>
      <c r="D1944" t="s">
        <v>1928</v>
      </c>
      <c r="E1944" t="b">
        <f>IF(COUNTIF(D1944,"*"&amp;'Keyword Search'!$C$5&amp;"*"),TRUE,FALSE)</f>
        <v>1</v>
      </c>
      <c r="G1944" t="str">
        <f t="shared" si="122"/>
        <v>233-65: Leather Craft Supplies</v>
      </c>
    </row>
    <row r="1945" spans="1:7" x14ac:dyDescent="0.25">
      <c r="A1945" s="1" t="str">
        <f t="shared" si="123"/>
        <v>233</v>
      </c>
      <c r="B1945" s="1" t="str">
        <f>TEXT(70,"00")</f>
        <v>70</v>
      </c>
      <c r="C1945" s="1" t="str">
        <f t="shared" si="121"/>
        <v>233-70</v>
      </c>
      <c r="D1945" t="s">
        <v>1929</v>
      </c>
      <c r="E1945" t="b">
        <f>IF(COUNTIF(D1945,"*"&amp;'Keyword Search'!$C$5&amp;"*"),TRUE,FALSE)</f>
        <v>1</v>
      </c>
      <c r="G1945" t="str">
        <f t="shared" si="122"/>
        <v>233-70: Metal Enameling Material</v>
      </c>
    </row>
    <row r="1946" spans="1:7" x14ac:dyDescent="0.25">
      <c r="A1946" s="1" t="str">
        <f t="shared" si="123"/>
        <v>233</v>
      </c>
      <c r="B1946" s="1" t="str">
        <f>TEXT(75,"00")</f>
        <v>75</v>
      </c>
      <c r="C1946" s="1" t="str">
        <f t="shared" si="121"/>
        <v>233-75</v>
      </c>
      <c r="D1946" t="s">
        <v>1930</v>
      </c>
      <c r="E1946" t="b">
        <f>IF(COUNTIF(D1946,"*"&amp;'Keyword Search'!$C$5&amp;"*"),TRUE,FALSE)</f>
        <v>1</v>
      </c>
      <c r="G1946" t="str">
        <f t="shared" si="122"/>
        <v>233-75: Metal Craft Supplies</v>
      </c>
    </row>
    <row r="1947" spans="1:7" x14ac:dyDescent="0.25">
      <c r="A1947" s="1" t="str">
        <f t="shared" si="123"/>
        <v>233</v>
      </c>
      <c r="B1947" s="1" t="str">
        <f>TEXT(80,"00")</f>
        <v>80</v>
      </c>
      <c r="C1947" s="1" t="str">
        <f t="shared" si="121"/>
        <v>233-80</v>
      </c>
      <c r="D1947" t="s">
        <v>1931</v>
      </c>
      <c r="E1947" t="b">
        <f>IF(COUNTIF(D1947,"*"&amp;'Keyword Search'!$C$5&amp;"*"),TRUE,FALSE)</f>
        <v>1</v>
      </c>
      <c r="G1947" t="str">
        <f t="shared" si="122"/>
        <v>233-80: Paper Making Equipment and Supplies: Handmade: Beaters, Screens, Vats, etc.</v>
      </c>
    </row>
    <row r="1948" spans="1:7" x14ac:dyDescent="0.25">
      <c r="A1948" s="1" t="str">
        <f t="shared" si="123"/>
        <v>233</v>
      </c>
      <c r="B1948" s="1" t="str">
        <f>TEXT(85,"00")</f>
        <v>85</v>
      </c>
      <c r="C1948" s="1" t="str">
        <f t="shared" si="121"/>
        <v>233-85</v>
      </c>
      <c r="D1948" t="s">
        <v>1932</v>
      </c>
      <c r="E1948" t="b">
        <f>IF(COUNTIF(D1948,"*"&amp;'Keyword Search'!$C$5&amp;"*"),TRUE,FALSE)</f>
        <v>1</v>
      </c>
      <c r="G1948" t="str">
        <f t="shared" si="122"/>
        <v>233-85: Recycled Crafts, Specialized</v>
      </c>
    </row>
    <row r="1949" spans="1:7" x14ac:dyDescent="0.25">
      <c r="A1949" s="1" t="str">
        <f t="shared" si="123"/>
        <v>233</v>
      </c>
      <c r="B1949" s="1" t="str">
        <f>TEXT(90,"00")</f>
        <v>90</v>
      </c>
      <c r="C1949" s="1" t="str">
        <f t="shared" si="121"/>
        <v>233-90</v>
      </c>
      <c r="D1949" t="s">
        <v>1933</v>
      </c>
      <c r="E1949" t="b">
        <f>IF(COUNTIF(D1949,"*"&amp;'Keyword Search'!$C$5&amp;"*"),TRUE,FALSE)</f>
        <v>1</v>
      </c>
      <c r="G1949" t="str">
        <f t="shared" si="122"/>
        <v>233-90: Rubbing Compound, Abrasive</v>
      </c>
    </row>
    <row r="1950" spans="1:7" x14ac:dyDescent="0.25">
      <c r="A1950" s="5" t="str">
        <f t="shared" ref="A1950:A1973" si="124">TEXT(240,"000")</f>
        <v>240</v>
      </c>
      <c r="B1950" s="5" t="str">
        <f>TEXT(0,"00")</f>
        <v>00</v>
      </c>
      <c r="C1950" s="1"/>
      <c r="D1950" s="2" t="s">
        <v>1934</v>
      </c>
    </row>
    <row r="1951" spans="1:7" x14ac:dyDescent="0.25">
      <c r="A1951" s="1" t="str">
        <f t="shared" si="124"/>
        <v>240</v>
      </c>
      <c r="B1951" s="1" t="str">
        <f>TEXT(7,"00")</f>
        <v>07</v>
      </c>
      <c r="C1951" s="1" t="str">
        <f t="shared" si="121"/>
        <v>240-07</v>
      </c>
      <c r="D1951" t="s">
        <v>1935</v>
      </c>
      <c r="E1951" t="b">
        <f>IF(COUNTIF(D1951,"*"&amp;'Keyword Search'!$C$5&amp;"*"),TRUE,FALSE)</f>
        <v>1</v>
      </c>
      <c r="G1951" t="str">
        <f t="shared" si="122"/>
        <v>240-07: Aluminum Ware: Cooking Utensils, Dishes, Trays, Pots and Pans, etc.</v>
      </c>
    </row>
    <row r="1952" spans="1:7" x14ac:dyDescent="0.25">
      <c r="A1952" s="1" t="str">
        <f t="shared" si="124"/>
        <v>240</v>
      </c>
      <c r="B1952" s="1" t="str">
        <f>TEXT(14,"00")</f>
        <v>14</v>
      </c>
      <c r="C1952" s="1" t="str">
        <f t="shared" si="121"/>
        <v>240-14</v>
      </c>
      <c r="D1952" t="s">
        <v>1936</v>
      </c>
      <c r="E1952" t="b">
        <f>IF(COUNTIF(D1952,"*"&amp;'Keyword Search'!$C$5&amp;"*"),TRUE,FALSE)</f>
        <v>1</v>
      </c>
      <c r="G1952" t="str">
        <f t="shared" si="122"/>
        <v>240-14: Beverage Servers, All Types, Including Decanters</v>
      </c>
    </row>
    <row r="1953" spans="1:7" x14ac:dyDescent="0.25">
      <c r="A1953" s="1" t="str">
        <f t="shared" si="124"/>
        <v>240</v>
      </c>
      <c r="B1953" s="1" t="str">
        <f>TEXT(17,"00")</f>
        <v>17</v>
      </c>
      <c r="C1953" s="1" t="str">
        <f t="shared" si="121"/>
        <v>240-17</v>
      </c>
      <c r="D1953" t="s">
        <v>1937</v>
      </c>
      <c r="E1953" t="b">
        <f>IF(COUNTIF(D1953,"*"&amp;'Keyword Search'!$C$5&amp;"*"),TRUE,FALSE)</f>
        <v>1</v>
      </c>
      <c r="G1953" t="str">
        <f t="shared" si="122"/>
        <v>240-17: Cast Iron: Cooking and Frying Pots and Pans, etc.</v>
      </c>
    </row>
    <row r="1954" spans="1:7" x14ac:dyDescent="0.25">
      <c r="A1954" s="1" t="str">
        <f t="shared" si="124"/>
        <v>240</v>
      </c>
      <c r="B1954" s="1" t="str">
        <f>TEXT(20,"00")</f>
        <v>20</v>
      </c>
      <c r="C1954" s="1" t="str">
        <f t="shared" si="121"/>
        <v>240-20</v>
      </c>
      <c r="D1954" t="s">
        <v>1938</v>
      </c>
      <c r="E1954" t="b">
        <f>IF(COUNTIF(D1954,"*"&amp;'Keyword Search'!$C$5&amp;"*"),TRUE,FALSE)</f>
        <v>1</v>
      </c>
      <c r="G1954" t="str">
        <f t="shared" si="122"/>
        <v>240-20: Table Ware: Plates, Bowls, Cups, and Saucers</v>
      </c>
    </row>
    <row r="1955" spans="1:7" x14ac:dyDescent="0.25">
      <c r="A1955" s="1" t="str">
        <f t="shared" si="124"/>
        <v>240</v>
      </c>
      <c r="B1955" s="1" t="str">
        <f>TEXT(21,"00")</f>
        <v>21</v>
      </c>
      <c r="C1955" s="1" t="str">
        <f t="shared" si="121"/>
        <v>240-21</v>
      </c>
      <c r="D1955" t="s">
        <v>1939</v>
      </c>
      <c r="E1955" t="b">
        <f>IF(COUNTIF(D1955,"*"&amp;'Keyword Search'!$C$5&amp;"*"),TRUE,FALSE)</f>
        <v>1</v>
      </c>
      <c r="G1955" t="str">
        <f t="shared" si="122"/>
        <v>240-21: Chinaware</v>
      </c>
    </row>
    <row r="1956" spans="1:7" x14ac:dyDescent="0.25">
      <c r="A1956" s="1" t="str">
        <f t="shared" si="124"/>
        <v>240</v>
      </c>
      <c r="B1956" s="1" t="str">
        <f>TEXT(23,"00")</f>
        <v>23</v>
      </c>
      <c r="C1956" s="1" t="str">
        <f t="shared" si="121"/>
        <v>240-23</v>
      </c>
      <c r="D1956" t="s">
        <v>1940</v>
      </c>
      <c r="E1956" t="b">
        <f>IF(COUNTIF(D1956,"*"&amp;'Keyword Search'!$C$5&amp;"*"),TRUE,FALSE)</f>
        <v>1</v>
      </c>
      <c r="G1956" t="str">
        <f t="shared" si="122"/>
        <v>240-23: Condiment Shakers, Dispensers, Covers, etc.</v>
      </c>
    </row>
    <row r="1957" spans="1:7" x14ac:dyDescent="0.25">
      <c r="A1957" s="1" t="str">
        <f t="shared" si="124"/>
        <v>240</v>
      </c>
      <c r="B1957" s="1" t="str">
        <f>TEXT(24,"00")</f>
        <v>24</v>
      </c>
      <c r="C1957" s="1" t="str">
        <f t="shared" si="121"/>
        <v>240-24</v>
      </c>
      <c r="D1957" t="s">
        <v>1941</v>
      </c>
      <c r="E1957" t="b">
        <f>IF(COUNTIF(D1957,"*"&amp;'Keyword Search'!$C$5&amp;"*"),TRUE,FALSE)</f>
        <v>1</v>
      </c>
      <c r="G1957" t="str">
        <f t="shared" si="122"/>
        <v>240-24: Cookware, Pots and Pans</v>
      </c>
    </row>
    <row r="1958" spans="1:7" x14ac:dyDescent="0.25">
      <c r="A1958" s="1" t="str">
        <f t="shared" si="124"/>
        <v>240</v>
      </c>
      <c r="B1958" s="1" t="str">
        <f>TEXT(28,"00")</f>
        <v>28</v>
      </c>
      <c r="C1958" s="1" t="str">
        <f t="shared" si="121"/>
        <v>240-28</v>
      </c>
      <c r="D1958" t="s">
        <v>1942</v>
      </c>
      <c r="E1958" t="b">
        <f>IF(COUNTIF(D1958,"*"&amp;'Keyword Search'!$C$5&amp;"*"),TRUE,FALSE)</f>
        <v>1</v>
      </c>
      <c r="G1958" t="str">
        <f t="shared" si="122"/>
        <v>240-28: Cutlery: Knives, Spatulas, Steels, etc.</v>
      </c>
    </row>
    <row r="1959" spans="1:7" x14ac:dyDescent="0.25">
      <c r="A1959" s="1" t="str">
        <f t="shared" si="124"/>
        <v>240</v>
      </c>
      <c r="B1959" s="1" t="str">
        <f>TEXT(35,"00")</f>
        <v>35</v>
      </c>
      <c r="C1959" s="1" t="str">
        <f t="shared" si="121"/>
        <v>240-35</v>
      </c>
      <c r="D1959" t="s">
        <v>1943</v>
      </c>
      <c r="E1959" t="b">
        <f>IF(COUNTIF(D1959,"*"&amp;'Keyword Search'!$C$5&amp;"*"),TRUE,FALSE)</f>
        <v>1</v>
      </c>
      <c r="G1959" t="str">
        <f t="shared" si="122"/>
        <v>240-35: Cutting Boards</v>
      </c>
    </row>
    <row r="1960" spans="1:7" x14ac:dyDescent="0.25">
      <c r="A1960" s="1" t="str">
        <f t="shared" si="124"/>
        <v>240</v>
      </c>
      <c r="B1960" s="1" t="str">
        <f>TEXT(42,"00")</f>
        <v>42</v>
      </c>
      <c r="C1960" s="1" t="str">
        <f t="shared" si="121"/>
        <v>240-42</v>
      </c>
      <c r="D1960" t="s">
        <v>1944</v>
      </c>
      <c r="E1960" t="b">
        <f>IF(COUNTIF(D1960,"*"&amp;'Keyword Search'!$C$5&amp;"*"),TRUE,FALSE)</f>
        <v>1</v>
      </c>
      <c r="G1960" t="str">
        <f t="shared" si="122"/>
        <v>240-42: Enamelware: Small Cooking Utensils, Pots and Pans, etc.</v>
      </c>
    </row>
    <row r="1961" spans="1:7" x14ac:dyDescent="0.25">
      <c r="A1961" s="1" t="str">
        <f t="shared" si="124"/>
        <v>240</v>
      </c>
      <c r="B1961" s="1" t="str">
        <f>TEXT(49,"00")</f>
        <v>49</v>
      </c>
      <c r="C1961" s="1" t="str">
        <f t="shared" si="121"/>
        <v>240-49</v>
      </c>
      <c r="D1961" t="s">
        <v>1945</v>
      </c>
      <c r="E1961" t="b">
        <f>IF(COUNTIF(D1961,"*"&amp;'Keyword Search'!$C$5&amp;"*"),TRUE,FALSE)</f>
        <v>1</v>
      </c>
      <c r="G1961" t="str">
        <f t="shared" si="122"/>
        <v>240-49: Flour Sifters, Light Duty</v>
      </c>
    </row>
    <row r="1962" spans="1:7" x14ac:dyDescent="0.25">
      <c r="A1962" s="1" t="str">
        <f t="shared" si="124"/>
        <v>240</v>
      </c>
      <c r="B1962" s="1" t="str">
        <f>TEXT(56,"00")</f>
        <v>56</v>
      </c>
      <c r="C1962" s="1" t="str">
        <f t="shared" si="121"/>
        <v>240-56</v>
      </c>
      <c r="D1962" t="s">
        <v>1946</v>
      </c>
      <c r="E1962" t="b">
        <f>IF(COUNTIF(D1962,"*"&amp;'Keyword Search'!$C$5&amp;"*"),TRUE,FALSE)</f>
        <v>1</v>
      </c>
      <c r="G1962" t="str">
        <f t="shared" si="122"/>
        <v>240-56: Glassware, Table</v>
      </c>
    </row>
    <row r="1963" spans="1:7" x14ac:dyDescent="0.25">
      <c r="A1963" s="1" t="str">
        <f t="shared" si="124"/>
        <v>240</v>
      </c>
      <c r="B1963" s="1" t="str">
        <f>TEXT(63,"00")</f>
        <v>63</v>
      </c>
      <c r="C1963" s="1" t="str">
        <f t="shared" si="121"/>
        <v>240-63</v>
      </c>
      <c r="D1963" t="s">
        <v>1947</v>
      </c>
      <c r="E1963" t="b">
        <f>IF(COUNTIF(D1963,"*"&amp;'Keyword Search'!$C$5&amp;"*"),TRUE,FALSE)</f>
        <v>1</v>
      </c>
      <c r="G1963" t="str">
        <f t="shared" si="122"/>
        <v>240-63: Kitchen Utensils; Small: Basters, Corers, Ladles, Pastry and Vegetable Brushes, Peelers, Scoops, Tongs, Turners, etc.</v>
      </c>
    </row>
    <row r="1964" spans="1:7" x14ac:dyDescent="0.25">
      <c r="A1964" s="1" t="str">
        <f t="shared" si="124"/>
        <v>240</v>
      </c>
      <c r="B1964" s="1" t="str">
        <f>TEXT(66,"00")</f>
        <v>66</v>
      </c>
      <c r="C1964" s="1" t="str">
        <f t="shared" si="121"/>
        <v>240-66</v>
      </c>
      <c r="D1964" t="s">
        <v>1948</v>
      </c>
      <c r="E1964" t="b">
        <f>IF(COUNTIF(D1964,"*"&amp;'Keyword Search'!$C$5&amp;"*"),TRUE,FALSE)</f>
        <v>1</v>
      </c>
      <c r="G1964" t="str">
        <f t="shared" si="122"/>
        <v>240-66: Meal Servers, Insulated</v>
      </c>
    </row>
    <row r="1965" spans="1:7" x14ac:dyDescent="0.25">
      <c r="A1965" s="1" t="str">
        <f t="shared" si="124"/>
        <v>240</v>
      </c>
      <c r="B1965" s="1" t="str">
        <f>TEXT(70,"00")</f>
        <v>70</v>
      </c>
      <c r="C1965" s="1" t="str">
        <f t="shared" si="121"/>
        <v>240-70</v>
      </c>
      <c r="D1965" t="s">
        <v>1949</v>
      </c>
      <c r="E1965" t="b">
        <f>IF(COUNTIF(D1965,"*"&amp;'Keyword Search'!$C$5&amp;"*"),TRUE,FALSE)</f>
        <v>1</v>
      </c>
      <c r="G1965" t="str">
        <f t="shared" si="122"/>
        <v>240-70: Plastic Ware: Dishes, Pots and Pans, Trays, Non-Disposable Type (See 640-60 for Disposable Type)</v>
      </c>
    </row>
    <row r="1966" spans="1:7" x14ac:dyDescent="0.25">
      <c r="A1966" s="1" t="str">
        <f t="shared" si="124"/>
        <v>240</v>
      </c>
      <c r="B1966" s="1" t="str">
        <f>TEXT(74,"00")</f>
        <v>74</v>
      </c>
      <c r="C1966" s="1" t="str">
        <f t="shared" si="121"/>
        <v>240-74</v>
      </c>
      <c r="D1966" t="s">
        <v>1950</v>
      </c>
      <c r="E1966" t="b">
        <f>IF(COUNTIF(D1966,"*"&amp;'Keyword Search'!$C$5&amp;"*"),TRUE,FALSE)</f>
        <v>1</v>
      </c>
      <c r="G1966" t="str">
        <f t="shared" si="122"/>
        <v>240-74: Recycled Dishes, Utensils, etc.</v>
      </c>
    </row>
    <row r="1967" spans="1:7" x14ac:dyDescent="0.25">
      <c r="A1967" s="1" t="str">
        <f t="shared" si="124"/>
        <v>240</v>
      </c>
      <c r="B1967" s="1" t="str">
        <f>TEXT(77,"00")</f>
        <v>77</v>
      </c>
      <c r="C1967" s="1" t="str">
        <f t="shared" si="121"/>
        <v>240-77</v>
      </c>
      <c r="D1967" t="s">
        <v>1951</v>
      </c>
      <c r="E1967" t="b">
        <f>IF(COUNTIF(D1967,"*"&amp;'Keyword Search'!$C$5&amp;"*"),TRUE,FALSE)</f>
        <v>1</v>
      </c>
      <c r="G1967" t="str">
        <f t="shared" si="122"/>
        <v>240-77: Silver Burnishing Equipment and Scouring Pads, All Types</v>
      </c>
    </row>
    <row r="1968" spans="1:7" x14ac:dyDescent="0.25">
      <c r="A1968" s="1" t="str">
        <f t="shared" si="124"/>
        <v>240</v>
      </c>
      <c r="B1968" s="1" t="str">
        <f>TEXT(84,"00")</f>
        <v>84</v>
      </c>
      <c r="C1968" s="1" t="str">
        <f t="shared" si="121"/>
        <v>240-84</v>
      </c>
      <c r="D1968" t="s">
        <v>1952</v>
      </c>
      <c r="E1968" t="b">
        <f>IF(COUNTIF(D1968,"*"&amp;'Keyword Search'!$C$5&amp;"*"),TRUE,FALSE)</f>
        <v>1</v>
      </c>
      <c r="G1968" t="str">
        <f t="shared" si="122"/>
        <v>240-84: Silverware: Flatware, Tableware, etc.</v>
      </c>
    </row>
    <row r="1969" spans="1:7" x14ac:dyDescent="0.25">
      <c r="A1969" s="1" t="str">
        <f t="shared" si="124"/>
        <v>240</v>
      </c>
      <c r="B1969" s="1" t="str">
        <f>TEXT(87,"00")</f>
        <v>87</v>
      </c>
      <c r="C1969" s="1" t="str">
        <f t="shared" si="121"/>
        <v>240-87</v>
      </c>
      <c r="D1969" t="s">
        <v>1953</v>
      </c>
      <c r="E1969" t="b">
        <f>IF(COUNTIF(D1969,"*"&amp;'Keyword Search'!$C$5&amp;"*"),TRUE,FALSE)</f>
        <v>1</v>
      </c>
      <c r="G1969" t="str">
        <f t="shared" si="122"/>
        <v>240-87: Silverware and Dishes, Specialized, Self-Help Feeding Type</v>
      </c>
    </row>
    <row r="1970" spans="1:7" x14ac:dyDescent="0.25">
      <c r="A1970" s="1" t="str">
        <f t="shared" si="124"/>
        <v>240</v>
      </c>
      <c r="B1970" s="1" t="str">
        <f>TEXT(91,"00")</f>
        <v>91</v>
      </c>
      <c r="C1970" s="1" t="str">
        <f t="shared" si="121"/>
        <v>240-91</v>
      </c>
      <c r="D1970" t="s">
        <v>1954</v>
      </c>
      <c r="E1970" t="b">
        <f>IF(COUNTIF(D1970,"*"&amp;'Keyword Search'!$C$5&amp;"*"),TRUE,FALSE)</f>
        <v>1</v>
      </c>
      <c r="G1970" t="str">
        <f t="shared" si="122"/>
        <v>240-91: Stainless Steel Ware: Cooking Utensils, Flatware, Tableware, Trays, Pots and Pans, etc.</v>
      </c>
    </row>
    <row r="1971" spans="1:7" x14ac:dyDescent="0.25">
      <c r="A1971" s="1" t="str">
        <f t="shared" si="124"/>
        <v>240</v>
      </c>
      <c r="B1971" s="1" t="str">
        <f>TEXT(93,"00")</f>
        <v>93</v>
      </c>
      <c r="C1971" s="1" t="str">
        <f t="shared" si="121"/>
        <v>240-93</v>
      </c>
      <c r="D1971" t="s">
        <v>1955</v>
      </c>
      <c r="E1971" t="b">
        <f>IF(COUNTIF(D1971,"*"&amp;'Keyword Search'!$C$5&amp;"*"),TRUE,FALSE)</f>
        <v>1</v>
      </c>
      <c r="G1971" t="str">
        <f t="shared" si="122"/>
        <v>240-93: Storage Boxes, Food</v>
      </c>
    </row>
    <row r="1972" spans="1:7" x14ac:dyDescent="0.25">
      <c r="A1972" s="1" t="str">
        <f t="shared" si="124"/>
        <v>240</v>
      </c>
      <c r="B1972" s="1" t="str">
        <f>TEXT(95,"00")</f>
        <v>95</v>
      </c>
      <c r="C1972" s="1" t="str">
        <f t="shared" si="121"/>
        <v>240-95</v>
      </c>
      <c r="D1972" t="s">
        <v>1956</v>
      </c>
      <c r="E1972" t="b">
        <f>IF(COUNTIF(D1972,"*"&amp;'Keyword Search'!$C$5&amp;"*"),TRUE,FALSE)</f>
        <v>1</v>
      </c>
      <c r="G1972" t="str">
        <f t="shared" si="122"/>
        <v>240-95: Thermometers, Cooking and Oven</v>
      </c>
    </row>
    <row r="1973" spans="1:7" x14ac:dyDescent="0.25">
      <c r="A1973" s="1" t="str">
        <f t="shared" si="124"/>
        <v>240</v>
      </c>
      <c r="B1973" s="1" t="str">
        <f>TEXT(96,"00")</f>
        <v>96</v>
      </c>
      <c r="C1973" s="1" t="str">
        <f t="shared" si="121"/>
        <v>240-96</v>
      </c>
      <c r="D1973" t="s">
        <v>1957</v>
      </c>
      <c r="E1973" t="b">
        <f>IF(COUNTIF(D1973,"*"&amp;'Keyword Search'!$C$5&amp;"*"),TRUE,FALSE)</f>
        <v>1</v>
      </c>
      <c r="G1973" t="str">
        <f t="shared" si="122"/>
        <v>240-96: Timers, Mechanical</v>
      </c>
    </row>
    <row r="1974" spans="1:7" x14ac:dyDescent="0.25">
      <c r="A1974" s="5" t="str">
        <f t="shared" ref="A1974:A1996" si="125">TEXT(245,"000")</f>
        <v>245</v>
      </c>
      <c r="B1974" s="5" t="str">
        <f>TEXT(0,"00")</f>
        <v>00</v>
      </c>
      <c r="C1974" s="1"/>
      <c r="D1974" s="2" t="s">
        <v>1958</v>
      </c>
    </row>
    <row r="1975" spans="1:7" x14ac:dyDescent="0.25">
      <c r="A1975" s="1" t="str">
        <f t="shared" si="125"/>
        <v>245</v>
      </c>
      <c r="B1975" s="1" t="str">
        <f>TEXT(2,"00")</f>
        <v>02</v>
      </c>
      <c r="C1975" s="1" t="str">
        <f t="shared" si="121"/>
        <v>245-02</v>
      </c>
      <c r="D1975" t="s">
        <v>1959</v>
      </c>
      <c r="E1975" t="b">
        <f>IF(COUNTIF(D1975,"*"&amp;'Keyword Search'!$C$5&amp;"*"),TRUE,FALSE)</f>
        <v>1</v>
      </c>
      <c r="G1975" t="str">
        <f t="shared" si="122"/>
        <v>245-02: Butter Machines, Churns, and Equipment</v>
      </c>
    </row>
    <row r="1976" spans="1:7" x14ac:dyDescent="0.25">
      <c r="A1976" s="1" t="str">
        <f t="shared" si="125"/>
        <v>245</v>
      </c>
      <c r="B1976" s="1" t="str">
        <f>TEXT(3,"00")</f>
        <v>03</v>
      </c>
      <c r="C1976" s="1" t="str">
        <f t="shared" si="121"/>
        <v>245-03</v>
      </c>
      <c r="D1976" t="s">
        <v>1960</v>
      </c>
      <c r="E1976" t="b">
        <f>IF(COUNTIF(D1976,"*"&amp;'Keyword Search'!$C$5&amp;"*"),TRUE,FALSE)</f>
        <v>1</v>
      </c>
      <c r="G1976" t="str">
        <f t="shared" si="122"/>
        <v>245-03: Cheese-Making Supplies: Annatto, Rennet, etc.</v>
      </c>
    </row>
    <row r="1977" spans="1:7" x14ac:dyDescent="0.25">
      <c r="A1977" s="1" t="str">
        <f t="shared" si="125"/>
        <v>245</v>
      </c>
      <c r="B1977" s="1" t="str">
        <f>TEXT(5,"00")</f>
        <v>05</v>
      </c>
      <c r="C1977" s="1" t="str">
        <f t="shared" si="121"/>
        <v>245-05</v>
      </c>
      <c r="D1977" t="s">
        <v>1961</v>
      </c>
      <c r="E1977" t="b">
        <f>IF(COUNTIF(D1977,"*"&amp;'Keyword Search'!$C$5&amp;"*"),TRUE,FALSE)</f>
        <v>1</v>
      </c>
      <c r="G1977" t="str">
        <f t="shared" si="122"/>
        <v>245-05: Cleaning Materials, For Dairy Equipment: Chlorine Sanitizers, Milkstone Remover, etc.</v>
      </c>
    </row>
    <row r="1978" spans="1:7" x14ac:dyDescent="0.25">
      <c r="A1978" s="1" t="str">
        <f t="shared" si="125"/>
        <v>245</v>
      </c>
      <c r="B1978" s="1" t="str">
        <f>TEXT(10,"00")</f>
        <v>10</v>
      </c>
      <c r="C1978" s="1" t="str">
        <f t="shared" si="121"/>
        <v>245-10</v>
      </c>
      <c r="D1978" t="s">
        <v>1962</v>
      </c>
      <c r="E1978" t="b">
        <f>IF(COUNTIF(D1978,"*"&amp;'Keyword Search'!$C$5&amp;"*"),TRUE,FALSE)</f>
        <v>1</v>
      </c>
      <c r="G1978" t="str">
        <f t="shared" si="122"/>
        <v>245-10: Cooling Vats</v>
      </c>
    </row>
    <row r="1979" spans="1:7" x14ac:dyDescent="0.25">
      <c r="A1979" s="1" t="str">
        <f t="shared" si="125"/>
        <v>245</v>
      </c>
      <c r="B1979" s="1" t="str">
        <f>TEXT(15,"00")</f>
        <v>15</v>
      </c>
      <c r="C1979" s="1" t="str">
        <f t="shared" si="121"/>
        <v>245-15</v>
      </c>
      <c r="D1979" t="s">
        <v>1963</v>
      </c>
      <c r="E1979" t="b">
        <f>IF(COUNTIF(D1979,"*"&amp;'Keyword Search'!$C$5&amp;"*"),TRUE,FALSE)</f>
        <v>1</v>
      </c>
      <c r="G1979" t="str">
        <f t="shared" si="122"/>
        <v>245-15: Dairy Pails, Utility Pails</v>
      </c>
    </row>
    <row r="1980" spans="1:7" x14ac:dyDescent="0.25">
      <c r="A1980" s="1" t="str">
        <f t="shared" si="125"/>
        <v>245</v>
      </c>
      <c r="B1980" s="1" t="str">
        <f>TEXT(20,"00")</f>
        <v>20</v>
      </c>
      <c r="C1980" s="1" t="str">
        <f t="shared" si="121"/>
        <v>245-20</v>
      </c>
      <c r="D1980" t="s">
        <v>1964</v>
      </c>
      <c r="E1980" t="b">
        <f>IF(COUNTIF(D1980,"*"&amp;'Keyword Search'!$C$5&amp;"*"),TRUE,FALSE)</f>
        <v>1</v>
      </c>
      <c r="G1980" t="str">
        <f t="shared" si="122"/>
        <v>245-20: Ice Cream Containers: Paper and Metal</v>
      </c>
    </row>
    <row r="1981" spans="1:7" x14ac:dyDescent="0.25">
      <c r="A1981" s="1" t="str">
        <f t="shared" si="125"/>
        <v>245</v>
      </c>
      <c r="B1981" s="1" t="str">
        <f>TEXT(25,"00")</f>
        <v>25</v>
      </c>
      <c r="C1981" s="1" t="str">
        <f t="shared" si="121"/>
        <v>245-25</v>
      </c>
      <c r="D1981" t="s">
        <v>1965</v>
      </c>
      <c r="E1981" t="b">
        <f>IF(COUNTIF(D1981,"*"&amp;'Keyword Search'!$C$5&amp;"*"),TRUE,FALSE)</f>
        <v>1</v>
      </c>
      <c r="G1981" t="str">
        <f t="shared" si="122"/>
        <v>245-25: Ice Cream Shipping Jackets</v>
      </c>
    </row>
    <row r="1982" spans="1:7" x14ac:dyDescent="0.25">
      <c r="A1982" s="1" t="str">
        <f t="shared" si="125"/>
        <v>245</v>
      </c>
      <c r="B1982" s="1" t="str">
        <f>TEXT(30,"00")</f>
        <v>30</v>
      </c>
      <c r="C1982" s="1" t="str">
        <f t="shared" si="121"/>
        <v>245-30</v>
      </c>
      <c r="D1982" t="s">
        <v>1966</v>
      </c>
      <c r="E1982" t="b">
        <f>IF(COUNTIF(D1982,"*"&amp;'Keyword Search'!$C$5&amp;"*"),TRUE,FALSE)</f>
        <v>1</v>
      </c>
      <c r="G1982" t="str">
        <f t="shared" si="122"/>
        <v>245-30: Milk Bottle Caps: Metallic and Paper</v>
      </c>
    </row>
    <row r="1983" spans="1:7" x14ac:dyDescent="0.25">
      <c r="A1983" s="1" t="str">
        <f t="shared" si="125"/>
        <v>245</v>
      </c>
      <c r="B1983" s="1" t="str">
        <f>TEXT(35,"00")</f>
        <v>35</v>
      </c>
      <c r="C1983" s="1" t="str">
        <f t="shared" si="121"/>
        <v>245-35</v>
      </c>
      <c r="D1983" t="s">
        <v>1967</v>
      </c>
      <c r="E1983" t="b">
        <f>IF(COUNTIF(D1983,"*"&amp;'Keyword Search'!$C$5&amp;"*"),TRUE,FALSE)</f>
        <v>1</v>
      </c>
      <c r="G1983" t="str">
        <f t="shared" si="122"/>
        <v>245-35: Milk Bottles, Glass</v>
      </c>
    </row>
    <row r="1984" spans="1:7" x14ac:dyDescent="0.25">
      <c r="A1984" s="1" t="str">
        <f t="shared" si="125"/>
        <v>245</v>
      </c>
      <c r="B1984" s="1" t="str">
        <f>TEXT(40,"00")</f>
        <v>40</v>
      </c>
      <c r="C1984" s="1" t="str">
        <f t="shared" si="121"/>
        <v>245-40</v>
      </c>
      <c r="D1984" t="s">
        <v>1968</v>
      </c>
      <c r="E1984" t="b">
        <f>IF(COUNTIF(D1984,"*"&amp;'Keyword Search'!$C$5&amp;"*"),TRUE,FALSE)</f>
        <v>1</v>
      </c>
      <c r="G1984" t="str">
        <f t="shared" si="122"/>
        <v>245-40: Milk Cans, All Types</v>
      </c>
    </row>
    <row r="1985" spans="1:7" x14ac:dyDescent="0.25">
      <c r="A1985" s="1" t="str">
        <f t="shared" si="125"/>
        <v>245</v>
      </c>
      <c r="B1985" s="1" t="str">
        <f>TEXT(45,"00")</f>
        <v>45</v>
      </c>
      <c r="C1985" s="1" t="str">
        <f t="shared" si="121"/>
        <v>245-45</v>
      </c>
      <c r="D1985" t="s">
        <v>1969</v>
      </c>
      <c r="E1985" t="b">
        <f>IF(COUNTIF(D1985,"*"&amp;'Keyword Search'!$C$5&amp;"*"),TRUE,FALSE)</f>
        <v>1</v>
      </c>
      <c r="G1985" t="str">
        <f t="shared" si="122"/>
        <v>245-45: Milk Cartons: Paper and Plastic, Including Liners</v>
      </c>
    </row>
    <row r="1986" spans="1:7" x14ac:dyDescent="0.25">
      <c r="A1986" s="1" t="str">
        <f t="shared" si="125"/>
        <v>245</v>
      </c>
      <c r="B1986" s="1" t="str">
        <f>TEXT(50,"00")</f>
        <v>50</v>
      </c>
      <c r="C1986" s="1" t="str">
        <f t="shared" si="121"/>
        <v>245-50</v>
      </c>
      <c r="D1986" t="s">
        <v>1970</v>
      </c>
      <c r="E1986" t="b">
        <f>IF(COUNTIF(D1986,"*"&amp;'Keyword Search'!$C$5&amp;"*"),TRUE,FALSE)</f>
        <v>1</v>
      </c>
      <c r="G1986" t="str">
        <f t="shared" si="122"/>
        <v>245-50: Milk Crates</v>
      </c>
    </row>
    <row r="1987" spans="1:7" x14ac:dyDescent="0.25">
      <c r="A1987" s="1" t="str">
        <f t="shared" si="125"/>
        <v>245</v>
      </c>
      <c r="B1987" s="1" t="str">
        <f>TEXT(55,"00")</f>
        <v>55</v>
      </c>
      <c r="C1987" s="1" t="str">
        <f t="shared" ref="C1987:C2050" si="126">CONCATENATE(A1987,"-",B1987)</f>
        <v>245-55</v>
      </c>
      <c r="D1987" t="s">
        <v>1971</v>
      </c>
      <c r="E1987" t="b">
        <f>IF(COUNTIF(D1987,"*"&amp;'Keyword Search'!$C$5&amp;"*"),TRUE,FALSE)</f>
        <v>1</v>
      </c>
      <c r="G1987" t="str">
        <f t="shared" si="122"/>
        <v>245-55: Milk Dispenser Can Tubes</v>
      </c>
    </row>
    <row r="1988" spans="1:7" x14ac:dyDescent="0.25">
      <c r="A1988" s="1" t="str">
        <f t="shared" si="125"/>
        <v>245</v>
      </c>
      <c r="B1988" s="1" t="str">
        <f>TEXT(59,"00")</f>
        <v>59</v>
      </c>
      <c r="C1988" s="1" t="str">
        <f t="shared" si="126"/>
        <v>245-59</v>
      </c>
      <c r="D1988" t="s">
        <v>1972</v>
      </c>
      <c r="E1988" t="b">
        <f>IF(COUNTIF(D1988,"*"&amp;'Keyword Search'!$C$5&amp;"*"),TRUE,FALSE)</f>
        <v>1</v>
      </c>
      <c r="G1988" t="str">
        <f t="shared" ref="G1988:G2051" si="127">CONCATENATE(C1988,": ",D1988)</f>
        <v>245-59: Milk Filling Machines, Accessories and Supplies, Dispenser Bags, etc.</v>
      </c>
    </row>
    <row r="1989" spans="1:7" x14ac:dyDescent="0.25">
      <c r="A1989" s="1" t="str">
        <f t="shared" si="125"/>
        <v>245</v>
      </c>
      <c r="B1989" s="1" t="str">
        <f>TEXT(60,"00")</f>
        <v>60</v>
      </c>
      <c r="C1989" s="1" t="str">
        <f t="shared" si="126"/>
        <v>245-60</v>
      </c>
      <c r="D1989" t="s">
        <v>1973</v>
      </c>
      <c r="E1989" t="b">
        <f>IF(COUNTIF(D1989,"*"&amp;'Keyword Search'!$C$5&amp;"*"),TRUE,FALSE)</f>
        <v>1</v>
      </c>
      <c r="G1989" t="str">
        <f t="shared" si="127"/>
        <v>245-60: Milk Filters</v>
      </c>
    </row>
    <row r="1990" spans="1:7" x14ac:dyDescent="0.25">
      <c r="A1990" s="1" t="str">
        <f t="shared" si="125"/>
        <v>245</v>
      </c>
      <c r="B1990" s="1" t="str">
        <f>TEXT(70,"00")</f>
        <v>70</v>
      </c>
      <c r="C1990" s="1" t="str">
        <f t="shared" si="126"/>
        <v>245-70</v>
      </c>
      <c r="D1990" t="s">
        <v>1974</v>
      </c>
      <c r="E1990" t="b">
        <f>IF(COUNTIF(D1990,"*"&amp;'Keyword Search'!$C$5&amp;"*"),TRUE,FALSE)</f>
        <v>1</v>
      </c>
      <c r="G1990" t="str">
        <f t="shared" si="127"/>
        <v>245-70: Milking Machines, Accessories, and Parts: Compressors, Pulsators, etc.</v>
      </c>
    </row>
    <row r="1991" spans="1:7" x14ac:dyDescent="0.25">
      <c r="A1991" s="1" t="str">
        <f t="shared" si="125"/>
        <v>245</v>
      </c>
      <c r="B1991" s="1" t="str">
        <f>TEXT(80,"00")</f>
        <v>80</v>
      </c>
      <c r="C1991" s="1" t="str">
        <f t="shared" si="126"/>
        <v>245-80</v>
      </c>
      <c r="D1991" t="s">
        <v>1975</v>
      </c>
      <c r="E1991" t="b">
        <f>IF(COUNTIF(D1991,"*"&amp;'Keyword Search'!$C$5&amp;"*"),TRUE,FALSE)</f>
        <v>1</v>
      </c>
      <c r="G1991" t="str">
        <f t="shared" si="127"/>
        <v>245-80: Milk Processing Equipment, Homogenizers, Pasteurizers, etc., Including Parts and Accessories</v>
      </c>
    </row>
    <row r="1992" spans="1:7" x14ac:dyDescent="0.25">
      <c r="A1992" s="1" t="str">
        <f t="shared" si="125"/>
        <v>245</v>
      </c>
      <c r="B1992" s="1" t="str">
        <f>TEXT(83,"00")</f>
        <v>83</v>
      </c>
      <c r="C1992" s="1" t="str">
        <f t="shared" si="126"/>
        <v>245-83</v>
      </c>
      <c r="D1992" t="s">
        <v>1976</v>
      </c>
      <c r="E1992" t="b">
        <f>IF(COUNTIF(D1992,"*"&amp;'Keyword Search'!$C$5&amp;"*"),TRUE,FALSE)</f>
        <v>1</v>
      </c>
      <c r="G1992" t="str">
        <f t="shared" si="127"/>
        <v>245-83: Refurbished Dairy Equipment and Supplies</v>
      </c>
    </row>
    <row r="1993" spans="1:7" x14ac:dyDescent="0.25">
      <c r="A1993" s="1" t="str">
        <f t="shared" si="125"/>
        <v>245</v>
      </c>
      <c r="B1993" s="1" t="str">
        <f>TEXT(85,"00")</f>
        <v>85</v>
      </c>
      <c r="C1993" s="1" t="str">
        <f t="shared" si="126"/>
        <v>245-85</v>
      </c>
      <c r="D1993" t="s">
        <v>1977</v>
      </c>
      <c r="E1993" t="b">
        <f>IF(COUNTIF(D1993,"*"&amp;'Keyword Search'!$C$5&amp;"*"),TRUE,FALSE)</f>
        <v>1</v>
      </c>
      <c r="G1993" t="str">
        <f t="shared" si="127"/>
        <v>245-85: Stanchions, Milk Parlor</v>
      </c>
    </row>
    <row r="1994" spans="1:7" x14ac:dyDescent="0.25">
      <c r="A1994" s="1" t="str">
        <f t="shared" si="125"/>
        <v>245</v>
      </c>
      <c r="B1994" s="1" t="str">
        <f>TEXT(86,"00")</f>
        <v>86</v>
      </c>
      <c r="C1994" s="1" t="str">
        <f t="shared" si="126"/>
        <v>245-86</v>
      </c>
      <c r="D1994" t="s">
        <v>1978</v>
      </c>
      <c r="E1994" t="b">
        <f>IF(COUNTIF(D1994,"*"&amp;'Keyword Search'!$C$5&amp;"*"),TRUE,FALSE)</f>
        <v>1</v>
      </c>
      <c r="G1994" t="str">
        <f t="shared" si="127"/>
        <v>245-86: Teat Sanitizing Equipment and Supplies</v>
      </c>
    </row>
    <row r="1995" spans="1:7" x14ac:dyDescent="0.25">
      <c r="A1995" s="1" t="str">
        <f t="shared" si="125"/>
        <v>245</v>
      </c>
      <c r="B1995" s="1" t="str">
        <f>TEXT(87,"00")</f>
        <v>87</v>
      </c>
      <c r="C1995" s="1" t="str">
        <f t="shared" si="126"/>
        <v>245-87</v>
      </c>
      <c r="D1995" t="s">
        <v>1979</v>
      </c>
      <c r="E1995" t="b">
        <f>IF(COUNTIF(D1995,"*"&amp;'Keyword Search'!$C$5&amp;"*"),TRUE,FALSE)</f>
        <v>1</v>
      </c>
      <c r="G1995" t="str">
        <f t="shared" si="127"/>
        <v>245-87: Thermometers, Dairy, For Milk Vats, etc.</v>
      </c>
    </row>
    <row r="1996" spans="1:7" x14ac:dyDescent="0.25">
      <c r="A1996" s="1" t="str">
        <f t="shared" si="125"/>
        <v>245</v>
      </c>
      <c r="B1996" s="1" t="str">
        <f>TEXT(90,"00")</f>
        <v>90</v>
      </c>
      <c r="C1996" s="1" t="str">
        <f t="shared" si="126"/>
        <v>245-90</v>
      </c>
      <c r="D1996" t="s">
        <v>1980</v>
      </c>
      <c r="E1996" t="b">
        <f>IF(COUNTIF(D1996,"*"&amp;'Keyword Search'!$C$5&amp;"*"),TRUE,FALSE)</f>
        <v>1</v>
      </c>
      <c r="G1996" t="str">
        <f t="shared" si="127"/>
        <v>245-90: Wraps, Cheese: Circles, Bandages, Wax, etc.</v>
      </c>
    </row>
    <row r="1997" spans="1:7" x14ac:dyDescent="0.25">
      <c r="A1997" s="5" t="str">
        <f t="shared" ref="A1997:A2004" si="128">TEXT(250,"000")</f>
        <v>250</v>
      </c>
      <c r="B1997" s="5" t="str">
        <f>TEXT(0,"00")</f>
        <v>00</v>
      </c>
      <c r="C1997" s="1"/>
      <c r="D1997" s="2" t="s">
        <v>1981</v>
      </c>
    </row>
    <row r="1998" spans="1:7" x14ac:dyDescent="0.25">
      <c r="A1998" s="1" t="str">
        <f t="shared" si="128"/>
        <v>250</v>
      </c>
      <c r="B1998" s="1" t="str">
        <f>TEXT(18,"00")</f>
        <v>18</v>
      </c>
      <c r="C1998" s="1" t="str">
        <f t="shared" si="126"/>
        <v>250-18</v>
      </c>
      <c r="D1998" t="s">
        <v>1982</v>
      </c>
      <c r="E1998" t="b">
        <f>IF(COUNTIF(D1998,"*"&amp;'Keyword Search'!$C$5&amp;"*"),TRUE,FALSE)</f>
        <v>1</v>
      </c>
      <c r="G1998" t="str">
        <f t="shared" si="127"/>
        <v>250-18: Cards, Tabulating, Special, Automatic and Manual Data Processing Systems</v>
      </c>
    </row>
    <row r="1999" spans="1:7" x14ac:dyDescent="0.25">
      <c r="A1999" s="1" t="str">
        <f t="shared" si="128"/>
        <v>250</v>
      </c>
      <c r="B1999" s="1" t="str">
        <f>TEXT(30,"00")</f>
        <v>30</v>
      </c>
      <c r="C1999" s="1" t="str">
        <f t="shared" si="126"/>
        <v>250-30</v>
      </c>
      <c r="D1999" t="s">
        <v>1983</v>
      </c>
      <c r="E1999" t="b">
        <f>IF(COUNTIF(D1999,"*"&amp;'Keyword Search'!$C$5&amp;"*"),TRUE,FALSE)</f>
        <v>1</v>
      </c>
      <c r="G1999" t="str">
        <f t="shared" si="127"/>
        <v>250-30: Cards, Tabulating, Standard, EDP Systems</v>
      </c>
    </row>
    <row r="2000" spans="1:7" x14ac:dyDescent="0.25">
      <c r="A2000" s="1" t="str">
        <f t="shared" si="128"/>
        <v>250</v>
      </c>
      <c r="B2000" s="1" t="str">
        <f>TEXT(55,"00")</f>
        <v>55</v>
      </c>
      <c r="C2000" s="1" t="str">
        <f t="shared" si="126"/>
        <v>250-55</v>
      </c>
      <c r="D2000" t="s">
        <v>1984</v>
      </c>
      <c r="E2000" t="b">
        <f>IF(COUNTIF(D2000,"*"&amp;'Keyword Search'!$C$5&amp;"*"),TRUE,FALSE)</f>
        <v>1</v>
      </c>
      <c r="G2000" t="str">
        <f t="shared" si="127"/>
        <v>250-55: Paper, Tabulating Stock</v>
      </c>
    </row>
    <row r="2001" spans="1:7" x14ac:dyDescent="0.25">
      <c r="A2001" s="1" t="str">
        <f t="shared" si="128"/>
        <v>250</v>
      </c>
      <c r="B2001" s="1" t="str">
        <f>TEXT(67,"00")</f>
        <v>67</v>
      </c>
      <c r="C2001" s="1" t="str">
        <f t="shared" si="126"/>
        <v>250-67</v>
      </c>
      <c r="D2001" t="s">
        <v>1985</v>
      </c>
      <c r="E2001" t="b">
        <f>IF(COUNTIF(D2001,"*"&amp;'Keyword Search'!$C$5&amp;"*"),TRUE,FALSE)</f>
        <v>1</v>
      </c>
      <c r="G2001" t="str">
        <f t="shared" si="127"/>
        <v>250-67: Recycled Data Processing Cards and Paper</v>
      </c>
    </row>
    <row r="2002" spans="1:7" x14ac:dyDescent="0.25">
      <c r="A2002" s="1" t="str">
        <f t="shared" si="128"/>
        <v>250</v>
      </c>
      <c r="B2002" s="1" t="str">
        <f>TEXT(70,"00")</f>
        <v>70</v>
      </c>
      <c r="C2002" s="1" t="str">
        <f t="shared" si="126"/>
        <v>250-70</v>
      </c>
      <c r="D2002" t="s">
        <v>1986</v>
      </c>
      <c r="E2002" t="b">
        <f>IF(COUNTIF(D2002,"*"&amp;'Keyword Search'!$C$5&amp;"*"),TRUE,FALSE)</f>
        <v>1</v>
      </c>
      <c r="G2002" t="str">
        <f t="shared" si="127"/>
        <v>250-70: Roll Paper, Bond, EDP Portable Terminals</v>
      </c>
    </row>
    <row r="2003" spans="1:7" x14ac:dyDescent="0.25">
      <c r="A2003" s="1" t="str">
        <f t="shared" si="128"/>
        <v>250</v>
      </c>
      <c r="B2003" s="1" t="str">
        <f>TEXT(72,"00")</f>
        <v>72</v>
      </c>
      <c r="C2003" s="1" t="str">
        <f t="shared" si="126"/>
        <v>250-72</v>
      </c>
      <c r="D2003" t="s">
        <v>1987</v>
      </c>
      <c r="E2003" t="b">
        <f>IF(COUNTIF(D2003,"*"&amp;'Keyword Search'!$C$5&amp;"*"),TRUE,FALSE)</f>
        <v>1</v>
      </c>
      <c r="G2003" t="str">
        <f t="shared" si="127"/>
        <v>250-72: Roll Paper, Thermal, EDP Portable Terminals</v>
      </c>
    </row>
    <row r="2004" spans="1:7" x14ac:dyDescent="0.25">
      <c r="A2004" s="1" t="str">
        <f t="shared" si="128"/>
        <v>250</v>
      </c>
      <c r="B2004" s="1" t="str">
        <f>TEXT(80,"00")</f>
        <v>80</v>
      </c>
      <c r="C2004" s="1" t="str">
        <f t="shared" si="126"/>
        <v>250-80</v>
      </c>
      <c r="D2004" t="s">
        <v>1988</v>
      </c>
      <c r="E2004" t="b">
        <f>IF(COUNTIF(D2004,"*"&amp;'Keyword Search'!$C$5&amp;"*"),TRUE,FALSE)</f>
        <v>1</v>
      </c>
      <c r="G2004" t="str">
        <f t="shared" si="127"/>
        <v>250-80: Tests, Answer Sheets, Scoring Keys, etc., Electronic Data Processing (EDP) Systems</v>
      </c>
    </row>
    <row r="2005" spans="1:7" x14ac:dyDescent="0.25">
      <c r="A2005" s="5" t="str">
        <f t="shared" ref="A2005:A2012" si="129">TEXT(251,"000")</f>
        <v>251</v>
      </c>
      <c r="B2005" s="5" t="str">
        <f>TEXT(0,"00")</f>
        <v>00</v>
      </c>
      <c r="C2005" s="1"/>
      <c r="D2005" s="2" t="s">
        <v>1989</v>
      </c>
    </row>
    <row r="2006" spans="1:7" x14ac:dyDescent="0.25">
      <c r="A2006" s="1" t="str">
        <f t="shared" si="129"/>
        <v>251</v>
      </c>
      <c r="B2006" s="1" t="str">
        <f>TEXT(18,"00")</f>
        <v>18</v>
      </c>
      <c r="C2006" s="1" t="str">
        <f t="shared" si="126"/>
        <v>251-18</v>
      </c>
      <c r="D2006" t="s">
        <v>1990</v>
      </c>
      <c r="E2006" t="b">
        <f>IF(COUNTIF(D2006,"*"&amp;'Keyword Search'!$C$5&amp;"*"),TRUE,FALSE)</f>
        <v>1</v>
      </c>
      <c r="G2006" t="str">
        <f t="shared" si="127"/>
        <v>251-18: Cards, Tabulating, Special, Automatic and Manual Data Processing Systems, Environmentally Certified Products</v>
      </c>
    </row>
    <row r="2007" spans="1:7" x14ac:dyDescent="0.25">
      <c r="A2007" s="1" t="str">
        <f t="shared" si="129"/>
        <v>251</v>
      </c>
      <c r="B2007" s="1" t="str">
        <f>TEXT(30,"00")</f>
        <v>30</v>
      </c>
      <c r="C2007" s="1" t="str">
        <f t="shared" si="126"/>
        <v>251-30</v>
      </c>
      <c r="D2007" t="s">
        <v>1991</v>
      </c>
      <c r="E2007" t="b">
        <f>IF(COUNTIF(D2007,"*"&amp;'Keyword Search'!$C$5&amp;"*"),TRUE,FALSE)</f>
        <v>1</v>
      </c>
      <c r="G2007" t="str">
        <f t="shared" si="127"/>
        <v>251-30: Cards, Tabulating, Standard,  EDP Systems, Environmentally Certified Products</v>
      </c>
    </row>
    <row r="2008" spans="1:7" x14ac:dyDescent="0.25">
      <c r="A2008" s="1" t="str">
        <f t="shared" si="129"/>
        <v>251</v>
      </c>
      <c r="B2008" s="1" t="str">
        <f>TEXT(55,"00")</f>
        <v>55</v>
      </c>
      <c r="C2008" s="1" t="str">
        <f t="shared" si="126"/>
        <v>251-55</v>
      </c>
      <c r="D2008" t="s">
        <v>1992</v>
      </c>
      <c r="E2008" t="b">
        <f>IF(COUNTIF(D2008,"*"&amp;'Keyword Search'!$C$5&amp;"*"),TRUE,FALSE)</f>
        <v>1</v>
      </c>
      <c r="G2008" t="str">
        <f t="shared" si="127"/>
        <v>251-55: Paper, Tabulating Stock, Environmentally Certified Products</v>
      </c>
    </row>
    <row r="2009" spans="1:7" x14ac:dyDescent="0.25">
      <c r="A2009" s="1" t="str">
        <f t="shared" si="129"/>
        <v>251</v>
      </c>
      <c r="B2009" s="1" t="str">
        <f>TEXT(67,"00")</f>
        <v>67</v>
      </c>
      <c r="C2009" s="1" t="str">
        <f t="shared" si="126"/>
        <v>251-67</v>
      </c>
      <c r="D2009" t="s">
        <v>1993</v>
      </c>
      <c r="E2009" t="b">
        <f>IF(COUNTIF(D2009,"*"&amp;'Keyword Search'!$C$5&amp;"*"),TRUE,FALSE)</f>
        <v>1</v>
      </c>
      <c r="G2009" t="str">
        <f t="shared" si="127"/>
        <v>251-67: Recycled Data Processing Cards and Paper, Environmentally Certified Products</v>
      </c>
    </row>
    <row r="2010" spans="1:7" x14ac:dyDescent="0.25">
      <c r="A2010" s="1" t="str">
        <f t="shared" si="129"/>
        <v>251</v>
      </c>
      <c r="B2010" s="1" t="str">
        <f>TEXT(70,"00")</f>
        <v>70</v>
      </c>
      <c r="C2010" s="1" t="str">
        <f t="shared" si="126"/>
        <v>251-70</v>
      </c>
      <c r="D2010" t="s">
        <v>1994</v>
      </c>
      <c r="E2010" t="b">
        <f>IF(COUNTIF(D2010,"*"&amp;'Keyword Search'!$C$5&amp;"*"),TRUE,FALSE)</f>
        <v>1</v>
      </c>
      <c r="G2010" t="str">
        <f t="shared" si="127"/>
        <v>251-70: Roll Paper, Bond, EDP Portable Terminals, Environmentally Certified Products</v>
      </c>
    </row>
    <row r="2011" spans="1:7" x14ac:dyDescent="0.25">
      <c r="A2011" s="1" t="str">
        <f t="shared" si="129"/>
        <v>251</v>
      </c>
      <c r="B2011" s="1" t="str">
        <f>TEXT(72,"00")</f>
        <v>72</v>
      </c>
      <c r="C2011" s="1" t="str">
        <f t="shared" si="126"/>
        <v>251-72</v>
      </c>
      <c r="D2011" t="s">
        <v>1995</v>
      </c>
      <c r="E2011" t="b">
        <f>IF(COUNTIF(D2011,"*"&amp;'Keyword Search'!$C$5&amp;"*"),TRUE,FALSE)</f>
        <v>1</v>
      </c>
      <c r="G2011" t="str">
        <f t="shared" si="127"/>
        <v>251-72: Roll Paper, Thermal, EDP Portable Terminals, Environmentally Certified Products</v>
      </c>
    </row>
    <row r="2012" spans="1:7" x14ac:dyDescent="0.25">
      <c r="A2012" s="1" t="str">
        <f t="shared" si="129"/>
        <v>251</v>
      </c>
      <c r="B2012" s="1" t="str">
        <f>TEXT(80,"00")</f>
        <v>80</v>
      </c>
      <c r="C2012" s="1" t="str">
        <f t="shared" si="126"/>
        <v>251-80</v>
      </c>
      <c r="D2012" t="s">
        <v>1996</v>
      </c>
      <c r="E2012" t="b">
        <f>IF(COUNTIF(D2012,"*"&amp;'Keyword Search'!$C$5&amp;"*"),TRUE,FALSE)</f>
        <v>1</v>
      </c>
      <c r="G2012" t="str">
        <f t="shared" si="127"/>
        <v>251-80: Tests, Answer Sheets, Scoring Keys, etc., EDP Systems, Environmentally Certified Products</v>
      </c>
    </row>
    <row r="2013" spans="1:7" x14ac:dyDescent="0.25">
      <c r="A2013" s="5" t="str">
        <f t="shared" ref="A2013:A2028" si="130">TEXT(255,"000")</f>
        <v>255</v>
      </c>
      <c r="B2013" s="5" t="str">
        <f>TEXT(0,"00")</f>
        <v>00</v>
      </c>
      <c r="C2013" s="1"/>
      <c r="D2013" s="2" t="s">
        <v>1997</v>
      </c>
    </row>
    <row r="2014" spans="1:7" x14ac:dyDescent="0.25">
      <c r="A2014" s="1" t="str">
        <f t="shared" si="130"/>
        <v>255</v>
      </c>
      <c r="B2014" s="1" t="str">
        <f>TEXT(5,"00")</f>
        <v>05</v>
      </c>
      <c r="C2014" s="1" t="str">
        <f t="shared" si="126"/>
        <v>255-05</v>
      </c>
      <c r="D2014" t="s">
        <v>1998</v>
      </c>
      <c r="E2014" t="b">
        <f>IF(COUNTIF(D2014,"*"&amp;'Keyword Search'!$C$5&amp;"*"),TRUE,FALSE)</f>
        <v>1</v>
      </c>
      <c r="G2014" t="str">
        <f t="shared" si="127"/>
        <v>255-05: Bar Code Decals</v>
      </c>
    </row>
    <row r="2015" spans="1:7" x14ac:dyDescent="0.25">
      <c r="A2015" s="1" t="str">
        <f t="shared" si="130"/>
        <v>255</v>
      </c>
      <c r="B2015" s="1" t="str">
        <f>TEXT(10,"00")</f>
        <v>10</v>
      </c>
      <c r="C2015" s="1" t="str">
        <f t="shared" si="126"/>
        <v>255-10</v>
      </c>
      <c r="D2015" t="s">
        <v>1999</v>
      </c>
      <c r="E2015" t="b">
        <f>IF(COUNTIF(D2015,"*"&amp;'Keyword Search'!$C$5&amp;"*"),TRUE,FALSE)</f>
        <v>1</v>
      </c>
      <c r="G2015" t="str">
        <f t="shared" si="127"/>
        <v>255-10: Bedding Stamps</v>
      </c>
    </row>
    <row r="2016" spans="1:7" x14ac:dyDescent="0.25">
      <c r="A2016" s="1" t="str">
        <f t="shared" si="130"/>
        <v>255</v>
      </c>
      <c r="B2016" s="1" t="str">
        <f>TEXT(20,"00")</f>
        <v>20</v>
      </c>
      <c r="C2016" s="1" t="str">
        <f t="shared" si="126"/>
        <v>255-20</v>
      </c>
      <c r="D2016" t="s">
        <v>2000</v>
      </c>
      <c r="E2016" t="b">
        <f>IF(COUNTIF(D2016,"*"&amp;'Keyword Search'!$C$5&amp;"*"),TRUE,FALSE)</f>
        <v>1</v>
      </c>
      <c r="G2016" t="str">
        <f t="shared" si="127"/>
        <v>255-20: Cigarette Stamp, Numbered</v>
      </c>
    </row>
    <row r="2017" spans="1:7" x14ac:dyDescent="0.25">
      <c r="A2017" s="1" t="str">
        <f t="shared" si="130"/>
        <v>255</v>
      </c>
      <c r="B2017" s="1" t="str">
        <f>TEXT(22,"00")</f>
        <v>22</v>
      </c>
      <c r="C2017" s="1" t="str">
        <f t="shared" si="126"/>
        <v>255-22</v>
      </c>
      <c r="D2017" t="s">
        <v>2001</v>
      </c>
      <c r="E2017" t="b">
        <f>IF(COUNTIF(D2017,"*"&amp;'Keyword Search'!$C$5&amp;"*"),TRUE,FALSE)</f>
        <v>1</v>
      </c>
      <c r="G2017" t="str">
        <f t="shared" si="127"/>
        <v>255-22: Decals, All Other Types of Transfer (See 255-28 For Screen Printed)</v>
      </c>
    </row>
    <row r="2018" spans="1:7" x14ac:dyDescent="0.25">
      <c r="A2018" s="1" t="str">
        <f t="shared" si="130"/>
        <v>255</v>
      </c>
      <c r="B2018" s="1" t="str">
        <f>TEXT(24,"00")</f>
        <v>24</v>
      </c>
      <c r="C2018" s="1" t="str">
        <f t="shared" si="126"/>
        <v>255-24</v>
      </c>
      <c r="D2018" t="s">
        <v>2002</v>
      </c>
      <c r="E2018" t="b">
        <f>IF(COUNTIF(D2018,"*"&amp;'Keyword Search'!$C$5&amp;"*"),TRUE,FALSE)</f>
        <v>1</v>
      </c>
      <c r="G2018" t="str">
        <f t="shared" si="127"/>
        <v>255-24: Decals, Heat Transfer</v>
      </c>
    </row>
    <row r="2019" spans="1:7" x14ac:dyDescent="0.25">
      <c r="A2019" s="1" t="str">
        <f t="shared" si="130"/>
        <v>255</v>
      </c>
      <c r="B2019" s="1" t="str">
        <f>TEXT(26,"00")</f>
        <v>26</v>
      </c>
      <c r="C2019" s="1" t="str">
        <f t="shared" si="126"/>
        <v>255-26</v>
      </c>
      <c r="D2019" t="s">
        <v>2003</v>
      </c>
      <c r="E2019" t="b">
        <f>IF(COUNTIF(D2019,"*"&amp;'Keyword Search'!$C$5&amp;"*"),TRUE,FALSE)</f>
        <v>1</v>
      </c>
      <c r="G2019" t="str">
        <f t="shared" si="127"/>
        <v>255-26: Decals, Pressure Sensitive Adhesive</v>
      </c>
    </row>
    <row r="2020" spans="1:7" x14ac:dyDescent="0.25">
      <c r="A2020" s="1" t="str">
        <f t="shared" si="130"/>
        <v>255</v>
      </c>
      <c r="B2020" s="1" t="str">
        <f>TEXT(28,"00")</f>
        <v>28</v>
      </c>
      <c r="C2020" s="1" t="str">
        <f t="shared" si="126"/>
        <v>255-28</v>
      </c>
      <c r="D2020" t="s">
        <v>2004</v>
      </c>
      <c r="E2020" t="b">
        <f>IF(COUNTIF(D2020,"*"&amp;'Keyword Search'!$C$5&amp;"*"),TRUE,FALSE)</f>
        <v>1</v>
      </c>
      <c r="G2020" t="str">
        <f t="shared" si="127"/>
        <v>255-28: Decals, Screen Printed</v>
      </c>
    </row>
    <row r="2021" spans="1:7" x14ac:dyDescent="0.25">
      <c r="A2021" s="1" t="str">
        <f t="shared" si="130"/>
        <v>255</v>
      </c>
      <c r="B2021" s="1" t="str">
        <f>TEXT(30,"00")</f>
        <v>30</v>
      </c>
      <c r="C2021" s="1" t="str">
        <f t="shared" si="126"/>
        <v>255-30</v>
      </c>
      <c r="D2021" t="s">
        <v>2005</v>
      </c>
      <c r="E2021" t="b">
        <f>IF(COUNTIF(D2021,"*"&amp;'Keyword Search'!$C$5&amp;"*"),TRUE,FALSE)</f>
        <v>1</v>
      </c>
      <c r="G2021" t="str">
        <f t="shared" si="127"/>
        <v>255-30: Decals, Water Transfer Type, Cigarette Machines, Doors, Equipment, Vehicles, Windows, etc.</v>
      </c>
    </row>
    <row r="2022" spans="1:7" x14ac:dyDescent="0.25">
      <c r="A2022" s="1" t="str">
        <f t="shared" si="130"/>
        <v>255</v>
      </c>
      <c r="B2022" s="1" t="str">
        <f>TEXT(40,"00")</f>
        <v>40</v>
      </c>
      <c r="C2022" s="1" t="str">
        <f t="shared" si="126"/>
        <v>255-40</v>
      </c>
      <c r="D2022" t="s">
        <v>2006</v>
      </c>
      <c r="E2022" t="b">
        <f>IF(COUNTIF(D2022,"*"&amp;'Keyword Search'!$C$5&amp;"*"),TRUE,FALSE)</f>
        <v>1</v>
      </c>
      <c r="G2022" t="str">
        <f t="shared" si="127"/>
        <v>255-40: Inventory and Other Small Decals</v>
      </c>
    </row>
    <row r="2023" spans="1:7" x14ac:dyDescent="0.25">
      <c r="A2023" s="1" t="str">
        <f t="shared" si="130"/>
        <v>255</v>
      </c>
      <c r="B2023" s="1" t="str">
        <f>TEXT(45,"00")</f>
        <v>45</v>
      </c>
      <c r="C2023" s="1" t="str">
        <f t="shared" si="126"/>
        <v>255-45</v>
      </c>
      <c r="D2023" t="s">
        <v>2007</v>
      </c>
      <c r="E2023" t="b">
        <f>IF(COUNTIF(D2023,"*"&amp;'Keyword Search'!$C$5&amp;"*"),TRUE,FALSE)</f>
        <v>1</v>
      </c>
      <c r="G2023" t="str">
        <f t="shared" si="127"/>
        <v>255-45: License Plate Decals</v>
      </c>
    </row>
    <row r="2024" spans="1:7" x14ac:dyDescent="0.25">
      <c r="A2024" s="1" t="str">
        <f t="shared" si="130"/>
        <v>255</v>
      </c>
      <c r="B2024" s="1" t="str">
        <f>TEXT(50,"00")</f>
        <v>50</v>
      </c>
      <c r="C2024" s="1" t="str">
        <f t="shared" si="126"/>
        <v>255-50</v>
      </c>
      <c r="D2024" t="s">
        <v>2008</v>
      </c>
      <c r="E2024" t="b">
        <f>IF(COUNTIF(D2024,"*"&amp;'Keyword Search'!$C$5&amp;"*"),TRUE,FALSE)</f>
        <v>1</v>
      </c>
      <c r="G2024" t="str">
        <f t="shared" si="127"/>
        <v>255-50: Liquor Stamps, Numbered</v>
      </c>
    </row>
    <row r="2025" spans="1:7" x14ac:dyDescent="0.25">
      <c r="A2025" s="1" t="str">
        <f t="shared" si="130"/>
        <v>255</v>
      </c>
      <c r="B2025" s="1" t="str">
        <f>TEXT(53,"00")</f>
        <v>53</v>
      </c>
      <c r="C2025" s="1" t="str">
        <f t="shared" si="126"/>
        <v>255-53</v>
      </c>
      <c r="D2025" t="s">
        <v>2009</v>
      </c>
      <c r="E2025" t="b">
        <f>IF(COUNTIF(D2025,"*"&amp;'Keyword Search'!$C$5&amp;"*"),TRUE,FALSE)</f>
        <v>1</v>
      </c>
      <c r="G2025" t="str">
        <f t="shared" si="127"/>
        <v>255-53: Recycled Decals and Stamps</v>
      </c>
    </row>
    <row r="2026" spans="1:7" x14ac:dyDescent="0.25">
      <c r="A2026" s="1" t="str">
        <f t="shared" si="130"/>
        <v>255</v>
      </c>
      <c r="B2026" s="1" t="str">
        <f>TEXT(56,"00")</f>
        <v>56</v>
      </c>
      <c r="C2026" s="1" t="str">
        <f t="shared" si="126"/>
        <v>255-56</v>
      </c>
      <c r="D2026" t="s">
        <v>2010</v>
      </c>
      <c r="E2026" t="b">
        <f>IF(COUNTIF(D2026,"*"&amp;'Keyword Search'!$C$5&amp;"*"),TRUE,FALSE)</f>
        <v>1</v>
      </c>
      <c r="G2026" t="str">
        <f t="shared" si="127"/>
        <v>255-56: Tax Stamps, Other Than Cigarette and Liquor, Numbered and Un-Numbered</v>
      </c>
    </row>
    <row r="2027" spans="1:7" x14ac:dyDescent="0.25">
      <c r="A2027" s="1" t="str">
        <f t="shared" si="130"/>
        <v>255</v>
      </c>
      <c r="B2027" s="1" t="str">
        <f>TEXT(60,"00")</f>
        <v>60</v>
      </c>
      <c r="C2027" s="1" t="str">
        <f t="shared" si="126"/>
        <v>255-60</v>
      </c>
      <c r="D2027" t="s">
        <v>2011</v>
      </c>
      <c r="E2027" t="b">
        <f>IF(COUNTIF(D2027,"*"&amp;'Keyword Search'!$C$5&amp;"*"),TRUE,FALSE)</f>
        <v>1</v>
      </c>
      <c r="G2027" t="str">
        <f t="shared" si="127"/>
        <v>255-60: Windshield Decals, Not Numbered</v>
      </c>
    </row>
    <row r="2028" spans="1:7" x14ac:dyDescent="0.25">
      <c r="A2028" s="1" t="str">
        <f t="shared" si="130"/>
        <v>255</v>
      </c>
      <c r="B2028" s="1" t="str">
        <f>TEXT(70,"00")</f>
        <v>70</v>
      </c>
      <c r="C2028" s="1" t="str">
        <f t="shared" si="126"/>
        <v>255-70</v>
      </c>
      <c r="D2028" t="s">
        <v>2012</v>
      </c>
      <c r="E2028" t="b">
        <f>IF(COUNTIF(D2028,"*"&amp;'Keyword Search'!$C$5&amp;"*"),TRUE,FALSE)</f>
        <v>1</v>
      </c>
      <c r="G2028" t="str">
        <f t="shared" si="127"/>
        <v>255-70: Windshield Decals, Numbered</v>
      </c>
    </row>
    <row r="2029" spans="1:7" x14ac:dyDescent="0.25">
      <c r="A2029" s="5" t="str">
        <f t="shared" ref="A2029:A2076" si="131">TEXT(257,"000")</f>
        <v>257</v>
      </c>
      <c r="B2029" s="5" t="str">
        <f>TEXT(0,"00")</f>
        <v>00</v>
      </c>
      <c r="C2029" s="1"/>
      <c r="D2029" s="2" t="s">
        <v>2013</v>
      </c>
    </row>
    <row r="2030" spans="1:7" x14ac:dyDescent="0.25">
      <c r="A2030" s="1" t="str">
        <f t="shared" si="131"/>
        <v>257</v>
      </c>
      <c r="B2030" s="1" t="str">
        <f>TEXT(18,"00")</f>
        <v>18</v>
      </c>
      <c r="C2030" s="1" t="str">
        <f t="shared" si="126"/>
        <v>257-18</v>
      </c>
      <c r="D2030" t="s">
        <v>2014</v>
      </c>
      <c r="E2030" t="b">
        <f>IF(COUNTIF(D2030,"*"&amp;'Keyword Search'!$C$5&amp;"*"),TRUE,FALSE)</f>
        <v>1</v>
      </c>
      <c r="G2030" t="str">
        <f t="shared" si="127"/>
        <v>257-18: Aircraft, Military, Fighter Bombers, Attack Aircraft, etc.</v>
      </c>
    </row>
    <row r="2031" spans="1:7" x14ac:dyDescent="0.25">
      <c r="A2031" s="1" t="str">
        <f t="shared" si="131"/>
        <v>257</v>
      </c>
      <c r="B2031" s="1" t="str">
        <f>TEXT(19,"00")</f>
        <v>19</v>
      </c>
      <c r="C2031" s="1" t="str">
        <f t="shared" si="126"/>
        <v>257-19</v>
      </c>
      <c r="D2031" t="s">
        <v>2015</v>
      </c>
      <c r="E2031" t="b">
        <f>IF(COUNTIF(D2031,"*"&amp;'Keyword Search'!$C$5&amp;"*"),TRUE,FALSE)</f>
        <v>1</v>
      </c>
      <c r="G2031" t="str">
        <f t="shared" si="127"/>
        <v>257-19: Aviation Equipment, CBRNE</v>
      </c>
    </row>
    <row r="2032" spans="1:7" x14ac:dyDescent="0.25">
      <c r="A2032" s="1" t="str">
        <f t="shared" si="131"/>
        <v>257</v>
      </c>
      <c r="B2032" s="1" t="str">
        <f>TEXT(20,"00")</f>
        <v>20</v>
      </c>
      <c r="C2032" s="1" t="str">
        <f t="shared" si="126"/>
        <v>257-20</v>
      </c>
      <c r="D2032" t="s">
        <v>2016</v>
      </c>
      <c r="E2032" t="b">
        <f>IF(COUNTIF(D2032,"*"&amp;'Keyword Search'!$C$5&amp;"*"),TRUE,FALSE)</f>
        <v>1</v>
      </c>
      <c r="G2032" t="str">
        <f t="shared" si="127"/>
        <v>257-20: Aviation Equipment, Defense and Homeland Security</v>
      </c>
    </row>
    <row r="2033" spans="1:7" x14ac:dyDescent="0.25">
      <c r="A2033" s="1" t="str">
        <f t="shared" si="131"/>
        <v>257</v>
      </c>
      <c r="B2033" s="1" t="str">
        <f>TEXT(23,"00")</f>
        <v>23</v>
      </c>
      <c r="C2033" s="1" t="str">
        <f t="shared" si="126"/>
        <v>257-23</v>
      </c>
      <c r="D2033" t="s">
        <v>2017</v>
      </c>
      <c r="E2033" t="b">
        <f>IF(COUNTIF(D2033,"*"&amp;'Keyword Search'!$C$5&amp;"*"),TRUE,FALSE)</f>
        <v>1</v>
      </c>
      <c r="G2033" t="str">
        <f t="shared" si="127"/>
        <v>257-23: *Bomb Detection Equipment and Supplies</v>
      </c>
    </row>
    <row r="2034" spans="1:7" x14ac:dyDescent="0.25">
      <c r="A2034" s="1" t="str">
        <f t="shared" si="131"/>
        <v>257</v>
      </c>
      <c r="B2034" s="1" t="str">
        <f>TEXT(24,"00")</f>
        <v>24</v>
      </c>
      <c r="C2034" s="1" t="str">
        <f t="shared" si="126"/>
        <v>257-24</v>
      </c>
      <c r="D2034" t="s">
        <v>2018</v>
      </c>
      <c r="E2034" t="b">
        <f>IF(COUNTIF(D2034,"*"&amp;'Keyword Search'!$C$5&amp;"*"),TRUE,FALSE)</f>
        <v>1</v>
      </c>
      <c r="G2034" t="str">
        <f t="shared" si="127"/>
        <v>257-24: Bomb Protection Devices and Supplies</v>
      </c>
    </row>
    <row r="2035" spans="1:7" x14ac:dyDescent="0.25">
      <c r="A2035" s="1" t="str">
        <f t="shared" si="131"/>
        <v>257</v>
      </c>
      <c r="B2035" s="1" t="str">
        <f>TEXT(26,"00")</f>
        <v>26</v>
      </c>
      <c r="C2035" s="1" t="str">
        <f t="shared" si="126"/>
        <v>257-26</v>
      </c>
      <c r="D2035" t="s">
        <v>2019</v>
      </c>
      <c r="E2035" t="b">
        <f>IF(COUNTIF(D2035,"*"&amp;'Keyword Search'!$C$5&amp;"*"),TRUE,FALSE)</f>
        <v>1</v>
      </c>
      <c r="G2035" t="str">
        <f t="shared" si="127"/>
        <v>257-26: Medical Supplies and Pharmaceuticals (Not Otherwise Classified), CBRNE</v>
      </c>
    </row>
    <row r="2036" spans="1:7" x14ac:dyDescent="0.25">
      <c r="A2036" s="1" t="str">
        <f t="shared" si="131"/>
        <v>257</v>
      </c>
      <c r="B2036" s="1" t="str">
        <f>TEXT(27,"00")</f>
        <v>27</v>
      </c>
      <c r="C2036" s="1" t="str">
        <f t="shared" si="126"/>
        <v>257-27</v>
      </c>
      <c r="D2036" t="s">
        <v>2020</v>
      </c>
      <c r="E2036" t="b">
        <f>IF(COUNTIF(D2036,"*"&amp;'Keyword Search'!$C$5&amp;"*"),TRUE,FALSE)</f>
        <v>1</v>
      </c>
      <c r="G2036" t="str">
        <f t="shared" si="127"/>
        <v>257-27: *Chemical, Biological, Radiological and Nuclear Explosive Weapons and Cyber Attacks</v>
      </c>
    </row>
    <row r="2037" spans="1:7" x14ac:dyDescent="0.25">
      <c r="A2037" s="1" t="str">
        <f t="shared" si="131"/>
        <v>257</v>
      </c>
      <c r="B2037" s="1" t="str">
        <f>TEXT(28,"00")</f>
        <v>28</v>
      </c>
      <c r="C2037" s="1" t="str">
        <f t="shared" si="126"/>
        <v>257-28</v>
      </c>
      <c r="D2037" t="s">
        <v>2021</v>
      </c>
      <c r="E2037" t="b">
        <f>IF(COUNTIF(D2037,"*"&amp;'Keyword Search'!$C$5&amp;"*"),TRUE,FALSE)</f>
        <v>1</v>
      </c>
      <c r="G2037" t="str">
        <f t="shared" si="127"/>
        <v>257-28: *Communications Equipment, Interoperable, CBRNE</v>
      </c>
    </row>
    <row r="2038" spans="1:7" x14ac:dyDescent="0.25">
      <c r="A2038" s="1" t="str">
        <f t="shared" si="131"/>
        <v>257</v>
      </c>
      <c r="B2038" s="1" t="str">
        <f>TEXT(29,"00")</f>
        <v>29</v>
      </c>
      <c r="C2038" s="1" t="str">
        <f t="shared" si="126"/>
        <v>257-29</v>
      </c>
      <c r="D2038" t="s">
        <v>2022</v>
      </c>
      <c r="E2038" t="b">
        <f>IF(COUNTIF(D2038,"*"&amp;'Keyword Search'!$C$5&amp;"*"),TRUE,FALSE)</f>
        <v>1</v>
      </c>
      <c r="G2038" t="str">
        <f t="shared" si="127"/>
        <v>257-29: *Communications Equipment, Defense and Homeland Security</v>
      </c>
    </row>
    <row r="2039" spans="1:7" x14ac:dyDescent="0.25">
      <c r="A2039" s="1" t="str">
        <f t="shared" si="131"/>
        <v>257</v>
      </c>
      <c r="B2039" s="1" t="str">
        <f>TEXT(31,"00")</f>
        <v>31</v>
      </c>
      <c r="C2039" s="1" t="str">
        <f t="shared" si="126"/>
        <v>257-31</v>
      </c>
      <c r="D2039" t="s">
        <v>2023</v>
      </c>
      <c r="E2039" t="b">
        <f>IF(COUNTIF(D2039,"*"&amp;'Keyword Search'!$C$5&amp;"*"),TRUE,FALSE)</f>
        <v>1</v>
      </c>
      <c r="G2039" t="str">
        <f t="shared" si="127"/>
        <v>257-31: *Detection Equipment, CBRNE</v>
      </c>
    </row>
    <row r="2040" spans="1:7" x14ac:dyDescent="0.25">
      <c r="A2040" s="1" t="str">
        <f t="shared" si="131"/>
        <v>257</v>
      </c>
      <c r="B2040" s="1" t="str">
        <f>TEXT(34,"00")</f>
        <v>34</v>
      </c>
      <c r="C2040" s="1" t="str">
        <f t="shared" si="126"/>
        <v>257-34</v>
      </c>
      <c r="D2040" t="s">
        <v>2024</v>
      </c>
      <c r="E2040" t="b">
        <f>IF(COUNTIF(D2040,"*"&amp;'Keyword Search'!$C$5&amp;"*"),TRUE,FALSE)</f>
        <v>1</v>
      </c>
      <c r="G2040" t="str">
        <f t="shared" si="127"/>
        <v>257-34: Decontamination Equipment, CBRNE</v>
      </c>
    </row>
    <row r="2041" spans="1:7" x14ac:dyDescent="0.25">
      <c r="A2041" s="1" t="str">
        <f t="shared" si="131"/>
        <v>257</v>
      </c>
      <c r="B2041" s="1" t="str">
        <f>TEXT(35,"00")</f>
        <v>35</v>
      </c>
      <c r="C2041" s="1" t="str">
        <f t="shared" si="126"/>
        <v>257-35</v>
      </c>
      <c r="D2041" t="s">
        <v>2025</v>
      </c>
      <c r="E2041" t="b">
        <f>IF(COUNTIF(D2041,"*"&amp;'Keyword Search'!$C$5&amp;"*"),TRUE,FALSE)</f>
        <v>1</v>
      </c>
      <c r="G2041" t="str">
        <f t="shared" si="127"/>
        <v>257-35: Disaster Survival Equipment, Kits, and Supplies</v>
      </c>
    </row>
    <row r="2042" spans="1:7" x14ac:dyDescent="0.25">
      <c r="A2042" s="1" t="str">
        <f t="shared" si="131"/>
        <v>257</v>
      </c>
      <c r="B2042" s="1" t="str">
        <f>TEXT(37,"00")</f>
        <v>37</v>
      </c>
      <c r="C2042" s="1" t="str">
        <f t="shared" si="126"/>
        <v>257-37</v>
      </c>
      <c r="D2042" t="s">
        <v>2026</v>
      </c>
      <c r="E2042" t="b">
        <f>IF(COUNTIF(D2042,"*"&amp;'Keyword Search'!$C$5&amp;"*"),TRUE,FALSE)</f>
        <v>1</v>
      </c>
      <c r="G2042" t="str">
        <f t="shared" si="127"/>
        <v>257-37: *Explosive Device Mitigation and Remediation Equipment</v>
      </c>
    </row>
    <row r="2043" spans="1:7" x14ac:dyDescent="0.25">
      <c r="A2043" s="1" t="str">
        <f t="shared" si="131"/>
        <v>257</v>
      </c>
      <c r="B2043" s="1" t="str">
        <f>TEXT(38,"00")</f>
        <v>38</v>
      </c>
      <c r="C2043" s="1" t="str">
        <f t="shared" si="126"/>
        <v>257-38</v>
      </c>
      <c r="D2043" t="s">
        <v>2027</v>
      </c>
      <c r="E2043" t="b">
        <f>IF(COUNTIF(D2043,"*"&amp;'Keyword Search'!$C$5&amp;"*"),TRUE,FALSE)</f>
        <v>1</v>
      </c>
      <c r="G2043" t="str">
        <f t="shared" si="127"/>
        <v>257-38: Hazardous Control Materials, Hazmat, Green Material, etc., (Not Otherwise Classified)</v>
      </c>
    </row>
    <row r="2044" spans="1:7" x14ac:dyDescent="0.25">
      <c r="A2044" s="1" t="str">
        <f t="shared" si="131"/>
        <v>257</v>
      </c>
      <c r="B2044" s="1" t="str">
        <f>TEXT(40,"00")</f>
        <v>40</v>
      </c>
      <c r="C2044" s="1" t="str">
        <f t="shared" si="126"/>
        <v>257-40</v>
      </c>
      <c r="D2044" t="s">
        <v>2028</v>
      </c>
      <c r="E2044" t="b">
        <f>IF(COUNTIF(D2044,"*"&amp;'Keyword Search'!$C$5&amp;"*"),TRUE,FALSE)</f>
        <v>1</v>
      </c>
      <c r="G2044" t="str">
        <f t="shared" si="127"/>
        <v>257-40: *Homeland Security Equipment and Accessories (Not Otherwise Classified)</v>
      </c>
    </row>
    <row r="2045" spans="1:7" x14ac:dyDescent="0.25">
      <c r="A2045" s="1" t="str">
        <f t="shared" si="131"/>
        <v>257</v>
      </c>
      <c r="B2045" s="1" t="str">
        <f>TEXT(43,"00")</f>
        <v>43</v>
      </c>
      <c r="C2045" s="1" t="str">
        <f t="shared" si="126"/>
        <v>257-43</v>
      </c>
      <c r="D2045" t="s">
        <v>2029</v>
      </c>
      <c r="E2045" t="b">
        <f>IF(COUNTIF(D2045,"*"&amp;'Keyword Search'!$C$5&amp;"*"),TRUE,FALSE)</f>
        <v>1</v>
      </c>
      <c r="G2045" t="str">
        <f t="shared" si="127"/>
        <v>257-43: Intervention Equipment, CBRNE</v>
      </c>
    </row>
    <row r="2046" spans="1:7" x14ac:dyDescent="0.25">
      <c r="A2046" s="1" t="str">
        <f t="shared" si="131"/>
        <v>257</v>
      </c>
      <c r="B2046" s="1" t="str">
        <f>TEXT(44,"00")</f>
        <v>44</v>
      </c>
      <c r="C2046" s="1" t="str">
        <f t="shared" si="126"/>
        <v>257-44</v>
      </c>
      <c r="D2046" t="s">
        <v>2030</v>
      </c>
      <c r="E2046" t="b">
        <f>IF(COUNTIF(D2046,"*"&amp;'Keyword Search'!$C$5&amp;"*"),TRUE,FALSE)</f>
        <v>1</v>
      </c>
      <c r="G2046" t="str">
        <f t="shared" si="127"/>
        <v>257-44: Logistical Support Equipment, CBRNE</v>
      </c>
    </row>
    <row r="2047" spans="1:7" x14ac:dyDescent="0.25">
      <c r="A2047" s="1" t="str">
        <f t="shared" si="131"/>
        <v>257</v>
      </c>
      <c r="B2047" s="1" t="str">
        <f>TEXT(46,"00")</f>
        <v>46</v>
      </c>
      <c r="C2047" s="1" t="str">
        <f t="shared" si="126"/>
        <v>257-46</v>
      </c>
      <c r="D2047" t="s">
        <v>2031</v>
      </c>
      <c r="E2047" t="b">
        <f>IF(COUNTIF(D2047,"*"&amp;'Keyword Search'!$C$5&amp;"*"),TRUE,FALSE)</f>
        <v>1</v>
      </c>
      <c r="G2047" t="str">
        <f t="shared" si="127"/>
        <v>257-46: Military Explosives: Bombs, Mines, etc.</v>
      </c>
    </row>
    <row r="2048" spans="1:7" x14ac:dyDescent="0.25">
      <c r="A2048" s="1" t="str">
        <f t="shared" si="131"/>
        <v>257</v>
      </c>
      <c r="B2048" s="1" t="str">
        <f>TEXT(47,"00")</f>
        <v>47</v>
      </c>
      <c r="C2048" s="1" t="str">
        <f t="shared" si="126"/>
        <v>257-47</v>
      </c>
      <c r="D2048" t="s">
        <v>2032</v>
      </c>
      <c r="E2048" t="b">
        <f>IF(COUNTIF(D2048,"*"&amp;'Keyword Search'!$C$5&amp;"*"),TRUE,FALSE)</f>
        <v>1</v>
      </c>
      <c r="G2048" t="str">
        <f t="shared" si="127"/>
        <v>257-47: Military Watercraft, Submarines, Aircraft Carriers, Cruisers, etc.</v>
      </c>
    </row>
    <row r="2049" spans="1:7" x14ac:dyDescent="0.25">
      <c r="A2049" s="1" t="str">
        <f t="shared" si="131"/>
        <v>257</v>
      </c>
      <c r="B2049" s="1" t="str">
        <f>TEXT(50,"00")</f>
        <v>50</v>
      </c>
      <c r="C2049" s="1" t="str">
        <f t="shared" si="126"/>
        <v>257-50</v>
      </c>
      <c r="D2049" t="s">
        <v>2033</v>
      </c>
      <c r="E2049" t="b">
        <f>IF(COUNTIF(D2049,"*"&amp;'Keyword Search'!$C$5&amp;"*"),TRUE,FALSE)</f>
        <v>1</v>
      </c>
      <c r="G2049" t="str">
        <f t="shared" si="127"/>
        <v>257-50: Missiles, Guided, Air to Air</v>
      </c>
    </row>
    <row r="2050" spans="1:7" x14ac:dyDescent="0.25">
      <c r="A2050" s="1" t="str">
        <f t="shared" si="131"/>
        <v>257</v>
      </c>
      <c r="B2050" s="1" t="str">
        <f>TEXT(51,"00")</f>
        <v>51</v>
      </c>
      <c r="C2050" s="1" t="str">
        <f t="shared" si="126"/>
        <v>257-51</v>
      </c>
      <c r="D2050" t="s">
        <v>2034</v>
      </c>
      <c r="E2050" t="b">
        <f>IF(COUNTIF(D2050,"*"&amp;'Keyword Search'!$C$5&amp;"*"),TRUE,FALSE)</f>
        <v>1</v>
      </c>
      <c r="G2050" t="str">
        <f t="shared" si="127"/>
        <v>257-51: Missiles, Guided, Air to Surface</v>
      </c>
    </row>
    <row r="2051" spans="1:7" x14ac:dyDescent="0.25">
      <c r="A2051" s="1" t="str">
        <f t="shared" si="131"/>
        <v>257</v>
      </c>
      <c r="B2051" s="1" t="str">
        <f>TEXT(52,"00")</f>
        <v>52</v>
      </c>
      <c r="C2051" s="1" t="str">
        <f t="shared" ref="C2051:C2114" si="132">CONCATENATE(A2051,"-",B2051)</f>
        <v>257-52</v>
      </c>
      <c r="D2051" t="s">
        <v>2035</v>
      </c>
      <c r="E2051" t="b">
        <f>IF(COUNTIF(D2051,"*"&amp;'Keyword Search'!$C$5&amp;"*"),TRUE,FALSE)</f>
        <v>1</v>
      </c>
      <c r="G2051" t="str">
        <f t="shared" si="127"/>
        <v>257-52: Missiles, Guided, Antiballistic</v>
      </c>
    </row>
    <row r="2052" spans="1:7" x14ac:dyDescent="0.25">
      <c r="A2052" s="1" t="str">
        <f t="shared" si="131"/>
        <v>257</v>
      </c>
      <c r="B2052" s="1" t="str">
        <f>TEXT(53,"00")</f>
        <v>53</v>
      </c>
      <c r="C2052" s="1" t="str">
        <f t="shared" si="132"/>
        <v>257-53</v>
      </c>
      <c r="D2052" t="s">
        <v>2036</v>
      </c>
      <c r="E2052" t="b">
        <f>IF(COUNTIF(D2052,"*"&amp;'Keyword Search'!$C$5&amp;"*"),TRUE,FALSE)</f>
        <v>1</v>
      </c>
      <c r="G2052" t="str">
        <f t="shared" ref="G2052:G2115" si="133">CONCATENATE(C2052,": ",D2052)</f>
        <v>257-53: Missiles, Guided, Antiaircraft</v>
      </c>
    </row>
    <row r="2053" spans="1:7" x14ac:dyDescent="0.25">
      <c r="A2053" s="1" t="str">
        <f t="shared" si="131"/>
        <v>257</v>
      </c>
      <c r="B2053" s="1" t="str">
        <f>TEXT(54,"00")</f>
        <v>54</v>
      </c>
      <c r="C2053" s="1" t="str">
        <f t="shared" si="132"/>
        <v>257-54</v>
      </c>
      <c r="D2053" t="s">
        <v>2037</v>
      </c>
      <c r="E2053" t="b">
        <f>IF(COUNTIF(D2053,"*"&amp;'Keyword Search'!$C$5&amp;"*"),TRUE,FALSE)</f>
        <v>1</v>
      </c>
      <c r="G2053" t="str">
        <f t="shared" si="133"/>
        <v>257-54: Missiles, Guided, Antimissile</v>
      </c>
    </row>
    <row r="2054" spans="1:7" x14ac:dyDescent="0.25">
      <c r="A2054" s="1" t="str">
        <f t="shared" si="131"/>
        <v>257</v>
      </c>
      <c r="B2054" s="1" t="str">
        <f>TEXT(55,"00")</f>
        <v>55</v>
      </c>
      <c r="C2054" s="1" t="str">
        <f t="shared" si="132"/>
        <v>257-55</v>
      </c>
      <c r="D2054" t="s">
        <v>2038</v>
      </c>
      <c r="E2054" t="b">
        <f>IF(COUNTIF(D2054,"*"&amp;'Keyword Search'!$C$5&amp;"*"),TRUE,FALSE)</f>
        <v>1</v>
      </c>
      <c r="G2054" t="str">
        <f t="shared" si="133"/>
        <v>257-55: Missiles, Guided, Antiship</v>
      </c>
    </row>
    <row r="2055" spans="1:7" x14ac:dyDescent="0.25">
      <c r="A2055" s="1" t="str">
        <f t="shared" si="131"/>
        <v>257</v>
      </c>
      <c r="B2055" s="1" t="str">
        <f>TEXT(56,"00")</f>
        <v>56</v>
      </c>
      <c r="C2055" s="1" t="str">
        <f t="shared" si="132"/>
        <v>257-56</v>
      </c>
      <c r="D2055" t="s">
        <v>2039</v>
      </c>
      <c r="E2055" t="b">
        <f>IF(COUNTIF(D2055,"*"&amp;'Keyword Search'!$C$5&amp;"*"),TRUE,FALSE)</f>
        <v>1</v>
      </c>
      <c r="G2055" t="str">
        <f t="shared" si="133"/>
        <v>257-56: Missiles, Guided, Antitank</v>
      </c>
    </row>
    <row r="2056" spans="1:7" x14ac:dyDescent="0.25">
      <c r="A2056" s="1" t="str">
        <f t="shared" si="131"/>
        <v>257</v>
      </c>
      <c r="B2056" s="1" t="str">
        <f>TEXT(58,"00")</f>
        <v>58</v>
      </c>
      <c r="C2056" s="1" t="str">
        <f t="shared" si="132"/>
        <v>257-58</v>
      </c>
      <c r="D2056" t="s">
        <v>2040</v>
      </c>
      <c r="E2056" t="b">
        <f>IF(COUNTIF(D2056,"*"&amp;'Keyword Search'!$C$5&amp;"*"),TRUE,FALSE)</f>
        <v>1</v>
      </c>
      <c r="G2056" t="str">
        <f t="shared" si="133"/>
        <v>257-58: Missiles, Guided, Ballistic</v>
      </c>
    </row>
    <row r="2057" spans="1:7" x14ac:dyDescent="0.25">
      <c r="A2057" s="1" t="str">
        <f t="shared" si="131"/>
        <v>257</v>
      </c>
      <c r="B2057" s="1" t="str">
        <f>TEXT(60,"00")</f>
        <v>60</v>
      </c>
      <c r="C2057" s="1" t="str">
        <f t="shared" si="132"/>
        <v>257-60</v>
      </c>
      <c r="D2057" t="s">
        <v>2041</v>
      </c>
      <c r="E2057" t="b">
        <f>IF(COUNTIF(D2057,"*"&amp;'Keyword Search'!$C$5&amp;"*"),TRUE,FALSE)</f>
        <v>1</v>
      </c>
      <c r="G2057" t="str">
        <f t="shared" si="133"/>
        <v>257-60: Missiles, Guided, Cruise</v>
      </c>
    </row>
    <row r="2058" spans="1:7" x14ac:dyDescent="0.25">
      <c r="A2058" s="1" t="str">
        <f t="shared" si="131"/>
        <v>257</v>
      </c>
      <c r="B2058" s="1" t="str">
        <f>TEXT(63,"00")</f>
        <v>63</v>
      </c>
      <c r="C2058" s="1" t="str">
        <f t="shared" si="132"/>
        <v>257-63</v>
      </c>
      <c r="D2058" t="s">
        <v>2042</v>
      </c>
      <c r="E2058" t="b">
        <f>IF(COUNTIF(D2058,"*"&amp;'Keyword Search'!$C$5&amp;"*"),TRUE,FALSE)</f>
        <v>1</v>
      </c>
      <c r="G2058" t="str">
        <f t="shared" si="133"/>
        <v>257-63: Missiles, Guided, Surface to Surface</v>
      </c>
    </row>
    <row r="2059" spans="1:7" x14ac:dyDescent="0.25">
      <c r="A2059" s="1" t="str">
        <f t="shared" si="131"/>
        <v>257</v>
      </c>
      <c r="B2059" s="1" t="str">
        <f>TEXT(64,"00")</f>
        <v>64</v>
      </c>
      <c r="C2059" s="1" t="str">
        <f t="shared" si="132"/>
        <v>257-64</v>
      </c>
      <c r="D2059" t="s">
        <v>2043</v>
      </c>
      <c r="E2059" t="b">
        <f>IF(COUNTIF(D2059,"*"&amp;'Keyword Search'!$C$5&amp;"*"),TRUE,FALSE)</f>
        <v>1</v>
      </c>
      <c r="G2059" t="str">
        <f t="shared" si="133"/>
        <v>257-64: Missiles, Guided, Training</v>
      </c>
    </row>
    <row r="2060" spans="1:7" x14ac:dyDescent="0.25">
      <c r="A2060" s="1" t="str">
        <f t="shared" si="131"/>
        <v>257</v>
      </c>
      <c r="B2060" s="1" t="str">
        <f>TEXT(67,"00")</f>
        <v>67</v>
      </c>
      <c r="C2060" s="1" t="str">
        <f t="shared" si="132"/>
        <v>257-67</v>
      </c>
      <c r="D2060" t="s">
        <v>2044</v>
      </c>
      <c r="E2060" t="b">
        <f>IF(COUNTIF(D2060,"*"&amp;'Keyword Search'!$C$5&amp;"*"),TRUE,FALSE)</f>
        <v>1</v>
      </c>
      <c r="G2060" t="str">
        <f t="shared" si="133"/>
        <v>257-67: Missile Subsystems, Including Boosters, Warheads, Pin Pullers, Jet Reaction Control Assy</v>
      </c>
    </row>
    <row r="2061" spans="1:7" x14ac:dyDescent="0.25">
      <c r="A2061" s="1" t="str">
        <f t="shared" si="131"/>
        <v>257</v>
      </c>
      <c r="B2061" s="1" t="str">
        <f>TEXT(71,"00")</f>
        <v>71</v>
      </c>
      <c r="C2061" s="1" t="str">
        <f t="shared" si="132"/>
        <v>257-71</v>
      </c>
      <c r="D2061" t="s">
        <v>2045</v>
      </c>
      <c r="E2061" t="b">
        <f>IF(COUNTIF(D2061,"*"&amp;'Keyword Search'!$C$5&amp;"*"),TRUE,FALSE)</f>
        <v>1</v>
      </c>
      <c r="G2061" t="str">
        <f t="shared" si="133"/>
        <v>257-71: Recycled Defense System Equipment and Accessories</v>
      </c>
    </row>
    <row r="2062" spans="1:7" x14ac:dyDescent="0.25">
      <c r="A2062" s="1" t="str">
        <f t="shared" si="131"/>
        <v>257</v>
      </c>
      <c r="B2062" s="1" t="str">
        <f>TEXT(72,"00")</f>
        <v>72</v>
      </c>
      <c r="C2062" s="1" t="str">
        <f t="shared" si="132"/>
        <v>257-72</v>
      </c>
      <c r="D2062" t="s">
        <v>2046</v>
      </c>
      <c r="E2062" t="b">
        <f>IF(COUNTIF(D2062,"*"&amp;'Keyword Search'!$C$5&amp;"*"),TRUE,FALSE)</f>
        <v>1</v>
      </c>
      <c r="G2062" t="str">
        <f t="shared" si="133"/>
        <v>257-72: Rescue and Search Equipment, CBRNE</v>
      </c>
    </row>
    <row r="2063" spans="1:7" x14ac:dyDescent="0.25">
      <c r="A2063" s="1" t="str">
        <f t="shared" si="131"/>
        <v>257</v>
      </c>
      <c r="B2063" s="1" t="str">
        <f>TEXT(73,"00")</f>
        <v>73</v>
      </c>
      <c r="C2063" s="1" t="str">
        <f t="shared" si="132"/>
        <v>257-73</v>
      </c>
      <c r="D2063" t="s">
        <v>2047</v>
      </c>
      <c r="E2063" t="b">
        <f>IF(COUNTIF(D2063,"*"&amp;'Keyword Search'!$C$5&amp;"*"),TRUE,FALSE)</f>
        <v>1</v>
      </c>
      <c r="G2063" t="str">
        <f t="shared" si="133"/>
        <v>257-73: Rockets and Launch Vehicles, Including Boosters</v>
      </c>
    </row>
    <row r="2064" spans="1:7" x14ac:dyDescent="0.25">
      <c r="A2064" s="1" t="str">
        <f t="shared" si="131"/>
        <v>257</v>
      </c>
      <c r="B2064" s="1" t="str">
        <f>TEXT(75,"00")</f>
        <v>75</v>
      </c>
      <c r="C2064" s="1" t="str">
        <f t="shared" si="132"/>
        <v>257-75</v>
      </c>
      <c r="D2064" t="s">
        <v>2048</v>
      </c>
      <c r="E2064" t="b">
        <f>IF(COUNTIF(D2064,"*"&amp;'Keyword Search'!$C$5&amp;"*"),TRUE,FALSE)</f>
        <v>1</v>
      </c>
      <c r="G2064" t="str">
        <f t="shared" si="133"/>
        <v>257-75: Satellites, Military (See 804-74 for all other types)</v>
      </c>
    </row>
    <row r="2065" spans="1:7" x14ac:dyDescent="0.25">
      <c r="A2065" s="1" t="str">
        <f t="shared" si="131"/>
        <v>257</v>
      </c>
      <c r="B2065" s="1" t="str">
        <f>TEXT(76,"00")</f>
        <v>76</v>
      </c>
      <c r="C2065" s="1" t="str">
        <f t="shared" si="132"/>
        <v>257-76</v>
      </c>
      <c r="D2065" t="s">
        <v>2049</v>
      </c>
      <c r="E2065" t="b">
        <f>IF(COUNTIF(D2065,"*"&amp;'Keyword Search'!$C$5&amp;"*"),TRUE,FALSE)</f>
        <v>1</v>
      </c>
      <c r="G2065" t="str">
        <f t="shared" si="133"/>
        <v>257-76: *Sensors, Infrared (IR)</v>
      </c>
    </row>
    <row r="2066" spans="1:7" x14ac:dyDescent="0.25">
      <c r="A2066" s="1" t="str">
        <f t="shared" si="131"/>
        <v>257</v>
      </c>
      <c r="B2066" s="1" t="str">
        <f>TEXT(77,"00")</f>
        <v>77</v>
      </c>
      <c r="C2066" s="1" t="str">
        <f t="shared" si="132"/>
        <v>257-77</v>
      </c>
      <c r="D2066" t="s">
        <v>2050</v>
      </c>
      <c r="E2066" t="b">
        <f>IF(COUNTIF(D2066,"*"&amp;'Keyword Search'!$C$5&amp;"*"),TRUE,FALSE)</f>
        <v>1</v>
      </c>
      <c r="G2066" t="str">
        <f t="shared" si="133"/>
        <v>257-77: Science and Research Services, Military</v>
      </c>
    </row>
    <row r="2067" spans="1:7" x14ac:dyDescent="0.25">
      <c r="A2067" s="1" t="str">
        <f t="shared" si="131"/>
        <v>257</v>
      </c>
      <c r="B2067" s="1" t="str">
        <f>TEXT(78,"00")</f>
        <v>78</v>
      </c>
      <c r="C2067" s="1" t="str">
        <f t="shared" si="132"/>
        <v>257-78</v>
      </c>
      <c r="D2067" t="s">
        <v>2051</v>
      </c>
      <c r="E2067" t="b">
        <f>IF(COUNTIF(D2067,"*"&amp;'Keyword Search'!$C$5&amp;"*"),TRUE,FALSE)</f>
        <v>1</v>
      </c>
      <c r="G2067" t="str">
        <f t="shared" si="133"/>
        <v>257-78: *Security Enhancement Equipment, Cyber</v>
      </c>
    </row>
    <row r="2068" spans="1:7" x14ac:dyDescent="0.25">
      <c r="A2068" s="1" t="str">
        <f t="shared" si="131"/>
        <v>257</v>
      </c>
      <c r="B2068" s="1" t="str">
        <f>TEXT(79,"00")</f>
        <v>79</v>
      </c>
      <c r="C2068" s="1" t="str">
        <f t="shared" si="132"/>
        <v>257-79</v>
      </c>
      <c r="D2068" t="s">
        <v>2052</v>
      </c>
      <c r="E2068" t="b">
        <f>IF(COUNTIF(D2068,"*"&amp;'Keyword Search'!$C$5&amp;"*"),TRUE,FALSE)</f>
        <v>1</v>
      </c>
      <c r="G2068" t="str">
        <f t="shared" si="133"/>
        <v>257-79: Security Enhancement Equipment, Physical, Including Blast Curtains</v>
      </c>
    </row>
    <row r="2069" spans="1:7" x14ac:dyDescent="0.25">
      <c r="A2069" s="1" t="str">
        <f t="shared" si="131"/>
        <v>257</v>
      </c>
      <c r="B2069" s="1" t="str">
        <f>TEXT(80,"00")</f>
        <v>80</v>
      </c>
      <c r="C2069" s="1" t="str">
        <f t="shared" si="132"/>
        <v>257-80</v>
      </c>
      <c r="D2069" t="s">
        <v>2053</v>
      </c>
      <c r="E2069" t="b">
        <f>IF(COUNTIF(D2069,"*"&amp;'Keyword Search'!$C$5&amp;"*"),TRUE,FALSE)</f>
        <v>1</v>
      </c>
      <c r="G2069" t="str">
        <f t="shared" si="133"/>
        <v>257-80: *Security Equipment, Defense and Homeland Security</v>
      </c>
    </row>
    <row r="2070" spans="1:7" x14ac:dyDescent="0.25">
      <c r="A2070" s="1" t="str">
        <f t="shared" si="131"/>
        <v>257</v>
      </c>
      <c r="B2070" s="1" t="str">
        <f>TEXT(81,"00")</f>
        <v>81</v>
      </c>
      <c r="C2070" s="1" t="str">
        <f t="shared" si="132"/>
        <v>257-81</v>
      </c>
      <c r="D2070" t="s">
        <v>2054</v>
      </c>
      <c r="E2070" t="b">
        <f>IF(COUNTIF(D2070,"*"&amp;'Keyword Search'!$C$5&amp;"*"),TRUE,FALSE)</f>
        <v>1</v>
      </c>
      <c r="G2070" t="str">
        <f t="shared" si="133"/>
        <v>257-81: *Terrorism Incident Prevention Equipment</v>
      </c>
    </row>
    <row r="2071" spans="1:7" x14ac:dyDescent="0.25">
      <c r="A2071" s="1" t="str">
        <f t="shared" si="131"/>
        <v>257</v>
      </c>
      <c r="B2071" s="1" t="str">
        <f>TEXT(82,"00")</f>
        <v>82</v>
      </c>
      <c r="C2071" s="1" t="str">
        <f t="shared" si="132"/>
        <v>257-82</v>
      </c>
      <c r="D2071" t="s">
        <v>2055</v>
      </c>
      <c r="E2071" t="b">
        <f>IF(COUNTIF(D2071,"*"&amp;'Keyword Search'!$C$5&amp;"*"),TRUE,FALSE)</f>
        <v>1</v>
      </c>
      <c r="G2071" t="str">
        <f t="shared" si="133"/>
        <v>257-82: Terrorism Prevention, Response and Mitigation Equipment for Agriculture</v>
      </c>
    </row>
    <row r="2072" spans="1:7" x14ac:dyDescent="0.25">
      <c r="A2072" s="1" t="str">
        <f t="shared" si="131"/>
        <v>257</v>
      </c>
      <c r="B2072" s="1" t="str">
        <f>TEXT(87,"00")</f>
        <v>87</v>
      </c>
      <c r="C2072" s="1" t="str">
        <f t="shared" si="132"/>
        <v>257-87</v>
      </c>
      <c r="D2072" t="s">
        <v>2056</v>
      </c>
      <c r="E2072" t="b">
        <f>IF(COUNTIF(D2072,"*"&amp;'Keyword Search'!$C$5&amp;"*"),TRUE,FALSE)</f>
        <v>1</v>
      </c>
      <c r="G2072" t="str">
        <f t="shared" si="133"/>
        <v>257-87: Vehicles, Incident Response, CBRNE</v>
      </c>
    </row>
    <row r="2073" spans="1:7" x14ac:dyDescent="0.25">
      <c r="A2073" s="1" t="str">
        <f t="shared" si="131"/>
        <v>257</v>
      </c>
      <c r="B2073" s="1" t="str">
        <f>TEXT(88,"00")</f>
        <v>88</v>
      </c>
      <c r="C2073" s="1" t="str">
        <f t="shared" si="132"/>
        <v>257-88</v>
      </c>
      <c r="D2073" t="s">
        <v>2057</v>
      </c>
      <c r="E2073" t="b">
        <f>IF(COUNTIF(D2073,"*"&amp;'Keyword Search'!$C$5&amp;"*"),TRUE,FALSE)</f>
        <v>1</v>
      </c>
      <c r="G2073" t="str">
        <f t="shared" si="133"/>
        <v>257-88: Vehicles, War, Armored, Tanks, etc.</v>
      </c>
    </row>
    <row r="2074" spans="1:7" x14ac:dyDescent="0.25">
      <c r="A2074" s="1" t="str">
        <f t="shared" si="131"/>
        <v>257</v>
      </c>
      <c r="B2074" s="1" t="str">
        <f>TEXT(93,"00")</f>
        <v>93</v>
      </c>
      <c r="C2074" s="1" t="str">
        <f t="shared" si="132"/>
        <v>257-93</v>
      </c>
      <c r="D2074" t="s">
        <v>2058</v>
      </c>
      <c r="E2074" t="b">
        <f>IF(COUNTIF(D2074,"*"&amp;'Keyword Search'!$C$5&amp;"*"),TRUE,FALSE)</f>
        <v>1</v>
      </c>
      <c r="G2074" t="str">
        <f t="shared" si="133"/>
        <v>257-93: Watercraft, Response, CBRNE</v>
      </c>
    </row>
    <row r="2075" spans="1:7" x14ac:dyDescent="0.25">
      <c r="A2075" s="1" t="str">
        <f t="shared" si="131"/>
        <v>257</v>
      </c>
      <c r="B2075" s="1" t="str">
        <f>TEXT(94,"00")</f>
        <v>94</v>
      </c>
      <c r="C2075" s="1" t="str">
        <f t="shared" si="132"/>
        <v>257-94</v>
      </c>
      <c r="D2075" t="s">
        <v>2059</v>
      </c>
      <c r="E2075" t="b">
        <f>IF(COUNTIF(D2075,"*"&amp;'Keyword Search'!$C$5&amp;"*"),TRUE,FALSE)</f>
        <v>1</v>
      </c>
      <c r="G2075" t="str">
        <f t="shared" si="133"/>
        <v>257-94: Weapons, Naval , Torpedoes etc.</v>
      </c>
    </row>
    <row r="2076" spans="1:7" x14ac:dyDescent="0.25">
      <c r="A2076" s="1" t="str">
        <f t="shared" si="131"/>
        <v>257</v>
      </c>
      <c r="B2076" s="1" t="str">
        <f>TEXT(95,"00")</f>
        <v>95</v>
      </c>
      <c r="C2076" s="1" t="str">
        <f t="shared" si="132"/>
        <v>257-95</v>
      </c>
      <c r="D2076" t="s">
        <v>2060</v>
      </c>
      <c r="E2076" t="b">
        <f>IF(COUNTIF(D2076,"*"&amp;'Keyword Search'!$C$5&amp;"*"),TRUE,FALSE)</f>
        <v>1</v>
      </c>
      <c r="G2076" t="str">
        <f t="shared" si="133"/>
        <v>257-95: Weapons, Bladed, Including Parts and Accessories</v>
      </c>
    </row>
    <row r="2077" spans="1:7" x14ac:dyDescent="0.25">
      <c r="A2077" s="5" t="str">
        <f t="shared" ref="A2077:A2120" si="134">TEXT(260,"000")</f>
        <v>260</v>
      </c>
      <c r="B2077" s="5" t="str">
        <f>TEXT(0,"00")</f>
        <v>00</v>
      </c>
      <c r="C2077" s="1"/>
      <c r="D2077" s="2" t="s">
        <v>2061</v>
      </c>
    </row>
    <row r="2078" spans="1:7" x14ac:dyDescent="0.25">
      <c r="A2078" s="1" t="str">
        <f t="shared" si="134"/>
        <v>260</v>
      </c>
      <c r="B2078" s="1" t="str">
        <f>TEXT(1,"00")</f>
        <v>01</v>
      </c>
      <c r="C2078" s="1" t="str">
        <f t="shared" si="132"/>
        <v>260-01</v>
      </c>
      <c r="D2078" t="s">
        <v>2062</v>
      </c>
      <c r="E2078" t="b">
        <f>IF(COUNTIF(D2078,"*"&amp;'Keyword Search'!$C$5&amp;"*"),TRUE,FALSE)</f>
        <v>1</v>
      </c>
      <c r="G2078" t="str">
        <f t="shared" si="133"/>
        <v>260-01: Anesthetics, Dental, General</v>
      </c>
    </row>
    <row r="2079" spans="1:7" x14ac:dyDescent="0.25">
      <c r="A2079" s="1" t="str">
        <f t="shared" si="134"/>
        <v>260</v>
      </c>
      <c r="B2079" s="1" t="str">
        <f>TEXT(2,"00")</f>
        <v>02</v>
      </c>
      <c r="C2079" s="1" t="str">
        <f t="shared" si="132"/>
        <v>260-02</v>
      </c>
      <c r="D2079" t="s">
        <v>2063</v>
      </c>
      <c r="E2079" t="b">
        <f>IF(COUNTIF(D2079,"*"&amp;'Keyword Search'!$C$5&amp;"*"),TRUE,FALSE)</f>
        <v>1</v>
      </c>
      <c r="G2079" t="str">
        <f t="shared" si="133"/>
        <v>260-02: Abrasives, Dental</v>
      </c>
    </row>
    <row r="2080" spans="1:7" x14ac:dyDescent="0.25">
      <c r="A2080" s="1" t="str">
        <f t="shared" si="134"/>
        <v>260</v>
      </c>
      <c r="B2080" s="1" t="str">
        <f>TEXT(4,"00")</f>
        <v>04</v>
      </c>
      <c r="C2080" s="1" t="str">
        <f t="shared" si="132"/>
        <v>260-04</v>
      </c>
      <c r="D2080" t="s">
        <v>2064</v>
      </c>
      <c r="E2080" t="b">
        <f>IF(COUNTIF(D2080,"*"&amp;'Keyword Search'!$C$5&amp;"*"),TRUE,FALSE)</f>
        <v>1</v>
      </c>
      <c r="G2080" t="str">
        <f t="shared" si="133"/>
        <v>260-04: Amalgams and Mercury</v>
      </c>
    </row>
    <row r="2081" spans="1:7" x14ac:dyDescent="0.25">
      <c r="A2081" s="1" t="str">
        <f t="shared" si="134"/>
        <v>260</v>
      </c>
      <c r="B2081" s="1" t="str">
        <f>TEXT(7,"00")</f>
        <v>07</v>
      </c>
      <c r="C2081" s="1" t="str">
        <f t="shared" si="132"/>
        <v>260-07</v>
      </c>
      <c r="D2081" t="s">
        <v>2065</v>
      </c>
      <c r="E2081" t="b">
        <f>IF(COUNTIF(D2081,"*"&amp;'Keyword Search'!$C$5&amp;"*"),TRUE,FALSE)</f>
        <v>1</v>
      </c>
      <c r="G2081" t="str">
        <f t="shared" si="133"/>
        <v>260-07: Cabinets, Furniture, Sinks, etc., Dental</v>
      </c>
    </row>
    <row r="2082" spans="1:7" x14ac:dyDescent="0.25">
      <c r="A2082" s="1" t="str">
        <f t="shared" si="134"/>
        <v>260</v>
      </c>
      <c r="B2082" s="1" t="str">
        <f>TEXT(9,"00")</f>
        <v>09</v>
      </c>
      <c r="C2082" s="1" t="str">
        <f t="shared" si="132"/>
        <v>260-09</v>
      </c>
      <c r="D2082" t="s">
        <v>2066</v>
      </c>
      <c r="E2082" t="b">
        <f>IF(COUNTIF(D2082,"*"&amp;'Keyword Search'!$C$5&amp;"*"),TRUE,FALSE)</f>
        <v>1</v>
      </c>
      <c r="G2082" t="str">
        <f t="shared" si="133"/>
        <v>260-09: Casting, Filling, and Molding Materials: Artificial Stone, Clay, Gypsum Plaster, Investments, Bonded and Solder, Molding Resins, Porcelain, etc.</v>
      </c>
    </row>
    <row r="2083" spans="1:7" x14ac:dyDescent="0.25">
      <c r="A2083" s="1" t="str">
        <f t="shared" si="134"/>
        <v>260</v>
      </c>
      <c r="B2083" s="1" t="str">
        <f>TEXT(11,"00")</f>
        <v>11</v>
      </c>
      <c r="C2083" s="1" t="str">
        <f t="shared" si="132"/>
        <v>260-11</v>
      </c>
      <c r="D2083" t="s">
        <v>2067</v>
      </c>
      <c r="E2083" t="b">
        <f>IF(COUNTIF(D2083,"*"&amp;'Keyword Search'!$C$5&amp;"*"),TRUE,FALSE)</f>
        <v>1</v>
      </c>
      <c r="G2083" t="str">
        <f t="shared" si="133"/>
        <v>260-11: Cements, Cavity Lining, etc.: Glass Ionometer, Polymeric, Zinc Compounds, etc.</v>
      </c>
    </row>
    <row r="2084" spans="1:7" x14ac:dyDescent="0.25">
      <c r="A2084" s="1" t="str">
        <f t="shared" si="134"/>
        <v>260</v>
      </c>
      <c r="B2084" s="1" t="str">
        <f>TEXT(13,"00")</f>
        <v>13</v>
      </c>
      <c r="C2084" s="1" t="str">
        <f t="shared" si="132"/>
        <v>260-13</v>
      </c>
      <c r="D2084" t="s">
        <v>2068</v>
      </c>
      <c r="E2084" t="b">
        <f>IF(COUNTIF(D2084,"*"&amp;'Keyword Search'!$C$5&amp;"*"),TRUE,FALSE)</f>
        <v>1</v>
      </c>
      <c r="G2084" t="str">
        <f t="shared" si="133"/>
        <v>260-13: Ceramic Items: Jacket Crowns, Porcelain Inlays, Porcelain Teeth, etc.</v>
      </c>
    </row>
    <row r="2085" spans="1:7" x14ac:dyDescent="0.25">
      <c r="A2085" s="1" t="str">
        <f t="shared" si="134"/>
        <v>260</v>
      </c>
      <c r="B2085" s="1" t="str">
        <f>TEXT(16,"00")</f>
        <v>16</v>
      </c>
      <c r="C2085" s="1" t="str">
        <f t="shared" si="132"/>
        <v>260-16</v>
      </c>
      <c r="D2085" t="s">
        <v>2069</v>
      </c>
      <c r="E2085" t="b">
        <f>IF(COUNTIF(D2085,"*"&amp;'Keyword Search'!$C$5&amp;"*"),TRUE,FALSE)</f>
        <v>1</v>
      </c>
      <c r="G2085" t="str">
        <f t="shared" si="133"/>
        <v>260-16: Chemicals, Cleaners, Lubricants, etc., Dental</v>
      </c>
    </row>
    <row r="2086" spans="1:7" x14ac:dyDescent="0.25">
      <c r="A2086" s="1" t="str">
        <f t="shared" si="134"/>
        <v>260</v>
      </c>
      <c r="B2086" s="1" t="str">
        <f>TEXT(19,"00")</f>
        <v>19</v>
      </c>
      <c r="C2086" s="1" t="str">
        <f t="shared" si="132"/>
        <v>260-19</v>
      </c>
      <c r="D2086" t="s">
        <v>2070</v>
      </c>
      <c r="E2086" t="b">
        <f>IF(COUNTIF(D2086,"*"&amp;'Keyword Search'!$C$5&amp;"*"),TRUE,FALSE)</f>
        <v>1</v>
      </c>
      <c r="G2086" t="str">
        <f t="shared" si="133"/>
        <v>260-19: Containers, Dispensers, Trays, etc., Dental</v>
      </c>
    </row>
    <row r="2087" spans="1:7" x14ac:dyDescent="0.25">
      <c r="A2087" s="1" t="str">
        <f t="shared" si="134"/>
        <v>260</v>
      </c>
      <c r="B2087" s="1" t="str">
        <f>TEXT(20,"00")</f>
        <v>20</v>
      </c>
      <c r="C2087" s="1" t="str">
        <f t="shared" si="132"/>
        <v>260-20</v>
      </c>
      <c r="D2087" t="s">
        <v>2071</v>
      </c>
      <c r="E2087" t="b">
        <f>IF(COUNTIF(D2087,"*"&amp;'Keyword Search'!$C$5&amp;"*"),TRUE,FALSE)</f>
        <v>1</v>
      </c>
      <c r="G2087" t="str">
        <f t="shared" si="133"/>
        <v>260-20: Cosmetic Dentistry Equipment and Supplies</v>
      </c>
    </row>
    <row r="2088" spans="1:7" x14ac:dyDescent="0.25">
      <c r="A2088" s="1" t="str">
        <f t="shared" si="134"/>
        <v>260</v>
      </c>
      <c r="B2088" s="1" t="str">
        <f>TEXT(22,"00")</f>
        <v>22</v>
      </c>
      <c r="C2088" s="1" t="str">
        <f t="shared" si="132"/>
        <v>260-22</v>
      </c>
      <c r="D2088" t="s">
        <v>2072</v>
      </c>
      <c r="E2088" t="b">
        <f>IF(COUNTIF(D2088,"*"&amp;'Keyword Search'!$C$5&amp;"*"),TRUE,FALSE)</f>
        <v>1</v>
      </c>
      <c r="G2088" t="str">
        <f t="shared" si="133"/>
        <v>260-22: Crowns and Teeth, Acrylic</v>
      </c>
    </row>
    <row r="2089" spans="1:7" x14ac:dyDescent="0.25">
      <c r="A2089" s="1" t="str">
        <f t="shared" si="134"/>
        <v>260</v>
      </c>
      <c r="B2089" s="1" t="str">
        <f>TEXT(23,"00")</f>
        <v>23</v>
      </c>
      <c r="C2089" s="1" t="str">
        <f t="shared" si="132"/>
        <v>260-23</v>
      </c>
      <c r="D2089" t="s">
        <v>2073</v>
      </c>
      <c r="E2089" t="b">
        <f>IF(COUNTIF(D2089,"*"&amp;'Keyword Search'!$C$5&amp;"*"),TRUE,FALSE)</f>
        <v>1</v>
      </c>
      <c r="G2089" t="str">
        <f t="shared" si="133"/>
        <v>260-23: Crowns, Metal</v>
      </c>
    </row>
    <row r="2090" spans="1:7" x14ac:dyDescent="0.25">
      <c r="A2090" s="1" t="str">
        <f t="shared" si="134"/>
        <v>260</v>
      </c>
      <c r="B2090" s="1" t="str">
        <f>TEXT(24,"00")</f>
        <v>24</v>
      </c>
      <c r="C2090" s="1" t="str">
        <f t="shared" si="132"/>
        <v>260-24</v>
      </c>
      <c r="D2090" t="s">
        <v>2074</v>
      </c>
      <c r="E2090" t="b">
        <f>IF(COUNTIF(D2090,"*"&amp;'Keyword Search'!$C$5&amp;"*"),TRUE,FALSE)</f>
        <v>1</v>
      </c>
      <c r="G2090" t="str">
        <f t="shared" si="133"/>
        <v>260-24: Crowns and Teeth, Plastic</v>
      </c>
    </row>
    <row r="2091" spans="1:7" x14ac:dyDescent="0.25">
      <c r="A2091" s="1" t="str">
        <f t="shared" si="134"/>
        <v>260</v>
      </c>
      <c r="B2091" s="1" t="str">
        <f>TEXT(26,"00")</f>
        <v>26</v>
      </c>
      <c r="C2091" s="1" t="str">
        <f t="shared" si="132"/>
        <v>260-26</v>
      </c>
      <c r="D2091" t="s">
        <v>2075</v>
      </c>
      <c r="E2091" t="b">
        <f>IF(COUNTIF(D2091,"*"&amp;'Keyword Search'!$C$5&amp;"*"),TRUE,FALSE)</f>
        <v>1</v>
      </c>
      <c r="G2091" t="str">
        <f t="shared" si="133"/>
        <v>260-26: Dental Units and Components: Chairs, Compressed Air and Aspiration Devices, Consoles, Handpieces, etc.</v>
      </c>
    </row>
    <row r="2092" spans="1:7" x14ac:dyDescent="0.25">
      <c r="A2092" s="1" t="str">
        <f t="shared" si="134"/>
        <v>260</v>
      </c>
      <c r="B2092" s="1" t="str">
        <f>TEXT(29,"00")</f>
        <v>29</v>
      </c>
      <c r="C2092" s="1" t="str">
        <f t="shared" si="132"/>
        <v>260-29</v>
      </c>
      <c r="D2092" t="s">
        <v>2076</v>
      </c>
      <c r="E2092" t="b">
        <f>IF(COUNTIF(D2092,"*"&amp;'Keyword Search'!$C$5&amp;"*"),TRUE,FALSE)</f>
        <v>1</v>
      </c>
      <c r="G2092" t="str">
        <f t="shared" si="133"/>
        <v>260-29: Dies, Forms, Molds, Patterns, etc., Dental</v>
      </c>
    </row>
    <row r="2093" spans="1:7" x14ac:dyDescent="0.25">
      <c r="A2093" s="1" t="str">
        <f t="shared" si="134"/>
        <v>260</v>
      </c>
      <c r="B2093" s="1" t="str">
        <f>TEXT(31,"00")</f>
        <v>31</v>
      </c>
      <c r="C2093" s="1" t="str">
        <f t="shared" si="132"/>
        <v>260-31</v>
      </c>
      <c r="D2093" t="s">
        <v>2077</v>
      </c>
      <c r="E2093" t="b">
        <f>IF(COUNTIF(D2093,"*"&amp;'Keyword Search'!$C$5&amp;"*"),TRUE,FALSE)</f>
        <v>1</v>
      </c>
      <c r="G2093" t="str">
        <f t="shared" si="133"/>
        <v>260-31: Electrosurgery Units, Dental</v>
      </c>
    </row>
    <row r="2094" spans="1:7" x14ac:dyDescent="0.25">
      <c r="A2094" s="1" t="str">
        <f t="shared" si="134"/>
        <v>260</v>
      </c>
      <c r="B2094" s="1" t="str">
        <f>TEXT(33,"00")</f>
        <v>33</v>
      </c>
      <c r="C2094" s="1" t="str">
        <f t="shared" si="132"/>
        <v>260-33</v>
      </c>
      <c r="D2094" t="s">
        <v>2078</v>
      </c>
      <c r="E2094" t="b">
        <f>IF(COUNTIF(D2094,"*"&amp;'Keyword Search'!$C$5&amp;"*"),TRUE,FALSE)</f>
        <v>1</v>
      </c>
      <c r="G2094" t="str">
        <f t="shared" si="133"/>
        <v>260-33: Evacuation Equipment and Supplies, Dental</v>
      </c>
    </row>
    <row r="2095" spans="1:7" x14ac:dyDescent="0.25">
      <c r="A2095" s="1" t="str">
        <f t="shared" si="134"/>
        <v>260</v>
      </c>
      <c r="B2095" s="1" t="str">
        <f>TEXT(36,"00")</f>
        <v>36</v>
      </c>
      <c r="C2095" s="1" t="str">
        <f t="shared" si="132"/>
        <v>260-36</v>
      </c>
      <c r="D2095" t="s">
        <v>2079</v>
      </c>
      <c r="E2095" t="b">
        <f>IF(COUNTIF(D2095,"*"&amp;'Keyword Search'!$C$5&amp;"*"),TRUE,FALSE)</f>
        <v>1</v>
      </c>
      <c r="G2095" t="str">
        <f t="shared" si="133"/>
        <v>260-36: Grinding and Polishing Implements: Burs, Cones, Cups, Discs, Wheels, etc., Dental</v>
      </c>
    </row>
    <row r="2096" spans="1:7" x14ac:dyDescent="0.25">
      <c r="A2096" s="1" t="str">
        <f t="shared" si="134"/>
        <v>260</v>
      </c>
      <c r="B2096" s="1" t="str">
        <f>TEXT(39,"00")</f>
        <v>39</v>
      </c>
      <c r="C2096" s="1" t="str">
        <f t="shared" si="132"/>
        <v>260-39</v>
      </c>
      <c r="D2096" t="s">
        <v>2080</v>
      </c>
      <c r="E2096" t="b">
        <f>IF(COUNTIF(D2096,"*"&amp;'Keyword Search'!$C$5&amp;"*"),TRUE,FALSE)</f>
        <v>1</v>
      </c>
      <c r="G2096" t="str">
        <f t="shared" si="133"/>
        <v>260-39: Heaters, Ovens, and Water Baths, Dental</v>
      </c>
    </row>
    <row r="2097" spans="1:7" x14ac:dyDescent="0.25">
      <c r="A2097" s="1" t="str">
        <f t="shared" si="134"/>
        <v>260</v>
      </c>
      <c r="B2097" s="1" t="str">
        <f>TEXT(41,"00")</f>
        <v>41</v>
      </c>
      <c r="C2097" s="1" t="str">
        <f t="shared" si="132"/>
        <v>260-41</v>
      </c>
      <c r="D2097" t="s">
        <v>2081</v>
      </c>
      <c r="E2097" t="b">
        <f>IF(COUNTIF(D2097,"*"&amp;'Keyword Search'!$C$5&amp;"*"),TRUE,FALSE)</f>
        <v>1</v>
      </c>
      <c r="G2097" t="str">
        <f t="shared" si="133"/>
        <v>260-41: Implants, Dental, All Types</v>
      </c>
    </row>
    <row r="2098" spans="1:7" x14ac:dyDescent="0.25">
      <c r="A2098" s="1" t="str">
        <f t="shared" si="134"/>
        <v>260</v>
      </c>
      <c r="B2098" s="1" t="str">
        <f>TEXT(43,"00")</f>
        <v>43</v>
      </c>
      <c r="C2098" s="1" t="str">
        <f t="shared" si="132"/>
        <v>260-43</v>
      </c>
      <c r="D2098" t="s">
        <v>2082</v>
      </c>
      <c r="E2098" t="b">
        <f>IF(COUNTIF(D2098,"*"&amp;'Keyword Search'!$C$5&amp;"*"),TRUE,FALSE)</f>
        <v>1</v>
      </c>
      <c r="G2098" t="str">
        <f t="shared" si="133"/>
        <v>260-43: Impression Materials: Agar, Alginates, Plasters, Zinc Oxide, etc., Dental</v>
      </c>
    </row>
    <row r="2099" spans="1:7" x14ac:dyDescent="0.25">
      <c r="A2099" s="1" t="str">
        <f t="shared" si="134"/>
        <v>260</v>
      </c>
      <c r="B2099" s="1" t="str">
        <f>TEXT(45,"00")</f>
        <v>45</v>
      </c>
      <c r="C2099" s="1" t="str">
        <f t="shared" si="132"/>
        <v>260-45</v>
      </c>
      <c r="D2099" t="s">
        <v>2083</v>
      </c>
      <c r="E2099" t="b">
        <f>IF(COUNTIF(D2099,"*"&amp;'Keyword Search'!$C$5&amp;"*"),TRUE,FALSE)</f>
        <v>1</v>
      </c>
      <c r="G2099" t="str">
        <f t="shared" si="133"/>
        <v>260-45: Infection Control Equipment and Supplies, Dental</v>
      </c>
    </row>
    <row r="2100" spans="1:7" x14ac:dyDescent="0.25">
      <c r="A2100" s="1" t="str">
        <f t="shared" si="134"/>
        <v>260</v>
      </c>
      <c r="B2100" s="1" t="str">
        <f>TEXT(46,"00")</f>
        <v>46</v>
      </c>
      <c r="C2100" s="1" t="str">
        <f t="shared" si="132"/>
        <v>260-46</v>
      </c>
      <c r="D2100" t="s">
        <v>2084</v>
      </c>
      <c r="E2100" t="b">
        <f>IF(COUNTIF(D2100,"*"&amp;'Keyword Search'!$C$5&amp;"*"),TRUE,FALSE)</f>
        <v>1</v>
      </c>
      <c r="G2100" t="str">
        <f t="shared" si="133"/>
        <v>260-46: Instruments and Devices, Endodontic, Orthodontic, Periodontal, and General Dental: Arches, Bands, Brackets, Curets, Files, Forceps, Mirrors, Points, Rasps, Reamers, Scalers (Hand), etc.</v>
      </c>
    </row>
    <row r="2101" spans="1:7" x14ac:dyDescent="0.25">
      <c r="A2101" s="1" t="str">
        <f t="shared" si="134"/>
        <v>260</v>
      </c>
      <c r="B2101" s="1" t="str">
        <f>TEXT(49,"00")</f>
        <v>49</v>
      </c>
      <c r="C2101" s="1" t="str">
        <f t="shared" si="132"/>
        <v>260-49</v>
      </c>
      <c r="D2101" t="s">
        <v>2085</v>
      </c>
      <c r="E2101" t="b">
        <f>IF(COUNTIF(D2101,"*"&amp;'Keyword Search'!$C$5&amp;"*"),TRUE,FALSE)</f>
        <v>1</v>
      </c>
      <c r="G2101" t="str">
        <f t="shared" si="133"/>
        <v>260-49: Lamps and Lights, Dental: Operating, Ultraviolet, etc.</v>
      </c>
    </row>
    <row r="2102" spans="1:7" x14ac:dyDescent="0.25">
      <c r="A2102" s="1" t="str">
        <f t="shared" si="134"/>
        <v>260</v>
      </c>
      <c r="B2102" s="1" t="str">
        <f>TEXT(51,"00")</f>
        <v>51</v>
      </c>
      <c r="C2102" s="1" t="str">
        <f t="shared" si="132"/>
        <v>260-51</v>
      </c>
      <c r="D2102" t="s">
        <v>2086</v>
      </c>
      <c r="E2102" t="b">
        <f>IF(COUNTIF(D2102,"*"&amp;'Keyword Search'!$C$5&amp;"*"),TRUE,FALSE)</f>
        <v>1</v>
      </c>
      <c r="G2102" t="str">
        <f t="shared" si="133"/>
        <v>260-51: Matrix Materials, Dental</v>
      </c>
    </row>
    <row r="2103" spans="1:7" x14ac:dyDescent="0.25">
      <c r="A2103" s="1" t="str">
        <f t="shared" si="134"/>
        <v>260</v>
      </c>
      <c r="B2103" s="1" t="str">
        <f>TEXT(52,"00")</f>
        <v>52</v>
      </c>
      <c r="C2103" s="1" t="str">
        <f t="shared" si="132"/>
        <v>260-52</v>
      </c>
      <c r="D2103" t="s">
        <v>2087</v>
      </c>
      <c r="E2103" t="b">
        <f>IF(COUNTIF(D2103,"*"&amp;'Keyword Search'!$C$5&amp;"*"),TRUE,FALSE)</f>
        <v>1</v>
      </c>
      <c r="G2103" t="str">
        <f t="shared" si="133"/>
        <v>260-52: Metallic Supplies: Alloys, Precious Metals, Tubes, Wires, etc., Dental</v>
      </c>
    </row>
    <row r="2104" spans="1:7" x14ac:dyDescent="0.25">
      <c r="A2104" s="1" t="str">
        <f t="shared" si="134"/>
        <v>260</v>
      </c>
      <c r="B2104" s="1" t="str">
        <f>TEXT(53,"00")</f>
        <v>53</v>
      </c>
      <c r="C2104" s="1" t="str">
        <f t="shared" si="132"/>
        <v>260-53</v>
      </c>
      <c r="D2104" t="s">
        <v>2088</v>
      </c>
      <c r="E2104" t="b">
        <f>IF(COUNTIF(D2104,"*"&amp;'Keyword Search'!$C$5&amp;"*"),TRUE,FALSE)</f>
        <v>1</v>
      </c>
      <c r="G2104" t="str">
        <f t="shared" si="133"/>
        <v>260-53: Miscellaneous Dental Equipment and Supplies (Not Otherwise Classified)</v>
      </c>
    </row>
    <row r="2105" spans="1:7" x14ac:dyDescent="0.25">
      <c r="A2105" s="1" t="str">
        <f t="shared" si="134"/>
        <v>260</v>
      </c>
      <c r="B2105" s="1" t="str">
        <f>TEXT(54,"00")</f>
        <v>54</v>
      </c>
      <c r="C2105" s="1" t="str">
        <f t="shared" si="132"/>
        <v>260-54</v>
      </c>
      <c r="D2105" t="s">
        <v>2089</v>
      </c>
      <c r="E2105" t="b">
        <f>IF(COUNTIF(D2105,"*"&amp;'Keyword Search'!$C$5&amp;"*"),TRUE,FALSE)</f>
        <v>1</v>
      </c>
      <c r="G2105" t="str">
        <f t="shared" si="133"/>
        <v>260-54: Models, Manikins, and Instructional Aids, Dental</v>
      </c>
    </row>
    <row r="2106" spans="1:7" x14ac:dyDescent="0.25">
      <c r="A2106" s="1" t="str">
        <f t="shared" si="134"/>
        <v>260</v>
      </c>
      <c r="B2106" s="1" t="str">
        <f>TEXT(56,"00")</f>
        <v>56</v>
      </c>
      <c r="C2106" s="1" t="str">
        <f t="shared" si="132"/>
        <v>260-56</v>
      </c>
      <c r="D2106" t="s">
        <v>2090</v>
      </c>
      <c r="E2106" t="b">
        <f>IF(COUNTIF(D2106,"*"&amp;'Keyword Search'!$C$5&amp;"*"),TRUE,FALSE)</f>
        <v>1</v>
      </c>
      <c r="G2106" t="str">
        <f t="shared" si="133"/>
        <v>260-56: Pharmaceuticals, Dental: Anesthetics, Antiseptics, Plaque Disclosing Liquids and Tablets, etc.</v>
      </c>
    </row>
    <row r="2107" spans="1:7" x14ac:dyDescent="0.25">
      <c r="A2107" s="1" t="str">
        <f t="shared" si="134"/>
        <v>260</v>
      </c>
      <c r="B2107" s="1" t="str">
        <f>TEXT(59,"00")</f>
        <v>59</v>
      </c>
      <c r="C2107" s="1" t="str">
        <f t="shared" si="132"/>
        <v>260-59</v>
      </c>
      <c r="D2107" t="s">
        <v>2091</v>
      </c>
      <c r="E2107" t="b">
        <f>IF(COUNTIF(D2107,"*"&amp;'Keyword Search'!$C$5&amp;"*"),TRUE,FALSE)</f>
        <v>1</v>
      </c>
      <c r="G2107" t="str">
        <f t="shared" si="133"/>
        <v>260-59: Power Tools and Appliances, Dental: Drills, Grinders, Lathes, Vibrators, etc.</v>
      </c>
    </row>
    <row r="2108" spans="1:7" x14ac:dyDescent="0.25">
      <c r="A2108" s="1" t="str">
        <f t="shared" si="134"/>
        <v>260</v>
      </c>
      <c r="B2108" s="1" t="str">
        <f>TEXT(62,"00")</f>
        <v>62</v>
      </c>
      <c r="C2108" s="1" t="str">
        <f t="shared" si="132"/>
        <v>260-62</v>
      </c>
      <c r="D2108" t="s">
        <v>2092</v>
      </c>
      <c r="E2108" t="b">
        <f>IF(COUNTIF(D2108,"*"&amp;'Keyword Search'!$C$5&amp;"*"),TRUE,FALSE)</f>
        <v>1</v>
      </c>
      <c r="G2108" t="str">
        <f t="shared" si="133"/>
        <v>260-62: Prosthodontic Equipment: Articulators, Casting Units, Frames, Impression Trays, Soldering Units, etc., Dental</v>
      </c>
    </row>
    <row r="2109" spans="1:7" x14ac:dyDescent="0.25">
      <c r="A2109" s="1" t="str">
        <f t="shared" si="134"/>
        <v>260</v>
      </c>
      <c r="B2109" s="1" t="str">
        <f>TEXT(66,"00")</f>
        <v>66</v>
      </c>
      <c r="C2109" s="1" t="str">
        <f t="shared" si="132"/>
        <v>260-66</v>
      </c>
      <c r="D2109" t="s">
        <v>2093</v>
      </c>
      <c r="E2109" t="b">
        <f>IF(COUNTIF(D2109,"*"&amp;'Keyword Search'!$C$5&amp;"*"),TRUE,FALSE)</f>
        <v>1</v>
      </c>
      <c r="G2109" t="str">
        <f t="shared" si="133"/>
        <v>260-66: Pulp Testers (Inactive, effective January 1, 2016)</v>
      </c>
    </row>
    <row r="2110" spans="1:7" x14ac:dyDescent="0.25">
      <c r="A2110" s="1" t="str">
        <f t="shared" si="134"/>
        <v>260</v>
      </c>
      <c r="B2110" s="1" t="str">
        <f>TEXT(68,"00")</f>
        <v>68</v>
      </c>
      <c r="C2110" s="1" t="str">
        <f t="shared" si="132"/>
        <v>260-68</v>
      </c>
      <c r="D2110" t="s">
        <v>2094</v>
      </c>
      <c r="E2110" t="b">
        <f>IF(COUNTIF(D2110,"*"&amp;'Keyword Search'!$C$5&amp;"*"),TRUE,FALSE)</f>
        <v>1</v>
      </c>
      <c r="G2110" t="str">
        <f t="shared" si="133"/>
        <v>260-68: Recycled Dental Equipment and Supplies</v>
      </c>
    </row>
    <row r="2111" spans="1:7" x14ac:dyDescent="0.25">
      <c r="A2111" s="1" t="str">
        <f t="shared" si="134"/>
        <v>260</v>
      </c>
      <c r="B2111" s="1" t="str">
        <f>TEXT(69,"00")</f>
        <v>69</v>
      </c>
      <c r="C2111" s="1" t="str">
        <f t="shared" si="132"/>
        <v>260-69</v>
      </c>
      <c r="D2111" t="s">
        <v>2095</v>
      </c>
      <c r="E2111" t="b">
        <f>IF(COUNTIF(D2111,"*"&amp;'Keyword Search'!$C$5&amp;"*"),TRUE,FALSE)</f>
        <v>1</v>
      </c>
      <c r="G2111" t="str">
        <f t="shared" si="133"/>
        <v>260-69: Resins (For Repair and Restoration): Acrylic, Epoxy, etc., Dental</v>
      </c>
    </row>
    <row r="2112" spans="1:7" x14ac:dyDescent="0.25">
      <c r="A2112" s="1" t="str">
        <f t="shared" si="134"/>
        <v>260</v>
      </c>
      <c r="B2112" s="1" t="str">
        <f>TEXT(70,"00")</f>
        <v>70</v>
      </c>
      <c r="C2112" s="1" t="str">
        <f t="shared" si="132"/>
        <v>260-70</v>
      </c>
      <c r="D2112" t="s">
        <v>2096</v>
      </c>
      <c r="E2112" t="b">
        <f>IF(COUNTIF(D2112,"*"&amp;'Keyword Search'!$C$5&amp;"*"),TRUE,FALSE)</f>
        <v>1</v>
      </c>
      <c r="G2112" t="str">
        <f t="shared" si="133"/>
        <v>260-70: Retraction Materials, Dental</v>
      </c>
    </row>
    <row r="2113" spans="1:7" x14ac:dyDescent="0.25">
      <c r="A2113" s="1" t="str">
        <f t="shared" si="134"/>
        <v>260</v>
      </c>
      <c r="B2113" s="1" t="str">
        <f>TEXT(72,"00")</f>
        <v>72</v>
      </c>
      <c r="C2113" s="1" t="str">
        <f t="shared" si="132"/>
        <v>260-72</v>
      </c>
      <c r="D2113" t="s">
        <v>2097</v>
      </c>
      <c r="E2113" t="b">
        <f>IF(COUNTIF(D2113,"*"&amp;'Keyword Search'!$C$5&amp;"*"),TRUE,FALSE)</f>
        <v>1</v>
      </c>
      <c r="G2113" t="str">
        <f t="shared" si="133"/>
        <v>260-72: Scalers, Periodontal: Rotary, Sonic, and Ultrasonic</v>
      </c>
    </row>
    <row r="2114" spans="1:7" x14ac:dyDescent="0.25">
      <c r="A2114" s="1" t="str">
        <f t="shared" si="134"/>
        <v>260</v>
      </c>
      <c r="B2114" s="1" t="str">
        <f>TEXT(76,"00")</f>
        <v>76</v>
      </c>
      <c r="C2114" s="1" t="str">
        <f t="shared" si="132"/>
        <v>260-76</v>
      </c>
      <c r="D2114" t="s">
        <v>2098</v>
      </c>
      <c r="E2114" t="b">
        <f>IF(COUNTIF(D2114,"*"&amp;'Keyword Search'!$C$5&amp;"*"),TRUE,FALSE)</f>
        <v>1</v>
      </c>
      <c r="G2114" t="str">
        <f t="shared" si="133"/>
        <v>260-76: Solders, Fluxes, and Antifluxes, Dental</v>
      </c>
    </row>
    <row r="2115" spans="1:7" x14ac:dyDescent="0.25">
      <c r="A2115" s="1" t="str">
        <f t="shared" si="134"/>
        <v>260</v>
      </c>
      <c r="B2115" s="1" t="str">
        <f>TEXT(79,"00")</f>
        <v>79</v>
      </c>
      <c r="C2115" s="1" t="str">
        <f t="shared" ref="C2115:C2178" si="135">CONCATENATE(A2115,"-",B2115)</f>
        <v>260-79</v>
      </c>
      <c r="D2115" t="s">
        <v>2099</v>
      </c>
      <c r="E2115" t="b">
        <f>IF(COUNTIF(D2115,"*"&amp;'Keyword Search'!$C$5&amp;"*"),TRUE,FALSE)</f>
        <v>1</v>
      </c>
      <c r="G2115" t="str">
        <f t="shared" si="133"/>
        <v>260-79: Sterilization Systems, Dental: Autoclaves, etc.</v>
      </c>
    </row>
    <row r="2116" spans="1:7" x14ac:dyDescent="0.25">
      <c r="A2116" s="1" t="str">
        <f t="shared" si="134"/>
        <v>260</v>
      </c>
      <c r="B2116" s="1" t="str">
        <f>TEXT(82,"00")</f>
        <v>82</v>
      </c>
      <c r="C2116" s="1" t="str">
        <f t="shared" si="135"/>
        <v>260-82</v>
      </c>
      <c r="D2116" t="s">
        <v>2100</v>
      </c>
      <c r="E2116" t="b">
        <f>IF(COUNTIF(D2116,"*"&amp;'Keyword Search'!$C$5&amp;"*"),TRUE,FALSE)</f>
        <v>1</v>
      </c>
      <c r="G2116" t="str">
        <f t="shared" ref="G2116:G2179" si="136">CONCATENATE(C2116,": ",D2116)</f>
        <v>260-82: Sundries, Dental: Articulating Paper and Tape, Cotton, Dental Care Kits, Denture Adhesives and Creams, Floss, Gauze Pads, Paper and Plastic Items, Sutures, Tubing, etc.</v>
      </c>
    </row>
    <row r="2117" spans="1:7" x14ac:dyDescent="0.25">
      <c r="A2117" s="1" t="str">
        <f t="shared" si="134"/>
        <v>260</v>
      </c>
      <c r="B2117" s="1" t="str">
        <f>TEXT(86,"00")</f>
        <v>86</v>
      </c>
      <c r="C2117" s="1" t="str">
        <f t="shared" si="135"/>
        <v>260-86</v>
      </c>
      <c r="D2117" t="s">
        <v>2101</v>
      </c>
      <c r="E2117" t="b">
        <f>IF(COUNTIF(D2117,"*"&amp;'Keyword Search'!$C$5&amp;"*"),TRUE,FALSE)</f>
        <v>1</v>
      </c>
      <c r="G2117" t="str">
        <f t="shared" si="136"/>
        <v>260-86: Syringes and Needles, Dental</v>
      </c>
    </row>
    <row r="2118" spans="1:7" x14ac:dyDescent="0.25">
      <c r="A2118" s="1" t="str">
        <f t="shared" si="134"/>
        <v>260</v>
      </c>
      <c r="B2118" s="1" t="str">
        <f>TEXT(89,"00")</f>
        <v>89</v>
      </c>
      <c r="C2118" s="1" t="str">
        <f t="shared" si="135"/>
        <v>260-89</v>
      </c>
      <c r="D2118" t="s">
        <v>2102</v>
      </c>
      <c r="E2118" t="b">
        <f>IF(COUNTIF(D2118,"*"&amp;'Keyword Search'!$C$5&amp;"*"),TRUE,FALSE)</f>
        <v>1</v>
      </c>
      <c r="G2118" t="str">
        <f t="shared" si="136"/>
        <v>260-89: Ultrasonic Cleaning Units, Dental Laboratory</v>
      </c>
    </row>
    <row r="2119" spans="1:7" x14ac:dyDescent="0.25">
      <c r="A2119" s="1" t="str">
        <f t="shared" si="134"/>
        <v>260</v>
      </c>
      <c r="B2119" s="1" t="str">
        <f>TEXT(92,"00")</f>
        <v>92</v>
      </c>
      <c r="C2119" s="1" t="str">
        <f t="shared" si="135"/>
        <v>260-92</v>
      </c>
      <c r="D2119" t="s">
        <v>2103</v>
      </c>
      <c r="E2119" t="b">
        <f>IF(COUNTIF(D2119,"*"&amp;'Keyword Search'!$C$5&amp;"*"),TRUE,FALSE)</f>
        <v>1</v>
      </c>
      <c r="G2119" t="str">
        <f t="shared" si="136"/>
        <v>260-92: Waxes, All Types, Dental</v>
      </c>
    </row>
    <row r="2120" spans="1:7" x14ac:dyDescent="0.25">
      <c r="A2120" s="1" t="str">
        <f t="shared" si="134"/>
        <v>260</v>
      </c>
      <c r="B2120" s="1" t="str">
        <f>TEXT(96,"00")</f>
        <v>96</v>
      </c>
      <c r="C2120" s="1" t="str">
        <f t="shared" si="135"/>
        <v>260-96</v>
      </c>
      <c r="D2120" t="s">
        <v>2104</v>
      </c>
      <c r="E2120" t="b">
        <f>IF(COUNTIF(D2120,"*"&amp;'Keyword Search'!$C$5&amp;"*"),TRUE,FALSE)</f>
        <v>1</v>
      </c>
      <c r="G2120" t="str">
        <f t="shared" si="136"/>
        <v>260-96: X-Ray Equipment, Dental, (See Class 898 For Chemicals and Film): Film Mounts, Film Processors, Intensifying Screens, X-Ray Machines and Accessories</v>
      </c>
    </row>
    <row r="2121" spans="1:7" x14ac:dyDescent="0.25">
      <c r="A2121" s="5" t="str">
        <f t="shared" ref="A2121:A2130" si="137">TEXT(265,"000")</f>
        <v>265</v>
      </c>
      <c r="B2121" s="5" t="str">
        <f>TEXT(0,"00")</f>
        <v>00</v>
      </c>
      <c r="C2121" s="1"/>
      <c r="D2121" s="2" t="s">
        <v>2105</v>
      </c>
    </row>
    <row r="2122" spans="1:7" x14ac:dyDescent="0.25">
      <c r="A2122" s="1" t="str">
        <f t="shared" si="137"/>
        <v>265</v>
      </c>
      <c r="B2122" s="1" t="str">
        <f>TEXT(20,"00")</f>
        <v>20</v>
      </c>
      <c r="C2122" s="1" t="str">
        <f t="shared" si="135"/>
        <v>265-20</v>
      </c>
      <c r="D2122" t="s">
        <v>2106</v>
      </c>
      <c r="E2122" t="b">
        <f>IF(COUNTIF(D2122,"*"&amp;'Keyword Search'!$C$5&amp;"*"),TRUE,FALSE)</f>
        <v>1</v>
      </c>
      <c r="G2122" t="str">
        <f t="shared" si="136"/>
        <v>265-20: Curtains, Draperies, and Scarves</v>
      </c>
    </row>
    <row r="2123" spans="1:7" x14ac:dyDescent="0.25">
      <c r="A2123" s="1" t="str">
        <f t="shared" si="137"/>
        <v>265</v>
      </c>
      <c r="B2123" s="1" t="str">
        <f>TEXT(30,"00")</f>
        <v>30</v>
      </c>
      <c r="C2123" s="1" t="str">
        <f t="shared" si="135"/>
        <v>265-30</v>
      </c>
      <c r="D2123" t="s">
        <v>2107</v>
      </c>
      <c r="E2123" t="b">
        <f>IF(COUNTIF(D2123,"*"&amp;'Keyword Search'!$C$5&amp;"*"),TRUE,FALSE)</f>
        <v>1</v>
      </c>
      <c r="G2123" t="str">
        <f t="shared" si="136"/>
        <v>265-30: Curtain and Drapery Hardware: Hooks, Rods, etc.</v>
      </c>
    </row>
    <row r="2124" spans="1:7" x14ac:dyDescent="0.25">
      <c r="A2124" s="1" t="str">
        <f t="shared" si="137"/>
        <v>265</v>
      </c>
      <c r="B2124" s="1" t="str">
        <f>TEXT(38,"00")</f>
        <v>38</v>
      </c>
      <c r="C2124" s="1" t="str">
        <f t="shared" si="135"/>
        <v>265-38</v>
      </c>
      <c r="D2124" t="s">
        <v>2108</v>
      </c>
      <c r="E2124" t="b">
        <f>IF(COUNTIF(D2124,"*"&amp;'Keyword Search'!$C$5&amp;"*"),TRUE,FALSE)</f>
        <v>1</v>
      </c>
      <c r="G2124" t="str">
        <f t="shared" si="136"/>
        <v>265-38: Foam, Upholstery, Rubber, Urethane, etc.</v>
      </c>
    </row>
    <row r="2125" spans="1:7" x14ac:dyDescent="0.25">
      <c r="A2125" s="1" t="str">
        <f t="shared" si="137"/>
        <v>265</v>
      </c>
      <c r="B2125" s="1" t="str">
        <f>TEXT(40,"00")</f>
        <v>40</v>
      </c>
      <c r="C2125" s="1" t="str">
        <f t="shared" si="135"/>
        <v>265-40</v>
      </c>
      <c r="D2125" t="s">
        <v>2109</v>
      </c>
      <c r="E2125" t="b">
        <f>IF(COUNTIF(D2125,"*"&amp;'Keyword Search'!$C$5&amp;"*"),TRUE,FALSE)</f>
        <v>1</v>
      </c>
      <c r="G2125" t="str">
        <f t="shared" si="136"/>
        <v>265-40: Material, Drapery</v>
      </c>
    </row>
    <row r="2126" spans="1:7" x14ac:dyDescent="0.25">
      <c r="A2126" s="1" t="str">
        <f t="shared" si="137"/>
        <v>265</v>
      </c>
      <c r="B2126" s="1" t="str">
        <f>TEXT(44,"00")</f>
        <v>44</v>
      </c>
      <c r="C2126" s="1" t="str">
        <f t="shared" si="135"/>
        <v>265-44</v>
      </c>
      <c r="D2126" t="s">
        <v>2110</v>
      </c>
      <c r="E2126" t="b">
        <f>IF(COUNTIF(D2126,"*"&amp;'Keyword Search'!$C$5&amp;"*"),TRUE,FALSE)</f>
        <v>1</v>
      </c>
      <c r="G2126" t="str">
        <f t="shared" si="136"/>
        <v>265-44: Material, Upholstery, Fabric, Furniture and Auto</v>
      </c>
    </row>
    <row r="2127" spans="1:7" x14ac:dyDescent="0.25">
      <c r="A2127" s="1" t="str">
        <f t="shared" si="137"/>
        <v>265</v>
      </c>
      <c r="B2127" s="1" t="str">
        <f>TEXT(46,"00")</f>
        <v>46</v>
      </c>
      <c r="C2127" s="1" t="str">
        <f t="shared" si="135"/>
        <v>265-46</v>
      </c>
      <c r="D2127" t="s">
        <v>2111</v>
      </c>
      <c r="E2127" t="b">
        <f>IF(COUNTIF(D2127,"*"&amp;'Keyword Search'!$C$5&amp;"*"),TRUE,FALSE)</f>
        <v>1</v>
      </c>
      <c r="G2127" t="str">
        <f t="shared" si="136"/>
        <v>265-46: Material, Upholstery, Vinyl, Furniture and Auto</v>
      </c>
    </row>
    <row r="2128" spans="1:7" x14ac:dyDescent="0.25">
      <c r="A2128" s="1" t="str">
        <f t="shared" si="137"/>
        <v>265</v>
      </c>
      <c r="B2128" s="1" t="str">
        <f>TEXT(64,"00")</f>
        <v>64</v>
      </c>
      <c r="C2128" s="1" t="str">
        <f t="shared" si="135"/>
        <v>265-64</v>
      </c>
      <c r="D2128" t="s">
        <v>2112</v>
      </c>
      <c r="E2128" t="b">
        <f>IF(COUNTIF(D2128,"*"&amp;'Keyword Search'!$C$5&amp;"*"),TRUE,FALSE)</f>
        <v>1</v>
      </c>
      <c r="G2128" t="str">
        <f t="shared" si="136"/>
        <v>265-64: Recycled Drapes, Curtains, and Upholstery Material</v>
      </c>
    </row>
    <row r="2129" spans="1:7" x14ac:dyDescent="0.25">
      <c r="A2129" s="1" t="str">
        <f t="shared" si="137"/>
        <v>265</v>
      </c>
      <c r="B2129" s="1" t="str">
        <f>TEXT(80,"00")</f>
        <v>80</v>
      </c>
      <c r="C2129" s="1" t="str">
        <f t="shared" si="135"/>
        <v>265-80</v>
      </c>
      <c r="D2129" t="s">
        <v>2113</v>
      </c>
      <c r="E2129" t="b">
        <f>IF(COUNTIF(D2129,"*"&amp;'Keyword Search'!$C$5&amp;"*"),TRUE,FALSE)</f>
        <v>1</v>
      </c>
      <c r="G2129" t="str">
        <f t="shared" si="136"/>
        <v>265-80: Upholstery Supplies: Beading, Burlap, Buttons, Padding, Springs, Tacks, Thread, Welt Cord, etc.</v>
      </c>
    </row>
    <row r="2130" spans="1:7" x14ac:dyDescent="0.25">
      <c r="A2130" s="1" t="str">
        <f t="shared" si="137"/>
        <v>265</v>
      </c>
      <c r="B2130" s="1" t="str">
        <f>TEXT(87,"00")</f>
        <v>87</v>
      </c>
      <c r="C2130" s="1" t="str">
        <f t="shared" si="135"/>
        <v>265-87</v>
      </c>
      <c r="D2130" t="s">
        <v>2114</v>
      </c>
      <c r="E2130" t="b">
        <f>IF(COUNTIF(D2130,"*"&amp;'Keyword Search'!$C$5&amp;"*"),TRUE,FALSE)</f>
        <v>1</v>
      </c>
      <c r="G2130" t="str">
        <f t="shared" si="136"/>
        <v>265-87: Valances and Cornices</v>
      </c>
    </row>
    <row r="2131" spans="1:7" x14ac:dyDescent="0.25">
      <c r="A2131" s="5" t="str">
        <f t="shared" ref="A2131:A2167" si="138">TEXT(269,"000")</f>
        <v>269</v>
      </c>
      <c r="B2131" s="5" t="str">
        <f>TEXT(0,"00")</f>
        <v>00</v>
      </c>
      <c r="C2131" s="1"/>
      <c r="D2131" s="2" t="s">
        <v>2115</v>
      </c>
    </row>
    <row r="2132" spans="1:7" x14ac:dyDescent="0.25">
      <c r="A2132" s="1" t="str">
        <f t="shared" si="138"/>
        <v>269</v>
      </c>
      <c r="B2132" s="1" t="str">
        <f>TEXT(1,"00")</f>
        <v>01</v>
      </c>
      <c r="C2132" s="1" t="str">
        <f t="shared" si="135"/>
        <v>269-01</v>
      </c>
      <c r="D2132" t="s">
        <v>2116</v>
      </c>
      <c r="E2132" t="b">
        <f>IF(COUNTIF(D2132,"*"&amp;'Keyword Search'!$C$5&amp;"*"),TRUE,FALSE)</f>
        <v>1</v>
      </c>
      <c r="G2132" t="str">
        <f t="shared" si="136"/>
        <v>269-01: Anesthetics, General</v>
      </c>
    </row>
    <row r="2133" spans="1:7" x14ac:dyDescent="0.25">
      <c r="A2133" s="1" t="str">
        <f t="shared" si="138"/>
        <v>269</v>
      </c>
      <c r="B2133" s="1" t="str">
        <f>TEXT(2,"00")</f>
        <v>02</v>
      </c>
      <c r="C2133" s="1" t="str">
        <f t="shared" si="135"/>
        <v>269-02</v>
      </c>
      <c r="D2133" t="s">
        <v>2117</v>
      </c>
      <c r="E2133" t="b">
        <f>IF(COUNTIF(D2133,"*"&amp;'Keyword Search'!$C$5&amp;"*"),TRUE,FALSE)</f>
        <v>1</v>
      </c>
      <c r="G2133" t="str">
        <f t="shared" si="136"/>
        <v>269-02: Anesthetics, Local</v>
      </c>
    </row>
    <row r="2134" spans="1:7" x14ac:dyDescent="0.25">
      <c r="A2134" s="1" t="str">
        <f t="shared" si="138"/>
        <v>269</v>
      </c>
      <c r="B2134" s="1" t="str">
        <f>TEXT(3,"00")</f>
        <v>03</v>
      </c>
      <c r="C2134" s="1" t="str">
        <f t="shared" si="135"/>
        <v>269-03</v>
      </c>
      <c r="D2134" t="s">
        <v>2118</v>
      </c>
      <c r="E2134" t="b">
        <f>IF(COUNTIF(D2134,"*"&amp;'Keyword Search'!$C$5&amp;"*"),TRUE,FALSE)</f>
        <v>1</v>
      </c>
      <c r="G2134" t="str">
        <f t="shared" si="136"/>
        <v>269-03: Antagonists, Heavy Metal</v>
      </c>
    </row>
    <row r="2135" spans="1:7" x14ac:dyDescent="0.25">
      <c r="A2135" s="1" t="str">
        <f t="shared" si="138"/>
        <v>269</v>
      </c>
      <c r="B2135" s="1" t="str">
        <f>TEXT(4,"00")</f>
        <v>04</v>
      </c>
      <c r="C2135" s="1" t="str">
        <f t="shared" si="135"/>
        <v>269-04</v>
      </c>
      <c r="D2135" t="s">
        <v>2119</v>
      </c>
      <c r="E2135" t="b">
        <f>IF(COUNTIF(D2135,"*"&amp;'Keyword Search'!$C$5&amp;"*"),TRUE,FALSE)</f>
        <v>1</v>
      </c>
      <c r="G2135" t="str">
        <f t="shared" si="136"/>
        <v>269-04: Antihistamine Drugs</v>
      </c>
    </row>
    <row r="2136" spans="1:7" x14ac:dyDescent="0.25">
      <c r="A2136" s="1" t="str">
        <f t="shared" si="138"/>
        <v>269</v>
      </c>
      <c r="B2136" s="1" t="str">
        <f>TEXT(8,"00")</f>
        <v>08</v>
      </c>
      <c r="C2136" s="1" t="str">
        <f t="shared" si="135"/>
        <v>269-08</v>
      </c>
      <c r="D2136" t="s">
        <v>2120</v>
      </c>
      <c r="E2136" t="b">
        <f>IF(COUNTIF(D2136,"*"&amp;'Keyword Search'!$C$5&amp;"*"),TRUE,FALSE)</f>
        <v>1</v>
      </c>
      <c r="G2136" t="str">
        <f t="shared" si="136"/>
        <v>269-08: Anti-infective Agents</v>
      </c>
    </row>
    <row r="2137" spans="1:7" x14ac:dyDescent="0.25">
      <c r="A2137" s="1" t="str">
        <f t="shared" si="138"/>
        <v>269</v>
      </c>
      <c r="B2137" s="1" t="str">
        <f>TEXT(10,"00")</f>
        <v>10</v>
      </c>
      <c r="C2137" s="1" t="str">
        <f t="shared" si="135"/>
        <v>269-10</v>
      </c>
      <c r="D2137" t="s">
        <v>2121</v>
      </c>
      <c r="E2137" t="b">
        <f>IF(COUNTIF(D2137,"*"&amp;'Keyword Search'!$C$5&amp;"*"),TRUE,FALSE)</f>
        <v>1</v>
      </c>
      <c r="G2137" t="str">
        <f t="shared" si="136"/>
        <v>269-10: Antineoplastic Agents</v>
      </c>
    </row>
    <row r="2138" spans="1:7" x14ac:dyDescent="0.25">
      <c r="A2138" s="1" t="str">
        <f t="shared" si="138"/>
        <v>269</v>
      </c>
      <c r="B2138" s="1" t="str">
        <f>TEXT(11,"00")</f>
        <v>11</v>
      </c>
      <c r="C2138" s="1" t="str">
        <f t="shared" si="135"/>
        <v>269-11</v>
      </c>
      <c r="D2138" t="s">
        <v>2122</v>
      </c>
      <c r="E2138" t="b">
        <f>IF(COUNTIF(D2138,"*"&amp;'Keyword Search'!$C$5&amp;"*"),TRUE,FALSE)</f>
        <v>1</v>
      </c>
      <c r="G2138" t="str">
        <f t="shared" si="136"/>
        <v>269-11: Antiseptics</v>
      </c>
    </row>
    <row r="2139" spans="1:7" x14ac:dyDescent="0.25">
      <c r="A2139" s="1" t="str">
        <f t="shared" si="138"/>
        <v>269</v>
      </c>
      <c r="B2139" s="1" t="str">
        <f>TEXT(12,"00")</f>
        <v>12</v>
      </c>
      <c r="C2139" s="1" t="str">
        <f t="shared" si="135"/>
        <v>269-12</v>
      </c>
      <c r="D2139" t="s">
        <v>2123</v>
      </c>
      <c r="E2139" t="b">
        <f>IF(COUNTIF(D2139,"*"&amp;'Keyword Search'!$C$5&amp;"*"),TRUE,FALSE)</f>
        <v>1</v>
      </c>
      <c r="G2139" t="str">
        <f t="shared" si="136"/>
        <v>269-12: Autonomic Drugs</v>
      </c>
    </row>
    <row r="2140" spans="1:7" x14ac:dyDescent="0.25">
      <c r="A2140" s="1" t="str">
        <f t="shared" si="138"/>
        <v>269</v>
      </c>
      <c r="B2140" s="1" t="str">
        <f>TEXT(16,"00")</f>
        <v>16</v>
      </c>
      <c r="C2140" s="1" t="str">
        <f t="shared" si="135"/>
        <v>269-16</v>
      </c>
      <c r="D2140" t="s">
        <v>2124</v>
      </c>
      <c r="E2140" t="b">
        <f>IF(COUNTIF(D2140,"*"&amp;'Keyword Search'!$C$5&amp;"*"),TRUE,FALSE)</f>
        <v>1</v>
      </c>
      <c r="G2140" t="str">
        <f t="shared" si="136"/>
        <v>269-16: Blood Derivatives</v>
      </c>
    </row>
    <row r="2141" spans="1:7" x14ac:dyDescent="0.25">
      <c r="A2141" s="1" t="str">
        <f t="shared" si="138"/>
        <v>269</v>
      </c>
      <c r="B2141" s="1" t="str">
        <f>TEXT(20,"00")</f>
        <v>20</v>
      </c>
      <c r="C2141" s="1" t="str">
        <f t="shared" si="135"/>
        <v>269-20</v>
      </c>
      <c r="D2141" t="s">
        <v>2125</v>
      </c>
      <c r="E2141" t="b">
        <f>IF(COUNTIF(D2141,"*"&amp;'Keyword Search'!$C$5&amp;"*"),TRUE,FALSE)</f>
        <v>1</v>
      </c>
      <c r="G2141" t="str">
        <f t="shared" si="136"/>
        <v>269-20: Blood Formation and Coagulation</v>
      </c>
    </row>
    <row r="2142" spans="1:7" x14ac:dyDescent="0.25">
      <c r="A2142" s="1" t="str">
        <f t="shared" si="138"/>
        <v>269</v>
      </c>
      <c r="B2142" s="1" t="str">
        <f>TEXT(24,"00")</f>
        <v>24</v>
      </c>
      <c r="C2142" s="1" t="str">
        <f t="shared" si="135"/>
        <v>269-24</v>
      </c>
      <c r="D2142" t="s">
        <v>2126</v>
      </c>
      <c r="E2142" t="b">
        <f>IF(COUNTIF(D2142,"*"&amp;'Keyword Search'!$C$5&amp;"*"),TRUE,FALSE)</f>
        <v>1</v>
      </c>
      <c r="G2142" t="str">
        <f t="shared" si="136"/>
        <v>269-24: Cardiovascular Drugs</v>
      </c>
    </row>
    <row r="2143" spans="1:7" x14ac:dyDescent="0.25">
      <c r="A2143" s="1" t="str">
        <f t="shared" si="138"/>
        <v>269</v>
      </c>
      <c r="B2143" s="1" t="str">
        <f>TEXT(28,"00")</f>
        <v>28</v>
      </c>
      <c r="C2143" s="1" t="str">
        <f t="shared" si="135"/>
        <v>269-28</v>
      </c>
      <c r="D2143" t="s">
        <v>2127</v>
      </c>
      <c r="E2143" t="b">
        <f>IF(COUNTIF(D2143,"*"&amp;'Keyword Search'!$C$5&amp;"*"),TRUE,FALSE)</f>
        <v>1</v>
      </c>
      <c r="G2143" t="str">
        <f t="shared" si="136"/>
        <v>269-28: Central Nervous System Agents: Analegsic, Anticonvulsant, Antidepressant, Antihistamine, Antipsychotic and Sedative</v>
      </c>
    </row>
    <row r="2144" spans="1:7" x14ac:dyDescent="0.25">
      <c r="A2144" s="1" t="str">
        <f t="shared" si="138"/>
        <v>269</v>
      </c>
      <c r="B2144" s="1" t="str">
        <f>TEXT(32,"00")</f>
        <v>32</v>
      </c>
      <c r="C2144" s="1" t="str">
        <f t="shared" si="135"/>
        <v>269-32</v>
      </c>
      <c r="D2144" t="s">
        <v>2128</v>
      </c>
      <c r="E2144" t="b">
        <f>IF(COUNTIF(D2144,"*"&amp;'Keyword Search'!$C$5&amp;"*"),TRUE,FALSE)</f>
        <v>1</v>
      </c>
      <c r="G2144" t="str">
        <f t="shared" si="136"/>
        <v>269-32: Contraceptives</v>
      </c>
    </row>
    <row r="2145" spans="1:7" x14ac:dyDescent="0.25">
      <c r="A2145" s="1" t="str">
        <f t="shared" si="138"/>
        <v>269</v>
      </c>
      <c r="B2145" s="1" t="str">
        <f>TEXT(36,"00")</f>
        <v>36</v>
      </c>
      <c r="C2145" s="1" t="str">
        <f t="shared" si="135"/>
        <v>269-36</v>
      </c>
      <c r="D2145" t="s">
        <v>2129</v>
      </c>
      <c r="E2145" t="b">
        <f>IF(COUNTIF(D2145,"*"&amp;'Keyword Search'!$C$5&amp;"*"),TRUE,FALSE)</f>
        <v>1</v>
      </c>
      <c r="G2145" t="str">
        <f t="shared" si="136"/>
        <v>269-36: Diagnostic Agents</v>
      </c>
    </row>
    <row r="2146" spans="1:7" x14ac:dyDescent="0.25">
      <c r="A2146" s="1" t="str">
        <f t="shared" si="138"/>
        <v>269</v>
      </c>
      <c r="B2146" s="1" t="str">
        <f>TEXT(40,"00")</f>
        <v>40</v>
      </c>
      <c r="C2146" s="1" t="str">
        <f t="shared" si="135"/>
        <v>269-40</v>
      </c>
      <c r="D2146" t="s">
        <v>2130</v>
      </c>
      <c r="E2146" t="b">
        <f>IF(COUNTIF(D2146,"*"&amp;'Keyword Search'!$C$5&amp;"*"),TRUE,FALSE)</f>
        <v>1</v>
      </c>
      <c r="G2146" t="str">
        <f t="shared" si="136"/>
        <v>269-40: Electrolytic, Caloric, and Water Balance</v>
      </c>
    </row>
    <row r="2147" spans="1:7" x14ac:dyDescent="0.25">
      <c r="A2147" s="1" t="str">
        <f t="shared" si="138"/>
        <v>269</v>
      </c>
      <c r="B2147" s="1" t="str">
        <f>TEXT(44,"00")</f>
        <v>44</v>
      </c>
      <c r="C2147" s="1" t="str">
        <f t="shared" si="135"/>
        <v>269-44</v>
      </c>
      <c r="D2147" t="s">
        <v>2131</v>
      </c>
      <c r="E2147" t="b">
        <f>IF(COUNTIF(D2147,"*"&amp;'Keyword Search'!$C$5&amp;"*"),TRUE,FALSE)</f>
        <v>1</v>
      </c>
      <c r="G2147" t="str">
        <f t="shared" si="136"/>
        <v>269-44: Enzymes</v>
      </c>
    </row>
    <row r="2148" spans="1:7" x14ac:dyDescent="0.25">
      <c r="A2148" s="1" t="str">
        <f t="shared" si="138"/>
        <v>269</v>
      </c>
      <c r="B2148" s="1" t="str">
        <f>TEXT(48,"00")</f>
        <v>48</v>
      </c>
      <c r="C2148" s="1" t="str">
        <f t="shared" si="135"/>
        <v>269-48</v>
      </c>
      <c r="D2148" t="s">
        <v>2132</v>
      </c>
      <c r="E2148" t="b">
        <f>IF(COUNTIF(D2148,"*"&amp;'Keyword Search'!$C$5&amp;"*"),TRUE,FALSE)</f>
        <v>1</v>
      </c>
      <c r="G2148" t="str">
        <f t="shared" si="136"/>
        <v>269-48: Expectorants, Antitussives, and Mucolytic Agents</v>
      </c>
    </row>
    <row r="2149" spans="1:7" x14ac:dyDescent="0.25">
      <c r="A2149" s="1" t="str">
        <f t="shared" si="138"/>
        <v>269</v>
      </c>
      <c r="B2149" s="1" t="str">
        <f>TEXT(52,"00")</f>
        <v>52</v>
      </c>
      <c r="C2149" s="1" t="str">
        <f t="shared" si="135"/>
        <v>269-52</v>
      </c>
      <c r="D2149" t="s">
        <v>2133</v>
      </c>
      <c r="E2149" t="b">
        <f>IF(COUNTIF(D2149,"*"&amp;'Keyword Search'!$C$5&amp;"*"),TRUE,FALSE)</f>
        <v>1</v>
      </c>
      <c r="G2149" t="str">
        <f t="shared" si="136"/>
        <v>269-52: Eye, Ear, Nose, and Throat Preparations</v>
      </c>
    </row>
    <row r="2150" spans="1:7" x14ac:dyDescent="0.25">
      <c r="A2150" s="1" t="str">
        <f t="shared" si="138"/>
        <v>269</v>
      </c>
      <c r="B2150" s="1" t="str">
        <f>TEXT(56,"00")</f>
        <v>56</v>
      </c>
      <c r="C2150" s="1" t="str">
        <f t="shared" si="135"/>
        <v>269-56</v>
      </c>
      <c r="D2150" t="s">
        <v>2134</v>
      </c>
      <c r="E2150" t="b">
        <f>IF(COUNTIF(D2150,"*"&amp;'Keyword Search'!$C$5&amp;"*"),TRUE,FALSE)</f>
        <v>1</v>
      </c>
      <c r="G2150" t="str">
        <f t="shared" si="136"/>
        <v>269-56: Gastrointestinal Drugs</v>
      </c>
    </row>
    <row r="2151" spans="1:7" x14ac:dyDescent="0.25">
      <c r="A2151" s="1" t="str">
        <f t="shared" si="138"/>
        <v>269</v>
      </c>
      <c r="B2151" s="1" t="str">
        <f>TEXT(60,"00")</f>
        <v>60</v>
      </c>
      <c r="C2151" s="1" t="str">
        <f t="shared" si="135"/>
        <v>269-60</v>
      </c>
      <c r="D2151" t="s">
        <v>2135</v>
      </c>
      <c r="E2151" t="b">
        <f>IF(COUNTIF(D2151,"*"&amp;'Keyword Search'!$C$5&amp;"*"),TRUE,FALSE)</f>
        <v>1</v>
      </c>
      <c r="G2151" t="str">
        <f t="shared" si="136"/>
        <v>269-60: Gold Compounds</v>
      </c>
    </row>
    <row r="2152" spans="1:7" x14ac:dyDescent="0.25">
      <c r="A2152" s="1" t="str">
        <f t="shared" si="138"/>
        <v>269</v>
      </c>
      <c r="B2152" s="1" t="str">
        <f>TEXT(64,"00")</f>
        <v>64</v>
      </c>
      <c r="C2152" s="1" t="str">
        <f t="shared" si="135"/>
        <v>269-64</v>
      </c>
      <c r="D2152" t="s">
        <v>2136</v>
      </c>
      <c r="E2152" t="b">
        <f>IF(COUNTIF(D2152,"*"&amp;'Keyword Search'!$C$5&amp;"*"),TRUE,FALSE)</f>
        <v>1</v>
      </c>
      <c r="G2152" t="str">
        <f t="shared" si="136"/>
        <v>269-64: Herbal Drugs</v>
      </c>
    </row>
    <row r="2153" spans="1:7" x14ac:dyDescent="0.25">
      <c r="A2153" s="1" t="str">
        <f t="shared" si="138"/>
        <v>269</v>
      </c>
      <c r="B2153" s="1" t="str">
        <f>TEXT(68,"00")</f>
        <v>68</v>
      </c>
      <c r="C2153" s="1" t="str">
        <f t="shared" si="135"/>
        <v>269-68</v>
      </c>
      <c r="D2153" t="s">
        <v>2137</v>
      </c>
      <c r="E2153" t="b">
        <f>IF(COUNTIF(D2153,"*"&amp;'Keyword Search'!$C$5&amp;"*"),TRUE,FALSE)</f>
        <v>1</v>
      </c>
      <c r="G2153" t="str">
        <f t="shared" si="136"/>
        <v>269-68: Hormones and Synthetic Substitutes</v>
      </c>
    </row>
    <row r="2154" spans="1:7" x14ac:dyDescent="0.25">
      <c r="A2154" s="1" t="str">
        <f t="shared" si="138"/>
        <v>269</v>
      </c>
      <c r="B2154" s="1" t="str">
        <f>TEXT(72,"00")</f>
        <v>72</v>
      </c>
      <c r="C2154" s="1" t="str">
        <f t="shared" si="135"/>
        <v>269-72</v>
      </c>
      <c r="D2154" t="s">
        <v>2138</v>
      </c>
      <c r="E2154" t="b">
        <f>IF(COUNTIF(D2154,"*"&amp;'Keyword Search'!$C$5&amp;"*"),TRUE,FALSE)</f>
        <v>1</v>
      </c>
      <c r="G2154" t="str">
        <f t="shared" si="136"/>
        <v>269-72: Miscellaneous Drugs and Pharmaceuticals (Not Otherwise Classified)</v>
      </c>
    </row>
    <row r="2155" spans="1:7" x14ac:dyDescent="0.25">
      <c r="A2155" s="1" t="str">
        <f t="shared" si="138"/>
        <v>269</v>
      </c>
      <c r="B2155" s="1" t="str">
        <f>TEXT(73,"00")</f>
        <v>73</v>
      </c>
      <c r="C2155" s="1" t="str">
        <f t="shared" si="135"/>
        <v>269-73</v>
      </c>
      <c r="D2155" t="s">
        <v>2139</v>
      </c>
      <c r="E2155" t="b">
        <f>IF(COUNTIF(D2155,"*"&amp;'Keyword Search'!$C$5&amp;"*"),TRUE,FALSE)</f>
        <v>1</v>
      </c>
      <c r="G2155" t="str">
        <f t="shared" si="136"/>
        <v>269-73: Muscle Relaxants, Smooth, Including Respiratory Drugs</v>
      </c>
    </row>
    <row r="2156" spans="1:7" x14ac:dyDescent="0.25">
      <c r="A2156" s="1" t="str">
        <f t="shared" si="138"/>
        <v>269</v>
      </c>
      <c r="B2156" s="1" t="str">
        <f>TEXT(74,"00")</f>
        <v>74</v>
      </c>
      <c r="C2156" s="1" t="str">
        <f t="shared" si="135"/>
        <v>269-74</v>
      </c>
      <c r="D2156" t="s">
        <v>2140</v>
      </c>
      <c r="E2156" t="b">
        <f>IF(COUNTIF(D2156,"*"&amp;'Keyword Search'!$C$5&amp;"*"),TRUE,FALSE)</f>
        <v>1</v>
      </c>
      <c r="G2156" t="str">
        <f t="shared" si="136"/>
        <v>269-74: Pharmaceutical Drug Precursors</v>
      </c>
    </row>
    <row r="2157" spans="1:7" x14ac:dyDescent="0.25">
      <c r="A2157" s="1" t="str">
        <f t="shared" si="138"/>
        <v>269</v>
      </c>
      <c r="B2157" s="1" t="str">
        <f>TEXT(75,"00")</f>
        <v>75</v>
      </c>
      <c r="C2157" s="1" t="str">
        <f t="shared" si="135"/>
        <v>269-75</v>
      </c>
      <c r="D2157" t="s">
        <v>2141</v>
      </c>
      <c r="E2157" t="b">
        <f>IF(COUNTIF(D2157,"*"&amp;'Keyword Search'!$C$5&amp;"*"),TRUE,FALSE)</f>
        <v>1</v>
      </c>
      <c r="G2157" t="str">
        <f t="shared" si="136"/>
        <v>269-75: Ointments, Analgesic, Antibiotic</v>
      </c>
    </row>
    <row r="2158" spans="1:7" x14ac:dyDescent="0.25">
      <c r="A2158" s="1" t="str">
        <f t="shared" si="138"/>
        <v>269</v>
      </c>
      <c r="B2158" s="1" t="str">
        <f>TEXT(76,"00")</f>
        <v>76</v>
      </c>
      <c r="C2158" s="1" t="str">
        <f t="shared" si="135"/>
        <v>269-76</v>
      </c>
      <c r="D2158" t="s">
        <v>2142</v>
      </c>
      <c r="E2158" t="b">
        <f>IF(COUNTIF(D2158,"*"&amp;'Keyword Search'!$C$5&amp;"*"),TRUE,FALSE)</f>
        <v>1</v>
      </c>
      <c r="G2158" t="str">
        <f t="shared" si="136"/>
        <v>269-76: Oxytocics</v>
      </c>
    </row>
    <row r="2159" spans="1:7" x14ac:dyDescent="0.25">
      <c r="A2159" s="1" t="str">
        <f t="shared" si="138"/>
        <v>269</v>
      </c>
      <c r="B2159" s="1" t="str">
        <f>TEXT(77,"00")</f>
        <v>77</v>
      </c>
      <c r="C2159" s="1" t="str">
        <f t="shared" si="135"/>
        <v>269-77</v>
      </c>
      <c r="D2159" t="s">
        <v>2143</v>
      </c>
      <c r="E2159" t="b">
        <f>IF(COUNTIF(D2159,"*"&amp;'Keyword Search'!$C$5&amp;"*"),TRUE,FALSE)</f>
        <v>1</v>
      </c>
      <c r="G2159" t="str">
        <f t="shared" si="136"/>
        <v>269-77: Nootropics, Smart Drugs</v>
      </c>
    </row>
    <row r="2160" spans="1:7" x14ac:dyDescent="0.25">
      <c r="A2160" s="1" t="str">
        <f t="shared" si="138"/>
        <v>269</v>
      </c>
      <c r="B2160" s="1" t="str">
        <f>TEXT(78,"00")</f>
        <v>78</v>
      </c>
      <c r="C2160" s="1" t="str">
        <f t="shared" si="135"/>
        <v>269-78</v>
      </c>
      <c r="D2160" t="s">
        <v>2144</v>
      </c>
      <c r="E2160" t="b">
        <f>IF(COUNTIF(D2160,"*"&amp;'Keyword Search'!$C$5&amp;"*"),TRUE,FALSE)</f>
        <v>1</v>
      </c>
      <c r="G2160" t="str">
        <f t="shared" si="136"/>
        <v>269-78: Radioactive Pharmaceuticals</v>
      </c>
    </row>
    <row r="2161" spans="1:7" x14ac:dyDescent="0.25">
      <c r="A2161" s="1" t="str">
        <f t="shared" si="138"/>
        <v>269</v>
      </c>
      <c r="B2161" s="1" t="str">
        <f>TEXT(79,"00")</f>
        <v>79</v>
      </c>
      <c r="C2161" s="1" t="str">
        <f t="shared" si="135"/>
        <v>269-79</v>
      </c>
      <c r="D2161" t="s">
        <v>2145</v>
      </c>
      <c r="E2161" t="b">
        <f>IF(COUNTIF(D2161,"*"&amp;'Keyword Search'!$C$5&amp;"*"),TRUE,FALSE)</f>
        <v>1</v>
      </c>
      <c r="G2161" t="str">
        <f t="shared" si="136"/>
        <v>269-79: Recycled Drugs and Pharmaceuticals</v>
      </c>
    </row>
    <row r="2162" spans="1:7" x14ac:dyDescent="0.25">
      <c r="A2162" s="1" t="str">
        <f t="shared" si="138"/>
        <v>269</v>
      </c>
      <c r="B2162" s="1" t="str">
        <f>TEXT(80,"00")</f>
        <v>80</v>
      </c>
      <c r="C2162" s="1" t="str">
        <f t="shared" si="135"/>
        <v>269-80</v>
      </c>
      <c r="D2162" t="s">
        <v>2146</v>
      </c>
      <c r="E2162" t="b">
        <f>IF(COUNTIF(D2162,"*"&amp;'Keyword Search'!$C$5&amp;"*"),TRUE,FALSE)</f>
        <v>1</v>
      </c>
      <c r="G2162" t="str">
        <f t="shared" si="136"/>
        <v>269-80: Serums, Toxoids, and Vaccines</v>
      </c>
    </row>
    <row r="2163" spans="1:7" x14ac:dyDescent="0.25">
      <c r="A2163" s="1" t="str">
        <f t="shared" si="138"/>
        <v>269</v>
      </c>
      <c r="B2163" s="1" t="str">
        <f>TEXT(84,"00")</f>
        <v>84</v>
      </c>
      <c r="C2163" s="1" t="str">
        <f t="shared" si="135"/>
        <v>269-84</v>
      </c>
      <c r="D2163" t="s">
        <v>2147</v>
      </c>
      <c r="E2163" t="b">
        <f>IF(COUNTIF(D2163,"*"&amp;'Keyword Search'!$C$5&amp;"*"),TRUE,FALSE)</f>
        <v>1</v>
      </c>
      <c r="G2163" t="str">
        <f t="shared" si="136"/>
        <v>269-84: Skin and Mucous Membrane Agents</v>
      </c>
    </row>
    <row r="2164" spans="1:7" x14ac:dyDescent="0.25">
      <c r="A2164" s="1" t="str">
        <f t="shared" si="138"/>
        <v>269</v>
      </c>
      <c r="B2164" s="1" t="str">
        <f>TEXT(85,"00")</f>
        <v>85</v>
      </c>
      <c r="C2164" s="1" t="str">
        <f t="shared" si="135"/>
        <v>269-85</v>
      </c>
      <c r="D2164" t="s">
        <v>2148</v>
      </c>
      <c r="E2164" t="b">
        <f>IF(COUNTIF(D2164,"*"&amp;'Keyword Search'!$C$5&amp;"*"),TRUE,FALSE)</f>
        <v>1</v>
      </c>
      <c r="G2164" t="str">
        <f t="shared" si="136"/>
        <v>269-85: Supplements, With Vitamins</v>
      </c>
    </row>
    <row r="2165" spans="1:7" x14ac:dyDescent="0.25">
      <c r="A2165" s="1" t="str">
        <f t="shared" si="138"/>
        <v>269</v>
      </c>
      <c r="B2165" s="1" t="str">
        <f>TEXT(86,"00")</f>
        <v>86</v>
      </c>
      <c r="C2165" s="1" t="str">
        <f t="shared" si="135"/>
        <v>269-86</v>
      </c>
      <c r="D2165" t="s">
        <v>2149</v>
      </c>
      <c r="E2165" t="b">
        <f>IF(COUNTIF(D2165,"*"&amp;'Keyword Search'!$C$5&amp;"*"),TRUE,FALSE)</f>
        <v>1</v>
      </c>
      <c r="G2165" t="str">
        <f t="shared" si="136"/>
        <v>269-86: Supplements, Without Vitamins</v>
      </c>
    </row>
    <row r="2166" spans="1:7" x14ac:dyDescent="0.25">
      <c r="A2166" s="1" t="str">
        <f t="shared" si="138"/>
        <v>269</v>
      </c>
      <c r="B2166" s="1" t="str">
        <f>TEXT(87,"00")</f>
        <v>87</v>
      </c>
      <c r="C2166" s="1" t="str">
        <f t="shared" si="135"/>
        <v>269-87</v>
      </c>
      <c r="D2166" t="s">
        <v>2150</v>
      </c>
      <c r="E2166" t="b">
        <f>IF(COUNTIF(D2166,"*"&amp;'Keyword Search'!$C$5&amp;"*"),TRUE,FALSE)</f>
        <v>1</v>
      </c>
      <c r="G2166" t="str">
        <f t="shared" si="136"/>
        <v>269-87: Therapeutic Agents, Unclassified</v>
      </c>
    </row>
    <row r="2167" spans="1:7" x14ac:dyDescent="0.25">
      <c r="A2167" s="1" t="str">
        <f t="shared" si="138"/>
        <v>269</v>
      </c>
      <c r="B2167" s="1" t="str">
        <f>TEXT(88,"00")</f>
        <v>88</v>
      </c>
      <c r="C2167" s="1" t="str">
        <f t="shared" si="135"/>
        <v>269-88</v>
      </c>
      <c r="D2167" t="s">
        <v>2151</v>
      </c>
      <c r="E2167" t="b">
        <f>IF(COUNTIF(D2167,"*"&amp;'Keyword Search'!$C$5&amp;"*"),TRUE,FALSE)</f>
        <v>1</v>
      </c>
      <c r="G2167" t="str">
        <f t="shared" si="136"/>
        <v>269-88: Vitamins</v>
      </c>
    </row>
    <row r="2168" spans="1:7" x14ac:dyDescent="0.25">
      <c r="A2168" s="5" t="str">
        <f t="shared" ref="A2168:A2199" si="139">TEXT(271,"000")</f>
        <v>271</v>
      </c>
      <c r="B2168" s="5" t="str">
        <f>TEXT(0,"00")</f>
        <v>00</v>
      </c>
      <c r="C2168" s="1"/>
      <c r="D2168" s="2" t="s">
        <v>2152</v>
      </c>
    </row>
    <row r="2169" spans="1:7" x14ac:dyDescent="0.25">
      <c r="A2169" s="1" t="str">
        <f t="shared" si="139"/>
        <v>271</v>
      </c>
      <c r="B2169" s="1" t="str">
        <f>TEXT(4,"00")</f>
        <v>04</v>
      </c>
      <c r="C2169" s="1" t="str">
        <f t="shared" si="135"/>
        <v>271-04</v>
      </c>
      <c r="D2169" t="s">
        <v>2153</v>
      </c>
      <c r="E2169" t="b">
        <f>IF(COUNTIF(D2169,"*"&amp;'Keyword Search'!$C$5&amp;"*"),TRUE,FALSE)</f>
        <v>1</v>
      </c>
      <c r="G2169" t="str">
        <f t="shared" si="136"/>
        <v>271-04: Administration Sets and IV Additive Accessories</v>
      </c>
    </row>
    <row r="2170" spans="1:7" x14ac:dyDescent="0.25">
      <c r="A2170" s="1" t="str">
        <f t="shared" si="139"/>
        <v>271</v>
      </c>
      <c r="B2170" s="1" t="str">
        <f>TEXT(8,"00")</f>
        <v>08</v>
      </c>
      <c r="C2170" s="1" t="str">
        <f t="shared" si="135"/>
        <v>271-08</v>
      </c>
      <c r="D2170" t="s">
        <v>2154</v>
      </c>
      <c r="E2170" t="b">
        <f>IF(COUNTIF(D2170,"*"&amp;'Keyword Search'!$C$5&amp;"*"),TRUE,FALSE)</f>
        <v>1</v>
      </c>
      <c r="G2170" t="str">
        <f t="shared" si="136"/>
        <v>271-08: Administration Sets, Special Use: Controlled Flow, Solution Transfer, etc.</v>
      </c>
    </row>
    <row r="2171" spans="1:7" x14ac:dyDescent="0.25">
      <c r="A2171" s="1" t="str">
        <f t="shared" si="139"/>
        <v>271</v>
      </c>
      <c r="B2171" s="1" t="str">
        <f>TEXT(10,"00")</f>
        <v>10</v>
      </c>
      <c r="C2171" s="1" t="str">
        <f t="shared" si="135"/>
        <v>271-10</v>
      </c>
      <c r="D2171" t="s">
        <v>2155</v>
      </c>
      <c r="E2171" t="b">
        <f>IF(COUNTIF(D2171,"*"&amp;'Keyword Search'!$C$5&amp;"*"),TRUE,FALSE)</f>
        <v>1</v>
      </c>
      <c r="G2171" t="str">
        <f t="shared" si="136"/>
        <v>271-10: Anesthesia Sets, Specialized</v>
      </c>
    </row>
    <row r="2172" spans="1:7" x14ac:dyDescent="0.25">
      <c r="A2172" s="1" t="str">
        <f t="shared" si="139"/>
        <v>271</v>
      </c>
      <c r="B2172" s="1" t="str">
        <f>TEXT(12,"00")</f>
        <v>12</v>
      </c>
      <c r="C2172" s="1" t="str">
        <f t="shared" si="135"/>
        <v>271-12</v>
      </c>
      <c r="D2172" t="s">
        <v>2156</v>
      </c>
      <c r="E2172" t="b">
        <f>IF(COUNTIF(D2172,"*"&amp;'Keyword Search'!$C$5&amp;"*"),TRUE,FALSE)</f>
        <v>1</v>
      </c>
      <c r="G2172" t="str">
        <f t="shared" si="136"/>
        <v>271-12: Blood Administration Sets</v>
      </c>
    </row>
    <row r="2173" spans="1:7" x14ac:dyDescent="0.25">
      <c r="A2173" s="1" t="str">
        <f t="shared" si="139"/>
        <v>271</v>
      </c>
      <c r="B2173" s="1" t="str">
        <f>TEXT(14,"00")</f>
        <v>14</v>
      </c>
      <c r="C2173" s="1" t="str">
        <f t="shared" si="135"/>
        <v>271-14</v>
      </c>
      <c r="D2173" t="s">
        <v>2157</v>
      </c>
      <c r="E2173" t="b">
        <f>IF(COUNTIF(D2173,"*"&amp;'Keyword Search'!$C$5&amp;"*"),TRUE,FALSE)</f>
        <v>1</v>
      </c>
      <c r="G2173" t="str">
        <f t="shared" si="136"/>
        <v>271-14: Blood Bank and Blood Transfusion Equipment: Collection Units, Dielectric Sealer, Freezing Bags, Pooling Bags, Transfer Units, etc.</v>
      </c>
    </row>
    <row r="2174" spans="1:7" x14ac:dyDescent="0.25">
      <c r="A2174" s="1" t="str">
        <f t="shared" si="139"/>
        <v>271</v>
      </c>
      <c r="B2174" s="1" t="str">
        <f>TEXT(16,"00")</f>
        <v>16</v>
      </c>
      <c r="C2174" s="1" t="str">
        <f t="shared" si="135"/>
        <v>271-16</v>
      </c>
      <c r="D2174" t="s">
        <v>2158</v>
      </c>
      <c r="E2174" t="b">
        <f>IF(COUNTIF(D2174,"*"&amp;'Keyword Search'!$C$5&amp;"*"),TRUE,FALSE)</f>
        <v>1</v>
      </c>
      <c r="G2174" t="str">
        <f t="shared" si="136"/>
        <v>271-16: Blood Cell Processing and Storage Solutions</v>
      </c>
    </row>
    <row r="2175" spans="1:7" x14ac:dyDescent="0.25">
      <c r="A2175" s="1" t="str">
        <f t="shared" si="139"/>
        <v>271</v>
      </c>
      <c r="B2175" s="1" t="str">
        <f>TEXT(18,"00")</f>
        <v>18</v>
      </c>
      <c r="C2175" s="1" t="str">
        <f t="shared" si="135"/>
        <v>271-18</v>
      </c>
      <c r="D2175" t="s">
        <v>2159</v>
      </c>
      <c r="E2175" t="b">
        <f>IF(COUNTIF(D2175,"*"&amp;'Keyword Search'!$C$5&amp;"*"),TRUE,FALSE)</f>
        <v>1</v>
      </c>
      <c r="G2175" t="str">
        <f t="shared" si="136"/>
        <v>271-18: Blood Plasma Extenders: Dextrans, etc.</v>
      </c>
    </row>
    <row r="2176" spans="1:7" x14ac:dyDescent="0.25">
      <c r="A2176" s="1" t="str">
        <f t="shared" si="139"/>
        <v>271</v>
      </c>
      <c r="B2176" s="1" t="str">
        <f>TEXT(19,"00")</f>
        <v>19</v>
      </c>
      <c r="C2176" s="1" t="str">
        <f t="shared" si="135"/>
        <v>271-19</v>
      </c>
      <c r="D2176" t="s">
        <v>2160</v>
      </c>
      <c r="E2176" t="b">
        <f>IF(COUNTIF(D2176,"*"&amp;'Keyword Search'!$C$5&amp;"*"),TRUE,FALSE)</f>
        <v>1</v>
      </c>
      <c r="G2176" t="str">
        <f t="shared" si="136"/>
        <v>271-19: Blood, Whole; and Blood Fraction, (For Transfusions: Plasma, Serum Albumin, etc.</v>
      </c>
    </row>
    <row r="2177" spans="1:7" x14ac:dyDescent="0.25">
      <c r="A2177" s="1" t="str">
        <f t="shared" si="139"/>
        <v>271</v>
      </c>
      <c r="B2177" s="1" t="str">
        <f>TEXT(21,"00")</f>
        <v>21</v>
      </c>
      <c r="C2177" s="1" t="str">
        <f t="shared" si="135"/>
        <v>271-21</v>
      </c>
      <c r="D2177" t="s">
        <v>2161</v>
      </c>
      <c r="E2177" t="b">
        <f>IF(COUNTIF(D2177,"*"&amp;'Keyword Search'!$C$5&amp;"*"),TRUE,FALSE)</f>
        <v>1</v>
      </c>
      <c r="G2177" t="str">
        <f t="shared" si="136"/>
        <v>271-21: Cell Processing Sets and Supplies</v>
      </c>
    </row>
    <row r="2178" spans="1:7" x14ac:dyDescent="0.25">
      <c r="A2178" s="1" t="str">
        <f t="shared" si="139"/>
        <v>271</v>
      </c>
      <c r="B2178" s="1" t="str">
        <f>TEXT(24,"00")</f>
        <v>24</v>
      </c>
      <c r="C2178" s="1" t="str">
        <f t="shared" si="135"/>
        <v>271-24</v>
      </c>
      <c r="D2178" t="s">
        <v>2162</v>
      </c>
      <c r="E2178" t="b">
        <f>IF(COUNTIF(D2178,"*"&amp;'Keyword Search'!$C$5&amp;"*"),TRUE,FALSE)</f>
        <v>1</v>
      </c>
      <c r="G2178" t="str">
        <f t="shared" si="136"/>
        <v>271-24: Dextrose Solutions, High Strength, For IV Additive Use</v>
      </c>
    </row>
    <row r="2179" spans="1:7" x14ac:dyDescent="0.25">
      <c r="A2179" s="1" t="str">
        <f t="shared" si="139"/>
        <v>271</v>
      </c>
      <c r="B2179" s="1" t="str">
        <f>TEXT(26,"00")</f>
        <v>26</v>
      </c>
      <c r="C2179" s="1" t="str">
        <f t="shared" ref="C2179:C2242" si="140">CONCATENATE(A2179,"-",B2179)</f>
        <v>271-26</v>
      </c>
      <c r="D2179" t="s">
        <v>2163</v>
      </c>
      <c r="E2179" t="b">
        <f>IF(COUNTIF(D2179,"*"&amp;'Keyword Search'!$C$5&amp;"*"),TRUE,FALSE)</f>
        <v>1</v>
      </c>
      <c r="G2179" t="str">
        <f t="shared" si="136"/>
        <v>271-26: Dialysis Concentrates and Solutions, Hemo and Peritoneal</v>
      </c>
    </row>
    <row r="2180" spans="1:7" x14ac:dyDescent="0.25">
      <c r="A2180" s="1" t="str">
        <f t="shared" si="139"/>
        <v>271</v>
      </c>
      <c r="B2180" s="1" t="str">
        <f>TEXT(27,"00")</f>
        <v>27</v>
      </c>
      <c r="C2180" s="1" t="str">
        <f t="shared" si="140"/>
        <v>271-27</v>
      </c>
      <c r="D2180" t="s">
        <v>2164</v>
      </c>
      <c r="E2180" t="b">
        <f>IF(COUNTIF(D2180,"*"&amp;'Keyword Search'!$C$5&amp;"*"),TRUE,FALSE)</f>
        <v>1</v>
      </c>
      <c r="G2180" t="str">
        <f t="shared" ref="G2180:G2243" si="141">CONCATENATE(C2180,": ",D2180)</f>
        <v>271-27: Diets, Supplements, Powder</v>
      </c>
    </row>
    <row r="2181" spans="1:7" x14ac:dyDescent="0.25">
      <c r="A2181" s="1" t="str">
        <f t="shared" si="139"/>
        <v>271</v>
      </c>
      <c r="B2181" s="1" t="str">
        <f>TEXT(28,"00")</f>
        <v>28</v>
      </c>
      <c r="C2181" s="1" t="str">
        <f t="shared" si="140"/>
        <v>271-28</v>
      </c>
      <c r="D2181" t="s">
        <v>2165</v>
      </c>
      <c r="E2181" t="b">
        <f>IF(COUNTIF(D2181,"*"&amp;'Keyword Search'!$C$5&amp;"*"),TRUE,FALSE)</f>
        <v>1</v>
      </c>
      <c r="G2181" t="str">
        <f t="shared" si="141"/>
        <v>271-28: Diets, Complete, Liquid; and Liquid Food Supplements, Oral and Tube Fed</v>
      </c>
    </row>
    <row r="2182" spans="1:7" x14ac:dyDescent="0.25">
      <c r="A2182" s="1" t="str">
        <f t="shared" si="139"/>
        <v>271</v>
      </c>
      <c r="B2182" s="1" t="str">
        <f>TEXT(29,"00")</f>
        <v>29</v>
      </c>
      <c r="C2182" s="1" t="str">
        <f t="shared" si="140"/>
        <v>271-29</v>
      </c>
      <c r="D2182" t="s">
        <v>2166</v>
      </c>
      <c r="E2182" t="b">
        <f>IF(COUNTIF(D2182,"*"&amp;'Keyword Search'!$C$5&amp;"*"),TRUE,FALSE)</f>
        <v>1</v>
      </c>
      <c r="G2182" t="str">
        <f t="shared" si="141"/>
        <v>271-29: Diets, Liquid, Thickened, Ready to Serve</v>
      </c>
    </row>
    <row r="2183" spans="1:7" x14ac:dyDescent="0.25">
      <c r="A2183" s="1" t="str">
        <f t="shared" si="139"/>
        <v>271</v>
      </c>
      <c r="B2183" s="1" t="str">
        <f>TEXT(30,"00")</f>
        <v>30</v>
      </c>
      <c r="C2183" s="1" t="str">
        <f t="shared" si="140"/>
        <v>271-30</v>
      </c>
      <c r="D2183" t="s">
        <v>2167</v>
      </c>
      <c r="E2183" t="b">
        <f>IF(COUNTIF(D2183,"*"&amp;'Keyword Search'!$C$5&amp;"*"),TRUE,FALSE)</f>
        <v>1</v>
      </c>
      <c r="G2183" t="str">
        <f t="shared" si="141"/>
        <v>271-30: Enteral Administration Systems, Tube Feeding, etc.</v>
      </c>
    </row>
    <row r="2184" spans="1:7" x14ac:dyDescent="0.25">
      <c r="A2184" s="1" t="str">
        <f t="shared" si="139"/>
        <v>271</v>
      </c>
      <c r="B2184" s="1" t="str">
        <f>TEXT(32,"00")</f>
        <v>32</v>
      </c>
      <c r="C2184" s="1" t="str">
        <f t="shared" si="140"/>
        <v>271-32</v>
      </c>
      <c r="D2184" t="s">
        <v>2168</v>
      </c>
      <c r="E2184" t="b">
        <f>IF(COUNTIF(D2184,"*"&amp;'Keyword Search'!$C$5&amp;"*"),TRUE,FALSE)</f>
        <v>1</v>
      </c>
      <c r="G2184" t="str">
        <f t="shared" si="141"/>
        <v>271-32: Extension Sets</v>
      </c>
    </row>
    <row r="2185" spans="1:7" x14ac:dyDescent="0.25">
      <c r="A2185" s="1" t="str">
        <f t="shared" si="139"/>
        <v>271</v>
      </c>
      <c r="B2185" s="1" t="str">
        <f>TEXT(34,"00")</f>
        <v>34</v>
      </c>
      <c r="C2185" s="1" t="str">
        <f t="shared" si="140"/>
        <v>271-34</v>
      </c>
      <c r="D2185" t="s">
        <v>2169</v>
      </c>
      <c r="E2185" t="b">
        <f>IF(COUNTIF(D2185,"*"&amp;'Keyword Search'!$C$5&amp;"*"),TRUE,FALSE)</f>
        <v>1</v>
      </c>
      <c r="G2185" t="str">
        <f t="shared" si="141"/>
        <v>271-34: Feeding Equipment and Accessories, Other Than Tube Feeding</v>
      </c>
    </row>
    <row r="2186" spans="1:7" x14ac:dyDescent="0.25">
      <c r="A2186" s="1" t="str">
        <f t="shared" si="139"/>
        <v>271</v>
      </c>
      <c r="B2186" s="1" t="str">
        <f>TEXT(35,"00")</f>
        <v>35</v>
      </c>
      <c r="C2186" s="1" t="str">
        <f t="shared" si="140"/>
        <v>271-35</v>
      </c>
      <c r="D2186" t="s">
        <v>2170</v>
      </c>
      <c r="E2186" t="b">
        <f>IF(COUNTIF(D2186,"*"&amp;'Keyword Search'!$C$5&amp;"*"),TRUE,FALSE)</f>
        <v>1</v>
      </c>
      <c r="G2186" t="str">
        <f t="shared" si="141"/>
        <v>271-35: Filter Sets and In-Line Filters</v>
      </c>
    </row>
    <row r="2187" spans="1:7" x14ac:dyDescent="0.25">
      <c r="A2187" s="1" t="str">
        <f t="shared" si="139"/>
        <v>271</v>
      </c>
      <c r="B2187" s="1" t="str">
        <f>TEXT(41,"00")</f>
        <v>41</v>
      </c>
      <c r="C2187" s="1" t="str">
        <f t="shared" si="140"/>
        <v>271-41</v>
      </c>
      <c r="D2187" t="s">
        <v>2171</v>
      </c>
      <c r="E2187" t="b">
        <f>IF(COUNTIF(D2187,"*"&amp;'Keyword Search'!$C$5&amp;"*"),TRUE,FALSE)</f>
        <v>1</v>
      </c>
      <c r="G2187" t="str">
        <f t="shared" si="141"/>
        <v>271-41: IV Additive Equipment and Supplies: Bands, Caps, Dispensing Syringes, etc.</v>
      </c>
    </row>
    <row r="2188" spans="1:7" x14ac:dyDescent="0.25">
      <c r="A2188" s="1" t="str">
        <f t="shared" si="139"/>
        <v>271</v>
      </c>
      <c r="B2188" s="1" t="str">
        <f>TEXT(42,"00")</f>
        <v>42</v>
      </c>
      <c r="C2188" s="1" t="str">
        <f t="shared" si="140"/>
        <v>271-42</v>
      </c>
      <c r="D2188" t="s">
        <v>2172</v>
      </c>
      <c r="E2188" t="b">
        <f>IF(COUNTIF(D2188,"*"&amp;'Keyword Search'!$C$5&amp;"*"),TRUE,FALSE)</f>
        <v>1</v>
      </c>
      <c r="G2188" t="str">
        <f t="shared" si="141"/>
        <v>271-42: IV Drop Counters, Flowmeters and Regulators</v>
      </c>
    </row>
    <row r="2189" spans="1:7" x14ac:dyDescent="0.25">
      <c r="A2189" s="1" t="str">
        <f t="shared" si="139"/>
        <v>271</v>
      </c>
      <c r="B2189" s="1" t="str">
        <f>TEXT(44,"00")</f>
        <v>44</v>
      </c>
      <c r="C2189" s="1" t="str">
        <f t="shared" si="140"/>
        <v>271-44</v>
      </c>
      <c r="D2189" t="s">
        <v>2173</v>
      </c>
      <c r="E2189" t="b">
        <f>IF(COUNTIF(D2189,"*"&amp;'Keyword Search'!$C$5&amp;"*"),TRUE,FALSE)</f>
        <v>1</v>
      </c>
      <c r="G2189" t="str">
        <f t="shared" si="141"/>
        <v>271-44: Infusion Solutions, Organ Preservation, Such as Kidneys, etc.</v>
      </c>
    </row>
    <row r="2190" spans="1:7" x14ac:dyDescent="0.25">
      <c r="A2190" s="1" t="str">
        <f t="shared" si="139"/>
        <v>271</v>
      </c>
      <c r="B2190" s="1" t="str">
        <f>TEXT(56,"00")</f>
        <v>56</v>
      </c>
      <c r="C2190" s="1" t="str">
        <f t="shared" si="140"/>
        <v>271-56</v>
      </c>
      <c r="D2190" t="s">
        <v>2174</v>
      </c>
      <c r="E2190" t="b">
        <f>IF(COUNTIF(D2190,"*"&amp;'Keyword Search'!$C$5&amp;"*"),TRUE,FALSE)</f>
        <v>1</v>
      </c>
      <c r="G2190" t="str">
        <f t="shared" si="141"/>
        <v>271-56: Irrigation Solutions and Sets</v>
      </c>
    </row>
    <row r="2191" spans="1:7" x14ac:dyDescent="0.25">
      <c r="A2191" s="1" t="str">
        <f t="shared" si="139"/>
        <v>271</v>
      </c>
      <c r="B2191" s="1" t="str">
        <f>TEXT(63,"00")</f>
        <v>63</v>
      </c>
      <c r="C2191" s="1" t="str">
        <f t="shared" si="140"/>
        <v>271-63</v>
      </c>
      <c r="D2191" t="s">
        <v>2175</v>
      </c>
      <c r="E2191" t="b">
        <f>IF(COUNTIF(D2191,"*"&amp;'Keyword Search'!$C$5&amp;"*"),TRUE,FALSE)</f>
        <v>1</v>
      </c>
      <c r="G2191" t="str">
        <f t="shared" si="141"/>
        <v>271-63: Mannitol Solutions</v>
      </c>
    </row>
    <row r="2192" spans="1:7" x14ac:dyDescent="0.25">
      <c r="A2192" s="1" t="str">
        <f t="shared" si="139"/>
        <v>271</v>
      </c>
      <c r="B2192" s="1" t="str">
        <f>TEXT(68,"00")</f>
        <v>68</v>
      </c>
      <c r="C2192" s="1" t="str">
        <f t="shared" si="140"/>
        <v>271-68</v>
      </c>
      <c r="D2192" t="s">
        <v>2176</v>
      </c>
      <c r="E2192" t="b">
        <f>IF(COUNTIF(D2192,"*"&amp;'Keyword Search'!$C$5&amp;"*"),TRUE,FALSE)</f>
        <v>1</v>
      </c>
      <c r="G2192" t="str">
        <f t="shared" si="141"/>
        <v>271-68: Nutritional Product IV Solutions: Amino Acids, Fat Emulsions, Protein Hydrolysate, etc.</v>
      </c>
    </row>
    <row r="2193" spans="1:7" x14ac:dyDescent="0.25">
      <c r="A2193" s="1" t="str">
        <f t="shared" si="139"/>
        <v>271</v>
      </c>
      <c r="B2193" s="1" t="str">
        <f>TEXT(76,"00")</f>
        <v>76</v>
      </c>
      <c r="C2193" s="1" t="str">
        <f t="shared" si="140"/>
        <v>271-76</v>
      </c>
      <c r="D2193" t="s">
        <v>2177</v>
      </c>
      <c r="E2193" t="b">
        <f>IF(COUNTIF(D2193,"*"&amp;'Keyword Search'!$C$5&amp;"*"),TRUE,FALSE)</f>
        <v>1</v>
      </c>
      <c r="G2193" t="str">
        <f t="shared" si="141"/>
        <v>271-76: Premixed Pharmaceutical Solutions</v>
      </c>
    </row>
    <row r="2194" spans="1:7" x14ac:dyDescent="0.25">
      <c r="A2194" s="1" t="str">
        <f t="shared" si="139"/>
        <v>271</v>
      </c>
      <c r="B2194" s="1" t="str">
        <f>TEXT(78,"00")</f>
        <v>78</v>
      </c>
      <c r="C2194" s="1" t="str">
        <f t="shared" si="140"/>
        <v>271-78</v>
      </c>
      <c r="D2194" t="s">
        <v>2178</v>
      </c>
      <c r="E2194" t="b">
        <f>IF(COUNTIF(D2194,"*"&amp;'Keyword Search'!$C$5&amp;"*"),TRUE,FALSE)</f>
        <v>1</v>
      </c>
      <c r="G2194" t="str">
        <f t="shared" si="141"/>
        <v>271-78: Recycled Pharmaceutical Sets and Supplies</v>
      </c>
    </row>
    <row r="2195" spans="1:7" x14ac:dyDescent="0.25">
      <c r="A2195" s="1" t="str">
        <f t="shared" si="139"/>
        <v>271</v>
      </c>
      <c r="B2195" s="1" t="str">
        <f>TEXT(80,"00")</f>
        <v>80</v>
      </c>
      <c r="C2195" s="1" t="str">
        <f t="shared" si="140"/>
        <v>271-80</v>
      </c>
      <c r="D2195" t="s">
        <v>2179</v>
      </c>
      <c r="E2195" t="b">
        <f>IF(COUNTIF(D2195,"*"&amp;'Keyword Search'!$C$5&amp;"*"),TRUE,FALSE)</f>
        <v>1</v>
      </c>
      <c r="G2195" t="str">
        <f t="shared" si="141"/>
        <v>271-80: Respiratory Therapy Solutions and Sets</v>
      </c>
    </row>
    <row r="2196" spans="1:7" x14ac:dyDescent="0.25">
      <c r="A2196" s="1" t="str">
        <f t="shared" si="139"/>
        <v>271</v>
      </c>
      <c r="B2196" s="1" t="str">
        <f>TEXT(84,"00")</f>
        <v>84</v>
      </c>
      <c r="C2196" s="1" t="str">
        <f t="shared" si="140"/>
        <v>271-84</v>
      </c>
      <c r="D2196" t="s">
        <v>2180</v>
      </c>
      <c r="E2196" t="b">
        <f>IF(COUNTIF(D2196,"*"&amp;'Keyword Search'!$C$5&amp;"*"),TRUE,FALSE)</f>
        <v>1</v>
      </c>
      <c r="G2196" t="str">
        <f t="shared" si="141"/>
        <v>271-84: Sets (For IV Pumps): Peristaltic, Metering, etc.</v>
      </c>
    </row>
    <row r="2197" spans="1:7" x14ac:dyDescent="0.25">
      <c r="A2197" s="1" t="str">
        <f t="shared" si="139"/>
        <v>271</v>
      </c>
      <c r="B2197" s="1" t="str">
        <f>TEXT(88,"00")</f>
        <v>88</v>
      </c>
      <c r="C2197" s="1" t="str">
        <f t="shared" si="140"/>
        <v>271-88</v>
      </c>
      <c r="D2197" t="s">
        <v>2181</v>
      </c>
      <c r="E2197" t="b">
        <f>IF(COUNTIF(D2197,"*"&amp;'Keyword Search'!$C$5&amp;"*"),TRUE,FALSE)</f>
        <v>1</v>
      </c>
      <c r="G2197" t="str">
        <f t="shared" si="141"/>
        <v>271-88: Specialty and Custom-Made Sets and Equipment (Not Otherwise Classified)</v>
      </c>
    </row>
    <row r="2198" spans="1:7" x14ac:dyDescent="0.25">
      <c r="A2198" s="1" t="str">
        <f t="shared" si="139"/>
        <v>271</v>
      </c>
      <c r="B2198" s="1" t="str">
        <f>TEXT(92,"00")</f>
        <v>92</v>
      </c>
      <c r="C2198" s="1" t="str">
        <f t="shared" si="140"/>
        <v>271-92</v>
      </c>
      <c r="D2198" t="s">
        <v>2182</v>
      </c>
      <c r="E2198" t="b">
        <f>IF(COUNTIF(D2198,"*"&amp;'Keyword Search'!$C$5&amp;"*"),TRUE,FALSE)</f>
        <v>1</v>
      </c>
      <c r="G2198" t="str">
        <f t="shared" si="141"/>
        <v>271-92: Specialty Solutions (Not Otherwise Classified)</v>
      </c>
    </row>
    <row r="2199" spans="1:7" x14ac:dyDescent="0.25">
      <c r="A2199" s="1" t="str">
        <f t="shared" si="139"/>
        <v>271</v>
      </c>
      <c r="B2199" s="1" t="str">
        <f>TEXT(96,"00")</f>
        <v>96</v>
      </c>
      <c r="C2199" s="1" t="str">
        <f t="shared" si="140"/>
        <v>271-96</v>
      </c>
      <c r="D2199" t="s">
        <v>2183</v>
      </c>
      <c r="E2199" t="b">
        <f>IF(COUNTIF(D2199,"*"&amp;'Keyword Search'!$C$5&amp;"*"),TRUE,FALSE)</f>
        <v>1</v>
      </c>
      <c r="G2199" t="str">
        <f t="shared" si="141"/>
        <v>271-96: Standard IV and Injectable Solutions: Dextrose, Electrolytes, Ringer's, Saline, etc.</v>
      </c>
    </row>
    <row r="2200" spans="1:7" x14ac:dyDescent="0.25">
      <c r="A2200" s="5" t="str">
        <f t="shared" ref="A2200:A2212" si="142">TEXT(279,"000")</f>
        <v>279</v>
      </c>
      <c r="B2200" s="5" t="str">
        <f>TEXT(0,"00")</f>
        <v>00</v>
      </c>
      <c r="C2200" s="1"/>
      <c r="D2200" s="2" t="s">
        <v>2184</v>
      </c>
    </row>
    <row r="2201" spans="1:7" x14ac:dyDescent="0.25">
      <c r="A2201" s="1" t="str">
        <f t="shared" si="142"/>
        <v>279</v>
      </c>
      <c r="B2201" s="1" t="str">
        <f>TEXT(18,"00")</f>
        <v>18</v>
      </c>
      <c r="C2201" s="1" t="str">
        <f t="shared" si="140"/>
        <v>279-18</v>
      </c>
      <c r="D2201" t="s">
        <v>2185</v>
      </c>
      <c r="E2201" t="b">
        <f>IF(COUNTIF(D2201,"*"&amp;'Keyword Search'!$C$5&amp;"*"),TRUE,FALSE)</f>
        <v>1</v>
      </c>
      <c r="G2201" t="str">
        <f t="shared" si="141"/>
        <v>279-18: Anvils, 18th Century Reproduction</v>
      </c>
    </row>
    <row r="2202" spans="1:7" x14ac:dyDescent="0.25">
      <c r="A2202" s="1" t="str">
        <f t="shared" si="142"/>
        <v>279</v>
      </c>
      <c r="B2202" s="1" t="str">
        <f>TEXT(22,"00")</f>
        <v>22</v>
      </c>
      <c r="C2202" s="1" t="str">
        <f t="shared" si="140"/>
        <v>279-22</v>
      </c>
      <c r="D2202" t="s">
        <v>2186</v>
      </c>
      <c r="E2202" t="b">
        <f>IF(COUNTIF(D2202,"*"&amp;'Keyword Search'!$C$5&amp;"*"),TRUE,FALSE)</f>
        <v>1</v>
      </c>
      <c r="G2202" t="str">
        <f t="shared" si="141"/>
        <v>279-22: Artillery, 18th Century Reproduction</v>
      </c>
    </row>
    <row r="2203" spans="1:7" x14ac:dyDescent="0.25">
      <c r="A2203" s="1" t="str">
        <f t="shared" si="142"/>
        <v>279</v>
      </c>
      <c r="B2203" s="1" t="str">
        <f>TEXT(26,"00")</f>
        <v>26</v>
      </c>
      <c r="C2203" s="1" t="str">
        <f t="shared" si="140"/>
        <v>279-26</v>
      </c>
      <c r="D2203" t="s">
        <v>2187</v>
      </c>
      <c r="E2203" t="b">
        <f>IF(COUNTIF(D2203,"*"&amp;'Keyword Search'!$C$5&amp;"*"),TRUE,FALSE)</f>
        <v>1</v>
      </c>
      <c r="G2203" t="str">
        <f t="shared" si="141"/>
        <v>279-26: Blanks, Belt, 18th Century Reproduction</v>
      </c>
    </row>
    <row r="2204" spans="1:7" x14ac:dyDescent="0.25">
      <c r="A2204" s="1" t="str">
        <f t="shared" si="142"/>
        <v>279</v>
      </c>
      <c r="B2204" s="1" t="str">
        <f>TEXT(30,"00")</f>
        <v>30</v>
      </c>
      <c r="C2204" s="1" t="str">
        <f t="shared" si="140"/>
        <v>279-30</v>
      </c>
      <c r="D2204" t="s">
        <v>2188</v>
      </c>
      <c r="E2204" t="b">
        <f>IF(COUNTIF(D2204,"*"&amp;'Keyword Search'!$C$5&amp;"*"),TRUE,FALSE)</f>
        <v>1</v>
      </c>
      <c r="G2204" t="str">
        <f t="shared" si="141"/>
        <v>279-30: Buckles, 18th Century Reproduction</v>
      </c>
    </row>
    <row r="2205" spans="1:7" x14ac:dyDescent="0.25">
      <c r="A2205" s="1" t="str">
        <f t="shared" si="142"/>
        <v>279</v>
      </c>
      <c r="B2205" s="1" t="str">
        <f>TEXT(34,"00")</f>
        <v>34</v>
      </c>
      <c r="C2205" s="1" t="str">
        <f t="shared" si="140"/>
        <v>279-34</v>
      </c>
      <c r="D2205" t="s">
        <v>2189</v>
      </c>
      <c r="E2205" t="b">
        <f>IF(COUNTIF(D2205,"*"&amp;'Keyword Search'!$C$5&amp;"*"),TRUE,FALSE)</f>
        <v>1</v>
      </c>
      <c r="G2205" t="str">
        <f t="shared" si="141"/>
        <v>279-34: Clothing, Custom, 18th Century Reproduction</v>
      </c>
    </row>
    <row r="2206" spans="1:7" x14ac:dyDescent="0.25">
      <c r="A2206" s="1" t="str">
        <f t="shared" si="142"/>
        <v>279</v>
      </c>
      <c r="B2206" s="1" t="str">
        <f>TEXT(43,"00")</f>
        <v>43</v>
      </c>
      <c r="C2206" s="1" t="str">
        <f t="shared" si="140"/>
        <v>279-43</v>
      </c>
      <c r="D2206" t="s">
        <v>2190</v>
      </c>
      <c r="E2206" t="b">
        <f>IF(COUNTIF(D2206,"*"&amp;'Keyword Search'!$C$5&amp;"*"),TRUE,FALSE)</f>
        <v>1</v>
      </c>
      <c r="G2206" t="str">
        <f t="shared" si="141"/>
        <v>279-43: Horse Equipage, 18th Century Reproduction</v>
      </c>
    </row>
    <row r="2207" spans="1:7" x14ac:dyDescent="0.25">
      <c r="A2207" s="1" t="str">
        <f t="shared" si="142"/>
        <v>279</v>
      </c>
      <c r="B2207" s="1" t="str">
        <f>TEXT(48,"00")</f>
        <v>48</v>
      </c>
      <c r="C2207" s="1" t="str">
        <f t="shared" si="140"/>
        <v>279-48</v>
      </c>
      <c r="D2207" t="s">
        <v>2191</v>
      </c>
      <c r="E2207" t="b">
        <f>IF(COUNTIF(D2207,"*"&amp;'Keyword Search'!$C$5&amp;"*"),TRUE,FALSE)</f>
        <v>1</v>
      </c>
      <c r="G2207" t="str">
        <f t="shared" si="141"/>
        <v>279-48: Leather Goods, 18th Century Reproduction</v>
      </c>
    </row>
    <row r="2208" spans="1:7" x14ac:dyDescent="0.25">
      <c r="A2208" s="1" t="str">
        <f t="shared" si="142"/>
        <v>279</v>
      </c>
      <c r="B2208" s="1" t="str">
        <f>TEXT(49,"00")</f>
        <v>49</v>
      </c>
      <c r="C2208" s="1" t="str">
        <f t="shared" si="140"/>
        <v>279-49</v>
      </c>
      <c r="D2208" t="s">
        <v>2192</v>
      </c>
      <c r="E2208" t="b">
        <f>IF(COUNTIF(D2208,"*"&amp;'Keyword Search'!$C$5&amp;"*"),TRUE,FALSE)</f>
        <v>1</v>
      </c>
      <c r="G2208" t="str">
        <f t="shared" si="141"/>
        <v>279-49: Leather Work, Custom</v>
      </c>
    </row>
    <row r="2209" spans="1:7" x14ac:dyDescent="0.25">
      <c r="A2209" s="1" t="str">
        <f t="shared" si="142"/>
        <v>279</v>
      </c>
      <c r="B2209" s="1" t="str">
        <f>TEXT(53,"00")</f>
        <v>53</v>
      </c>
      <c r="C2209" s="1" t="str">
        <f t="shared" si="140"/>
        <v>279-53</v>
      </c>
      <c r="D2209" t="s">
        <v>2193</v>
      </c>
      <c r="E2209" t="b">
        <f>IF(COUNTIF(D2209,"*"&amp;'Keyword Search'!$C$5&amp;"*"),TRUE,FALSE)</f>
        <v>1</v>
      </c>
      <c r="G2209" t="str">
        <f t="shared" si="141"/>
        <v>279-53: Miscellaneous 18th Century Reproduction Goods</v>
      </c>
    </row>
    <row r="2210" spans="1:7" x14ac:dyDescent="0.25">
      <c r="A2210" s="1" t="str">
        <f t="shared" si="142"/>
        <v>279</v>
      </c>
      <c r="B2210" s="1" t="str">
        <f>TEXT(57,"00")</f>
        <v>57</v>
      </c>
      <c r="C2210" s="1" t="str">
        <f t="shared" si="140"/>
        <v>279-57</v>
      </c>
      <c r="D2210" t="s">
        <v>2194</v>
      </c>
      <c r="E2210" t="b">
        <f>IF(COUNTIF(D2210,"*"&amp;'Keyword Search'!$C$5&amp;"*"),TRUE,FALSE)</f>
        <v>1</v>
      </c>
      <c r="G2210" t="str">
        <f t="shared" si="141"/>
        <v>279-57: Pottery, 18th Century Reproduction</v>
      </c>
    </row>
    <row r="2211" spans="1:7" x14ac:dyDescent="0.25">
      <c r="A2211" s="1" t="str">
        <f t="shared" si="142"/>
        <v>279</v>
      </c>
      <c r="B2211" s="1" t="str">
        <f>TEXT(58,"00")</f>
        <v>58</v>
      </c>
      <c r="C2211" s="1" t="str">
        <f t="shared" si="140"/>
        <v>279-58</v>
      </c>
      <c r="D2211" t="s">
        <v>2195</v>
      </c>
      <c r="E2211" t="b">
        <f>IF(COUNTIF(D2211,"*"&amp;'Keyword Search'!$C$5&amp;"*"),TRUE,FALSE)</f>
        <v>1</v>
      </c>
      <c r="G2211" t="str">
        <f t="shared" si="141"/>
        <v>279-58: Pots, Iron, 18th Century Reproduction</v>
      </c>
    </row>
    <row r="2212" spans="1:7" x14ac:dyDescent="0.25">
      <c r="A2212" s="1" t="str">
        <f t="shared" si="142"/>
        <v>279</v>
      </c>
      <c r="B2212" s="1" t="str">
        <f>TEXT(64,"00")</f>
        <v>64</v>
      </c>
      <c r="C2212" s="1" t="str">
        <f t="shared" si="140"/>
        <v>279-64</v>
      </c>
      <c r="D2212" t="s">
        <v>2196</v>
      </c>
      <c r="E2212" t="b">
        <f>IF(COUNTIF(D2212,"*"&amp;'Keyword Search'!$C$5&amp;"*"),TRUE,FALSE)</f>
        <v>1</v>
      </c>
      <c r="G2212" t="str">
        <f t="shared" si="141"/>
        <v>279-64: Refurbished 18th Century Reproduction Goods</v>
      </c>
    </row>
    <row r="2213" spans="1:7" x14ac:dyDescent="0.25">
      <c r="A2213" s="5" t="str">
        <f t="shared" ref="A2213:A2230" si="143">TEXT(280,"000")</f>
        <v>280</v>
      </c>
      <c r="B2213" s="5" t="str">
        <f>TEXT(0,"00")</f>
        <v>00</v>
      </c>
      <c r="C2213" s="1"/>
      <c r="D2213" s="2" t="s">
        <v>2197</v>
      </c>
    </row>
    <row r="2214" spans="1:7" x14ac:dyDescent="0.25">
      <c r="A2214" s="1" t="str">
        <f t="shared" si="143"/>
        <v>280</v>
      </c>
      <c r="B2214" s="1" t="str">
        <f>TEXT(8,"00")</f>
        <v>08</v>
      </c>
      <c r="C2214" s="1" t="str">
        <f t="shared" si="140"/>
        <v>280-08</v>
      </c>
      <c r="D2214" t="s">
        <v>2198</v>
      </c>
      <c r="E2214" t="b">
        <f>IF(COUNTIF(D2214,"*"&amp;'Keyword Search'!$C$5&amp;"*"),TRUE,FALSE)</f>
        <v>1</v>
      </c>
      <c r="G2214" t="str">
        <f t="shared" si="141"/>
        <v>280-08: Appliance, Fixture, and Portable Cable and Wire, (Up to 600V: Types S, SJ, SJO, SO, SPT, TF, TFF, etc.</v>
      </c>
    </row>
    <row r="2215" spans="1:7" x14ac:dyDescent="0.25">
      <c r="A2215" s="1" t="str">
        <f t="shared" si="143"/>
        <v>280</v>
      </c>
      <c r="B2215" s="1" t="str">
        <f>TEXT(16,"00")</f>
        <v>16</v>
      </c>
      <c r="C2215" s="1" t="str">
        <f t="shared" si="140"/>
        <v>280-16</v>
      </c>
      <c r="D2215" t="s">
        <v>2199</v>
      </c>
      <c r="E2215" t="b">
        <f>IF(COUNTIF(D2215,"*"&amp;'Keyword Search'!$C$5&amp;"*"),TRUE,FALSE)</f>
        <v>1</v>
      </c>
      <c r="G2215" t="str">
        <f t="shared" si="141"/>
        <v>280-16: Bare Cable and Wire: Type ACSR, Bare Copper, Bare Aluminum, etc.</v>
      </c>
    </row>
    <row r="2216" spans="1:7" x14ac:dyDescent="0.25">
      <c r="A2216" s="1" t="str">
        <f t="shared" si="143"/>
        <v>280</v>
      </c>
      <c r="B2216" s="1" t="str">
        <f>TEXT(24,"00")</f>
        <v>24</v>
      </c>
      <c r="C2216" s="1" t="str">
        <f t="shared" si="140"/>
        <v>280-24</v>
      </c>
      <c r="D2216" t="s">
        <v>2200</v>
      </c>
      <c r="E2216" t="b">
        <f>IF(COUNTIF(D2216,"*"&amp;'Keyword Search'!$C$5&amp;"*"),TRUE,FALSE)</f>
        <v>1</v>
      </c>
      <c r="G2216" t="str">
        <f t="shared" si="141"/>
        <v>280-24: Building Cable and Wire, Single and Multiconductor: Types NM, THWN, TW, THW, THHN, XHHW, RHW, RR, ROMEX, etc.</v>
      </c>
    </row>
    <row r="2217" spans="1:7" x14ac:dyDescent="0.25">
      <c r="A2217" s="1" t="str">
        <f t="shared" si="143"/>
        <v>280</v>
      </c>
      <c r="B2217" s="1" t="str">
        <f>TEXT(25,"00")</f>
        <v>25</v>
      </c>
      <c r="C2217" s="1" t="str">
        <f t="shared" si="140"/>
        <v>280-25</v>
      </c>
      <c r="D2217" t="s">
        <v>2201</v>
      </c>
      <c r="E2217" t="b">
        <f>IF(COUNTIF(D2217,"*"&amp;'Keyword Search'!$C$5&amp;"*"),TRUE,FALSE)</f>
        <v>1</v>
      </c>
      <c r="G2217" t="str">
        <f t="shared" si="141"/>
        <v>280-25: Cable Accessories: Clamps, Clasps, Clips, Closures, Reels, Splices, Wrappings, etc.(Inactive, please see commodity code 285-10 effective January 1, 2016)</v>
      </c>
    </row>
    <row r="2218" spans="1:7" x14ac:dyDescent="0.25">
      <c r="A2218" s="1" t="str">
        <f t="shared" si="143"/>
        <v>280</v>
      </c>
      <c r="B2218" s="1" t="str">
        <f>TEXT(28,"00")</f>
        <v>28</v>
      </c>
      <c r="C2218" s="1" t="str">
        <f t="shared" si="140"/>
        <v>280-28</v>
      </c>
      <c r="D2218" t="s">
        <v>2202</v>
      </c>
      <c r="E2218" t="b">
        <f>IF(COUNTIF(D2218,"*"&amp;'Keyword Search'!$C$5&amp;"*"),TRUE,FALSE)</f>
        <v>1</v>
      </c>
      <c r="G2218" t="str">
        <f t="shared" si="141"/>
        <v>280-28: *Cathodic Cable, Protection</v>
      </c>
    </row>
    <row r="2219" spans="1:7" x14ac:dyDescent="0.25">
      <c r="A2219" s="1" t="str">
        <f t="shared" si="143"/>
        <v>280</v>
      </c>
      <c r="B2219" s="1" t="str">
        <f>TEXT(29,"00")</f>
        <v>29</v>
      </c>
      <c r="C2219" s="1" t="str">
        <f t="shared" si="140"/>
        <v>280-29</v>
      </c>
      <c r="D2219" t="s">
        <v>2203</v>
      </c>
      <c r="E2219" t="b">
        <f>IF(COUNTIF(D2219,"*"&amp;'Keyword Search'!$C$5&amp;"*"),TRUE,FALSE)</f>
        <v>1</v>
      </c>
      <c r="G2219" t="str">
        <f t="shared" si="141"/>
        <v>280-29: *Communication and Telecommunication Cable and Wire, Including Fiber Cable</v>
      </c>
    </row>
    <row r="2220" spans="1:7" x14ac:dyDescent="0.25">
      <c r="A2220" s="1" t="str">
        <f t="shared" si="143"/>
        <v>280</v>
      </c>
      <c r="B2220" s="1" t="str">
        <f>TEXT(30,"00")</f>
        <v>30</v>
      </c>
      <c r="C2220" s="1" t="str">
        <f t="shared" si="140"/>
        <v>280-30</v>
      </c>
      <c r="D2220" t="s">
        <v>2204</v>
      </c>
      <c r="E2220" t="b">
        <f>IF(COUNTIF(D2220,"*"&amp;'Keyword Search'!$C$5&amp;"*"),TRUE,FALSE)</f>
        <v>1</v>
      </c>
      <c r="G2220" t="str">
        <f t="shared" si="141"/>
        <v>280-30: Control Cable and Wire: Solid and Stranded, Single and Multiconductor, Up to 600V, for use in Boiler Controls, Fire Alarms, Motors, etc.</v>
      </c>
    </row>
    <row r="2221" spans="1:7" x14ac:dyDescent="0.25">
      <c r="A2221" s="1" t="str">
        <f t="shared" si="143"/>
        <v>280</v>
      </c>
      <c r="B2221" s="1" t="str">
        <f>TEXT(40,"00")</f>
        <v>40</v>
      </c>
      <c r="C2221" s="1" t="str">
        <f t="shared" si="140"/>
        <v>280-40</v>
      </c>
      <c r="D2221" t="s">
        <v>2205</v>
      </c>
      <c r="E2221" t="b">
        <f>IF(COUNTIF(D2221,"*"&amp;'Keyword Search'!$C$5&amp;"*"),TRUE,FALSE)</f>
        <v>1</v>
      </c>
      <c r="G2221" t="str">
        <f t="shared" si="141"/>
        <v>280-40: Guy Wire and Cable: Guy Strand, SM, HS, EHS, etc.</v>
      </c>
    </row>
    <row r="2222" spans="1:7" x14ac:dyDescent="0.25">
      <c r="A2222" s="1" t="str">
        <f t="shared" si="143"/>
        <v>280</v>
      </c>
      <c r="B2222" s="1" t="str">
        <f>TEXT(50,"00")</f>
        <v>50</v>
      </c>
      <c r="C2222" s="1" t="str">
        <f t="shared" si="140"/>
        <v>280-50</v>
      </c>
      <c r="D2222" t="s">
        <v>2206</v>
      </c>
      <c r="E2222" t="b">
        <f>IF(COUNTIF(D2222,"*"&amp;'Keyword Search'!$C$5&amp;"*"),TRUE,FALSE)</f>
        <v>1</v>
      </c>
      <c r="G2222" t="str">
        <f t="shared" si="141"/>
        <v>280-50: Heating Cable and Wire, Up to 277V: Lead Covered, Neoprene Jacket, etc.</v>
      </c>
    </row>
    <row r="2223" spans="1:7" x14ac:dyDescent="0.25">
      <c r="A2223" s="1" t="str">
        <f t="shared" si="143"/>
        <v>280</v>
      </c>
      <c r="B2223" s="1" t="str">
        <f>TEXT(58,"00")</f>
        <v>58</v>
      </c>
      <c r="C2223" s="1" t="str">
        <f t="shared" si="140"/>
        <v>280-58</v>
      </c>
      <c r="D2223" t="s">
        <v>2207</v>
      </c>
      <c r="E2223" t="b">
        <f>IF(COUNTIF(D2223,"*"&amp;'Keyword Search'!$C$5&amp;"*"),TRUE,FALSE)</f>
        <v>1</v>
      </c>
      <c r="G2223" t="str">
        <f t="shared" si="141"/>
        <v>280-58: High Voltage Cable and Wire, 601-15,000V: Solid and Stranded, Single and Multiconductor</v>
      </c>
    </row>
    <row r="2224" spans="1:7" x14ac:dyDescent="0.25">
      <c r="A2224" s="1" t="str">
        <f t="shared" si="143"/>
        <v>280</v>
      </c>
      <c r="B2224" s="1" t="str">
        <f>TEXT(62,"00")</f>
        <v>62</v>
      </c>
      <c r="C2224" s="1" t="str">
        <f t="shared" si="140"/>
        <v>280-62</v>
      </c>
      <c r="D2224" t="s">
        <v>2208</v>
      </c>
      <c r="E2224" t="b">
        <f>IF(COUNTIF(D2224,"*"&amp;'Keyword Search'!$C$5&amp;"*"),TRUE,FALSE)</f>
        <v>1</v>
      </c>
      <c r="G2224" t="str">
        <f t="shared" si="141"/>
        <v>280-62: Recycled Cable and Wire</v>
      </c>
    </row>
    <row r="2225" spans="1:7" x14ac:dyDescent="0.25">
      <c r="A2225" s="1" t="str">
        <f t="shared" si="143"/>
        <v>280</v>
      </c>
      <c r="B2225" s="1" t="str">
        <f>TEXT(65,"00")</f>
        <v>65</v>
      </c>
      <c r="C2225" s="1" t="str">
        <f t="shared" si="140"/>
        <v>280-65</v>
      </c>
      <c r="D2225" t="s">
        <v>2209</v>
      </c>
      <c r="E2225" t="b">
        <f>IF(COUNTIF(D2225,"*"&amp;'Keyword Search'!$C$5&amp;"*"),TRUE,FALSE)</f>
        <v>1</v>
      </c>
      <c r="G2225" t="str">
        <f t="shared" si="141"/>
        <v>280-65: Submarine Wire and Cable</v>
      </c>
    </row>
    <row r="2226" spans="1:7" x14ac:dyDescent="0.25">
      <c r="A2226" s="1" t="str">
        <f t="shared" si="143"/>
        <v>280</v>
      </c>
      <c r="B2226" s="1" t="str">
        <f>TEXT(70,"00")</f>
        <v>70</v>
      </c>
      <c r="C2226" s="1" t="str">
        <f t="shared" si="140"/>
        <v>280-70</v>
      </c>
      <c r="D2226" t="s">
        <v>2210</v>
      </c>
      <c r="E2226" t="b">
        <f>IF(COUNTIF(D2226,"*"&amp;'Keyword Search'!$C$5&amp;"*"),TRUE,FALSE)</f>
        <v>1</v>
      </c>
      <c r="G2226" t="str">
        <f t="shared" si="141"/>
        <v>280-70: *Telephone Cable and Wire: Single and Multiconductor, Clad Steel and Copper</v>
      </c>
    </row>
    <row r="2227" spans="1:7" x14ac:dyDescent="0.25">
      <c r="A2227" s="1" t="str">
        <f t="shared" si="143"/>
        <v>280</v>
      </c>
      <c r="B2227" s="1" t="str">
        <f>TEXT(75,"00")</f>
        <v>75</v>
      </c>
      <c r="C2227" s="1" t="str">
        <f t="shared" si="140"/>
        <v>280-75</v>
      </c>
      <c r="D2227" t="s">
        <v>2211</v>
      </c>
      <c r="E2227" t="b">
        <f>IF(COUNTIF(D2227,"*"&amp;'Keyword Search'!$C$5&amp;"*"),TRUE,FALSE)</f>
        <v>1</v>
      </c>
      <c r="G2227" t="str">
        <f t="shared" si="141"/>
        <v>280-75: Ties and Anchors, Cable and Wire</v>
      </c>
    </row>
    <row r="2228" spans="1:7" x14ac:dyDescent="0.25">
      <c r="A2228" s="1" t="str">
        <f t="shared" si="143"/>
        <v>280</v>
      </c>
      <c r="B2228" s="1" t="str">
        <f>TEXT(80,"00")</f>
        <v>80</v>
      </c>
      <c r="C2228" s="1" t="str">
        <f t="shared" si="140"/>
        <v>280-80</v>
      </c>
      <c r="D2228" t="s">
        <v>2212</v>
      </c>
      <c r="E2228" t="b">
        <f>IF(COUNTIF(D2228,"*"&amp;'Keyword Search'!$C$5&amp;"*"),TRUE,FALSE)</f>
        <v>1</v>
      </c>
      <c r="G2228" t="str">
        <f t="shared" si="141"/>
        <v>280-80: *Underground Cable and Wire: Solid and Stranded, Single and Multiconductor, Aluminum and Copper: Types UF, URD, USE, XLP, etc.</v>
      </c>
    </row>
    <row r="2229" spans="1:7" x14ac:dyDescent="0.25">
      <c r="A2229" s="1" t="str">
        <f t="shared" si="143"/>
        <v>280</v>
      </c>
      <c r="B2229" s="1" t="str">
        <f>TEXT(90,"00")</f>
        <v>90</v>
      </c>
      <c r="C2229" s="1" t="str">
        <f t="shared" si="140"/>
        <v>280-90</v>
      </c>
      <c r="D2229" t="s">
        <v>2213</v>
      </c>
      <c r="E2229" t="b">
        <f>IF(COUNTIF(D2229,"*"&amp;'Keyword Search'!$C$5&amp;"*"),TRUE,FALSE)</f>
        <v>1</v>
      </c>
      <c r="G2229" t="str">
        <f t="shared" si="141"/>
        <v>280-90: *Weatherproof Cable and Wire: Solid and Stranded, Single and Multiconductor, Aluminum and Copper: Types RR, WP, etc.</v>
      </c>
    </row>
    <row r="2230" spans="1:7" x14ac:dyDescent="0.25">
      <c r="A2230" s="1" t="str">
        <f t="shared" si="143"/>
        <v>280</v>
      </c>
      <c r="B2230" s="1" t="str">
        <f>TEXT(95,"00")</f>
        <v>95</v>
      </c>
      <c r="C2230" s="1" t="str">
        <f t="shared" si="140"/>
        <v>280-95</v>
      </c>
      <c r="D2230" t="s">
        <v>2214</v>
      </c>
      <c r="E2230" t="b">
        <f>IF(COUNTIF(D2230,"*"&amp;'Keyword Search'!$C$5&amp;"*"),TRUE,FALSE)</f>
        <v>1</v>
      </c>
      <c r="G2230" t="str">
        <f t="shared" si="141"/>
        <v>280-95: *Wire and Cable (Not Otherwise Classified)</v>
      </c>
    </row>
    <row r="2231" spans="1:7" x14ac:dyDescent="0.25">
      <c r="A2231" s="5" t="str">
        <f t="shared" ref="A2231:A2294" si="144">TEXT(285,"000")</f>
        <v>285</v>
      </c>
      <c r="B2231" s="5" t="str">
        <f>TEXT(0,"00")</f>
        <v>00</v>
      </c>
      <c r="C2231" s="1"/>
      <c r="D2231" s="2" t="s">
        <v>2215</v>
      </c>
    </row>
    <row r="2232" spans="1:7" x14ac:dyDescent="0.25">
      <c r="A2232" s="1" t="str">
        <f t="shared" si="144"/>
        <v>285</v>
      </c>
      <c r="B2232" s="1" t="str">
        <f>TEXT(1,"00")</f>
        <v>01</v>
      </c>
      <c r="C2232" s="1" t="str">
        <f t="shared" si="140"/>
        <v>285-01</v>
      </c>
      <c r="D2232" t="s">
        <v>2216</v>
      </c>
      <c r="E2232" t="b">
        <f>IF(COUNTIF(D2232,"*"&amp;'Keyword Search'!$C$5&amp;"*"),TRUE,FALSE)</f>
        <v>1</v>
      </c>
      <c r="G2232" t="str">
        <f t="shared" si="141"/>
        <v>285-01: Automated Meter Reading Systems (AMR)</v>
      </c>
    </row>
    <row r="2233" spans="1:7" x14ac:dyDescent="0.25">
      <c r="A2233" s="1" t="str">
        <f t="shared" si="144"/>
        <v>285</v>
      </c>
      <c r="B2233" s="1" t="str">
        <f>TEXT(2,"00")</f>
        <v>02</v>
      </c>
      <c r="C2233" s="1" t="str">
        <f t="shared" si="140"/>
        <v>285-02</v>
      </c>
      <c r="D2233" t="s">
        <v>2217</v>
      </c>
      <c r="E2233" t="b">
        <f>IF(COUNTIF(D2233,"*"&amp;'Keyword Search'!$C$5&amp;"*"),TRUE,FALSE)</f>
        <v>1</v>
      </c>
      <c r="G2233" t="str">
        <f t="shared" si="141"/>
        <v>285-02: Analyzer, Electric Power Demand</v>
      </c>
    </row>
    <row r="2234" spans="1:7" x14ac:dyDescent="0.25">
      <c r="A2234" s="1" t="str">
        <f t="shared" si="144"/>
        <v>285</v>
      </c>
      <c r="B2234" s="1" t="str">
        <f>TEXT(3,"00")</f>
        <v>03</v>
      </c>
      <c r="C2234" s="1" t="str">
        <f t="shared" si="140"/>
        <v>285-03</v>
      </c>
      <c r="D2234" t="s">
        <v>2218</v>
      </c>
      <c r="E2234" t="b">
        <f>IF(COUNTIF(D2234,"*"&amp;'Keyword Search'!$C$5&amp;"*"),TRUE,FALSE)</f>
        <v>1</v>
      </c>
      <c r="G2234" t="str">
        <f t="shared" si="141"/>
        <v>285-03: Arresters, Lightning</v>
      </c>
    </row>
    <row r="2235" spans="1:7" x14ac:dyDescent="0.25">
      <c r="A2235" s="1" t="str">
        <f t="shared" si="144"/>
        <v>285</v>
      </c>
      <c r="B2235" s="1" t="str">
        <f>TEXT(4,"00")</f>
        <v>04</v>
      </c>
      <c r="C2235" s="1" t="str">
        <f t="shared" si="140"/>
        <v>285-04</v>
      </c>
      <c r="D2235" t="s">
        <v>2219</v>
      </c>
      <c r="E2235" t="b">
        <f>IF(COUNTIF(D2235,"*"&amp;'Keyword Search'!$C$5&amp;"*"),TRUE,FALSE)</f>
        <v>1</v>
      </c>
      <c r="G2235" t="str">
        <f t="shared" si="141"/>
        <v>285-04: *Back-up Systems, Battery Operated, Emergency</v>
      </c>
    </row>
    <row r="2236" spans="1:7" x14ac:dyDescent="0.25">
      <c r="A2236" s="1" t="str">
        <f t="shared" si="144"/>
        <v>285</v>
      </c>
      <c r="B2236" s="1" t="str">
        <f>TEXT(5,"00")</f>
        <v>05</v>
      </c>
      <c r="C2236" s="1" t="str">
        <f t="shared" si="140"/>
        <v>285-05</v>
      </c>
      <c r="D2236" t="s">
        <v>2220</v>
      </c>
      <c r="E2236" t="b">
        <f>IF(COUNTIF(D2236,"*"&amp;'Keyword Search'!$C$5&amp;"*"),TRUE,FALSE)</f>
        <v>1</v>
      </c>
      <c r="G2236" t="str">
        <f t="shared" si="141"/>
        <v>285-05: Beacon Light Systems Complete For Buildings, Roadside, etc. (See Class 120 for Marine Beacons)</v>
      </c>
    </row>
    <row r="2237" spans="1:7" x14ac:dyDescent="0.25">
      <c r="A2237" s="1" t="str">
        <f t="shared" si="144"/>
        <v>285</v>
      </c>
      <c r="B2237" s="1" t="str">
        <f>TEXT(6,"00")</f>
        <v>06</v>
      </c>
      <c r="C2237" s="1" t="str">
        <f t="shared" si="140"/>
        <v>285-06</v>
      </c>
      <c r="D2237" t="s">
        <v>2221</v>
      </c>
      <c r="E2237" t="b">
        <f>IF(COUNTIF(D2237,"*"&amp;'Keyword Search'!$C$5&amp;"*"),TRUE,FALSE)</f>
        <v>1</v>
      </c>
      <c r="G2237" t="str">
        <f t="shared" si="141"/>
        <v>285-06: Ballasts, All Kinds</v>
      </c>
    </row>
    <row r="2238" spans="1:7" x14ac:dyDescent="0.25">
      <c r="A2238" s="1" t="str">
        <f t="shared" si="144"/>
        <v>285</v>
      </c>
      <c r="B2238" s="1" t="str">
        <f>TEXT(7,"00")</f>
        <v>07</v>
      </c>
      <c r="C2238" s="1" t="str">
        <f t="shared" si="140"/>
        <v>285-07</v>
      </c>
      <c r="D2238" t="s">
        <v>2222</v>
      </c>
      <c r="E2238" t="b">
        <f>IF(COUNTIF(D2238,"*"&amp;'Keyword Search'!$C$5&amp;"*"),TRUE,FALSE)</f>
        <v>1</v>
      </c>
      <c r="G2238" t="str">
        <f t="shared" si="141"/>
        <v>285-07: Bulb and Fixture, Changer and Remover</v>
      </c>
    </row>
    <row r="2239" spans="1:7" x14ac:dyDescent="0.25">
      <c r="A2239" s="1" t="str">
        <f t="shared" si="144"/>
        <v>285</v>
      </c>
      <c r="B2239" s="1" t="str">
        <f>TEXT(8,"00")</f>
        <v>08</v>
      </c>
      <c r="C2239" s="1" t="str">
        <f t="shared" si="140"/>
        <v>285-08</v>
      </c>
      <c r="D2239" t="s">
        <v>2223</v>
      </c>
      <c r="E2239" t="b">
        <f>IF(COUNTIF(D2239,"*"&amp;'Keyword Search'!$C$5&amp;"*"),TRUE,FALSE)</f>
        <v>1</v>
      </c>
      <c r="G2239" t="str">
        <f t="shared" si="141"/>
        <v>285-08: Bus Bars, Duct, and Accessories</v>
      </c>
    </row>
    <row r="2240" spans="1:7" x14ac:dyDescent="0.25">
      <c r="A2240" s="1" t="str">
        <f t="shared" si="144"/>
        <v>285</v>
      </c>
      <c r="B2240" s="1" t="str">
        <f>TEXT(9,"00")</f>
        <v>09</v>
      </c>
      <c r="C2240" s="1" t="str">
        <f t="shared" si="140"/>
        <v>285-09</v>
      </c>
      <c r="D2240" t="s">
        <v>2224</v>
      </c>
      <c r="E2240" t="b">
        <f>IF(COUNTIF(D2240,"*"&amp;'Keyword Search'!$C$5&amp;"*"),TRUE,FALSE)</f>
        <v>1</v>
      </c>
      <c r="G2240" t="str">
        <f t="shared" si="141"/>
        <v>285-09: Cabinets, Electrical Service Entrance</v>
      </c>
    </row>
    <row r="2241" spans="1:7" x14ac:dyDescent="0.25">
      <c r="A2241" s="1" t="str">
        <f t="shared" si="144"/>
        <v>285</v>
      </c>
      <c r="B2241" s="1" t="str">
        <f>TEXT(10,"00")</f>
        <v>10</v>
      </c>
      <c r="C2241" s="1" t="str">
        <f t="shared" si="140"/>
        <v>285-10</v>
      </c>
      <c r="D2241" t="s">
        <v>2225</v>
      </c>
      <c r="E2241" t="b">
        <f>IF(COUNTIF(D2241,"*"&amp;'Keyword Search'!$C$5&amp;"*"),TRUE,FALSE)</f>
        <v>1</v>
      </c>
      <c r="G2241" t="str">
        <f t="shared" si="141"/>
        <v>285-10: *Cable Accessories: Clamps, Clasps, Clips, Closures, Reels, Splices, Wrappings, etc.</v>
      </c>
    </row>
    <row r="2242" spans="1:7" x14ac:dyDescent="0.25">
      <c r="A2242" s="1" t="str">
        <f t="shared" si="144"/>
        <v>285</v>
      </c>
      <c r="B2242" s="1" t="str">
        <f>TEXT(11,"00")</f>
        <v>11</v>
      </c>
      <c r="C2242" s="1" t="str">
        <f t="shared" si="140"/>
        <v>285-11</v>
      </c>
      <c r="D2242" t="s">
        <v>2226</v>
      </c>
      <c r="E2242" t="b">
        <f>IF(COUNTIF(D2242,"*"&amp;'Keyword Search'!$C$5&amp;"*"),TRUE,FALSE)</f>
        <v>1</v>
      </c>
      <c r="G2242" t="str">
        <f t="shared" si="141"/>
        <v>285-11: Capacitors, Motor Starting and Running</v>
      </c>
    </row>
    <row r="2243" spans="1:7" x14ac:dyDescent="0.25">
      <c r="A2243" s="1" t="str">
        <f t="shared" si="144"/>
        <v>285</v>
      </c>
      <c r="B2243" s="1" t="str">
        <f>TEXT(13,"00")</f>
        <v>13</v>
      </c>
      <c r="C2243" s="1" t="str">
        <f t="shared" ref="C2243:C2306" si="145">CONCATENATE(A2243,"-",B2243)</f>
        <v>285-13</v>
      </c>
      <c r="D2243" t="s">
        <v>2227</v>
      </c>
      <c r="E2243" t="b">
        <f>IF(COUNTIF(D2243,"*"&amp;'Keyword Search'!$C$5&amp;"*"),TRUE,FALSE)</f>
        <v>1</v>
      </c>
      <c r="G2243" t="str">
        <f t="shared" si="141"/>
        <v>285-13: Compound, Explosion Proof Sealing</v>
      </c>
    </row>
    <row r="2244" spans="1:7" x14ac:dyDescent="0.25">
      <c r="A2244" s="1" t="str">
        <f t="shared" si="144"/>
        <v>285</v>
      </c>
      <c r="B2244" s="1" t="str">
        <f>TEXT(14,"00")</f>
        <v>14</v>
      </c>
      <c r="C2244" s="1" t="str">
        <f t="shared" si="145"/>
        <v>285-14</v>
      </c>
      <c r="D2244" t="s">
        <v>2228</v>
      </c>
      <c r="E2244" t="b">
        <f>IF(COUNTIF(D2244,"*"&amp;'Keyword Search'!$C$5&amp;"*"),TRUE,FALSE)</f>
        <v>1</v>
      </c>
      <c r="G2244" t="str">
        <f t="shared" ref="G2244:G2307" si="146">CONCATENATE(C2244,": ",D2244)</f>
        <v>285-14: Circuit Breakers, Load Centers, Boxes, and Panel Boards</v>
      </c>
    </row>
    <row r="2245" spans="1:7" x14ac:dyDescent="0.25">
      <c r="A2245" s="1" t="str">
        <f t="shared" si="144"/>
        <v>285</v>
      </c>
      <c r="B2245" s="1" t="str">
        <f>TEXT(15,"00")</f>
        <v>15</v>
      </c>
      <c r="C2245" s="1" t="str">
        <f t="shared" si="145"/>
        <v>285-15</v>
      </c>
      <c r="D2245" t="s">
        <v>2229</v>
      </c>
      <c r="E2245" t="b">
        <f>IF(COUNTIF(D2245,"*"&amp;'Keyword Search'!$C$5&amp;"*"),TRUE,FALSE)</f>
        <v>1</v>
      </c>
      <c r="G2245" t="str">
        <f t="shared" si="146"/>
        <v>285-15: Coatings, Protective, Electrical</v>
      </c>
    </row>
    <row r="2246" spans="1:7" x14ac:dyDescent="0.25">
      <c r="A2246" s="1" t="str">
        <f t="shared" si="144"/>
        <v>285</v>
      </c>
      <c r="B2246" s="1" t="str">
        <f>TEXT(16,"00")</f>
        <v>16</v>
      </c>
      <c r="C2246" s="1" t="str">
        <f t="shared" si="145"/>
        <v>285-16</v>
      </c>
      <c r="D2246" t="s">
        <v>2230</v>
      </c>
      <c r="E2246" t="b">
        <f>IF(COUNTIF(D2246,"*"&amp;'Keyword Search'!$C$5&amp;"*"),TRUE,FALSE)</f>
        <v>1</v>
      </c>
      <c r="G2246" t="str">
        <f t="shared" si="146"/>
        <v>285-16: Commutators, Resurfacers, Stone</v>
      </c>
    </row>
    <row r="2247" spans="1:7" x14ac:dyDescent="0.25">
      <c r="A2247" s="1" t="str">
        <f t="shared" si="144"/>
        <v>285</v>
      </c>
      <c r="B2247" s="1" t="str">
        <f>TEXT(17,"00")</f>
        <v>17</v>
      </c>
      <c r="C2247" s="1" t="str">
        <f t="shared" si="145"/>
        <v>285-17</v>
      </c>
      <c r="D2247" t="s">
        <v>2231</v>
      </c>
      <c r="E2247" t="b">
        <f>IF(COUNTIF(D2247,"*"&amp;'Keyword Search'!$C$5&amp;"*"),TRUE,FALSE)</f>
        <v>1</v>
      </c>
      <c r="G2247" t="str">
        <f t="shared" si="146"/>
        <v>285-17: Conduit and Fittings, EMT (Electrical Metallic, Tubing)</v>
      </c>
    </row>
    <row r="2248" spans="1:7" x14ac:dyDescent="0.25">
      <c r="A2248" s="1" t="str">
        <f t="shared" si="144"/>
        <v>285</v>
      </c>
      <c r="B2248" s="1" t="str">
        <f>TEXT(18,"00")</f>
        <v>18</v>
      </c>
      <c r="C2248" s="1" t="str">
        <f t="shared" si="145"/>
        <v>285-18</v>
      </c>
      <c r="D2248" t="s">
        <v>2232</v>
      </c>
      <c r="E2248" t="b">
        <f>IF(COUNTIF(D2248,"*"&amp;'Keyword Search'!$C$5&amp;"*"),TRUE,FALSE)</f>
        <v>1</v>
      </c>
      <c r="G2248" t="str">
        <f t="shared" si="146"/>
        <v>285-18: Conduit and Fittings, IMC (Intermediate Metallic Conduit)</v>
      </c>
    </row>
    <row r="2249" spans="1:7" x14ac:dyDescent="0.25">
      <c r="A2249" s="1" t="str">
        <f t="shared" si="144"/>
        <v>285</v>
      </c>
      <c r="B2249" s="1" t="str">
        <f>TEXT(19,"00")</f>
        <v>19</v>
      </c>
      <c r="C2249" s="1" t="str">
        <f t="shared" si="145"/>
        <v>285-19</v>
      </c>
      <c r="D2249" t="s">
        <v>2233</v>
      </c>
      <c r="E2249" t="b">
        <f>IF(COUNTIF(D2249,"*"&amp;'Keyword Search'!$C$5&amp;"*"),TRUE,FALSE)</f>
        <v>1</v>
      </c>
      <c r="G2249" t="str">
        <f t="shared" si="146"/>
        <v>285-19: Conduit and Fittings, Rigid</v>
      </c>
    </row>
    <row r="2250" spans="1:7" x14ac:dyDescent="0.25">
      <c r="A2250" s="1" t="str">
        <f t="shared" si="144"/>
        <v>285</v>
      </c>
      <c r="B2250" s="1" t="str">
        <f>TEXT(20,"00")</f>
        <v>20</v>
      </c>
      <c r="C2250" s="1" t="str">
        <f t="shared" si="145"/>
        <v>285-20</v>
      </c>
      <c r="D2250" t="s">
        <v>2234</v>
      </c>
      <c r="E2250" t="b">
        <f>IF(COUNTIF(D2250,"*"&amp;'Keyword Search'!$C$5&amp;"*"),TRUE,FALSE)</f>
        <v>1</v>
      </c>
      <c r="G2250" t="str">
        <f t="shared" si="146"/>
        <v>285-20: Conduit and Fittings, Liquidtite</v>
      </c>
    </row>
    <row r="2251" spans="1:7" x14ac:dyDescent="0.25">
      <c r="A2251" s="1" t="str">
        <f t="shared" si="144"/>
        <v>285</v>
      </c>
      <c r="B2251" s="1" t="str">
        <f>TEXT(21,"00")</f>
        <v>21</v>
      </c>
      <c r="C2251" s="1" t="str">
        <f t="shared" si="145"/>
        <v>285-21</v>
      </c>
      <c r="D2251" t="s">
        <v>2235</v>
      </c>
      <c r="E2251" t="b">
        <f>IF(COUNTIF(D2251,"*"&amp;'Keyword Search'!$C$5&amp;"*"),TRUE,FALSE)</f>
        <v>1</v>
      </c>
      <c r="G2251" t="str">
        <f t="shared" si="146"/>
        <v>285-21: Conduit and Fittings, Flexible Metal Conduit</v>
      </c>
    </row>
    <row r="2252" spans="1:7" x14ac:dyDescent="0.25">
      <c r="A2252" s="1" t="str">
        <f t="shared" si="144"/>
        <v>285</v>
      </c>
      <c r="B2252" s="1" t="str">
        <f>TEXT(22,"00")</f>
        <v>22</v>
      </c>
      <c r="C2252" s="1" t="str">
        <f t="shared" si="145"/>
        <v>285-22</v>
      </c>
      <c r="D2252" t="s">
        <v>2236</v>
      </c>
      <c r="E2252" t="b">
        <f>IF(COUNTIF(D2252,"*"&amp;'Keyword Search'!$C$5&amp;"*"),TRUE,FALSE)</f>
        <v>1</v>
      </c>
      <c r="G2252" t="str">
        <f t="shared" si="146"/>
        <v>285-22: Conduit and Fittings, Not Otherwise Classified</v>
      </c>
    </row>
    <row r="2253" spans="1:7" x14ac:dyDescent="0.25">
      <c r="A2253" s="1" t="str">
        <f t="shared" si="144"/>
        <v>285</v>
      </c>
      <c r="B2253" s="1" t="str">
        <f>TEXT(23,"00")</f>
        <v>23</v>
      </c>
      <c r="C2253" s="1" t="str">
        <f t="shared" si="145"/>
        <v>285-23</v>
      </c>
      <c r="D2253" t="s">
        <v>2237</v>
      </c>
      <c r="E2253" t="b">
        <f>IF(COUNTIF(D2253,"*"&amp;'Keyword Search'!$C$5&amp;"*"),TRUE,FALSE)</f>
        <v>1</v>
      </c>
      <c r="G2253" t="str">
        <f t="shared" si="146"/>
        <v>285-23: Conduit Fittings, Steel: Boxes, Bushings, Clamps, Connectors, Covers, Locknuts, Straps, etc.</v>
      </c>
    </row>
    <row r="2254" spans="1:7" x14ac:dyDescent="0.25">
      <c r="A2254" s="1" t="str">
        <f t="shared" si="144"/>
        <v>285</v>
      </c>
      <c r="B2254" s="1" t="str">
        <f>TEXT(24,"00")</f>
        <v>24</v>
      </c>
      <c r="C2254" s="1" t="str">
        <f t="shared" si="145"/>
        <v>285-24</v>
      </c>
      <c r="D2254" t="s">
        <v>2238</v>
      </c>
      <c r="E2254" t="b">
        <f>IF(COUNTIF(D2254,"*"&amp;'Keyword Search'!$C$5&amp;"*"),TRUE,FALSE)</f>
        <v>1</v>
      </c>
      <c r="G2254" t="str">
        <f t="shared" si="146"/>
        <v>285-24: Conduit and Fittings, Brass, Bronze, and Copper</v>
      </c>
    </row>
    <row r="2255" spans="1:7" x14ac:dyDescent="0.25">
      <c r="A2255" s="1" t="str">
        <f t="shared" si="144"/>
        <v>285</v>
      </c>
      <c r="B2255" s="1" t="str">
        <f>TEXT(25,"00")</f>
        <v>25</v>
      </c>
      <c r="C2255" s="1" t="str">
        <f t="shared" si="145"/>
        <v>285-25</v>
      </c>
      <c r="D2255" t="s">
        <v>2239</v>
      </c>
      <c r="E2255" t="b">
        <f>IF(COUNTIF(D2255,"*"&amp;'Keyword Search'!$C$5&amp;"*"),TRUE,FALSE)</f>
        <v>1</v>
      </c>
      <c r="G2255" t="str">
        <f t="shared" si="146"/>
        <v>285-25: Current Collection Equipment and Accessories, Electrical</v>
      </c>
    </row>
    <row r="2256" spans="1:7" x14ac:dyDescent="0.25">
      <c r="A2256" s="1" t="str">
        <f t="shared" si="144"/>
        <v>285</v>
      </c>
      <c r="B2256" s="1" t="str">
        <f>TEXT(26,"00")</f>
        <v>26</v>
      </c>
      <c r="C2256" s="1" t="str">
        <f t="shared" si="145"/>
        <v>285-26</v>
      </c>
      <c r="D2256" t="s">
        <v>2240</v>
      </c>
      <c r="E2256" t="b">
        <f>IF(COUNTIF(D2256,"*"&amp;'Keyword Search'!$C$5&amp;"*"),TRUE,FALSE)</f>
        <v>1</v>
      </c>
      <c r="G2256" t="str">
        <f t="shared" si="146"/>
        <v>285-26: Conduit, Steel</v>
      </c>
    </row>
    <row r="2257" spans="1:7" x14ac:dyDescent="0.25">
      <c r="A2257" s="1" t="str">
        <f t="shared" si="144"/>
        <v>285</v>
      </c>
      <c r="B2257" s="1" t="str">
        <f>TEXT(27,"00")</f>
        <v>27</v>
      </c>
      <c r="C2257" s="1" t="str">
        <f t="shared" si="145"/>
        <v>285-27</v>
      </c>
      <c r="D2257" t="s">
        <v>2241</v>
      </c>
      <c r="E2257" t="b">
        <f>IF(COUNTIF(D2257,"*"&amp;'Keyword Search'!$C$5&amp;"*"),TRUE,FALSE)</f>
        <v>1</v>
      </c>
      <c r="G2257" t="str">
        <f t="shared" si="146"/>
        <v>285-27: Control Devices, Lighting, Including Photocells, Multiple Relays, Lighting Contactors</v>
      </c>
    </row>
    <row r="2258" spans="1:7" x14ac:dyDescent="0.25">
      <c r="A2258" s="1" t="str">
        <f t="shared" si="144"/>
        <v>285</v>
      </c>
      <c r="B2258" s="1" t="str">
        <f>TEXT(28,"00")</f>
        <v>28</v>
      </c>
      <c r="C2258" s="1" t="str">
        <f t="shared" si="145"/>
        <v>285-28</v>
      </c>
      <c r="D2258" t="s">
        <v>2242</v>
      </c>
      <c r="E2258" t="b">
        <f>IF(COUNTIF(D2258,"*"&amp;'Keyword Search'!$C$5&amp;"*"),TRUE,FALSE)</f>
        <v>1</v>
      </c>
      <c r="G2258" t="str">
        <f t="shared" si="146"/>
        <v>285-28: Cutouts, Pole Line Type  (Inactive, please see commodity code 285-74 effective January 1, 2016)</v>
      </c>
    </row>
    <row r="2259" spans="1:7" x14ac:dyDescent="0.25">
      <c r="A2259" s="1" t="str">
        <f t="shared" si="144"/>
        <v>285</v>
      </c>
      <c r="B2259" s="1" t="str">
        <f>TEXT(29,"00")</f>
        <v>29</v>
      </c>
      <c r="C2259" s="1" t="str">
        <f t="shared" si="145"/>
        <v>285-29</v>
      </c>
      <c r="D2259" t="s">
        <v>2243</v>
      </c>
      <c r="E2259" t="b">
        <f>IF(COUNTIF(D2259,"*"&amp;'Keyword Search'!$C$5&amp;"*"),TRUE,FALSE)</f>
        <v>1</v>
      </c>
      <c r="G2259" t="str">
        <f t="shared" si="146"/>
        <v>285-29: Dimmers, Light (See Class 855 for Theatre Dimmers)</v>
      </c>
    </row>
    <row r="2260" spans="1:7" x14ac:dyDescent="0.25">
      <c r="A2260" s="1" t="str">
        <f t="shared" si="144"/>
        <v>285</v>
      </c>
      <c r="B2260" s="1" t="str">
        <f>TEXT(30,"00")</f>
        <v>30</v>
      </c>
      <c r="C2260" s="1" t="str">
        <f t="shared" si="145"/>
        <v>285-30</v>
      </c>
      <c r="D2260" t="s">
        <v>2244</v>
      </c>
      <c r="E2260" t="b">
        <f>IF(COUNTIF(D2260,"*"&amp;'Keyword Search'!$C$5&amp;"*"),TRUE,FALSE)</f>
        <v>1</v>
      </c>
      <c r="G2260" t="str">
        <f t="shared" si="146"/>
        <v>285-30: Dielectric Tools, Tool Handles, Hydraulic Hose and Fittings (High ANSI Rated)</v>
      </c>
    </row>
    <row r="2261" spans="1:7" x14ac:dyDescent="0.25">
      <c r="A2261" s="1" t="str">
        <f t="shared" si="144"/>
        <v>285</v>
      </c>
      <c r="B2261" s="1" t="str">
        <f>TEXT(31,"00")</f>
        <v>31</v>
      </c>
      <c r="C2261" s="1" t="str">
        <f t="shared" si="145"/>
        <v>285-31</v>
      </c>
      <c r="D2261" t="s">
        <v>2245</v>
      </c>
      <c r="E2261" t="b">
        <f>IF(COUNTIF(D2261,"*"&amp;'Keyword Search'!$C$5&amp;"*"),TRUE,FALSE)</f>
        <v>1</v>
      </c>
      <c r="G2261" t="str">
        <f t="shared" si="146"/>
        <v>285-31: Fluorescent Tube Crushers and Disposers</v>
      </c>
    </row>
    <row r="2262" spans="1:7" x14ac:dyDescent="0.25">
      <c r="A2262" s="1" t="str">
        <f t="shared" si="144"/>
        <v>285</v>
      </c>
      <c r="B2262" s="1" t="str">
        <f>TEXT(32,"00")</f>
        <v>32</v>
      </c>
      <c r="C2262" s="1" t="str">
        <f t="shared" si="145"/>
        <v>285-32</v>
      </c>
      <c r="D2262" t="s">
        <v>2246</v>
      </c>
      <c r="E2262" t="b">
        <f>IF(COUNTIF(D2262,"*"&amp;'Keyword Search'!$C$5&amp;"*"),TRUE,FALSE)</f>
        <v>1</v>
      </c>
      <c r="G2262" t="str">
        <f t="shared" si="146"/>
        <v>285-32: Fluorescent and HID Lamp Energy Saving Devices</v>
      </c>
    </row>
    <row r="2263" spans="1:7" x14ac:dyDescent="0.25">
      <c r="A2263" s="1" t="str">
        <f t="shared" si="144"/>
        <v>285</v>
      </c>
      <c r="B2263" s="1" t="str">
        <f>TEXT(33,"00")</f>
        <v>33</v>
      </c>
      <c r="C2263" s="1" t="str">
        <f t="shared" si="145"/>
        <v>285-33</v>
      </c>
      <c r="D2263" t="s">
        <v>2247</v>
      </c>
      <c r="E2263" t="b">
        <f>IF(COUNTIF(D2263,"*"&amp;'Keyword Search'!$C$5&amp;"*"),TRUE,FALSE)</f>
        <v>1</v>
      </c>
      <c r="G2263" t="str">
        <f t="shared" si="146"/>
        <v>285-33: Fog Light Systems, Not Automotive</v>
      </c>
    </row>
    <row r="2264" spans="1:7" x14ac:dyDescent="0.25">
      <c r="A2264" s="1" t="str">
        <f t="shared" si="144"/>
        <v>285</v>
      </c>
      <c r="B2264" s="1" t="str">
        <f>TEXT(34,"00")</f>
        <v>34</v>
      </c>
      <c r="C2264" s="1" t="str">
        <f t="shared" si="145"/>
        <v>285-34</v>
      </c>
      <c r="D2264" t="s">
        <v>2248</v>
      </c>
      <c r="E2264" t="b">
        <f>IF(COUNTIF(D2264,"*"&amp;'Keyword Search'!$C$5&amp;"*"),TRUE,FALSE)</f>
        <v>1</v>
      </c>
      <c r="G2264" t="str">
        <f t="shared" si="146"/>
        <v>285-34: Fuses, Fuse Blocks and Holders, Links, etc.</v>
      </c>
    </row>
    <row r="2265" spans="1:7" x14ac:dyDescent="0.25">
      <c r="A2265" s="1" t="str">
        <f t="shared" si="144"/>
        <v>285</v>
      </c>
      <c r="B2265" s="1" t="str">
        <f>TEXT(35,"00")</f>
        <v>35</v>
      </c>
      <c r="C2265" s="1" t="str">
        <f t="shared" si="145"/>
        <v>285-35</v>
      </c>
      <c r="D2265" t="s">
        <v>2249</v>
      </c>
      <c r="E2265" t="b">
        <f>IF(COUNTIF(D2265,"*"&amp;'Keyword Search'!$C$5&amp;"*"),TRUE,FALSE)</f>
        <v>1</v>
      </c>
      <c r="G2265" t="str">
        <f t="shared" si="146"/>
        <v>285-35: Gaskets, Meter</v>
      </c>
    </row>
    <row r="2266" spans="1:7" x14ac:dyDescent="0.25">
      <c r="A2266" s="1" t="str">
        <f t="shared" si="144"/>
        <v>285</v>
      </c>
      <c r="B2266" s="1" t="str">
        <f>TEXT(36,"00")</f>
        <v>36</v>
      </c>
      <c r="C2266" s="1" t="str">
        <f t="shared" si="145"/>
        <v>285-36</v>
      </c>
      <c r="D2266" t="s">
        <v>2250</v>
      </c>
      <c r="E2266" t="b">
        <f>IF(COUNTIF(D2266,"*"&amp;'Keyword Search'!$C$5&amp;"*"),TRUE,FALSE)</f>
        <v>1</v>
      </c>
      <c r="G2266" t="str">
        <f t="shared" si="146"/>
        <v>285-36: *Gates, Electric, Including Card Readers, etc.</v>
      </c>
    </row>
    <row r="2267" spans="1:7" x14ac:dyDescent="0.25">
      <c r="A2267" s="1" t="str">
        <f t="shared" si="144"/>
        <v>285</v>
      </c>
      <c r="B2267" s="1" t="str">
        <f>TEXT(37,"00")</f>
        <v>37</v>
      </c>
      <c r="C2267" s="1" t="str">
        <f t="shared" si="145"/>
        <v>285-37</v>
      </c>
      <c r="D2267" t="s">
        <v>2251</v>
      </c>
      <c r="E2267" t="b">
        <f>IF(COUNTIF(D2267,"*"&amp;'Keyword Search'!$C$5&amp;"*"),TRUE,FALSE)</f>
        <v>1</v>
      </c>
      <c r="G2267" t="str">
        <f t="shared" si="146"/>
        <v>285-37: Generators, Portable, Engine Driven, Including Fog and Mist Types</v>
      </c>
    </row>
    <row r="2268" spans="1:7" x14ac:dyDescent="0.25">
      <c r="A2268" s="1" t="str">
        <f t="shared" si="144"/>
        <v>285</v>
      </c>
      <c r="B2268" s="1" t="str">
        <f>TEXT(39,"00")</f>
        <v>39</v>
      </c>
      <c r="C2268" s="1" t="str">
        <f t="shared" si="145"/>
        <v>285-39</v>
      </c>
      <c r="D2268" t="s">
        <v>2252</v>
      </c>
      <c r="E2268" t="b">
        <f>IF(COUNTIF(D2268,"*"&amp;'Keyword Search'!$C$5&amp;"*"),TRUE,FALSE)</f>
        <v>1</v>
      </c>
      <c r="G2268" t="str">
        <f t="shared" si="146"/>
        <v>285-39: Generators, Stationary Type, Not Automotive</v>
      </c>
    </row>
    <row r="2269" spans="1:7" x14ac:dyDescent="0.25">
      <c r="A2269" s="1" t="str">
        <f t="shared" si="144"/>
        <v>285</v>
      </c>
      <c r="B2269" s="1" t="str">
        <f>TEXT(40,"00")</f>
        <v>40</v>
      </c>
      <c r="C2269" s="1" t="str">
        <f t="shared" si="145"/>
        <v>285-40</v>
      </c>
      <c r="D2269" t="s">
        <v>2253</v>
      </c>
      <c r="E2269" t="b">
        <f>IF(COUNTIF(D2269,"*"&amp;'Keyword Search'!$C$5&amp;"*"),TRUE,FALSE)</f>
        <v>1</v>
      </c>
      <c r="G2269" t="str">
        <f t="shared" si="146"/>
        <v>285-40: Grounding Rods and Fittings</v>
      </c>
    </row>
    <row r="2270" spans="1:7" x14ac:dyDescent="0.25">
      <c r="A2270" s="1" t="str">
        <f t="shared" si="144"/>
        <v>285</v>
      </c>
      <c r="B2270" s="1" t="str">
        <f>TEXT(41,"00")</f>
        <v>41</v>
      </c>
      <c r="C2270" s="1" t="str">
        <f t="shared" si="145"/>
        <v>285-41</v>
      </c>
      <c r="D2270" t="s">
        <v>2254</v>
      </c>
      <c r="E2270" t="b">
        <f>IF(COUNTIF(D2270,"*"&amp;'Keyword Search'!$C$5&amp;"*"),TRUE,FALSE)</f>
        <v>1</v>
      </c>
      <c r="G2270" t="str">
        <f t="shared" si="146"/>
        <v>285-41: Hose, Protective Line</v>
      </c>
    </row>
    <row r="2271" spans="1:7" x14ac:dyDescent="0.25">
      <c r="A2271" s="1" t="str">
        <f t="shared" si="144"/>
        <v>285</v>
      </c>
      <c r="B2271" s="1" t="str">
        <f>TEXT(42,"00")</f>
        <v>42</v>
      </c>
      <c r="C2271" s="1" t="str">
        <f t="shared" si="145"/>
        <v>285-42</v>
      </c>
      <c r="D2271" t="s">
        <v>2255</v>
      </c>
      <c r="E2271" t="b">
        <f>IF(COUNTIF(D2271,"*"&amp;'Keyword Search'!$C$5&amp;"*"),TRUE,FALSE)</f>
        <v>1</v>
      </c>
      <c r="G2271" t="str">
        <f t="shared" si="146"/>
        <v>285-42: Insulation Materials and Insulators: Compounds, Varnish, etc.</v>
      </c>
    </row>
    <row r="2272" spans="1:7" x14ac:dyDescent="0.25">
      <c r="A2272" s="1" t="str">
        <f t="shared" si="144"/>
        <v>285</v>
      </c>
      <c r="B2272" s="1" t="str">
        <f>TEXT(43,"00")</f>
        <v>43</v>
      </c>
      <c r="C2272" s="1" t="str">
        <f t="shared" si="145"/>
        <v>285-43</v>
      </c>
      <c r="D2272" t="s">
        <v>2256</v>
      </c>
      <c r="E2272" t="b">
        <f>IF(COUNTIF(D2272,"*"&amp;'Keyword Search'!$C$5&amp;"*"),TRUE,FALSE)</f>
        <v>1</v>
      </c>
      <c r="G2272" t="str">
        <f t="shared" si="146"/>
        <v>285-43: Induction Heating Equipment, Including Parts and Accessories</v>
      </c>
    </row>
    <row r="2273" spans="1:7" x14ac:dyDescent="0.25">
      <c r="A2273" s="1" t="str">
        <f t="shared" si="144"/>
        <v>285</v>
      </c>
      <c r="B2273" s="1" t="str">
        <f>TEXT(44,"00")</f>
        <v>44</v>
      </c>
      <c r="C2273" s="1" t="str">
        <f t="shared" si="145"/>
        <v>285-44</v>
      </c>
      <c r="D2273" t="s">
        <v>2257</v>
      </c>
      <c r="E2273" t="b">
        <f>IF(COUNTIF(D2273,"*"&amp;'Keyword Search'!$C$5&amp;"*"),TRUE,FALSE)</f>
        <v>1</v>
      </c>
      <c r="G2273" t="str">
        <f t="shared" si="146"/>
        <v>285-44: *Isolation System, For Computer Center</v>
      </c>
    </row>
    <row r="2274" spans="1:7" x14ac:dyDescent="0.25">
      <c r="A2274" s="1" t="str">
        <f t="shared" si="144"/>
        <v>285</v>
      </c>
      <c r="B2274" s="1" t="str">
        <f>TEXT(45,"00")</f>
        <v>45</v>
      </c>
      <c r="C2274" s="1" t="str">
        <f t="shared" si="145"/>
        <v>285-45</v>
      </c>
      <c r="D2274" t="s">
        <v>2258</v>
      </c>
      <c r="E2274" t="b">
        <f>IF(COUNTIF(D2274,"*"&amp;'Keyword Search'!$C$5&amp;"*"),TRUE,FALSE)</f>
        <v>1</v>
      </c>
      <c r="G2274" t="str">
        <f t="shared" si="146"/>
        <v>285-45: Lamps, Projector</v>
      </c>
    </row>
    <row r="2275" spans="1:7" x14ac:dyDescent="0.25">
      <c r="A2275" s="1" t="str">
        <f t="shared" si="144"/>
        <v>285</v>
      </c>
      <c r="B2275" s="1" t="str">
        <f>TEXT(46,"00")</f>
        <v>46</v>
      </c>
      <c r="C2275" s="1" t="str">
        <f t="shared" si="145"/>
        <v>285-46</v>
      </c>
      <c r="D2275" t="s">
        <v>2259</v>
      </c>
      <c r="E2275" t="b">
        <f>IF(COUNTIF(D2275,"*"&amp;'Keyword Search'!$C$5&amp;"*"),TRUE,FALSE)</f>
        <v>1</v>
      </c>
      <c r="G2275" t="str">
        <f t="shared" si="146"/>
        <v>285-46: Lamps, Construction Equipment, Portable, Shop and Work Site and Miniature</v>
      </c>
    </row>
    <row r="2276" spans="1:7" x14ac:dyDescent="0.25">
      <c r="A2276" s="1" t="str">
        <f t="shared" si="144"/>
        <v>285</v>
      </c>
      <c r="B2276" s="1" t="str">
        <f>TEXT(47,"00")</f>
        <v>47</v>
      </c>
      <c r="C2276" s="1" t="str">
        <f t="shared" si="145"/>
        <v>285-47</v>
      </c>
      <c r="D2276" t="s">
        <v>2260</v>
      </c>
      <c r="E2276" t="b">
        <f>IF(COUNTIF(D2276,"*"&amp;'Keyword Search'!$C$5&amp;"*"),TRUE,FALSE)</f>
        <v>1</v>
      </c>
      <c r="G2276" t="str">
        <f t="shared" si="146"/>
        <v>285-47: Lamps, Decorative, Household (Inactive, please see commodity code 285-48 effective January 1, 2016)</v>
      </c>
    </row>
    <row r="2277" spans="1:7" x14ac:dyDescent="0.25">
      <c r="A2277" s="1" t="str">
        <f t="shared" si="144"/>
        <v>285</v>
      </c>
      <c r="B2277" s="1" t="str">
        <f>TEXT(48,"00")</f>
        <v>48</v>
      </c>
      <c r="C2277" s="1" t="str">
        <f t="shared" si="145"/>
        <v>285-48</v>
      </c>
      <c r="D2277" t="s">
        <v>2261</v>
      </c>
      <c r="E2277" t="b">
        <f>IF(COUNTIF(D2277,"*"&amp;'Keyword Search'!$C$5&amp;"*"),TRUE,FALSE)</f>
        <v>1</v>
      </c>
      <c r="G2277" t="str">
        <f t="shared" si="146"/>
        <v>285-48: Lamps, Desk, Floor, Table, Decorative, Household</v>
      </c>
    </row>
    <row r="2278" spans="1:7" x14ac:dyDescent="0.25">
      <c r="A2278" s="1" t="str">
        <f t="shared" si="144"/>
        <v>285</v>
      </c>
      <c r="B2278" s="1" t="str">
        <f>TEXT(49,"00")</f>
        <v>49</v>
      </c>
      <c r="C2278" s="1" t="str">
        <f t="shared" si="145"/>
        <v>285-49</v>
      </c>
      <c r="D2278" t="s">
        <v>2262</v>
      </c>
      <c r="E2278" t="b">
        <f>IF(COUNTIF(D2278,"*"&amp;'Keyword Search'!$C$5&amp;"*"),TRUE,FALSE)</f>
        <v>1</v>
      </c>
      <c r="G2278" t="str">
        <f t="shared" si="146"/>
        <v>285-49: Lamps, Miscellaneous (Not Otherwise Classified)</v>
      </c>
    </row>
    <row r="2279" spans="1:7" x14ac:dyDescent="0.25">
      <c r="A2279" s="1" t="str">
        <f t="shared" si="144"/>
        <v>285</v>
      </c>
      <c r="B2279" s="1" t="str">
        <f>TEXT(50,"00")</f>
        <v>50</v>
      </c>
      <c r="C2279" s="1" t="str">
        <f t="shared" si="145"/>
        <v>285-50</v>
      </c>
      <c r="D2279" t="s">
        <v>2263</v>
      </c>
      <c r="E2279" t="b">
        <f>IF(COUNTIF(D2279,"*"&amp;'Keyword Search'!$C$5&amp;"*"),TRUE,FALSE)</f>
        <v>1</v>
      </c>
      <c r="G2279" t="str">
        <f t="shared" si="146"/>
        <v>285-50: Lamps, Fluorescent, Incandescent, Mercury Vapor, Quartz, Sodium Vapor. LED and Compact (CFL)</v>
      </c>
    </row>
    <row r="2280" spans="1:7" x14ac:dyDescent="0.25">
      <c r="A2280" s="1" t="str">
        <f t="shared" si="144"/>
        <v>285</v>
      </c>
      <c r="B2280" s="1" t="str">
        <f>TEXT(51,"00")</f>
        <v>51</v>
      </c>
      <c r="C2280" s="1" t="str">
        <f t="shared" si="145"/>
        <v>285-51</v>
      </c>
      <c r="D2280" t="s">
        <v>2264</v>
      </c>
      <c r="E2280" t="b">
        <f>IF(COUNTIF(D2280,"*"&amp;'Keyword Search'!$C$5&amp;"*"),TRUE,FALSE)</f>
        <v>1</v>
      </c>
      <c r="G2280" t="str">
        <f t="shared" si="146"/>
        <v>285-51: Lamps, Scientific Instrument: Microscope, Oscilloscope, etc.</v>
      </c>
    </row>
    <row r="2281" spans="1:7" x14ac:dyDescent="0.25">
      <c r="A2281" s="1" t="str">
        <f t="shared" si="144"/>
        <v>285</v>
      </c>
      <c r="B2281" s="1" t="str">
        <f>TEXT(52,"00")</f>
        <v>52</v>
      </c>
      <c r="C2281" s="1" t="str">
        <f t="shared" si="145"/>
        <v>285-52</v>
      </c>
      <c r="D2281" t="s">
        <v>2265</v>
      </c>
      <c r="E2281" t="b">
        <f>IF(COUNTIF(D2281,"*"&amp;'Keyword Search'!$C$5&amp;"*"),TRUE,FALSE)</f>
        <v>1</v>
      </c>
      <c r="G2281" t="str">
        <f t="shared" si="146"/>
        <v>285-52: Lamps, Portable, Shop, and Work Site (Inactive, please see commodity code 285-46 effective January 1, 2016)</v>
      </c>
    </row>
    <row r="2282" spans="1:7" x14ac:dyDescent="0.25">
      <c r="A2282" s="1" t="str">
        <f t="shared" si="144"/>
        <v>285</v>
      </c>
      <c r="B2282" s="1" t="str">
        <f>TEXT(53,"00")</f>
        <v>53</v>
      </c>
      <c r="C2282" s="1" t="str">
        <f t="shared" si="145"/>
        <v>285-53</v>
      </c>
      <c r="D2282" t="s">
        <v>2266</v>
      </c>
      <c r="E2282" t="b">
        <f>IF(COUNTIF(D2282,"*"&amp;'Keyword Search'!$C$5&amp;"*"),TRUE,FALSE)</f>
        <v>1</v>
      </c>
      <c r="G2282" t="str">
        <f t="shared" si="146"/>
        <v>285-53: Lens and Reflectors, Replacement, Including Holders</v>
      </c>
    </row>
    <row r="2283" spans="1:7" x14ac:dyDescent="0.25">
      <c r="A2283" s="1" t="str">
        <f t="shared" si="144"/>
        <v>285</v>
      </c>
      <c r="B2283" s="1" t="str">
        <f>TEXT(54,"00")</f>
        <v>54</v>
      </c>
      <c r="C2283" s="1" t="str">
        <f t="shared" si="145"/>
        <v>285-54</v>
      </c>
      <c r="D2283" t="s">
        <v>2267</v>
      </c>
      <c r="E2283" t="b">
        <f>IF(COUNTIF(D2283,"*"&amp;'Keyword Search'!$C$5&amp;"*"),TRUE,FALSE)</f>
        <v>1</v>
      </c>
      <c r="G2283" t="str">
        <f t="shared" si="146"/>
        <v>285-54: Lighting Fixtures, Indoor: All Kinds and Parts, Including Lamp Holders and Recycled Types</v>
      </c>
    </row>
    <row r="2284" spans="1:7" x14ac:dyDescent="0.25">
      <c r="A2284" s="1" t="str">
        <f t="shared" si="144"/>
        <v>285</v>
      </c>
      <c r="B2284" s="1" t="str">
        <f>TEXT(55,"00")</f>
        <v>55</v>
      </c>
      <c r="C2284" s="1" t="str">
        <f t="shared" si="145"/>
        <v>285-55</v>
      </c>
      <c r="D2284" t="s">
        <v>2268</v>
      </c>
      <c r="E2284" t="b">
        <f>IF(COUNTIF(D2284,"*"&amp;'Keyword Search'!$C$5&amp;"*"),TRUE,FALSE)</f>
        <v>1</v>
      </c>
      <c r="G2284" t="str">
        <f t="shared" si="146"/>
        <v>285-55: Lighting, Area, Pole or Standard Mounted, Parking Lots, etc.</v>
      </c>
    </row>
    <row r="2285" spans="1:7" x14ac:dyDescent="0.25">
      <c r="A2285" s="1" t="str">
        <f t="shared" si="144"/>
        <v>285</v>
      </c>
      <c r="B2285" s="1" t="str">
        <f>TEXT(56,"00")</f>
        <v>56</v>
      </c>
      <c r="C2285" s="1" t="str">
        <f t="shared" si="145"/>
        <v>285-56</v>
      </c>
      <c r="D2285" t="s">
        <v>2269</v>
      </c>
      <c r="E2285" t="b">
        <f>IF(COUNTIF(D2285,"*"&amp;'Keyword Search'!$C$5&amp;"*"),TRUE,FALSE)</f>
        <v>1</v>
      </c>
      <c r="G2285" t="str">
        <f t="shared" si="146"/>
        <v>285-56: Lighting Fixtures, Outdoor: Floodlights, Spotlights, Yard Lights, and all other Weatherproof Fixtures, Except Streetlights, Including Recycled Types</v>
      </c>
    </row>
    <row r="2286" spans="1:7" x14ac:dyDescent="0.25">
      <c r="A2286" s="1" t="str">
        <f t="shared" si="144"/>
        <v>285</v>
      </c>
      <c r="B2286" s="1" t="str">
        <f>TEXT(57,"00")</f>
        <v>57</v>
      </c>
      <c r="C2286" s="1" t="str">
        <f t="shared" si="145"/>
        <v>285-57</v>
      </c>
      <c r="D2286" t="s">
        <v>2270</v>
      </c>
      <c r="E2286" t="b">
        <f>IF(COUNTIF(D2286,"*"&amp;'Keyword Search'!$C$5&amp;"*"),TRUE,FALSE)</f>
        <v>1</v>
      </c>
      <c r="G2286" t="str">
        <f t="shared" si="146"/>
        <v>285-57: Lighting, Solar Powered</v>
      </c>
    </row>
    <row r="2287" spans="1:7" x14ac:dyDescent="0.25">
      <c r="A2287" s="1" t="str">
        <f t="shared" si="144"/>
        <v>285</v>
      </c>
      <c r="B2287" s="1" t="str">
        <f>TEXT(58,"00")</f>
        <v>58</v>
      </c>
      <c r="C2287" s="1" t="str">
        <f t="shared" si="145"/>
        <v>285-58</v>
      </c>
      <c r="D2287" t="s">
        <v>2271</v>
      </c>
      <c r="E2287" t="b">
        <f>IF(COUNTIF(D2287,"*"&amp;'Keyword Search'!$C$5&amp;"*"),TRUE,FALSE)</f>
        <v>1</v>
      </c>
      <c r="G2287" t="str">
        <f t="shared" si="146"/>
        <v>285-58: Lighting Units, Emergency, Battery Operated; and Batteries</v>
      </c>
    </row>
    <row r="2288" spans="1:7" x14ac:dyDescent="0.25">
      <c r="A2288" s="1" t="str">
        <f t="shared" si="144"/>
        <v>285</v>
      </c>
      <c r="B2288" s="1" t="str">
        <f>TEXT(59,"00")</f>
        <v>59</v>
      </c>
      <c r="C2288" s="1" t="str">
        <f t="shared" si="145"/>
        <v>285-59</v>
      </c>
      <c r="D2288" t="s">
        <v>2272</v>
      </c>
      <c r="E2288" t="b">
        <f>IF(COUNTIF(D2288,"*"&amp;'Keyword Search'!$C$5&amp;"*"),TRUE,FALSE)</f>
        <v>1</v>
      </c>
      <c r="G2288" t="str">
        <f t="shared" si="146"/>
        <v>285-59: Light Meters and Reflectometers, Office Illumination Measurement, Reflectivity, etc., Not Photographic or Lab</v>
      </c>
    </row>
    <row r="2289" spans="1:7" x14ac:dyDescent="0.25">
      <c r="A2289" s="1" t="str">
        <f t="shared" si="144"/>
        <v>285</v>
      </c>
      <c r="B2289" s="1" t="str">
        <f>TEXT(60,"00")</f>
        <v>60</v>
      </c>
      <c r="C2289" s="1" t="str">
        <f t="shared" si="145"/>
        <v>285-60</v>
      </c>
      <c r="D2289" t="s">
        <v>2273</v>
      </c>
      <c r="E2289" t="b">
        <f>IF(COUNTIF(D2289,"*"&amp;'Keyword Search'!$C$5&amp;"*"),TRUE,FALSE)</f>
        <v>1</v>
      </c>
      <c r="G2289" t="str">
        <f t="shared" si="146"/>
        <v>285-60: Locators, Cable</v>
      </c>
    </row>
    <row r="2290" spans="1:7" x14ac:dyDescent="0.25">
      <c r="A2290" s="1" t="str">
        <f t="shared" si="144"/>
        <v>285</v>
      </c>
      <c r="B2290" s="1" t="str">
        <f>TEXT(61,"00")</f>
        <v>61</v>
      </c>
      <c r="C2290" s="1" t="str">
        <f t="shared" si="145"/>
        <v>285-61</v>
      </c>
      <c r="D2290" t="s">
        <v>2274</v>
      </c>
      <c r="E2290" t="b">
        <f>IF(COUNTIF(D2290,"*"&amp;'Keyword Search'!$C$5&amp;"*"),TRUE,FALSE)</f>
        <v>1</v>
      </c>
      <c r="G2290" t="str">
        <f t="shared" si="146"/>
        <v>285-61: Meters, Indicating and Recording of Power Consumption, Hand Held, Voltage, Amperage, etc.</v>
      </c>
    </row>
    <row r="2291" spans="1:7" x14ac:dyDescent="0.25">
      <c r="A2291" s="1" t="str">
        <f t="shared" si="144"/>
        <v>285</v>
      </c>
      <c r="B2291" s="1" t="str">
        <f>TEXT(62,"00")</f>
        <v>62</v>
      </c>
      <c r="C2291" s="1" t="str">
        <f t="shared" si="145"/>
        <v>285-62</v>
      </c>
      <c r="D2291" t="s">
        <v>2275</v>
      </c>
      <c r="E2291" t="b">
        <f>IF(COUNTIF(D2291,"*"&amp;'Keyword Search'!$C$5&amp;"*"),TRUE,FALSE)</f>
        <v>1</v>
      </c>
      <c r="G2291" t="str">
        <f t="shared" si="146"/>
        <v>285-62: Meters, Indicating and Recording, Power line Fluctuations, Voltage or Amperage. Not Hand Tool Type</v>
      </c>
    </row>
    <row r="2292" spans="1:7" x14ac:dyDescent="0.25">
      <c r="A2292" s="1" t="str">
        <f t="shared" si="144"/>
        <v>285</v>
      </c>
      <c r="B2292" s="1" t="str">
        <f>TEXT(63,"00")</f>
        <v>63</v>
      </c>
      <c r="C2292" s="1" t="str">
        <f t="shared" si="145"/>
        <v>285-63</v>
      </c>
      <c r="D2292" t="s">
        <v>2276</v>
      </c>
      <c r="E2292" t="b">
        <f>IF(COUNTIF(D2292,"*"&amp;'Keyword Search'!$C$5&amp;"*"),TRUE,FALSE)</f>
        <v>1</v>
      </c>
      <c r="G2292" t="str">
        <f t="shared" si="146"/>
        <v>285-63: Meters, Hand Held: Voltage, Amperage, Multi-Hand Held, Phase Indicators, etc.  (Inactive, please see commodity code 285-61 effective January 1, 2016)</v>
      </c>
    </row>
    <row r="2293" spans="1:7" x14ac:dyDescent="0.25">
      <c r="A2293" s="1" t="str">
        <f t="shared" si="144"/>
        <v>285</v>
      </c>
      <c r="B2293" s="1" t="str">
        <f>TEXT(64,"00")</f>
        <v>64</v>
      </c>
      <c r="C2293" s="1" t="str">
        <f t="shared" si="145"/>
        <v>285-64</v>
      </c>
      <c r="D2293" t="s">
        <v>2277</v>
      </c>
      <c r="E2293" t="b">
        <f>IF(COUNTIF(D2293,"*"&amp;'Keyword Search'!$C$5&amp;"*"),TRUE,FALSE)</f>
        <v>1</v>
      </c>
      <c r="G2293" t="str">
        <f t="shared" si="146"/>
        <v>285-64: Motor Controllers, Contactors, Push Button Stations, Relays, Safety Switches, Starters, Coils and Brushes</v>
      </c>
    </row>
    <row r="2294" spans="1:7" x14ac:dyDescent="0.25">
      <c r="A2294" s="1" t="str">
        <f t="shared" si="144"/>
        <v>285</v>
      </c>
      <c r="B2294" s="1" t="str">
        <f>TEXT(65,"00")</f>
        <v>65</v>
      </c>
      <c r="C2294" s="1" t="str">
        <f t="shared" si="145"/>
        <v>285-65</v>
      </c>
      <c r="D2294" t="s">
        <v>2278</v>
      </c>
      <c r="E2294" t="b">
        <f>IF(COUNTIF(D2294,"*"&amp;'Keyword Search'!$C$5&amp;"*"),TRUE,FALSE)</f>
        <v>1</v>
      </c>
      <c r="G2294" t="str">
        <f t="shared" si="146"/>
        <v>285-65: Ignition, Starting Aid, High Pressure Sodium, All Types</v>
      </c>
    </row>
    <row r="2295" spans="1:7" x14ac:dyDescent="0.25">
      <c r="A2295" s="1" t="str">
        <f t="shared" ref="A2295:A2325" si="147">TEXT(285,"000")</f>
        <v>285</v>
      </c>
      <c r="B2295" s="1" t="str">
        <f>TEXT(66,"00")</f>
        <v>66</v>
      </c>
      <c r="C2295" s="1" t="str">
        <f t="shared" si="145"/>
        <v>285-66</v>
      </c>
      <c r="D2295" t="s">
        <v>2279</v>
      </c>
      <c r="E2295" t="b">
        <f>IF(COUNTIF(D2295,"*"&amp;'Keyword Search'!$C$5&amp;"*"),TRUE,FALSE)</f>
        <v>1</v>
      </c>
      <c r="G2295" t="str">
        <f t="shared" si="146"/>
        <v>285-66: Monitors and Related Equipment, Power Line</v>
      </c>
    </row>
    <row r="2296" spans="1:7" x14ac:dyDescent="0.25">
      <c r="A2296" s="1" t="str">
        <f t="shared" si="147"/>
        <v>285</v>
      </c>
      <c r="B2296" s="1" t="str">
        <f>TEXT(67,"00")</f>
        <v>67</v>
      </c>
      <c r="C2296" s="1" t="str">
        <f t="shared" si="145"/>
        <v>285-67</v>
      </c>
      <c r="D2296" t="s">
        <v>2280</v>
      </c>
      <c r="E2296" t="b">
        <f>IF(COUNTIF(D2296,"*"&amp;'Keyword Search'!$C$5&amp;"*"),TRUE,FALSE)</f>
        <v>1</v>
      </c>
      <c r="G2296" t="str">
        <f t="shared" si="146"/>
        <v>285-67: Power Systems Switchgears and Related Accessories</v>
      </c>
    </row>
    <row r="2297" spans="1:7" x14ac:dyDescent="0.25">
      <c r="A2297" s="1" t="str">
        <f t="shared" si="147"/>
        <v>285</v>
      </c>
      <c r="B2297" s="1" t="str">
        <f>TEXT(68,"00")</f>
        <v>68</v>
      </c>
      <c r="C2297" s="1" t="str">
        <f t="shared" si="145"/>
        <v>285-68</v>
      </c>
      <c r="D2297" t="s">
        <v>2281</v>
      </c>
      <c r="E2297" t="b">
        <f>IF(COUNTIF(D2297,"*"&amp;'Keyword Search'!$C$5&amp;"*"),TRUE,FALSE)</f>
        <v>1</v>
      </c>
      <c r="G2297" t="str">
        <f t="shared" si="146"/>
        <v>285-68: Motors and Parts, Fractional H.P. Electric, Including Remanufactured</v>
      </c>
    </row>
    <row r="2298" spans="1:7" x14ac:dyDescent="0.25">
      <c r="A2298" s="1" t="str">
        <f t="shared" si="147"/>
        <v>285</v>
      </c>
      <c r="B2298" s="1" t="str">
        <f>TEXT(69,"00")</f>
        <v>69</v>
      </c>
      <c r="C2298" s="1" t="str">
        <f t="shared" si="145"/>
        <v>285-69</v>
      </c>
      <c r="D2298" t="s">
        <v>2282</v>
      </c>
      <c r="E2298" t="b">
        <f>IF(COUNTIF(D2298,"*"&amp;'Keyword Search'!$C$5&amp;"*"),TRUE,FALSE)</f>
        <v>1</v>
      </c>
      <c r="G2298" t="str">
        <f t="shared" si="146"/>
        <v>285-69: Misc. Electrical Equipment and Supplies (Not Otherwise Classified)</v>
      </c>
    </row>
    <row r="2299" spans="1:7" x14ac:dyDescent="0.25">
      <c r="A2299" s="1" t="str">
        <f t="shared" si="147"/>
        <v>285</v>
      </c>
      <c r="B2299" s="1" t="str">
        <f>TEXT(70,"00")</f>
        <v>70</v>
      </c>
      <c r="C2299" s="1" t="str">
        <f t="shared" si="145"/>
        <v>285-70</v>
      </c>
      <c r="D2299" t="s">
        <v>2283</v>
      </c>
      <c r="E2299" t="b">
        <f>IF(COUNTIF(D2299,"*"&amp;'Keyword Search'!$C$5&amp;"*"),TRUE,FALSE)</f>
        <v>1</v>
      </c>
      <c r="G2299" t="str">
        <f t="shared" si="146"/>
        <v>285-70: Motors and Parts, Integral H.P., Single Phase, Electric, Including Remanufactured</v>
      </c>
    </row>
    <row r="2300" spans="1:7" x14ac:dyDescent="0.25">
      <c r="A2300" s="1" t="str">
        <f t="shared" si="147"/>
        <v>285</v>
      </c>
      <c r="B2300" s="1" t="str">
        <f>TEXT(71,"00")</f>
        <v>71</v>
      </c>
      <c r="C2300" s="1" t="str">
        <f t="shared" si="145"/>
        <v>285-71</v>
      </c>
      <c r="D2300" t="s">
        <v>2284</v>
      </c>
      <c r="E2300" t="b">
        <f>IF(COUNTIF(D2300,"*"&amp;'Keyword Search'!$C$5&amp;"*"),TRUE,FALSE)</f>
        <v>1</v>
      </c>
      <c r="G2300" t="str">
        <f t="shared" si="146"/>
        <v>285-71: Motors and Parts, Integral H.P., Three Phase, Electric, Including Remanufactured</v>
      </c>
    </row>
    <row r="2301" spans="1:7" x14ac:dyDescent="0.25">
      <c r="A2301" s="1" t="str">
        <f t="shared" si="147"/>
        <v>285</v>
      </c>
      <c r="B2301" s="1" t="str">
        <f>TEXT(72,"00")</f>
        <v>72</v>
      </c>
      <c r="C2301" s="1" t="str">
        <f t="shared" si="145"/>
        <v>285-72</v>
      </c>
      <c r="D2301" t="s">
        <v>2285</v>
      </c>
      <c r="E2301" t="b">
        <f>IF(COUNTIF(D2301,"*"&amp;'Keyword Search'!$C$5&amp;"*"),TRUE,FALSE)</f>
        <v>1</v>
      </c>
      <c r="G2301" t="str">
        <f t="shared" si="146"/>
        <v>285-72: Resistors, Non-Electronic</v>
      </c>
    </row>
    <row r="2302" spans="1:7" x14ac:dyDescent="0.25">
      <c r="A2302" s="1" t="str">
        <f t="shared" si="147"/>
        <v>285</v>
      </c>
      <c r="B2302" s="1" t="str">
        <f>TEXT(73,"00")</f>
        <v>73</v>
      </c>
      <c r="C2302" s="1" t="str">
        <f t="shared" si="145"/>
        <v>285-73</v>
      </c>
      <c r="D2302" t="s">
        <v>2286</v>
      </c>
      <c r="E2302" t="b">
        <f>IF(COUNTIF(D2302,"*"&amp;'Keyword Search'!$C$5&amp;"*"),TRUE,FALSE)</f>
        <v>1</v>
      </c>
      <c r="G2302" t="str">
        <f t="shared" si="146"/>
        <v>285-73: Relays, Non-Electronic</v>
      </c>
    </row>
    <row r="2303" spans="1:7" x14ac:dyDescent="0.25">
      <c r="A2303" s="1" t="str">
        <f t="shared" si="147"/>
        <v>285</v>
      </c>
      <c r="B2303" s="1" t="str">
        <f>TEXT(74,"00")</f>
        <v>74</v>
      </c>
      <c r="C2303" s="1" t="str">
        <f t="shared" si="145"/>
        <v>285-74</v>
      </c>
      <c r="D2303" t="s">
        <v>2287</v>
      </c>
      <c r="E2303" t="b">
        <f>IF(COUNTIF(D2303,"*"&amp;'Keyword Search'!$C$5&amp;"*"),TRUE,FALSE)</f>
        <v>1</v>
      </c>
      <c r="G2303" t="str">
        <f t="shared" si="146"/>
        <v>285-74: *Pole Line Hardware: Anchors, Arms, Bolts, Braces, Brackets, Clevises, Connections, Cutouts, Insulators, Plates, Pole Steps, Racks, Rods, Shackles, Straps, Thimbles, Washers, etc. (See 765-95 for Wire Rope Accessories)</v>
      </c>
    </row>
    <row r="2304" spans="1:7" x14ac:dyDescent="0.25">
      <c r="A2304" s="1" t="str">
        <f t="shared" si="147"/>
        <v>285</v>
      </c>
      <c r="B2304" s="1" t="str">
        <f>TEXT(75,"00")</f>
        <v>75</v>
      </c>
      <c r="C2304" s="1" t="str">
        <f t="shared" si="145"/>
        <v>285-75</v>
      </c>
      <c r="D2304" t="s">
        <v>2288</v>
      </c>
      <c r="E2304" t="b">
        <f>IF(COUNTIF(D2304,"*"&amp;'Keyword Search'!$C$5&amp;"*"),TRUE,FALSE)</f>
        <v>1</v>
      </c>
      <c r="G2304" t="str">
        <f t="shared" si="146"/>
        <v>285-75: Repair Kits (For Contactors)</v>
      </c>
    </row>
    <row r="2305" spans="1:7" x14ac:dyDescent="0.25">
      <c r="A2305" s="1" t="str">
        <f t="shared" si="147"/>
        <v>285</v>
      </c>
      <c r="B2305" s="1" t="str">
        <f>TEXT(76,"00")</f>
        <v>76</v>
      </c>
      <c r="C2305" s="1" t="str">
        <f t="shared" si="145"/>
        <v>285-76</v>
      </c>
      <c r="D2305" t="s">
        <v>2289</v>
      </c>
      <c r="E2305" t="b">
        <f>IF(COUNTIF(D2305,"*"&amp;'Keyword Search'!$C$5&amp;"*"),TRUE,FALSE)</f>
        <v>1</v>
      </c>
      <c r="G2305" t="str">
        <f t="shared" si="146"/>
        <v>285-76: Street and Highway Lighting Luminaires, Accessories and Parts</v>
      </c>
    </row>
    <row r="2306" spans="1:7" x14ac:dyDescent="0.25">
      <c r="A2306" s="1" t="str">
        <f t="shared" si="147"/>
        <v>285</v>
      </c>
      <c r="B2306" s="1" t="str">
        <f>TEXT(77,"00")</f>
        <v>77</v>
      </c>
      <c r="C2306" s="1" t="str">
        <f t="shared" si="145"/>
        <v>285-77</v>
      </c>
      <c r="D2306" t="s">
        <v>2290</v>
      </c>
      <c r="E2306" t="b">
        <f>IF(COUNTIF(D2306,"*"&amp;'Keyword Search'!$C$5&amp;"*"),TRUE,FALSE)</f>
        <v>1</v>
      </c>
      <c r="G2306" t="str">
        <f t="shared" si="146"/>
        <v>285-77: Square Duct and Fittings</v>
      </c>
    </row>
    <row r="2307" spans="1:7" x14ac:dyDescent="0.25">
      <c r="A2307" s="1" t="str">
        <f t="shared" si="147"/>
        <v>285</v>
      </c>
      <c r="B2307" s="1" t="str">
        <f>TEXT(78,"00")</f>
        <v>78</v>
      </c>
      <c r="C2307" s="1" t="str">
        <f t="shared" ref="C2307:C2370" si="148">CONCATENATE(A2307,"-",B2307)</f>
        <v>285-78</v>
      </c>
      <c r="D2307" t="s">
        <v>2291</v>
      </c>
      <c r="E2307" t="b">
        <f>IF(COUNTIF(D2307,"*"&amp;'Keyword Search'!$C$5&amp;"*"),TRUE,FALSE)</f>
        <v>1</v>
      </c>
      <c r="G2307" t="str">
        <f t="shared" si="146"/>
        <v>285-78: *Structural Supports and Racks, Mechanical Type: Angles, Braces, Brackets, Channels, Clips, Fittings, Spring-Nuts, etc.</v>
      </c>
    </row>
    <row r="2308" spans="1:7" x14ac:dyDescent="0.25">
      <c r="A2308" s="1" t="str">
        <f t="shared" si="147"/>
        <v>285</v>
      </c>
      <c r="B2308" s="1" t="str">
        <f>TEXT(79,"00")</f>
        <v>79</v>
      </c>
      <c r="C2308" s="1" t="str">
        <f t="shared" si="148"/>
        <v>285-79</v>
      </c>
      <c r="D2308" t="s">
        <v>2292</v>
      </c>
      <c r="E2308" t="b">
        <f>IF(COUNTIF(D2308,"*"&amp;'Keyword Search'!$C$5&amp;"*"),TRUE,FALSE)</f>
        <v>1</v>
      </c>
      <c r="G2308" t="str">
        <f t="shared" ref="G2308:G2371" si="149">CONCATENATE(C2308,": ",D2308)</f>
        <v>285-79: Switches, Parts and Accessories, Miscellaneous</v>
      </c>
    </row>
    <row r="2309" spans="1:7" x14ac:dyDescent="0.25">
      <c r="A2309" s="1" t="str">
        <f t="shared" si="147"/>
        <v>285</v>
      </c>
      <c r="B2309" s="1" t="str">
        <f>TEXT(80,"00")</f>
        <v>80</v>
      </c>
      <c r="C2309" s="1" t="str">
        <f t="shared" si="148"/>
        <v>285-80</v>
      </c>
      <c r="D2309" t="s">
        <v>2293</v>
      </c>
      <c r="E2309" t="b">
        <f>IF(COUNTIF(D2309,"*"&amp;'Keyword Search'!$C$5&amp;"*"),TRUE,FALSE)</f>
        <v>1</v>
      </c>
      <c r="G2309" t="str">
        <f t="shared" si="149"/>
        <v>285-80: Street Light Poles and Standards</v>
      </c>
    </row>
    <row r="2310" spans="1:7" x14ac:dyDescent="0.25">
      <c r="A2310" s="1" t="str">
        <f t="shared" si="147"/>
        <v>285</v>
      </c>
      <c r="B2310" s="1" t="str">
        <f>TEXT(81,"00")</f>
        <v>81</v>
      </c>
      <c r="C2310" s="1" t="str">
        <f t="shared" si="148"/>
        <v>285-81</v>
      </c>
      <c r="D2310" t="s">
        <v>2294</v>
      </c>
      <c r="E2310" t="b">
        <f>IF(COUNTIF(D2310,"*"&amp;'Keyword Search'!$C$5&amp;"*"),TRUE,FALSE)</f>
        <v>1</v>
      </c>
      <c r="G2310" t="str">
        <f t="shared" si="149"/>
        <v>285-81: *Tools and Accessories, Electricians' and Lineman's, Including Cable Fault Locators, Cable Pullers, Press Boosters and Heads, Hotsticks, Testing Equip. Wire Crimping Tools, etc., (See 285-30 for Dielectric Tools)</v>
      </c>
    </row>
    <row r="2311" spans="1:7" x14ac:dyDescent="0.25">
      <c r="A2311" s="1" t="str">
        <f t="shared" si="147"/>
        <v>285</v>
      </c>
      <c r="B2311" s="1" t="str">
        <f>TEXT(82,"00")</f>
        <v>82</v>
      </c>
      <c r="C2311" s="1" t="str">
        <f t="shared" si="148"/>
        <v>285-82</v>
      </c>
      <c r="D2311" t="s">
        <v>2295</v>
      </c>
      <c r="E2311" t="b">
        <f>IF(COUNTIF(D2311,"*"&amp;'Keyword Search'!$C$5&amp;"*"),TRUE,FALSE)</f>
        <v>1</v>
      </c>
      <c r="G2311" t="str">
        <f t="shared" si="149"/>
        <v>285-82: Transformer Equipment, Type 1 KVA and less  (Inactive, please see commodity code 285-86 effective January 1, 2016)</v>
      </c>
    </row>
    <row r="2312" spans="1:7" x14ac:dyDescent="0.25">
      <c r="A2312" s="1" t="str">
        <f t="shared" si="147"/>
        <v>285</v>
      </c>
      <c r="B2312" s="1" t="str">
        <f>TEXT(83,"00")</f>
        <v>83</v>
      </c>
      <c r="C2312" s="1" t="str">
        <f t="shared" si="148"/>
        <v>285-83</v>
      </c>
      <c r="D2312" t="s">
        <v>2296</v>
      </c>
      <c r="E2312" t="b">
        <f>IF(COUNTIF(D2312,"*"&amp;'Keyword Search'!$C$5&amp;"*"),TRUE,FALSE)</f>
        <v>1</v>
      </c>
      <c r="G2312" t="str">
        <f t="shared" si="149"/>
        <v>285-83: Towers, Light</v>
      </c>
    </row>
    <row r="2313" spans="1:7" x14ac:dyDescent="0.25">
      <c r="A2313" s="1" t="str">
        <f t="shared" si="147"/>
        <v>285</v>
      </c>
      <c r="B2313" s="1" t="str">
        <f>TEXT(84,"00")</f>
        <v>84</v>
      </c>
      <c r="C2313" s="1" t="str">
        <f t="shared" si="148"/>
        <v>285-84</v>
      </c>
      <c r="D2313" t="s">
        <v>2297</v>
      </c>
      <c r="E2313" t="b">
        <f>IF(COUNTIF(D2313,"*"&amp;'Keyword Search'!$C$5&amp;"*"),TRUE,FALSE)</f>
        <v>1</v>
      </c>
      <c r="G2313" t="str">
        <f t="shared" si="149"/>
        <v>285-84: Transformers, Transmission Line Type  (Inactive, please see commodity code 285-86 effective January 1, 2016)</v>
      </c>
    </row>
    <row r="2314" spans="1:7" x14ac:dyDescent="0.25">
      <c r="A2314" s="1" t="str">
        <f t="shared" si="147"/>
        <v>285</v>
      </c>
      <c r="B2314" s="1" t="str">
        <f>TEXT(85,"00")</f>
        <v>85</v>
      </c>
      <c r="C2314" s="1" t="str">
        <f t="shared" si="148"/>
        <v>285-85</v>
      </c>
      <c r="D2314" t="s">
        <v>2298</v>
      </c>
      <c r="E2314" t="b">
        <f>IF(COUNTIF(D2314,"*"&amp;'Keyword Search'!$C$5&amp;"*"),TRUE,FALSE)</f>
        <v>1</v>
      </c>
      <c r="G2314" t="str">
        <f t="shared" si="149"/>
        <v>285-85: Transformers, Dry Type, For Indoor or Outdoor Applications  (Inactive, please see commodity code 285-86 effective January 1, 2016)</v>
      </c>
    </row>
    <row r="2315" spans="1:7" x14ac:dyDescent="0.25">
      <c r="A2315" s="1" t="str">
        <f t="shared" si="147"/>
        <v>285</v>
      </c>
      <c r="B2315" s="1" t="str">
        <f>TEXT(86,"00")</f>
        <v>86</v>
      </c>
      <c r="C2315" s="1" t="str">
        <f t="shared" si="148"/>
        <v>285-86</v>
      </c>
      <c r="D2315" t="s">
        <v>2299</v>
      </c>
      <c r="E2315" t="b">
        <f>IF(COUNTIF(D2315,"*"&amp;'Keyword Search'!$C$5&amp;"*"),TRUE,FALSE)</f>
        <v>1</v>
      </c>
      <c r="G2315" t="str">
        <f t="shared" si="149"/>
        <v>285-86: Transformers, Power Distribution, Including Fluid Filled, Pad and Pole Mount</v>
      </c>
    </row>
    <row r="2316" spans="1:7" x14ac:dyDescent="0.25">
      <c r="A2316" s="1" t="str">
        <f t="shared" si="147"/>
        <v>285</v>
      </c>
      <c r="B2316" s="1" t="str">
        <f>TEXT(87,"00")</f>
        <v>87</v>
      </c>
      <c r="C2316" s="1" t="str">
        <f t="shared" si="148"/>
        <v>285-87</v>
      </c>
      <c r="D2316" t="s">
        <v>2300</v>
      </c>
      <c r="E2316" t="b">
        <f>IF(COUNTIF(D2316,"*"&amp;'Keyword Search'!$C$5&amp;"*"),TRUE,FALSE)</f>
        <v>1</v>
      </c>
      <c r="G2316" t="str">
        <f t="shared" si="149"/>
        <v>285-87: Transformers, Power, Electric Sub-Station (Inactive, please see commodity code 285-86 effective January 1, 2016)</v>
      </c>
    </row>
    <row r="2317" spans="1:7" x14ac:dyDescent="0.25">
      <c r="A2317" s="1" t="str">
        <f t="shared" si="147"/>
        <v>285</v>
      </c>
      <c r="B2317" s="1" t="str">
        <f>TEXT(88,"00")</f>
        <v>88</v>
      </c>
      <c r="C2317" s="1" t="str">
        <f t="shared" si="148"/>
        <v>285-88</v>
      </c>
      <c r="D2317" t="s">
        <v>2301</v>
      </c>
      <c r="E2317" t="b">
        <f>IF(COUNTIF(D2317,"*"&amp;'Keyword Search'!$C$5&amp;"*"),TRUE,FALSE)</f>
        <v>1</v>
      </c>
      <c r="G2317" t="str">
        <f t="shared" si="149"/>
        <v>285-88: Tube Guard and Safety Sleeves, For Fluorescent Fixtures (Inactive, please see commodity code 285-54 effective January 1, 2016)</v>
      </c>
    </row>
    <row r="2318" spans="1:7" x14ac:dyDescent="0.25">
      <c r="A2318" s="1" t="str">
        <f t="shared" si="147"/>
        <v>285</v>
      </c>
      <c r="B2318" s="1" t="str">
        <f>TEXT(89,"00")</f>
        <v>89</v>
      </c>
      <c r="C2318" s="1" t="str">
        <f t="shared" si="148"/>
        <v>285-89</v>
      </c>
      <c r="D2318" t="s">
        <v>2302</v>
      </c>
      <c r="E2318" t="b">
        <f>IF(COUNTIF(D2318,"*"&amp;'Keyword Search'!$C$5&amp;"*"),TRUE,FALSE)</f>
        <v>1</v>
      </c>
      <c r="G2318" t="str">
        <f t="shared" si="149"/>
        <v>285-89: Unilets</v>
      </c>
    </row>
    <row r="2319" spans="1:7" x14ac:dyDescent="0.25">
      <c r="A2319" s="1" t="str">
        <f t="shared" si="147"/>
        <v>285</v>
      </c>
      <c r="B2319" s="1" t="str">
        <f>TEXT(90,"00")</f>
        <v>90</v>
      </c>
      <c r="C2319" s="1" t="str">
        <f t="shared" si="148"/>
        <v>285-90</v>
      </c>
      <c r="D2319" t="s">
        <v>2303</v>
      </c>
      <c r="E2319" t="b">
        <f>IF(COUNTIF(D2319,"*"&amp;'Keyword Search'!$C$5&amp;"*"),TRUE,FALSE)</f>
        <v>1</v>
      </c>
      <c r="G2319" t="str">
        <f t="shared" si="149"/>
        <v>285-90: Voltage Line Thermostats, Inverters, Converters, Spike and Surge Controllers</v>
      </c>
    </row>
    <row r="2320" spans="1:7" x14ac:dyDescent="0.25">
      <c r="A2320" s="1" t="str">
        <f t="shared" si="147"/>
        <v>285</v>
      </c>
      <c r="B2320" s="1" t="str">
        <f>TEXT(91,"00")</f>
        <v>91</v>
      </c>
      <c r="C2320" s="1" t="str">
        <f t="shared" si="148"/>
        <v>285-91</v>
      </c>
      <c r="D2320" t="s">
        <v>2304</v>
      </c>
      <c r="E2320" t="b">
        <f>IF(COUNTIF(D2320,"*"&amp;'Keyword Search'!$C$5&amp;"*"),TRUE,FALSE)</f>
        <v>1</v>
      </c>
      <c r="G2320" t="str">
        <f t="shared" si="149"/>
        <v>285-91: Valves, Electro Pneumatic</v>
      </c>
    </row>
    <row r="2321" spans="1:7" x14ac:dyDescent="0.25">
      <c r="A2321" s="1" t="str">
        <f t="shared" si="147"/>
        <v>285</v>
      </c>
      <c r="B2321" s="1" t="str">
        <f>TEXT(92,"00")</f>
        <v>92</v>
      </c>
      <c r="C2321" s="1" t="str">
        <f t="shared" si="148"/>
        <v>285-92</v>
      </c>
      <c r="D2321" t="s">
        <v>2305</v>
      </c>
      <c r="E2321" t="b">
        <f>IF(COUNTIF(D2321,"*"&amp;'Keyword Search'!$C$5&amp;"*"),TRUE,FALSE)</f>
        <v>1</v>
      </c>
      <c r="G2321" t="str">
        <f t="shared" si="149"/>
        <v>285-92: *Wire and Cable Markers and Marker Ties</v>
      </c>
    </row>
    <row r="2322" spans="1:7" x14ac:dyDescent="0.25">
      <c r="A2322" s="1" t="str">
        <f t="shared" si="147"/>
        <v>285</v>
      </c>
      <c r="B2322" s="1" t="str">
        <f>TEXT(93,"00")</f>
        <v>93</v>
      </c>
      <c r="C2322" s="1" t="str">
        <f t="shared" si="148"/>
        <v>285-93</v>
      </c>
      <c r="D2322" t="s">
        <v>2306</v>
      </c>
      <c r="E2322" t="b">
        <f>IF(COUNTIF(D2322,"*"&amp;'Keyword Search'!$C$5&amp;"*"),TRUE,FALSE)</f>
        <v>1</v>
      </c>
      <c r="G2322" t="str">
        <f t="shared" si="149"/>
        <v>285-93: Wire Molding, Raceways, Accessories, and Fittings</v>
      </c>
    </row>
    <row r="2323" spans="1:7" x14ac:dyDescent="0.25">
      <c r="A2323" s="1" t="str">
        <f t="shared" si="147"/>
        <v>285</v>
      </c>
      <c r="B2323" s="1" t="str">
        <f>TEXT(94,"00")</f>
        <v>94</v>
      </c>
      <c r="C2323" s="1" t="str">
        <f t="shared" si="148"/>
        <v>285-94</v>
      </c>
      <c r="D2323" t="s">
        <v>2307</v>
      </c>
      <c r="E2323" t="b">
        <f>IF(COUNTIF(D2323,"*"&amp;'Keyword Search'!$C$5&amp;"*"),TRUE,FALSE)</f>
        <v>1</v>
      </c>
      <c r="G2323" t="str">
        <f t="shared" si="149"/>
        <v>285-94: Voltage Regulators</v>
      </c>
    </row>
    <row r="2324" spans="1:7" x14ac:dyDescent="0.25">
      <c r="A2324" s="1" t="str">
        <f t="shared" si="147"/>
        <v>285</v>
      </c>
      <c r="B2324" s="1" t="str">
        <f>TEXT(95,"00")</f>
        <v>95</v>
      </c>
      <c r="C2324" s="1" t="str">
        <f t="shared" si="148"/>
        <v>285-95</v>
      </c>
      <c r="D2324" t="s">
        <v>2308</v>
      </c>
      <c r="E2324" t="b">
        <f>IF(COUNTIF(D2324,"*"&amp;'Keyword Search'!$C$5&amp;"*"),TRUE,FALSE)</f>
        <v>1</v>
      </c>
      <c r="G2324" t="str">
        <f t="shared" si="149"/>
        <v>285-95: Wiring Devices: Adapters, Caps, Connectors, Extension Cords, Fluorescent and HP Starters, Outlets, Plates and Covers, Plugs, Receptacles, Safety Cord Lock, Switches, Terminals, etc. (Incl. Recycled Electrical Products, Supplies)</v>
      </c>
    </row>
    <row r="2325" spans="1:7" x14ac:dyDescent="0.25">
      <c r="A2325" s="1" t="str">
        <f t="shared" si="147"/>
        <v>285</v>
      </c>
      <c r="B2325" s="1" t="str">
        <f>TEXT(96,"00")</f>
        <v>96</v>
      </c>
      <c r="C2325" s="1" t="str">
        <f t="shared" si="148"/>
        <v>285-96</v>
      </c>
      <c r="D2325" t="s">
        <v>2309</v>
      </c>
      <c r="E2325" t="b">
        <f>IF(COUNTIF(D2325,"*"&amp;'Keyword Search'!$C$5&amp;"*"),TRUE,FALSE)</f>
        <v>1</v>
      </c>
      <c r="G2325" t="str">
        <f t="shared" si="149"/>
        <v>285-96: *Uninterruptible Power Supplies (Inactive, please see commodity code 207-67 effective January 1, 2016)</v>
      </c>
    </row>
    <row r="2326" spans="1:7" x14ac:dyDescent="0.25">
      <c r="A2326" s="5" t="str">
        <f t="shared" ref="A2326:A2352" si="150">TEXT(287,"000")</f>
        <v>287</v>
      </c>
      <c r="B2326" s="5" t="str">
        <f>TEXT(0,"00")</f>
        <v>00</v>
      </c>
      <c r="C2326" s="1"/>
      <c r="D2326" s="2" t="s">
        <v>2310</v>
      </c>
    </row>
    <row r="2327" spans="1:7" x14ac:dyDescent="0.25">
      <c r="A2327" s="1" t="str">
        <f t="shared" si="150"/>
        <v>287</v>
      </c>
      <c r="B2327" s="1" t="str">
        <f>TEXT(6,"00")</f>
        <v>06</v>
      </c>
      <c r="C2327" s="1" t="str">
        <f t="shared" si="148"/>
        <v>287-06</v>
      </c>
      <c r="D2327" t="s">
        <v>2311</v>
      </c>
      <c r="E2327" t="b">
        <f>IF(COUNTIF(D2327,"*"&amp;'Keyword Search'!$C$5&amp;"*"),TRUE,FALSE)</f>
        <v>1</v>
      </c>
      <c r="G2327" t="str">
        <f t="shared" si="149"/>
        <v>287-06: Amplifiers and Preamplifiers, Digital and Analog, Not for Sound Systems or TV Antennas</v>
      </c>
    </row>
    <row r="2328" spans="1:7" x14ac:dyDescent="0.25">
      <c r="A2328" s="1" t="str">
        <f t="shared" si="150"/>
        <v>287</v>
      </c>
      <c r="B2328" s="1" t="str">
        <f>TEXT(12,"00")</f>
        <v>12</v>
      </c>
      <c r="C2328" s="1" t="str">
        <f t="shared" si="148"/>
        <v>287-12</v>
      </c>
      <c r="D2328" t="s">
        <v>2312</v>
      </c>
      <c r="E2328" t="b">
        <f>IF(COUNTIF(D2328,"*"&amp;'Keyword Search'!$C$5&amp;"*"),TRUE,FALSE)</f>
        <v>1</v>
      </c>
      <c r="G2328" t="str">
        <f t="shared" si="149"/>
        <v>287-12: *Batteries and Hardware For Electronic Equipment, Including Recycled Types</v>
      </c>
    </row>
    <row r="2329" spans="1:7" x14ac:dyDescent="0.25">
      <c r="A2329" s="1" t="str">
        <f t="shared" si="150"/>
        <v>287</v>
      </c>
      <c r="B2329" s="1" t="str">
        <f>TEXT(18,"00")</f>
        <v>18</v>
      </c>
      <c r="C2329" s="1" t="str">
        <f t="shared" si="148"/>
        <v>287-18</v>
      </c>
      <c r="D2329" t="s">
        <v>2313</v>
      </c>
      <c r="E2329" t="b">
        <f>IF(COUNTIF(D2329,"*"&amp;'Keyword Search'!$C$5&amp;"*"),TRUE,FALSE)</f>
        <v>1</v>
      </c>
      <c r="G2329" t="str">
        <f t="shared" si="149"/>
        <v>287-18: Chemicals for Electronics Use: Antistatic, Cleaning, Degreasing, Etching, Metal Stripping, Solvent, etc.</v>
      </c>
    </row>
    <row r="2330" spans="1:7" x14ac:dyDescent="0.25">
      <c r="A2330" s="1" t="str">
        <f t="shared" si="150"/>
        <v>287</v>
      </c>
      <c r="B2330" s="1" t="str">
        <f>TEXT(24,"00")</f>
        <v>24</v>
      </c>
      <c r="C2330" s="1" t="str">
        <f t="shared" si="148"/>
        <v>287-24</v>
      </c>
      <c r="D2330" t="s">
        <v>2314</v>
      </c>
      <c r="E2330" t="b">
        <f>IF(COUNTIF(D2330,"*"&amp;'Keyword Search'!$C$5&amp;"*"),TRUE,FALSE)</f>
        <v>1</v>
      </c>
      <c r="G2330" t="str">
        <f t="shared" si="149"/>
        <v>287-24: Circuit Boards: Modular, Printed (PCB), and Proto</v>
      </c>
    </row>
    <row r="2331" spans="1:7" x14ac:dyDescent="0.25">
      <c r="A2331" s="1" t="str">
        <f t="shared" si="150"/>
        <v>287</v>
      </c>
      <c r="B2331" s="1" t="str">
        <f>TEXT(25,"00")</f>
        <v>25</v>
      </c>
      <c r="C2331" s="1" t="str">
        <f t="shared" si="148"/>
        <v>287-25</v>
      </c>
      <c r="D2331" t="s">
        <v>2315</v>
      </c>
      <c r="E2331" t="b">
        <f>IF(COUNTIF(D2331,"*"&amp;'Keyword Search'!$C$5&amp;"*"),TRUE,FALSE)</f>
        <v>1</v>
      </c>
      <c r="G2331" t="str">
        <f t="shared" si="149"/>
        <v>287-25: Circuit Board Production Equipment, Etching, Cleaning, Drilling, etc.</v>
      </c>
    </row>
    <row r="2332" spans="1:7" x14ac:dyDescent="0.25">
      <c r="A2332" s="1" t="str">
        <f t="shared" si="150"/>
        <v>287</v>
      </c>
      <c r="B2332" s="1" t="str">
        <f>TEXT(26,"00")</f>
        <v>26</v>
      </c>
      <c r="C2332" s="1" t="str">
        <f t="shared" si="148"/>
        <v>287-26</v>
      </c>
      <c r="D2332" t="s">
        <v>2316</v>
      </c>
      <c r="E2332" t="b">
        <f>IF(COUNTIF(D2332,"*"&amp;'Keyword Search'!$C$5&amp;"*"),TRUE,FALSE)</f>
        <v>1</v>
      </c>
      <c r="G2332" t="str">
        <f t="shared" si="149"/>
        <v>287-26: *Circuit Cards</v>
      </c>
    </row>
    <row r="2333" spans="1:7" x14ac:dyDescent="0.25">
      <c r="A2333" s="1" t="str">
        <f t="shared" si="150"/>
        <v>287</v>
      </c>
      <c r="B2333" s="1" t="str">
        <f>TEXT(28,"00")</f>
        <v>28</v>
      </c>
      <c r="C2333" s="1" t="str">
        <f t="shared" si="148"/>
        <v>287-28</v>
      </c>
      <c r="D2333" t="s">
        <v>2317</v>
      </c>
      <c r="E2333" t="b">
        <f>IF(COUNTIF(D2333,"*"&amp;'Keyword Search'!$C$5&amp;"*"),TRUE,FALSE)</f>
        <v>1</v>
      </c>
      <c r="G2333" t="str">
        <f t="shared" si="149"/>
        <v>287-28: Custom Electronics, Integrated Solutions for Residential and Commercial Building Controls</v>
      </c>
    </row>
    <row r="2334" spans="1:7" x14ac:dyDescent="0.25">
      <c r="A2334" s="1" t="str">
        <f t="shared" si="150"/>
        <v>287</v>
      </c>
      <c r="B2334" s="1" t="str">
        <f>TEXT(30,"00")</f>
        <v>30</v>
      </c>
      <c r="C2334" s="1" t="str">
        <f t="shared" si="148"/>
        <v>287-30</v>
      </c>
      <c r="D2334" t="s">
        <v>2318</v>
      </c>
      <c r="E2334" t="b">
        <f>IF(COUNTIF(D2334,"*"&amp;'Keyword Search'!$C$5&amp;"*"),TRUE,FALSE)</f>
        <v>1</v>
      </c>
      <c r="G2334" t="str">
        <f t="shared" si="149"/>
        <v>287-30: Detectors (Electron, Photon) and Detector Arrays</v>
      </c>
    </row>
    <row r="2335" spans="1:7" x14ac:dyDescent="0.25">
      <c r="A2335" s="1" t="str">
        <f t="shared" si="150"/>
        <v>287</v>
      </c>
      <c r="B2335" s="1" t="str">
        <f>TEXT(36,"00")</f>
        <v>36</v>
      </c>
      <c r="C2335" s="1" t="str">
        <f t="shared" si="148"/>
        <v>287-36</v>
      </c>
      <c r="D2335" t="s">
        <v>2319</v>
      </c>
      <c r="E2335" t="b">
        <f>IF(COUNTIF(D2335,"*"&amp;'Keyword Search'!$C$5&amp;"*"),TRUE,FALSE)</f>
        <v>1</v>
      </c>
      <c r="G2335" t="str">
        <f t="shared" si="149"/>
        <v>287-36: Metal Items: Boxes, Cabinets, Chassis, Panels, Racks, etc.</v>
      </c>
    </row>
    <row r="2336" spans="1:7" x14ac:dyDescent="0.25">
      <c r="A2336" s="1" t="str">
        <f t="shared" si="150"/>
        <v>287</v>
      </c>
      <c r="B2336" s="1" t="str">
        <f>TEXT(42,"00")</f>
        <v>42</v>
      </c>
      <c r="C2336" s="1" t="str">
        <f t="shared" si="148"/>
        <v>287-42</v>
      </c>
      <c r="D2336" t="s">
        <v>2320</v>
      </c>
      <c r="E2336" t="b">
        <f>IF(COUNTIF(D2336,"*"&amp;'Keyword Search'!$C$5&amp;"*"),TRUE,FALSE)</f>
        <v>1</v>
      </c>
      <c r="G2336" t="str">
        <f t="shared" si="149"/>
        <v>287-42: *Microprocessors and Core Processors, CPU Chips, etc.</v>
      </c>
    </row>
    <row r="2337" spans="1:7" x14ac:dyDescent="0.25">
      <c r="A2337" s="1" t="str">
        <f t="shared" si="150"/>
        <v>287</v>
      </c>
      <c r="B2337" s="1" t="str">
        <f>TEXT(48,"00")</f>
        <v>48</v>
      </c>
      <c r="C2337" s="1" t="str">
        <f t="shared" si="148"/>
        <v>287-48</v>
      </c>
      <c r="D2337" t="s">
        <v>2321</v>
      </c>
      <c r="E2337" t="b">
        <f>IF(COUNTIF(D2337,"*"&amp;'Keyword Search'!$C$5&amp;"*"),TRUE,FALSE)</f>
        <v>1</v>
      </c>
      <c r="G2337" t="str">
        <f t="shared" si="149"/>
        <v>287-48: *Microwave Equipment and Accessories: Band Pass Filters, Coaxial Attenuators, Couplers, Switchers, Tellurometers, Tuners, Wave Guides, Not Communication Type</v>
      </c>
    </row>
    <row r="2338" spans="1:7" x14ac:dyDescent="0.25">
      <c r="A2338" s="1" t="str">
        <f t="shared" si="150"/>
        <v>287</v>
      </c>
      <c r="B2338" s="1" t="str">
        <f>TEXT(54,"00")</f>
        <v>54</v>
      </c>
      <c r="C2338" s="1" t="str">
        <f t="shared" si="148"/>
        <v>287-54</v>
      </c>
      <c r="D2338" t="s">
        <v>2322</v>
      </c>
      <c r="E2338" t="b">
        <f>IF(COUNTIF(D2338,"*"&amp;'Keyword Search'!$C$5&amp;"*"),TRUE,FALSE)</f>
        <v>1</v>
      </c>
      <c r="G2338" t="str">
        <f t="shared" si="149"/>
        <v>287-54: *Power Supplies, Computer Room</v>
      </c>
    </row>
    <row r="2339" spans="1:7" x14ac:dyDescent="0.25">
      <c r="A2339" s="1" t="str">
        <f t="shared" si="150"/>
        <v>287</v>
      </c>
      <c r="B2339" s="1" t="str">
        <f>TEXT(55,"00")</f>
        <v>55</v>
      </c>
      <c r="C2339" s="1" t="str">
        <f t="shared" si="148"/>
        <v>287-55</v>
      </c>
      <c r="D2339" t="s">
        <v>2323</v>
      </c>
      <c r="E2339" t="b">
        <f>IF(COUNTIF(D2339,"*"&amp;'Keyword Search'!$C$5&amp;"*"),TRUE,FALSE)</f>
        <v>1</v>
      </c>
      <c r="G2339" t="str">
        <f t="shared" si="149"/>
        <v>287-55: *Power Supplies, Not Computer Room</v>
      </c>
    </row>
    <row r="2340" spans="1:7" x14ac:dyDescent="0.25">
      <c r="A2340" s="1" t="str">
        <f t="shared" si="150"/>
        <v>287</v>
      </c>
      <c r="B2340" s="1" t="str">
        <f>TEXT(57,"00")</f>
        <v>57</v>
      </c>
      <c r="C2340" s="1" t="str">
        <f t="shared" si="148"/>
        <v>287-57</v>
      </c>
      <c r="D2340" t="s">
        <v>2324</v>
      </c>
      <c r="E2340" t="b">
        <f>IF(COUNTIF(D2340,"*"&amp;'Keyword Search'!$C$5&amp;"*"),TRUE,FALSE)</f>
        <v>1</v>
      </c>
      <c r="G2340" t="str">
        <f t="shared" si="149"/>
        <v>287-57: Protective Devices, Electronic, Anti-Static, Wrist and Ankle Bands, Work Mats, etc. for the Protection of Electronic Equipment</v>
      </c>
    </row>
    <row r="2341" spans="1:7" x14ac:dyDescent="0.25">
      <c r="A2341" s="1" t="str">
        <f t="shared" si="150"/>
        <v>287</v>
      </c>
      <c r="B2341" s="1" t="str">
        <f>TEXT(58,"00")</f>
        <v>58</v>
      </c>
      <c r="C2341" s="1" t="str">
        <f t="shared" si="148"/>
        <v>287-58</v>
      </c>
      <c r="D2341" t="s">
        <v>2325</v>
      </c>
      <c r="E2341" t="b">
        <f>IF(COUNTIF(D2341,"*"&amp;'Keyword Search'!$C$5&amp;"*"),TRUE,FALSE)</f>
        <v>1</v>
      </c>
      <c r="G2341" t="str">
        <f t="shared" si="149"/>
        <v>287-58: *Electronic Tablets and Reading Devices, Kindle, Nook, etc.</v>
      </c>
    </row>
    <row r="2342" spans="1:7" x14ac:dyDescent="0.25">
      <c r="A2342" s="1" t="str">
        <f t="shared" si="150"/>
        <v>287</v>
      </c>
      <c r="B2342" s="1" t="str">
        <f>TEXT(59,"00")</f>
        <v>59</v>
      </c>
      <c r="C2342" s="1" t="str">
        <f t="shared" si="148"/>
        <v>287-59</v>
      </c>
      <c r="D2342" t="s">
        <v>2326</v>
      </c>
      <c r="E2342" t="b">
        <f>IF(COUNTIF(D2342,"*"&amp;'Keyword Search'!$C$5&amp;"*"),TRUE,FALSE)</f>
        <v>1</v>
      </c>
      <c r="G2342" t="str">
        <f t="shared" si="149"/>
        <v>287-59: Recycled Electronic Components, Accessories and Supplies</v>
      </c>
    </row>
    <row r="2343" spans="1:7" x14ac:dyDescent="0.25">
      <c r="A2343" s="1" t="str">
        <f t="shared" si="150"/>
        <v>287</v>
      </c>
      <c r="B2343" s="1" t="str">
        <f>TEXT(60,"00")</f>
        <v>60</v>
      </c>
      <c r="C2343" s="1" t="str">
        <f t="shared" si="148"/>
        <v>287-60</v>
      </c>
      <c r="D2343" t="s">
        <v>2327</v>
      </c>
      <c r="E2343" t="b">
        <f>IF(COUNTIF(D2343,"*"&amp;'Keyword Search'!$C$5&amp;"*"),TRUE,FALSE)</f>
        <v>1</v>
      </c>
      <c r="G2343" t="str">
        <f t="shared" si="149"/>
        <v>287-60: Repair Equipment, Electronic: Cleaning, Desoldering, Soldering, etc.</v>
      </c>
    </row>
    <row r="2344" spans="1:7" x14ac:dyDescent="0.25">
      <c r="A2344" s="1" t="str">
        <f t="shared" si="150"/>
        <v>287</v>
      </c>
      <c r="B2344" s="1" t="str">
        <f>TEXT(66,"00")</f>
        <v>66</v>
      </c>
      <c r="C2344" s="1" t="str">
        <f t="shared" si="148"/>
        <v>287-66</v>
      </c>
      <c r="D2344" t="s">
        <v>2328</v>
      </c>
      <c r="E2344" t="b">
        <f>IF(COUNTIF(D2344,"*"&amp;'Keyword Search'!$C$5&amp;"*"),TRUE,FALSE)</f>
        <v>1</v>
      </c>
      <c r="G2344" t="str">
        <f t="shared" si="149"/>
        <v>287-66: Replacement and Component Parts: Capacitors, Chokes, Coils, Panel Meters, Potentiometers, Relays, Resistors, Solenoids, Transistors, Transformers, etc.</v>
      </c>
    </row>
    <row r="2345" spans="1:7" x14ac:dyDescent="0.25">
      <c r="A2345" s="1" t="str">
        <f t="shared" si="150"/>
        <v>287</v>
      </c>
      <c r="B2345" s="1" t="str">
        <f>TEXT(71,"00")</f>
        <v>71</v>
      </c>
      <c r="C2345" s="1" t="str">
        <f t="shared" si="148"/>
        <v>287-71</v>
      </c>
      <c r="D2345" t="s">
        <v>2329</v>
      </c>
      <c r="E2345" t="b">
        <f>IF(COUNTIF(D2345,"*"&amp;'Keyword Search'!$C$5&amp;"*"),TRUE,FALSE)</f>
        <v>1</v>
      </c>
      <c r="G2345" t="str">
        <f t="shared" si="149"/>
        <v>287-71: *Semiconductors, Parts, and Accessories</v>
      </c>
    </row>
    <row r="2346" spans="1:7" x14ac:dyDescent="0.25">
      <c r="A2346" s="1" t="str">
        <f t="shared" si="150"/>
        <v>287</v>
      </c>
      <c r="B2346" s="1" t="str">
        <f>TEXT(72,"00")</f>
        <v>72</v>
      </c>
      <c r="C2346" s="1" t="str">
        <f t="shared" si="148"/>
        <v>287-72</v>
      </c>
      <c r="D2346" t="s">
        <v>2330</v>
      </c>
      <c r="E2346" t="b">
        <f>IF(COUNTIF(D2346,"*"&amp;'Keyword Search'!$C$5&amp;"*"),TRUE,FALSE)</f>
        <v>1</v>
      </c>
      <c r="G2346" t="str">
        <f t="shared" si="149"/>
        <v>287-72: *Shelf Hardware, Electronic: Adapters, Clips, Connectors, Dielectrics, Jacks, Lugs, Plugs, Sockets, Solder, Switches, Terminals, etc.</v>
      </c>
    </row>
    <row r="2347" spans="1:7" x14ac:dyDescent="0.25">
      <c r="A2347" s="1" t="str">
        <f t="shared" si="150"/>
        <v>287</v>
      </c>
      <c r="B2347" s="1" t="str">
        <f>TEXT(78,"00")</f>
        <v>78</v>
      </c>
      <c r="C2347" s="1" t="str">
        <f t="shared" si="148"/>
        <v>287-78</v>
      </c>
      <c r="D2347" t="s">
        <v>2331</v>
      </c>
      <c r="E2347" t="b">
        <f>IF(COUNTIF(D2347,"*"&amp;'Keyword Search'!$C$5&amp;"*"),TRUE,FALSE)</f>
        <v>1</v>
      </c>
      <c r="G2347" t="str">
        <f t="shared" si="149"/>
        <v>287-78: Teaching and Demonstration Units: Electronic Kits, etc.</v>
      </c>
    </row>
    <row r="2348" spans="1:7" x14ac:dyDescent="0.25">
      <c r="A2348" s="1" t="str">
        <f t="shared" si="150"/>
        <v>287</v>
      </c>
      <c r="B2348" s="1" t="str">
        <f>TEXT(80,"00")</f>
        <v>80</v>
      </c>
      <c r="C2348" s="1" t="str">
        <f t="shared" si="148"/>
        <v>287-80</v>
      </c>
      <c r="D2348" t="s">
        <v>2332</v>
      </c>
      <c r="E2348" t="b">
        <f>IF(COUNTIF(D2348,"*"&amp;'Keyword Search'!$C$5&amp;"*"),TRUE,FALSE)</f>
        <v>1</v>
      </c>
      <c r="G2348" t="str">
        <f t="shared" si="149"/>
        <v>287-80: Testing Equipment and Systems, Electronic Meter</v>
      </c>
    </row>
    <row r="2349" spans="1:7" x14ac:dyDescent="0.25">
      <c r="A2349" s="1" t="str">
        <f t="shared" si="150"/>
        <v>287</v>
      </c>
      <c r="B2349" s="1" t="str">
        <f>TEXT(82,"00")</f>
        <v>82</v>
      </c>
      <c r="C2349" s="1" t="str">
        <f t="shared" si="148"/>
        <v>287-82</v>
      </c>
      <c r="D2349" t="s">
        <v>2333</v>
      </c>
      <c r="E2349" t="b">
        <f>IF(COUNTIF(D2349,"*"&amp;'Keyword Search'!$C$5&amp;"*"),TRUE,FALSE)</f>
        <v>1</v>
      </c>
      <c r="G2349" t="str">
        <f t="shared" si="149"/>
        <v>287-82: *Transmitters, Emergency Alarm Type, Including Equipment Operation Status Reporting</v>
      </c>
    </row>
    <row r="2350" spans="1:7" x14ac:dyDescent="0.25">
      <c r="A2350" s="1" t="str">
        <f t="shared" si="150"/>
        <v>287</v>
      </c>
      <c r="B2350" s="1" t="str">
        <f>TEXT(84,"00")</f>
        <v>84</v>
      </c>
      <c r="C2350" s="1" t="str">
        <f t="shared" si="148"/>
        <v>287-84</v>
      </c>
      <c r="D2350" t="s">
        <v>2334</v>
      </c>
      <c r="E2350" t="b">
        <f>IF(COUNTIF(D2350,"*"&amp;'Keyword Search'!$C$5&amp;"*"),TRUE,FALSE)</f>
        <v>1</v>
      </c>
      <c r="G2350" t="str">
        <f t="shared" si="149"/>
        <v>287-84: Tubes, Electron Multiplier and Photomultiplier, Including Part and Accessories</v>
      </c>
    </row>
    <row r="2351" spans="1:7" x14ac:dyDescent="0.25">
      <c r="A2351" s="1" t="str">
        <f t="shared" si="150"/>
        <v>287</v>
      </c>
      <c r="B2351" s="1" t="str">
        <f>TEXT(90,"00")</f>
        <v>90</v>
      </c>
      <c r="C2351" s="1" t="str">
        <f t="shared" si="148"/>
        <v>287-90</v>
      </c>
      <c r="D2351" t="s">
        <v>2335</v>
      </c>
      <c r="E2351" t="b">
        <f>IF(COUNTIF(D2351,"*"&amp;'Keyword Search'!$C$5&amp;"*"),TRUE,FALSE)</f>
        <v>1</v>
      </c>
      <c r="G2351" t="str">
        <f t="shared" si="149"/>
        <v>287-90: Tubes, Electronic: Cathode Ray, Power, Receiving, Thyratron, Transmitting, etc.</v>
      </c>
    </row>
    <row r="2352" spans="1:7" x14ac:dyDescent="0.25">
      <c r="A2352" s="1" t="str">
        <f t="shared" si="150"/>
        <v>287</v>
      </c>
      <c r="B2352" s="1" t="str">
        <f>TEXT(96,"00")</f>
        <v>96</v>
      </c>
      <c r="C2352" s="1" t="str">
        <f t="shared" si="148"/>
        <v>287-96</v>
      </c>
      <c r="D2352" t="s">
        <v>2336</v>
      </c>
      <c r="E2352" t="b">
        <f>IF(COUNTIF(D2352,"*"&amp;'Keyword Search'!$C$5&amp;"*"),TRUE,FALSE)</f>
        <v>1</v>
      </c>
      <c r="G2352" t="str">
        <f t="shared" si="149"/>
        <v>287-96: *Wire and Cable, Electronic: Audio, Coaxial, Hook-Up, Lead-In, etc.</v>
      </c>
    </row>
    <row r="2353" spans="1:7" x14ac:dyDescent="0.25">
      <c r="A2353" s="5" t="str">
        <f t="shared" ref="A2353:A2367" si="151">TEXT(290,"000")</f>
        <v>290</v>
      </c>
      <c r="B2353" s="5" t="str">
        <f>TEXT(0,"00")</f>
        <v>00</v>
      </c>
      <c r="C2353" s="1"/>
      <c r="D2353" s="2" t="s">
        <v>2337</v>
      </c>
    </row>
    <row r="2354" spans="1:7" x14ac:dyDescent="0.25">
      <c r="A2354" s="1" t="str">
        <f t="shared" si="151"/>
        <v>290</v>
      </c>
      <c r="B2354" s="1" t="str">
        <f>TEXT(10,"00")</f>
        <v>10</v>
      </c>
      <c r="C2354" s="1" t="str">
        <f t="shared" si="148"/>
        <v>290-10</v>
      </c>
      <c r="D2354" t="s">
        <v>2338</v>
      </c>
      <c r="E2354" t="b">
        <f>IF(COUNTIF(D2354,"*"&amp;'Keyword Search'!$C$5&amp;"*"),TRUE,FALSE)</f>
        <v>1</v>
      </c>
      <c r="G2354" t="str">
        <f t="shared" si="149"/>
        <v>290-10: Cells, Solar, Photovoltaic Cells, Unmounted</v>
      </c>
    </row>
    <row r="2355" spans="1:7" x14ac:dyDescent="0.25">
      <c r="A2355" s="1" t="str">
        <f t="shared" si="151"/>
        <v>290</v>
      </c>
      <c r="B2355" s="1" t="str">
        <f>TEXT(17,"00")</f>
        <v>17</v>
      </c>
      <c r="C2355" s="1" t="str">
        <f t="shared" si="148"/>
        <v>290-17</v>
      </c>
      <c r="D2355" t="s">
        <v>2339</v>
      </c>
      <c r="E2355" t="b">
        <f>IF(COUNTIF(D2355,"*"&amp;'Keyword Search'!$C$5&amp;"*"),TRUE,FALSE)</f>
        <v>1</v>
      </c>
      <c r="G2355" t="str">
        <f t="shared" si="149"/>
        <v>290-17: Recycled Energy Collection Equipment and Supplies</v>
      </c>
    </row>
    <row r="2356" spans="1:7" x14ac:dyDescent="0.25">
      <c r="A2356" s="1" t="str">
        <f t="shared" si="151"/>
        <v>290</v>
      </c>
      <c r="B2356" s="1" t="str">
        <f>TEXT(20,"00")</f>
        <v>20</v>
      </c>
      <c r="C2356" s="1" t="str">
        <f t="shared" si="148"/>
        <v>290-20</v>
      </c>
      <c r="D2356" t="s">
        <v>2340</v>
      </c>
      <c r="E2356" t="b">
        <f>IF(COUNTIF(D2356,"*"&amp;'Keyword Search'!$C$5&amp;"*"),TRUE,FALSE)</f>
        <v>1</v>
      </c>
      <c r="G2356" t="str">
        <f t="shared" si="149"/>
        <v>290-20: Solar Air Conditioning Systems and Accessories: Absorption Type, etc.</v>
      </c>
    </row>
    <row r="2357" spans="1:7" x14ac:dyDescent="0.25">
      <c r="A2357" s="1" t="str">
        <f t="shared" si="151"/>
        <v>290</v>
      </c>
      <c r="B2357" s="1" t="str">
        <f>TEXT(30,"00")</f>
        <v>30</v>
      </c>
      <c r="C2357" s="1" t="str">
        <f t="shared" si="148"/>
        <v>290-30</v>
      </c>
      <c r="D2357" t="s">
        <v>2341</v>
      </c>
      <c r="E2357" t="b">
        <f>IF(COUNTIF(D2357,"*"&amp;'Keyword Search'!$C$5&amp;"*"),TRUE,FALSE)</f>
        <v>1</v>
      </c>
      <c r="G2357" t="str">
        <f t="shared" si="149"/>
        <v>290-30: Solar Space Heating Systems and Accessories</v>
      </c>
    </row>
    <row r="2358" spans="1:7" x14ac:dyDescent="0.25">
      <c r="A2358" s="1" t="str">
        <f t="shared" si="151"/>
        <v>290</v>
      </c>
      <c r="B2358" s="1" t="str">
        <f>TEXT(40,"00")</f>
        <v>40</v>
      </c>
      <c r="C2358" s="1" t="str">
        <f t="shared" si="148"/>
        <v>290-40</v>
      </c>
      <c r="D2358" t="s">
        <v>2342</v>
      </c>
      <c r="E2358" t="b">
        <f>IF(COUNTIF(D2358,"*"&amp;'Keyword Search'!$C$5&amp;"*"),TRUE,FALSE)</f>
        <v>1</v>
      </c>
      <c r="G2358" t="str">
        <f t="shared" si="149"/>
        <v>290-40: Solar Heat Collector Systems and Accessories</v>
      </c>
    </row>
    <row r="2359" spans="1:7" x14ac:dyDescent="0.25">
      <c r="A2359" s="1" t="str">
        <f t="shared" si="151"/>
        <v>290</v>
      </c>
      <c r="B2359" s="1" t="str">
        <f>TEXT(50,"00")</f>
        <v>50</v>
      </c>
      <c r="C2359" s="1" t="str">
        <f t="shared" si="148"/>
        <v>290-50</v>
      </c>
      <c r="D2359" t="s">
        <v>2343</v>
      </c>
      <c r="E2359" t="b">
        <f>IF(COUNTIF(D2359,"*"&amp;'Keyword Search'!$C$5&amp;"*"),TRUE,FALSE)</f>
        <v>1</v>
      </c>
      <c r="G2359" t="str">
        <f t="shared" si="149"/>
        <v>290-50: Solar Heat Collector Tracking Systems and Accessories</v>
      </c>
    </row>
    <row r="2360" spans="1:7" x14ac:dyDescent="0.25">
      <c r="A2360" s="1" t="str">
        <f t="shared" si="151"/>
        <v>290</v>
      </c>
      <c r="B2360" s="1" t="str">
        <f>TEXT(60,"00")</f>
        <v>60</v>
      </c>
      <c r="C2360" s="1" t="str">
        <f t="shared" si="148"/>
        <v>290-60</v>
      </c>
      <c r="D2360" t="s">
        <v>2344</v>
      </c>
      <c r="E2360" t="b">
        <f>IF(COUNTIF(D2360,"*"&amp;'Keyword Search'!$C$5&amp;"*"),TRUE,FALSE)</f>
        <v>1</v>
      </c>
      <c r="G2360" t="str">
        <f t="shared" si="149"/>
        <v>290-60: Solar Heat Collectors, Concentrating Type</v>
      </c>
    </row>
    <row r="2361" spans="1:7" x14ac:dyDescent="0.25">
      <c r="A2361" s="1" t="str">
        <f t="shared" si="151"/>
        <v>290</v>
      </c>
      <c r="B2361" s="1" t="str">
        <f>TEXT(65,"00")</f>
        <v>65</v>
      </c>
      <c r="C2361" s="1" t="str">
        <f t="shared" si="148"/>
        <v>290-65</v>
      </c>
      <c r="D2361" t="s">
        <v>2345</v>
      </c>
      <c r="E2361" t="b">
        <f>IF(COUNTIF(D2361,"*"&amp;'Keyword Search'!$C$5&amp;"*"),TRUE,FALSE)</f>
        <v>1</v>
      </c>
      <c r="G2361" t="str">
        <f t="shared" si="149"/>
        <v>290-65: Solar Heat Collectors, Evacuated Tube Type</v>
      </c>
    </row>
    <row r="2362" spans="1:7" x14ac:dyDescent="0.25">
      <c r="A2362" s="1" t="str">
        <f t="shared" si="151"/>
        <v>290</v>
      </c>
      <c r="B2362" s="1" t="str">
        <f>TEXT(70,"00")</f>
        <v>70</v>
      </c>
      <c r="C2362" s="1" t="str">
        <f t="shared" si="148"/>
        <v>290-70</v>
      </c>
      <c r="D2362" t="s">
        <v>2346</v>
      </c>
      <c r="E2362" t="b">
        <f>IF(COUNTIF(D2362,"*"&amp;'Keyword Search'!$C$5&amp;"*"),TRUE,FALSE)</f>
        <v>1</v>
      </c>
      <c r="G2362" t="str">
        <f t="shared" si="149"/>
        <v>290-70: Solar Heat Collectors, Flat Plate Type</v>
      </c>
    </row>
    <row r="2363" spans="1:7" x14ac:dyDescent="0.25">
      <c r="A2363" s="1" t="str">
        <f t="shared" si="151"/>
        <v>290</v>
      </c>
      <c r="B2363" s="1" t="str">
        <f>TEXT(80,"00")</f>
        <v>80</v>
      </c>
      <c r="C2363" s="1" t="str">
        <f t="shared" si="148"/>
        <v>290-80</v>
      </c>
      <c r="D2363" t="s">
        <v>2347</v>
      </c>
      <c r="E2363" t="b">
        <f>IF(COUNTIF(D2363,"*"&amp;'Keyword Search'!$C$5&amp;"*"),TRUE,FALSE)</f>
        <v>1</v>
      </c>
      <c r="G2363" t="str">
        <f t="shared" si="149"/>
        <v>290-80: Solar Powered Electrical Systems, Battery Charging, etc.</v>
      </c>
    </row>
    <row r="2364" spans="1:7" x14ac:dyDescent="0.25">
      <c r="A2364" s="1" t="str">
        <f t="shared" si="151"/>
        <v>290</v>
      </c>
      <c r="B2364" s="1" t="str">
        <f>TEXT(82,"00")</f>
        <v>82</v>
      </c>
      <c r="C2364" s="1" t="str">
        <f t="shared" si="148"/>
        <v>290-82</v>
      </c>
      <c r="D2364" t="s">
        <v>2348</v>
      </c>
      <c r="E2364" t="b">
        <f>IF(COUNTIF(D2364,"*"&amp;'Keyword Search'!$C$5&amp;"*"),TRUE,FALSE)</f>
        <v>1</v>
      </c>
      <c r="G2364" t="str">
        <f t="shared" si="149"/>
        <v>290-82: Solar Energy Systems, Complete</v>
      </c>
    </row>
    <row r="2365" spans="1:7" x14ac:dyDescent="0.25">
      <c r="A2365" s="1" t="str">
        <f t="shared" si="151"/>
        <v>290</v>
      </c>
      <c r="B2365" s="1" t="str">
        <f>TEXT(86,"00")</f>
        <v>86</v>
      </c>
      <c r="C2365" s="1" t="str">
        <f t="shared" si="148"/>
        <v>290-86</v>
      </c>
      <c r="D2365" t="s">
        <v>2349</v>
      </c>
      <c r="E2365" t="b">
        <f>IF(COUNTIF(D2365,"*"&amp;'Keyword Search'!$C$5&amp;"*"),TRUE,FALSE)</f>
        <v>1</v>
      </c>
      <c r="G2365" t="str">
        <f t="shared" si="149"/>
        <v>290-86: Solar Radiant Flux Measuring Instruments (See also 220-33)</v>
      </c>
    </row>
    <row r="2366" spans="1:7" x14ac:dyDescent="0.25">
      <c r="A2366" s="1" t="str">
        <f t="shared" si="151"/>
        <v>290</v>
      </c>
      <c r="B2366" s="1" t="str">
        <f>TEXT(90,"00")</f>
        <v>90</v>
      </c>
      <c r="C2366" s="1" t="str">
        <f t="shared" si="148"/>
        <v>290-90</v>
      </c>
      <c r="D2366" t="s">
        <v>2350</v>
      </c>
      <c r="E2366" t="b">
        <f>IF(COUNTIF(D2366,"*"&amp;'Keyword Search'!$C$5&amp;"*"),TRUE,FALSE)</f>
        <v>1</v>
      </c>
      <c r="G2366" t="str">
        <f t="shared" si="149"/>
        <v>290-90: Solar Water Heating Systems and Accessories</v>
      </c>
    </row>
    <row r="2367" spans="1:7" x14ac:dyDescent="0.25">
      <c r="A2367" s="1" t="str">
        <f t="shared" si="151"/>
        <v>290</v>
      </c>
      <c r="B2367" s="1" t="str">
        <f>TEXT(95,"00")</f>
        <v>95</v>
      </c>
      <c r="C2367" s="1" t="str">
        <f t="shared" si="148"/>
        <v>290-95</v>
      </c>
      <c r="D2367" t="s">
        <v>2351</v>
      </c>
      <c r="E2367" t="b">
        <f>IF(COUNTIF(D2367,"*"&amp;'Keyword Search'!$C$5&amp;"*"),TRUE,FALSE)</f>
        <v>1</v>
      </c>
      <c r="G2367" t="str">
        <f t="shared" si="149"/>
        <v>290-95: Wind Electrical Generating Systems and Accessories</v>
      </c>
    </row>
    <row r="2368" spans="1:7" x14ac:dyDescent="0.25">
      <c r="A2368" s="5" t="str">
        <f t="shared" ref="A2368:A2375" si="152">TEXT(295,"000")</f>
        <v>295</v>
      </c>
      <c r="B2368" s="5" t="str">
        <f>TEXT(0,"00")</f>
        <v>00</v>
      </c>
      <c r="C2368" s="1"/>
      <c r="D2368" s="2" t="s">
        <v>2352</v>
      </c>
    </row>
    <row r="2369" spans="1:7" x14ac:dyDescent="0.25">
      <c r="A2369" s="1" t="str">
        <f t="shared" si="152"/>
        <v>295</v>
      </c>
      <c r="B2369" s="1" t="str">
        <f>TEXT(30,"00")</f>
        <v>30</v>
      </c>
      <c r="C2369" s="1" t="str">
        <f t="shared" si="148"/>
        <v>295-30</v>
      </c>
      <c r="D2369" t="s">
        <v>2353</v>
      </c>
      <c r="E2369" t="b">
        <f>IF(COUNTIF(D2369,"*"&amp;'Keyword Search'!$C$5&amp;"*"),TRUE,FALSE)</f>
        <v>1</v>
      </c>
      <c r="G2369" t="str">
        <f t="shared" si="149"/>
        <v>295-30: Elevators, Dumbwaiter</v>
      </c>
    </row>
    <row r="2370" spans="1:7" x14ac:dyDescent="0.25">
      <c r="A2370" s="1" t="str">
        <f t="shared" si="152"/>
        <v>295</v>
      </c>
      <c r="B2370" s="1" t="str">
        <f>TEXT(35,"00")</f>
        <v>35</v>
      </c>
      <c r="C2370" s="1" t="str">
        <f t="shared" si="148"/>
        <v>295-35</v>
      </c>
      <c r="D2370" t="s">
        <v>2354</v>
      </c>
      <c r="E2370" t="b">
        <f>IF(COUNTIF(D2370,"*"&amp;'Keyword Search'!$C$5&amp;"*"),TRUE,FALSE)</f>
        <v>1</v>
      </c>
      <c r="G2370" t="str">
        <f t="shared" si="149"/>
        <v>295-35: Escalators</v>
      </c>
    </row>
    <row r="2371" spans="1:7" x14ac:dyDescent="0.25">
      <c r="A2371" s="1" t="str">
        <f t="shared" si="152"/>
        <v>295</v>
      </c>
      <c r="B2371" s="1" t="str">
        <f>TEXT(40,"00")</f>
        <v>40</v>
      </c>
      <c r="C2371" s="1" t="str">
        <f t="shared" ref="C2371:C2434" si="153">CONCATENATE(A2371,"-",B2371)</f>
        <v>295-40</v>
      </c>
      <c r="D2371" t="s">
        <v>2355</v>
      </c>
      <c r="E2371" t="b">
        <f>IF(COUNTIF(D2371,"*"&amp;'Keyword Search'!$C$5&amp;"*"),TRUE,FALSE)</f>
        <v>1</v>
      </c>
      <c r="G2371" t="str">
        <f t="shared" si="149"/>
        <v>295-40: Elevators, Freight</v>
      </c>
    </row>
    <row r="2372" spans="1:7" x14ac:dyDescent="0.25">
      <c r="A2372" s="1" t="str">
        <f t="shared" si="152"/>
        <v>295</v>
      </c>
      <c r="B2372" s="1" t="str">
        <f>TEXT(48,"00")</f>
        <v>48</v>
      </c>
      <c r="C2372" s="1" t="str">
        <f t="shared" si="153"/>
        <v>295-48</v>
      </c>
      <c r="D2372" t="s">
        <v>2356</v>
      </c>
      <c r="E2372" t="b">
        <f>IF(COUNTIF(D2372,"*"&amp;'Keyword Search'!$C$5&amp;"*"),TRUE,FALSE)</f>
        <v>1</v>
      </c>
      <c r="G2372" t="str">
        <f t="shared" ref="G2372:G2435" si="154">CONCATENATE(C2372,": ",D2372)</f>
        <v>295-48: Monitors, Elevator and Escalator</v>
      </c>
    </row>
    <row r="2373" spans="1:7" x14ac:dyDescent="0.25">
      <c r="A2373" s="1" t="str">
        <f t="shared" si="152"/>
        <v>295</v>
      </c>
      <c r="B2373" s="1" t="str">
        <f>TEXT(50,"00")</f>
        <v>50</v>
      </c>
      <c r="C2373" s="1" t="str">
        <f t="shared" si="153"/>
        <v>295-50</v>
      </c>
      <c r="D2373" t="s">
        <v>2357</v>
      </c>
      <c r="E2373" t="b">
        <f>IF(COUNTIF(D2373,"*"&amp;'Keyword Search'!$C$5&amp;"*"),TRUE,FALSE)</f>
        <v>1</v>
      </c>
      <c r="G2373" t="str">
        <f t="shared" si="154"/>
        <v>295-50: Moving Walks and Parts</v>
      </c>
    </row>
    <row r="2374" spans="1:7" x14ac:dyDescent="0.25">
      <c r="A2374" s="1" t="str">
        <f t="shared" si="152"/>
        <v>295</v>
      </c>
      <c r="B2374" s="1" t="str">
        <f>TEXT(70,"00")</f>
        <v>70</v>
      </c>
      <c r="C2374" s="1" t="str">
        <f t="shared" si="153"/>
        <v>295-70</v>
      </c>
      <c r="D2374" t="s">
        <v>2358</v>
      </c>
      <c r="E2374" t="b">
        <f>IF(COUNTIF(D2374,"*"&amp;'Keyword Search'!$C$5&amp;"*"),TRUE,FALSE)</f>
        <v>1</v>
      </c>
      <c r="G2374" t="str">
        <f t="shared" si="154"/>
        <v>295-70: Elevators, Passenger</v>
      </c>
    </row>
    <row r="2375" spans="1:7" x14ac:dyDescent="0.25">
      <c r="A2375" s="1" t="str">
        <f t="shared" si="152"/>
        <v>295</v>
      </c>
      <c r="B2375" s="1" t="str">
        <f>TEXT(75,"00")</f>
        <v>75</v>
      </c>
      <c r="C2375" s="1" t="str">
        <f t="shared" si="153"/>
        <v>295-75</v>
      </c>
      <c r="D2375" t="s">
        <v>2359</v>
      </c>
      <c r="E2375" t="b">
        <f>IF(COUNTIF(D2375,"*"&amp;'Keyword Search'!$C$5&amp;"*"),TRUE,FALSE)</f>
        <v>1</v>
      </c>
      <c r="G2375" t="str">
        <f t="shared" si="154"/>
        <v>295-75: Recycled Elevator Equipment, Accessories and Supplies</v>
      </c>
    </row>
    <row r="2376" spans="1:7" x14ac:dyDescent="0.25">
      <c r="A2376" s="5" t="str">
        <f t="shared" ref="A2376:A2416" si="155">TEXT(305,"000")</f>
        <v>305</v>
      </c>
      <c r="B2376" s="5" t="str">
        <f>TEXT(0,"00")</f>
        <v>00</v>
      </c>
      <c r="C2376" s="1"/>
      <c r="D2376" s="2" t="s">
        <v>2360</v>
      </c>
    </row>
    <row r="2377" spans="1:7" x14ac:dyDescent="0.25">
      <c r="A2377" s="1" t="str">
        <f t="shared" si="155"/>
        <v>305</v>
      </c>
      <c r="B2377" s="1" t="str">
        <f>TEXT(4,"00")</f>
        <v>04</v>
      </c>
      <c r="C2377" s="1" t="str">
        <f t="shared" si="153"/>
        <v>305-04</v>
      </c>
      <c r="D2377" t="s">
        <v>2361</v>
      </c>
      <c r="E2377" t="b">
        <f>IF(COUNTIF(D2377,"*"&amp;'Keyword Search'!$C$5&amp;"*"),TRUE,FALSE)</f>
        <v>1</v>
      </c>
      <c r="G2377" t="str">
        <f t="shared" si="154"/>
        <v>305-04: Blades, Gouges, Knives, Needle Files, Routers, etc.</v>
      </c>
    </row>
    <row r="2378" spans="1:7" x14ac:dyDescent="0.25">
      <c r="A2378" s="1" t="str">
        <f t="shared" si="155"/>
        <v>305</v>
      </c>
      <c r="B2378" s="1" t="str">
        <f>TEXT(6,"00")</f>
        <v>06</v>
      </c>
      <c r="C2378" s="1" t="str">
        <f t="shared" si="153"/>
        <v>305-06</v>
      </c>
      <c r="D2378" t="s">
        <v>2362</v>
      </c>
      <c r="E2378" t="b">
        <f>IF(COUNTIF(D2378,"*"&amp;'Keyword Search'!$C$5&amp;"*"),TRUE,FALSE)</f>
        <v>1</v>
      </c>
      <c r="G2378" t="str">
        <f t="shared" si="154"/>
        <v>305-06: Calculators, Programmed for Surveying Systems, See Class 600 For Office Type)</v>
      </c>
    </row>
    <row r="2379" spans="1:7" x14ac:dyDescent="0.25">
      <c r="A2379" s="1" t="str">
        <f t="shared" si="155"/>
        <v>305</v>
      </c>
      <c r="B2379" s="1" t="str">
        <f>TEXT(8,"00")</f>
        <v>08</v>
      </c>
      <c r="C2379" s="1" t="str">
        <f t="shared" si="153"/>
        <v>305-08</v>
      </c>
      <c r="D2379" t="s">
        <v>2363</v>
      </c>
      <c r="E2379" t="b">
        <f>IF(COUNTIF(D2379,"*"&amp;'Keyword Search'!$C$5&amp;"*"),TRUE,FALSE)</f>
        <v>1</v>
      </c>
      <c r="G2379" t="str">
        <f t="shared" si="154"/>
        <v>305-08: Cloths, Films, and Papers, Special: Cross-Section, Graph, Log, Profile, Tracing, etc. (Inactive, please see commodity code 305-10 effective January 1, 2016)</v>
      </c>
    </row>
    <row r="2380" spans="1:7" x14ac:dyDescent="0.25">
      <c r="A2380" s="1" t="str">
        <f t="shared" si="155"/>
        <v>305</v>
      </c>
      <c r="B2380" s="1" t="str">
        <f>TEXT(10,"00")</f>
        <v>10</v>
      </c>
      <c r="C2380" s="1" t="str">
        <f t="shared" si="153"/>
        <v>305-10</v>
      </c>
      <c r="D2380" t="s">
        <v>2364</v>
      </c>
      <c r="E2380" t="b">
        <f>IF(COUNTIF(D2380,"*"&amp;'Keyword Search'!$C$5&amp;"*"),TRUE,FALSE)</f>
        <v>1</v>
      </c>
      <c r="G2380" t="str">
        <f t="shared" si="154"/>
        <v>305-10: Cloths, Films, and Papers: Cross-Section, Graph, Log, Profile, Tracing, etc.</v>
      </c>
    </row>
    <row r="2381" spans="1:7" x14ac:dyDescent="0.25">
      <c r="A2381" s="1" t="str">
        <f t="shared" si="155"/>
        <v>305</v>
      </c>
      <c r="B2381" s="1" t="str">
        <f>TEXT(12,"00")</f>
        <v>12</v>
      </c>
      <c r="C2381" s="1" t="str">
        <f t="shared" si="153"/>
        <v>305-12</v>
      </c>
      <c r="D2381" t="s">
        <v>2365</v>
      </c>
      <c r="E2381" t="b">
        <f>IF(COUNTIF(D2381,"*"&amp;'Keyword Search'!$C$5&amp;"*"),TRUE,FALSE)</f>
        <v>1</v>
      </c>
      <c r="G2381" t="str">
        <f t="shared" si="154"/>
        <v>305-12: Cloths, Films, and Papers, Reproduction Types</v>
      </c>
    </row>
    <row r="2382" spans="1:7" x14ac:dyDescent="0.25">
      <c r="A2382" s="1" t="str">
        <f t="shared" si="155"/>
        <v>305</v>
      </c>
      <c r="B2382" s="1" t="str">
        <f>TEXT(15,"00")</f>
        <v>15</v>
      </c>
      <c r="C2382" s="1" t="str">
        <f t="shared" si="153"/>
        <v>305-15</v>
      </c>
      <c r="D2382" t="s">
        <v>2366</v>
      </c>
      <c r="E2382" t="b">
        <f>IF(COUNTIF(D2382,"*"&amp;'Keyword Search'!$C$5&amp;"*"),TRUE,FALSE)</f>
        <v>1</v>
      </c>
      <c r="G2382" t="str">
        <f t="shared" si="154"/>
        <v>305-15: Covers, Drafting and Drawing Boards</v>
      </c>
    </row>
    <row r="2383" spans="1:7" x14ac:dyDescent="0.25">
      <c r="A2383" s="1" t="str">
        <f t="shared" si="155"/>
        <v>305</v>
      </c>
      <c r="B2383" s="1" t="str">
        <f>TEXT(18,"00")</f>
        <v>18</v>
      </c>
      <c r="C2383" s="1" t="str">
        <f t="shared" si="153"/>
        <v>305-18</v>
      </c>
      <c r="D2383" t="s">
        <v>2367</v>
      </c>
      <c r="E2383" t="b">
        <f>IF(COUNTIF(D2383,"*"&amp;'Keyword Search'!$C$5&amp;"*"),TRUE,FALSE)</f>
        <v>1</v>
      </c>
      <c r="G2383" t="str">
        <f t="shared" si="154"/>
        <v>305-18: Data Books and Tables, Engineering and Surveying</v>
      </c>
    </row>
    <row r="2384" spans="1:7" x14ac:dyDescent="0.25">
      <c r="A2384" s="1" t="str">
        <f t="shared" si="155"/>
        <v>305</v>
      </c>
      <c r="B2384" s="1" t="str">
        <f>TEXT(21,"00")</f>
        <v>21</v>
      </c>
      <c r="C2384" s="1" t="str">
        <f t="shared" si="153"/>
        <v>305-21</v>
      </c>
      <c r="D2384" t="s">
        <v>2368</v>
      </c>
      <c r="E2384" t="b">
        <f>IF(COUNTIF(D2384,"*"&amp;'Keyword Search'!$C$5&amp;"*"),TRUE,FALSE)</f>
        <v>1</v>
      </c>
      <c r="G2384" t="str">
        <f t="shared" si="154"/>
        <v>305-21: *Direct Print Supplies, Dry Process</v>
      </c>
    </row>
    <row r="2385" spans="1:7" x14ac:dyDescent="0.25">
      <c r="A2385" s="1" t="str">
        <f t="shared" si="155"/>
        <v>305</v>
      </c>
      <c r="B2385" s="1" t="str">
        <f>TEXT(23,"00")</f>
        <v>23</v>
      </c>
      <c r="C2385" s="1" t="str">
        <f t="shared" si="153"/>
        <v>305-23</v>
      </c>
      <c r="D2385" t="s">
        <v>2369</v>
      </c>
      <c r="E2385" t="b">
        <f>IF(COUNTIF(D2385,"*"&amp;'Keyword Search'!$C$5&amp;"*"),TRUE,FALSE)</f>
        <v>1</v>
      </c>
      <c r="G2385" t="str">
        <f t="shared" si="154"/>
        <v>305-23: Direct Print Supplies, Wet Process</v>
      </c>
    </row>
    <row r="2386" spans="1:7" x14ac:dyDescent="0.25">
      <c r="A2386" s="1" t="str">
        <f t="shared" si="155"/>
        <v>305</v>
      </c>
      <c r="B2386" s="1" t="str">
        <f>TEXT(25,"00")</f>
        <v>25</v>
      </c>
      <c r="C2386" s="1" t="str">
        <f t="shared" si="153"/>
        <v>305-25</v>
      </c>
      <c r="D2386" t="s">
        <v>2370</v>
      </c>
      <c r="E2386" t="b">
        <f>IF(COUNTIF(D2386,"*"&amp;'Keyword Search'!$C$5&amp;"*"),TRUE,FALSE)</f>
        <v>1</v>
      </c>
      <c r="G2386" t="str">
        <f t="shared" si="154"/>
        <v>305-25: Distance Measuring Equipment, Including Measuring Wheels (Inactive, please see commodity code 305-60 effective January 1, 2016)</v>
      </c>
    </row>
    <row r="2387" spans="1:7" x14ac:dyDescent="0.25">
      <c r="A2387" s="1" t="str">
        <f t="shared" si="155"/>
        <v>305</v>
      </c>
      <c r="B2387" s="1" t="str">
        <f>TEXT(28,"00")</f>
        <v>28</v>
      </c>
      <c r="C2387" s="1" t="str">
        <f t="shared" si="153"/>
        <v>305-28</v>
      </c>
      <c r="D2387" t="s">
        <v>2371</v>
      </c>
      <c r="E2387" t="b">
        <f>IF(COUNTIF(D2387,"*"&amp;'Keyword Search'!$C$5&amp;"*"),TRUE,FALSE)</f>
        <v>1</v>
      </c>
      <c r="G2387" t="str">
        <f t="shared" si="154"/>
        <v>305-28: Drafting and Drawing Instruments (See 204-71 for Graphic Plotters and 305-75 for Straightedges)</v>
      </c>
    </row>
    <row r="2388" spans="1:7" x14ac:dyDescent="0.25">
      <c r="A2388" s="1" t="str">
        <f t="shared" si="155"/>
        <v>305</v>
      </c>
      <c r="B2388" s="1" t="str">
        <f>TEXT(30,"00")</f>
        <v>30</v>
      </c>
      <c r="C2388" s="1" t="str">
        <f t="shared" si="153"/>
        <v>305-30</v>
      </c>
      <c r="D2388" t="s">
        <v>2372</v>
      </c>
      <c r="E2388" t="b">
        <f>IF(COUNTIF(D2388,"*"&amp;'Keyword Search'!$C$5&amp;"*"),TRUE,FALSE)</f>
        <v>1</v>
      </c>
      <c r="G2388" t="str">
        <f t="shared" si="154"/>
        <v>305-30: Drafting/Technical Pens, Pencils, Sets, Refills and Parts (Inactive, please see commodity code 305-28 effective January 1, 2016)</v>
      </c>
    </row>
    <row r="2389" spans="1:7" x14ac:dyDescent="0.25">
      <c r="A2389" s="1" t="str">
        <f t="shared" si="155"/>
        <v>305</v>
      </c>
      <c r="B2389" s="1" t="str">
        <f>TEXT(32,"00")</f>
        <v>32</v>
      </c>
      <c r="C2389" s="1" t="str">
        <f t="shared" si="153"/>
        <v>305-32</v>
      </c>
      <c r="D2389" t="s">
        <v>2373</v>
      </c>
      <c r="E2389" t="b">
        <f>IF(COUNTIF(D2389,"*"&amp;'Keyword Search'!$C$5&amp;"*"),TRUE,FALSE)</f>
        <v>1</v>
      </c>
      <c r="G2389" t="str">
        <f t="shared" si="154"/>
        <v>305-32: Drafting Machines and Scales</v>
      </c>
    </row>
    <row r="2390" spans="1:7" x14ac:dyDescent="0.25">
      <c r="A2390" s="1" t="str">
        <f t="shared" si="155"/>
        <v>305</v>
      </c>
      <c r="B2390" s="1" t="str">
        <f>TEXT(33,"00")</f>
        <v>33</v>
      </c>
      <c r="C2390" s="1" t="str">
        <f t="shared" si="153"/>
        <v>305-33</v>
      </c>
      <c r="D2390" t="s">
        <v>2374</v>
      </c>
      <c r="E2390" t="b">
        <f>IF(COUNTIF(D2390,"*"&amp;'Keyword Search'!$C$5&amp;"*"),TRUE,FALSE)</f>
        <v>1</v>
      </c>
      <c r="G2390" t="str">
        <f t="shared" si="154"/>
        <v>305-33: Drafting Supplies: Brushes, Dust and Wash, Cleaning Pads and Power, Paper Shears, Paper Weights, Steel Erasers, Transparent Protective Film and Tape, etc.</v>
      </c>
    </row>
    <row r="2391" spans="1:7" x14ac:dyDescent="0.25">
      <c r="A2391" s="1" t="str">
        <f t="shared" si="155"/>
        <v>305</v>
      </c>
      <c r="B2391" s="1" t="str">
        <f>TEXT(35,"00")</f>
        <v>35</v>
      </c>
      <c r="C2391" s="1" t="str">
        <f t="shared" si="153"/>
        <v>305-35</v>
      </c>
      <c r="D2391" t="s">
        <v>2375</v>
      </c>
      <c r="E2391" t="b">
        <f>IF(COUNTIF(D2391,"*"&amp;'Keyword Search'!$C$5&amp;"*"),TRUE,FALSE)</f>
        <v>1</v>
      </c>
      <c r="G2391" t="str">
        <f t="shared" si="154"/>
        <v>305-35: Drawing Boards, Curves, Protractors, Templates, Triangles, T-Squares, etc.  (Inactive, please see commodity code 305-28 effective January 1, 2016)</v>
      </c>
    </row>
    <row r="2392" spans="1:7" x14ac:dyDescent="0.25">
      <c r="A2392" s="1" t="str">
        <f t="shared" si="155"/>
        <v>305</v>
      </c>
      <c r="B2392" s="1" t="str">
        <f>TEXT(36,"00")</f>
        <v>36</v>
      </c>
      <c r="C2392" s="1" t="str">
        <f t="shared" si="153"/>
        <v>305-36</v>
      </c>
      <c r="D2392" t="s">
        <v>2376</v>
      </c>
      <c r="E2392" t="b">
        <f>IF(COUNTIF(D2392,"*"&amp;'Keyword Search'!$C$5&amp;"*"),TRUE,FALSE)</f>
        <v>1</v>
      </c>
      <c r="G2392" t="str">
        <f t="shared" si="154"/>
        <v>305-36: Drafting Paper  (Inactive, please see commodity code 305-28 effective January 1, 2016)</v>
      </c>
    </row>
    <row r="2393" spans="1:7" x14ac:dyDescent="0.25">
      <c r="A2393" s="1" t="str">
        <f t="shared" si="155"/>
        <v>305</v>
      </c>
      <c r="B2393" s="1" t="str">
        <f>TEXT(38,"00")</f>
        <v>38</v>
      </c>
      <c r="C2393" s="1" t="str">
        <f t="shared" si="153"/>
        <v>305-38</v>
      </c>
      <c r="D2393" t="s">
        <v>2377</v>
      </c>
      <c r="E2393" t="b">
        <f>IF(COUNTIF(D2393,"*"&amp;'Keyword Search'!$C$5&amp;"*"),TRUE,FALSE)</f>
        <v>1</v>
      </c>
      <c r="G2393" t="str">
        <f t="shared" si="154"/>
        <v>305-38: Duplicator Paper: Blue Print, Brown Print, and White Print</v>
      </c>
    </row>
    <row r="2394" spans="1:7" x14ac:dyDescent="0.25">
      <c r="A2394" s="1" t="str">
        <f t="shared" si="155"/>
        <v>305</v>
      </c>
      <c r="B2394" s="1" t="str">
        <f>TEXT(39,"00")</f>
        <v>39</v>
      </c>
      <c r="C2394" s="1" t="str">
        <f t="shared" si="153"/>
        <v>305-39</v>
      </c>
      <c r="D2394" t="s">
        <v>2378</v>
      </c>
      <c r="E2394" t="b">
        <f>IF(COUNTIF(D2394,"*"&amp;'Keyword Search'!$C$5&amp;"*"),TRUE,FALSE)</f>
        <v>1</v>
      </c>
      <c r="G2394" t="str">
        <f t="shared" si="154"/>
        <v>305-39: Duplicator Paper, Chemicals, and Supplies, Diazo Process Copying Machines, (See Class 015 for Coated/Treated Paper Type, Diffusion Transfer Type, Dual Spectrum Process and Thermal Process Copiers)</v>
      </c>
    </row>
    <row r="2395" spans="1:7" x14ac:dyDescent="0.25">
      <c r="A2395" s="1" t="str">
        <f t="shared" si="155"/>
        <v>305</v>
      </c>
      <c r="B2395" s="1" t="str">
        <f>TEXT(40,"00")</f>
        <v>40</v>
      </c>
      <c r="C2395" s="1" t="str">
        <f t="shared" si="153"/>
        <v>305-40</v>
      </c>
      <c r="D2395" t="s">
        <v>2379</v>
      </c>
      <c r="E2395" t="b">
        <f>IF(COUNTIF(D2395,"*"&amp;'Keyword Search'!$C$5&amp;"*"),TRUE,FALSE)</f>
        <v>1</v>
      </c>
      <c r="G2395" t="str">
        <f t="shared" si="154"/>
        <v>305-40: Duplicators: Blue Print, Brown Print, Diazo Process, White Print, etc.</v>
      </c>
    </row>
    <row r="2396" spans="1:7" x14ac:dyDescent="0.25">
      <c r="A2396" s="1" t="str">
        <f t="shared" si="155"/>
        <v>305</v>
      </c>
      <c r="B2396" s="1" t="str">
        <f>TEXT(42,"00")</f>
        <v>42</v>
      </c>
      <c r="C2396" s="1" t="str">
        <f t="shared" si="153"/>
        <v>305-42</v>
      </c>
      <c r="D2396" t="s">
        <v>2380</v>
      </c>
      <c r="E2396" t="b">
        <f>IF(COUNTIF(D2396,"*"&amp;'Keyword Search'!$C$5&amp;"*"),TRUE,FALSE)</f>
        <v>1</v>
      </c>
      <c r="G2396" t="str">
        <f t="shared" si="154"/>
        <v>305-42: Engineering Supplies, Miscellaneous</v>
      </c>
    </row>
    <row r="2397" spans="1:7" x14ac:dyDescent="0.25">
      <c r="A2397" s="1" t="str">
        <f t="shared" si="155"/>
        <v>305</v>
      </c>
      <c r="B2397" s="1" t="str">
        <f>TEXT(44,"00")</f>
        <v>44</v>
      </c>
      <c r="C2397" s="1" t="str">
        <f t="shared" si="153"/>
        <v>305-44</v>
      </c>
      <c r="D2397" t="s">
        <v>2381</v>
      </c>
      <c r="E2397" t="b">
        <f>IF(COUNTIF(D2397,"*"&amp;'Keyword Search'!$C$5&amp;"*"),TRUE,FALSE)</f>
        <v>1</v>
      </c>
      <c r="G2397" t="str">
        <f t="shared" si="154"/>
        <v>305-44: Erasers and Erasing Machines, Electric</v>
      </c>
    </row>
    <row r="2398" spans="1:7" x14ac:dyDescent="0.25">
      <c r="A2398" s="1" t="str">
        <f t="shared" si="155"/>
        <v>305</v>
      </c>
      <c r="B2398" s="1" t="str">
        <f>TEXT(48,"00")</f>
        <v>48</v>
      </c>
      <c r="C2398" s="1" t="str">
        <f t="shared" si="153"/>
        <v>305-48</v>
      </c>
      <c r="D2398" t="s">
        <v>2382</v>
      </c>
      <c r="E2398" t="b">
        <f>IF(COUNTIF(D2398,"*"&amp;'Keyword Search'!$C$5&amp;"*"),TRUE,FALSE)</f>
        <v>1</v>
      </c>
      <c r="G2398" t="str">
        <f t="shared" si="154"/>
        <v>305-48: Field Books, Engineers'  (Inactive, please see commodity code 305-18 effective January 1, 2016)</v>
      </c>
    </row>
    <row r="2399" spans="1:7" x14ac:dyDescent="0.25">
      <c r="A2399" s="1" t="str">
        <f t="shared" si="155"/>
        <v>305</v>
      </c>
      <c r="B2399" s="1" t="str">
        <f>TEXT(50,"00")</f>
        <v>50</v>
      </c>
      <c r="C2399" s="1" t="str">
        <f t="shared" si="153"/>
        <v>305-50</v>
      </c>
      <c r="D2399" t="s">
        <v>2383</v>
      </c>
      <c r="E2399" t="b">
        <f>IF(COUNTIF(D2399,"*"&amp;'Keyword Search'!$C$5&amp;"*"),TRUE,FALSE)</f>
        <v>1</v>
      </c>
      <c r="G2399" t="str">
        <f t="shared" si="154"/>
        <v>305-50: Field Equipment: Arrows, Bush Knives, Flags and Flagging, Hand Levels, Leveling Rods, Machetes, Plumb Bobs, Pocket Transits, Range Poles, etc.</v>
      </c>
    </row>
    <row r="2400" spans="1:7" x14ac:dyDescent="0.25">
      <c r="A2400" s="1" t="str">
        <f t="shared" si="155"/>
        <v>305</v>
      </c>
      <c r="B2400" s="1" t="str">
        <f>TEXT(53,"00")</f>
        <v>53</v>
      </c>
      <c r="C2400" s="1" t="str">
        <f t="shared" si="153"/>
        <v>305-53</v>
      </c>
      <c r="D2400" t="s">
        <v>2384</v>
      </c>
      <c r="E2400" t="b">
        <f>IF(COUNTIF(D2400,"*"&amp;'Keyword Search'!$C$5&amp;"*"),TRUE,FALSE)</f>
        <v>1</v>
      </c>
      <c r="G2400" t="str">
        <f t="shared" si="154"/>
        <v>305-53: Graphic Art Type Supplies</v>
      </c>
    </row>
    <row r="2401" spans="1:7" x14ac:dyDescent="0.25">
      <c r="A2401" s="1" t="str">
        <f t="shared" si="155"/>
        <v>305</v>
      </c>
      <c r="B2401" s="1" t="str">
        <f>TEXT(55,"00")</f>
        <v>55</v>
      </c>
      <c r="C2401" s="1" t="str">
        <f t="shared" si="153"/>
        <v>305-55</v>
      </c>
      <c r="D2401" t="s">
        <v>2385</v>
      </c>
      <c r="E2401" t="b">
        <f>IF(COUNTIF(D2401,"*"&amp;'Keyword Search'!$C$5&amp;"*"),TRUE,FALSE)</f>
        <v>1</v>
      </c>
      <c r="G2401" t="str">
        <f t="shared" si="154"/>
        <v>305-55: Lettering Equipment, Automatic Letter or Character Generating Devices</v>
      </c>
    </row>
    <row r="2402" spans="1:7" x14ac:dyDescent="0.25">
      <c r="A2402" s="1" t="str">
        <f t="shared" si="155"/>
        <v>305</v>
      </c>
      <c r="B2402" s="1" t="str">
        <f>TEXT(57,"00")</f>
        <v>57</v>
      </c>
      <c r="C2402" s="1" t="str">
        <f t="shared" si="153"/>
        <v>305-57</v>
      </c>
      <c r="D2402" t="s">
        <v>2386</v>
      </c>
      <c r="E2402" t="b">
        <f>IF(COUNTIF(D2402,"*"&amp;'Keyword Search'!$C$5&amp;"*"),TRUE,FALSE)</f>
        <v>1</v>
      </c>
      <c r="G2402" t="str">
        <f t="shared" si="154"/>
        <v>305-57: Lettering Equipment, Hand Manipulated: Guides, Pens, Sets, etc.</v>
      </c>
    </row>
    <row r="2403" spans="1:7" x14ac:dyDescent="0.25">
      <c r="A2403" s="1" t="str">
        <f t="shared" si="155"/>
        <v>305</v>
      </c>
      <c r="B2403" s="1" t="str">
        <f>TEXT(58,"00")</f>
        <v>58</v>
      </c>
      <c r="C2403" s="1" t="str">
        <f t="shared" si="153"/>
        <v>305-58</v>
      </c>
      <c r="D2403" t="s">
        <v>2387</v>
      </c>
      <c r="E2403" t="b">
        <f>IF(COUNTIF(D2403,"*"&amp;'Keyword Search'!$C$5&amp;"*"),TRUE,FALSE)</f>
        <v>1</v>
      </c>
      <c r="G2403" t="str">
        <f t="shared" si="154"/>
        <v>305-58: Magnifying Glasses, Angle Mirrors, Prisms, Stereoscopes, etc.</v>
      </c>
    </row>
    <row r="2404" spans="1:7" x14ac:dyDescent="0.25">
      <c r="A2404" s="1" t="str">
        <f t="shared" si="155"/>
        <v>305</v>
      </c>
      <c r="B2404" s="1" t="str">
        <f>TEXT(59,"00")</f>
        <v>59</v>
      </c>
      <c r="C2404" s="1" t="str">
        <f t="shared" si="153"/>
        <v>305-59</v>
      </c>
      <c r="D2404" t="s">
        <v>2388</v>
      </c>
      <c r="E2404" t="b">
        <f>IF(COUNTIF(D2404,"*"&amp;'Keyword Search'!$C$5&amp;"*"),TRUE,FALSE)</f>
        <v>1</v>
      </c>
      <c r="G2404" t="str">
        <f t="shared" si="154"/>
        <v>305-59: *Maps, Engineer and Topographical</v>
      </c>
    </row>
    <row r="2405" spans="1:7" x14ac:dyDescent="0.25">
      <c r="A2405" s="1" t="str">
        <f t="shared" si="155"/>
        <v>305</v>
      </c>
      <c r="B2405" s="1" t="str">
        <f>TEXT(60,"00")</f>
        <v>60</v>
      </c>
      <c r="C2405" s="1" t="str">
        <f t="shared" si="153"/>
        <v>305-60</v>
      </c>
      <c r="D2405" t="s">
        <v>2389</v>
      </c>
      <c r="E2405" t="b">
        <f>IF(COUNTIF(D2405,"*"&amp;'Keyword Search'!$C$5&amp;"*"),TRUE,FALSE)</f>
        <v>1</v>
      </c>
      <c r="G2405" t="str">
        <f t="shared" si="154"/>
        <v>305-60: *Measuring Equipment: Chains, Maps, Optical Tapes, Tapes, Wheels, etc., Including Photogrammetry and Laser Equipment</v>
      </c>
    </row>
    <row r="2406" spans="1:7" x14ac:dyDescent="0.25">
      <c r="A2406" s="1" t="str">
        <f t="shared" si="155"/>
        <v>305</v>
      </c>
      <c r="B2406" s="1" t="str">
        <f>TEXT(61,"00")</f>
        <v>61</v>
      </c>
      <c r="C2406" s="1" t="str">
        <f t="shared" si="153"/>
        <v>305-61</v>
      </c>
      <c r="D2406" t="s">
        <v>2390</v>
      </c>
      <c r="E2406" t="b">
        <f>IF(COUNTIF(D2406,"*"&amp;'Keyword Search'!$C$5&amp;"*"),TRUE,FALSE)</f>
        <v>1</v>
      </c>
      <c r="G2406" t="str">
        <f t="shared" si="154"/>
        <v>305-61: Measuring Equipment, Area, Large Scale (Inactive, please see commodity code 305-60 effective January 1, 2016)</v>
      </c>
    </row>
    <row r="2407" spans="1:7" x14ac:dyDescent="0.25">
      <c r="A2407" s="1" t="str">
        <f t="shared" si="155"/>
        <v>305</v>
      </c>
      <c r="B2407" s="1" t="str">
        <f>TEXT(64,"00")</f>
        <v>64</v>
      </c>
      <c r="C2407" s="1" t="str">
        <f t="shared" si="153"/>
        <v>305-64</v>
      </c>
      <c r="D2407" t="s">
        <v>2391</v>
      </c>
      <c r="E2407" t="b">
        <f>IF(COUNTIF(D2407,"*"&amp;'Keyword Search'!$C$5&amp;"*"),TRUE,FALSE)</f>
        <v>1</v>
      </c>
      <c r="G2407" t="str">
        <f t="shared" si="154"/>
        <v>305-64: Opaquing and Transparentizing Liquids, Erasing Fluids, and Pastes</v>
      </c>
    </row>
    <row r="2408" spans="1:7" x14ac:dyDescent="0.25">
      <c r="A2408" s="1" t="str">
        <f t="shared" si="155"/>
        <v>305</v>
      </c>
      <c r="B2408" s="1" t="str">
        <f>TEXT(68,"00")</f>
        <v>68</v>
      </c>
      <c r="C2408" s="1" t="str">
        <f t="shared" si="153"/>
        <v>305-68</v>
      </c>
      <c r="D2408" t="s">
        <v>2392</v>
      </c>
      <c r="E2408" t="b">
        <f>IF(COUNTIF(D2408,"*"&amp;'Keyword Search'!$C$5&amp;"*"),TRUE,FALSE)</f>
        <v>1</v>
      </c>
      <c r="G2408" t="str">
        <f t="shared" si="154"/>
        <v>305-68: Planimeters  (AKA Platometer)</v>
      </c>
    </row>
    <row r="2409" spans="1:7" x14ac:dyDescent="0.25">
      <c r="A2409" s="1" t="str">
        <f t="shared" si="155"/>
        <v>305</v>
      </c>
      <c r="B2409" s="1" t="str">
        <f>TEXT(70,"00")</f>
        <v>70</v>
      </c>
      <c r="C2409" s="1" t="str">
        <f t="shared" si="153"/>
        <v>305-70</v>
      </c>
      <c r="D2409" t="s">
        <v>2393</v>
      </c>
      <c r="E2409" t="b">
        <f>IF(COUNTIF(D2409,"*"&amp;'Keyword Search'!$C$5&amp;"*"),TRUE,FALSE)</f>
        <v>1</v>
      </c>
      <c r="G2409" t="str">
        <f t="shared" si="154"/>
        <v>305-70: Recycled Engineering Equipment, Accessories and Supplies</v>
      </c>
    </row>
    <row r="2410" spans="1:7" x14ac:dyDescent="0.25">
      <c r="A2410" s="1" t="str">
        <f t="shared" si="155"/>
        <v>305</v>
      </c>
      <c r="B2410" s="1" t="str">
        <f>TEXT(71,"00")</f>
        <v>71</v>
      </c>
      <c r="C2410" s="1" t="str">
        <f t="shared" si="153"/>
        <v>305-71</v>
      </c>
      <c r="D2410" t="s">
        <v>2394</v>
      </c>
      <c r="E2410" t="b">
        <f>IF(COUNTIF(D2410,"*"&amp;'Keyword Search'!$C$5&amp;"*"),TRUE,FALSE)</f>
        <v>1</v>
      </c>
      <c r="G2410" t="str">
        <f t="shared" si="154"/>
        <v>305-71: Signage and Logos, Architectural, Glass, Photographic, Stone, Tile</v>
      </c>
    </row>
    <row r="2411" spans="1:7" x14ac:dyDescent="0.25">
      <c r="A2411" s="1" t="str">
        <f t="shared" si="155"/>
        <v>305</v>
      </c>
      <c r="B2411" s="1" t="str">
        <f>TEXT(72,"00")</f>
        <v>72</v>
      </c>
      <c r="C2411" s="1" t="str">
        <f t="shared" si="153"/>
        <v>305-72</v>
      </c>
      <c r="D2411" t="s">
        <v>2395</v>
      </c>
      <c r="E2411" t="b">
        <f>IF(COUNTIF(D2411,"*"&amp;'Keyword Search'!$C$5&amp;"*"),TRUE,FALSE)</f>
        <v>1</v>
      </c>
      <c r="G2411" t="str">
        <f t="shared" si="154"/>
        <v>305-72: Slide Rules</v>
      </c>
    </row>
    <row r="2412" spans="1:7" x14ac:dyDescent="0.25">
      <c r="A2412" s="1" t="str">
        <f t="shared" si="155"/>
        <v>305</v>
      </c>
      <c r="B2412" s="1" t="str">
        <f>TEXT(75,"00")</f>
        <v>75</v>
      </c>
      <c r="C2412" s="1" t="str">
        <f t="shared" si="153"/>
        <v>305-75</v>
      </c>
      <c r="D2412" t="s">
        <v>2396</v>
      </c>
      <c r="E2412" t="b">
        <f>IF(COUNTIF(D2412,"*"&amp;'Keyword Search'!$C$5&amp;"*"),TRUE,FALSE)</f>
        <v>1</v>
      </c>
      <c r="G2412" t="str">
        <f t="shared" si="154"/>
        <v>305-75: Straightedge Tool</v>
      </c>
    </row>
    <row r="2413" spans="1:7" x14ac:dyDescent="0.25">
      <c r="A2413" s="1" t="str">
        <f t="shared" si="155"/>
        <v>305</v>
      </c>
      <c r="B2413" s="1" t="str">
        <f>TEXT(78,"00")</f>
        <v>78</v>
      </c>
      <c r="C2413" s="1" t="str">
        <f t="shared" si="153"/>
        <v>305-78</v>
      </c>
      <c r="D2413" t="s">
        <v>2397</v>
      </c>
      <c r="E2413" t="b">
        <f>IF(COUNTIF(D2413,"*"&amp;'Keyword Search'!$C$5&amp;"*"),TRUE,FALSE)</f>
        <v>1</v>
      </c>
      <c r="G2413" t="str">
        <f t="shared" si="154"/>
        <v>305-78: Surveying Instruments and Accessories: Alidades, Compasses, Levels, Theodolites, Transits, Tripods, etc. (See 305-60 for Surveyor's Measuring Equipment)</v>
      </c>
    </row>
    <row r="2414" spans="1:7" x14ac:dyDescent="0.25">
      <c r="A2414" s="1" t="str">
        <f t="shared" si="155"/>
        <v>305</v>
      </c>
      <c r="B2414" s="1" t="str">
        <f>TEXT(80,"00")</f>
        <v>80</v>
      </c>
      <c r="C2414" s="1" t="str">
        <f t="shared" si="153"/>
        <v>305-80</v>
      </c>
      <c r="D2414" t="s">
        <v>2398</v>
      </c>
      <c r="E2414" t="b">
        <f>IF(COUNTIF(D2414,"*"&amp;'Keyword Search'!$C$5&amp;"*"),TRUE,FALSE)</f>
        <v>1</v>
      </c>
      <c r="G2414" t="str">
        <f t="shared" si="154"/>
        <v>305-80: *Surveying Systems, GPS</v>
      </c>
    </row>
    <row r="2415" spans="1:7" x14ac:dyDescent="0.25">
      <c r="A2415" s="1" t="str">
        <f t="shared" si="155"/>
        <v>305</v>
      </c>
      <c r="B2415" s="1" t="str">
        <f>TEXT(82,"00")</f>
        <v>82</v>
      </c>
      <c r="C2415" s="1" t="str">
        <f t="shared" si="153"/>
        <v>305-82</v>
      </c>
      <c r="D2415" t="s">
        <v>2399</v>
      </c>
      <c r="E2415" t="b">
        <f>IF(COUNTIF(D2415,"*"&amp;'Keyword Search'!$C$5&amp;"*"),TRUE,FALSE)</f>
        <v>1</v>
      </c>
      <c r="G2415" t="str">
        <f t="shared" si="154"/>
        <v>305-82: Tables, Tracing and Light</v>
      </c>
    </row>
    <row r="2416" spans="1:7" x14ac:dyDescent="0.25">
      <c r="A2416" s="1" t="str">
        <f t="shared" si="155"/>
        <v>305</v>
      </c>
      <c r="B2416" s="1" t="str">
        <f>TEXT(84,"00")</f>
        <v>84</v>
      </c>
      <c r="C2416" s="1" t="str">
        <f t="shared" si="153"/>
        <v>305-84</v>
      </c>
      <c r="D2416" t="s">
        <v>2400</v>
      </c>
      <c r="E2416" t="b">
        <f>IF(COUNTIF(D2416,"*"&amp;'Keyword Search'!$C$5&amp;"*"),TRUE,FALSE)</f>
        <v>1</v>
      </c>
      <c r="G2416" t="str">
        <f t="shared" si="154"/>
        <v>305-84: Technical Pens and Sets, Points and Refills, etc.  (Inactive, please see commodity code 305-30 effective January 1, 2016)</v>
      </c>
    </row>
    <row r="2417" spans="1:7" x14ac:dyDescent="0.25">
      <c r="A2417" s="5" t="str">
        <f t="shared" ref="A2417:A2457" si="156">TEXT(306,"000")</f>
        <v>306</v>
      </c>
      <c r="B2417" s="5" t="str">
        <f>TEXT(0,"00")</f>
        <v>00</v>
      </c>
      <c r="C2417" s="1"/>
      <c r="D2417" s="2" t="s">
        <v>2401</v>
      </c>
    </row>
    <row r="2418" spans="1:7" x14ac:dyDescent="0.25">
      <c r="A2418" s="1" t="str">
        <f t="shared" si="156"/>
        <v>306</v>
      </c>
      <c r="B2418" s="1" t="str">
        <f>TEXT(4,"00")</f>
        <v>04</v>
      </c>
      <c r="C2418" s="1" t="str">
        <f t="shared" si="153"/>
        <v>306-04</v>
      </c>
      <c r="D2418" t="s">
        <v>2402</v>
      </c>
      <c r="E2418" t="b">
        <f>IF(COUNTIF(D2418,"*"&amp;'Keyword Search'!$C$5&amp;"*"),TRUE,FALSE)</f>
        <v>1</v>
      </c>
      <c r="G2418" t="str">
        <f t="shared" si="154"/>
        <v>306-04: Blades, Gouges, Knives, Needle Files, Routers, etc., Environmentally Certified Products</v>
      </c>
    </row>
    <row r="2419" spans="1:7" x14ac:dyDescent="0.25">
      <c r="A2419" s="1" t="str">
        <f t="shared" si="156"/>
        <v>306</v>
      </c>
      <c r="B2419" s="1" t="str">
        <f>TEXT(6,"00")</f>
        <v>06</v>
      </c>
      <c r="C2419" s="1" t="str">
        <f t="shared" si="153"/>
        <v>306-06</v>
      </c>
      <c r="D2419" t="s">
        <v>2403</v>
      </c>
      <c r="E2419" t="b">
        <f>IF(COUNTIF(D2419,"*"&amp;'Keyword Search'!$C$5&amp;"*"),TRUE,FALSE)</f>
        <v>1</v>
      </c>
      <c r="G2419" t="str">
        <f t="shared" si="154"/>
        <v>306-06: Calculators, Programmed for Surveying Systems, (See Class 600 For Office Type), Environmentally Certified Products</v>
      </c>
    </row>
    <row r="2420" spans="1:7" x14ac:dyDescent="0.25">
      <c r="A2420" s="1" t="str">
        <f t="shared" si="156"/>
        <v>306</v>
      </c>
      <c r="B2420" s="1" t="str">
        <f>TEXT(8,"00")</f>
        <v>08</v>
      </c>
      <c r="C2420" s="1" t="str">
        <f t="shared" si="153"/>
        <v>306-08</v>
      </c>
      <c r="D2420" t="s">
        <v>2404</v>
      </c>
      <c r="E2420" t="b">
        <f>IF(COUNTIF(D2420,"*"&amp;'Keyword Search'!$C$5&amp;"*"),TRUE,FALSE)</f>
        <v>1</v>
      </c>
      <c r="G2420" t="str">
        <f t="shared" si="154"/>
        <v>306-08: Cloths, Films, and Papers, Special: Cross-Section, Graph, Log, Profile, Tracing, etc., Environmentally Certified Products</v>
      </c>
    </row>
    <row r="2421" spans="1:7" x14ac:dyDescent="0.25">
      <c r="A2421" s="1" t="str">
        <f t="shared" si="156"/>
        <v>306</v>
      </c>
      <c r="B2421" s="1" t="str">
        <f>TEXT(10,"00")</f>
        <v>10</v>
      </c>
      <c r="C2421" s="1" t="str">
        <f t="shared" si="153"/>
        <v>306-10</v>
      </c>
      <c r="D2421" t="s">
        <v>2405</v>
      </c>
      <c r="E2421" t="b">
        <f>IF(COUNTIF(D2421,"*"&amp;'Keyword Search'!$C$5&amp;"*"),TRUE,FALSE)</f>
        <v>1</v>
      </c>
      <c r="G2421" t="str">
        <f t="shared" si="154"/>
        <v>306-10: Cloths, Films, and Papers, Stock: Cross-Section, Graph, Log, Profile, Tracing, etc., Environmentally Certified Products</v>
      </c>
    </row>
    <row r="2422" spans="1:7" x14ac:dyDescent="0.25">
      <c r="A2422" s="1" t="str">
        <f t="shared" si="156"/>
        <v>306</v>
      </c>
      <c r="B2422" s="1" t="str">
        <f>TEXT(12,"00")</f>
        <v>12</v>
      </c>
      <c r="C2422" s="1" t="str">
        <f t="shared" si="153"/>
        <v>306-12</v>
      </c>
      <c r="D2422" t="s">
        <v>2406</v>
      </c>
      <c r="E2422" t="b">
        <f>IF(COUNTIF(D2422,"*"&amp;'Keyword Search'!$C$5&amp;"*"),TRUE,FALSE)</f>
        <v>1</v>
      </c>
      <c r="G2422" t="str">
        <f t="shared" si="154"/>
        <v>306-12: Cloths, Films, and Papers, Reproduction Types, Environmentally Certified Products</v>
      </c>
    </row>
    <row r="2423" spans="1:7" x14ac:dyDescent="0.25">
      <c r="A2423" s="1" t="str">
        <f t="shared" si="156"/>
        <v>306</v>
      </c>
      <c r="B2423" s="1" t="str">
        <f>TEXT(15,"00")</f>
        <v>15</v>
      </c>
      <c r="C2423" s="1" t="str">
        <f t="shared" si="153"/>
        <v>306-15</v>
      </c>
      <c r="D2423" t="s">
        <v>2407</v>
      </c>
      <c r="E2423" t="b">
        <f>IF(COUNTIF(D2423,"*"&amp;'Keyword Search'!$C$5&amp;"*"),TRUE,FALSE)</f>
        <v>1</v>
      </c>
      <c r="G2423" t="str">
        <f t="shared" si="154"/>
        <v>306-15: Covers, Drafting and Drawing Boards, Environmentally Certified Products</v>
      </c>
    </row>
    <row r="2424" spans="1:7" x14ac:dyDescent="0.25">
      <c r="A2424" s="1" t="str">
        <f t="shared" si="156"/>
        <v>306</v>
      </c>
      <c r="B2424" s="1" t="str">
        <f>TEXT(18,"00")</f>
        <v>18</v>
      </c>
      <c r="C2424" s="1" t="str">
        <f t="shared" si="153"/>
        <v>306-18</v>
      </c>
      <c r="D2424" t="s">
        <v>2408</v>
      </c>
      <c r="E2424" t="b">
        <f>IF(COUNTIF(D2424,"*"&amp;'Keyword Search'!$C$5&amp;"*"),TRUE,FALSE)</f>
        <v>1</v>
      </c>
      <c r="G2424" t="str">
        <f t="shared" si="154"/>
        <v>306-18: Data Books and Tables, Engineering and Surveying, Environmentally Certified Products</v>
      </c>
    </row>
    <row r="2425" spans="1:7" x14ac:dyDescent="0.25">
      <c r="A2425" s="1" t="str">
        <f t="shared" si="156"/>
        <v>306</v>
      </c>
      <c r="B2425" s="1" t="str">
        <f>TEXT(21,"00")</f>
        <v>21</v>
      </c>
      <c r="C2425" s="1" t="str">
        <f t="shared" si="153"/>
        <v>306-21</v>
      </c>
      <c r="D2425" t="s">
        <v>2409</v>
      </c>
      <c r="E2425" t="b">
        <f>IF(COUNTIF(D2425,"*"&amp;'Keyword Search'!$C$5&amp;"*"),TRUE,FALSE)</f>
        <v>1</v>
      </c>
      <c r="G2425" t="str">
        <f t="shared" si="154"/>
        <v>306-21: Direct Print Supplies, Dry Process, Environmentally Certified Products</v>
      </c>
    </row>
    <row r="2426" spans="1:7" x14ac:dyDescent="0.25">
      <c r="A2426" s="1" t="str">
        <f t="shared" si="156"/>
        <v>306</v>
      </c>
      <c r="B2426" s="1" t="str">
        <f>TEXT(23,"00")</f>
        <v>23</v>
      </c>
      <c r="C2426" s="1" t="str">
        <f t="shared" si="153"/>
        <v>306-23</v>
      </c>
      <c r="D2426" t="s">
        <v>2410</v>
      </c>
      <c r="E2426" t="b">
        <f>IF(COUNTIF(D2426,"*"&amp;'Keyword Search'!$C$5&amp;"*"),TRUE,FALSE)</f>
        <v>1</v>
      </c>
      <c r="G2426" t="str">
        <f t="shared" si="154"/>
        <v>306-23: Direct Print Supplies, Wet Process, Environmentally Certified Products</v>
      </c>
    </row>
    <row r="2427" spans="1:7" x14ac:dyDescent="0.25">
      <c r="A2427" s="1" t="str">
        <f t="shared" si="156"/>
        <v>306</v>
      </c>
      <c r="B2427" s="1" t="str">
        <f>TEXT(25,"00")</f>
        <v>25</v>
      </c>
      <c r="C2427" s="1" t="str">
        <f t="shared" si="153"/>
        <v>306-25</v>
      </c>
      <c r="D2427" t="s">
        <v>2411</v>
      </c>
      <c r="E2427" t="b">
        <f>IF(COUNTIF(D2427,"*"&amp;'Keyword Search'!$C$5&amp;"*"),TRUE,FALSE)</f>
        <v>1</v>
      </c>
      <c r="G2427" t="str">
        <f t="shared" si="154"/>
        <v>306-25: Distance Measuring Equipment, Including Measuring Wheels, Environmentally Certified Products</v>
      </c>
    </row>
    <row r="2428" spans="1:7" x14ac:dyDescent="0.25">
      <c r="A2428" s="1" t="str">
        <f t="shared" si="156"/>
        <v>306</v>
      </c>
      <c r="B2428" s="1" t="str">
        <f>TEXT(28,"00")</f>
        <v>28</v>
      </c>
      <c r="C2428" s="1" t="str">
        <f t="shared" si="153"/>
        <v>306-28</v>
      </c>
      <c r="D2428" t="s">
        <v>2412</v>
      </c>
      <c r="E2428" t="b">
        <f>IF(COUNTIF(D2428,"*"&amp;'Keyword Search'!$C$5&amp;"*"),TRUE,FALSE)</f>
        <v>1</v>
      </c>
      <c r="G2428" t="str">
        <f t="shared" si="154"/>
        <v>306-28: Drafting and Drawing Instruments (See 204-71 for Graphic Plotters and 305-75 for Straightedges), Environmentally Certified Products</v>
      </c>
    </row>
    <row r="2429" spans="1:7" x14ac:dyDescent="0.25">
      <c r="A2429" s="1" t="str">
        <f t="shared" si="156"/>
        <v>306</v>
      </c>
      <c r="B2429" s="1" t="str">
        <f>TEXT(30,"00")</f>
        <v>30</v>
      </c>
      <c r="C2429" s="1" t="str">
        <f t="shared" si="153"/>
        <v>306-30</v>
      </c>
      <c r="D2429" t="s">
        <v>2413</v>
      </c>
      <c r="E2429" t="b">
        <f>IF(COUNTIF(D2429,"*"&amp;'Keyword Search'!$C$5&amp;"*"),TRUE,FALSE)</f>
        <v>1</v>
      </c>
      <c r="G2429" t="str">
        <f t="shared" si="154"/>
        <v>306-30: Drafting and Drawing Pencils, Pens, Leads, Lead Holders, etc., Environmentally Certified Products</v>
      </c>
    </row>
    <row r="2430" spans="1:7" x14ac:dyDescent="0.25">
      <c r="A2430" s="1" t="str">
        <f t="shared" si="156"/>
        <v>306</v>
      </c>
      <c r="B2430" s="1" t="str">
        <f>TEXT(32,"00")</f>
        <v>32</v>
      </c>
      <c r="C2430" s="1" t="str">
        <f t="shared" si="153"/>
        <v>306-32</v>
      </c>
      <c r="D2430" t="s">
        <v>2414</v>
      </c>
      <c r="E2430" t="b">
        <f>IF(COUNTIF(D2430,"*"&amp;'Keyword Search'!$C$5&amp;"*"),TRUE,FALSE)</f>
        <v>1</v>
      </c>
      <c r="G2430" t="str">
        <f t="shared" si="154"/>
        <v>306-32: Drafting Machines and Scales, Environmentally Certified Products</v>
      </c>
    </row>
    <row r="2431" spans="1:7" x14ac:dyDescent="0.25">
      <c r="A2431" s="1" t="str">
        <f t="shared" si="156"/>
        <v>306</v>
      </c>
      <c r="B2431" s="1" t="str">
        <f>TEXT(33,"00")</f>
        <v>33</v>
      </c>
      <c r="C2431" s="1" t="str">
        <f t="shared" si="153"/>
        <v>306-33</v>
      </c>
      <c r="D2431" t="s">
        <v>2415</v>
      </c>
      <c r="E2431" t="b">
        <f>IF(COUNTIF(D2431,"*"&amp;'Keyword Search'!$C$5&amp;"*"),TRUE,FALSE)</f>
        <v>1</v>
      </c>
      <c r="G2431" t="str">
        <f t="shared" si="154"/>
        <v>306-33: Drafting Supplies: Brushes, Dust and Was), Cleaning Pads and Power, Paper Shears, Paper Weights, Steel Erasers, Transparent Protective Film and Tape, etc., Environmentally Certified Products</v>
      </c>
    </row>
    <row r="2432" spans="1:7" x14ac:dyDescent="0.25">
      <c r="A2432" s="1" t="str">
        <f t="shared" si="156"/>
        <v>306</v>
      </c>
      <c r="B2432" s="1" t="str">
        <f>TEXT(35,"00")</f>
        <v>35</v>
      </c>
      <c r="C2432" s="1" t="str">
        <f t="shared" si="153"/>
        <v>306-35</v>
      </c>
      <c r="D2432" t="s">
        <v>2416</v>
      </c>
      <c r="E2432" t="b">
        <f>IF(COUNTIF(D2432,"*"&amp;'Keyword Search'!$C$5&amp;"*"),TRUE,FALSE)</f>
        <v>1</v>
      </c>
      <c r="G2432" t="str">
        <f t="shared" si="154"/>
        <v>306-35: Drawing Boards, Curves, Protractors, Templates, Triangles, T-Squares, etc., Environmentally Certified Products</v>
      </c>
    </row>
    <row r="2433" spans="1:7" x14ac:dyDescent="0.25">
      <c r="A2433" s="1" t="str">
        <f t="shared" si="156"/>
        <v>306</v>
      </c>
      <c r="B2433" s="1" t="str">
        <f>TEXT(36,"00")</f>
        <v>36</v>
      </c>
      <c r="C2433" s="1" t="str">
        <f t="shared" si="153"/>
        <v>306-36</v>
      </c>
      <c r="D2433" t="s">
        <v>2417</v>
      </c>
      <c r="E2433" t="b">
        <f>IF(COUNTIF(D2433,"*"&amp;'Keyword Search'!$C$5&amp;"*"),TRUE,FALSE)</f>
        <v>1</v>
      </c>
      <c r="G2433" t="str">
        <f t="shared" si="154"/>
        <v>306-36: Drafting Paper, Environmentally Certified Products</v>
      </c>
    </row>
    <row r="2434" spans="1:7" x14ac:dyDescent="0.25">
      <c r="A2434" s="1" t="str">
        <f t="shared" si="156"/>
        <v>306</v>
      </c>
      <c r="B2434" s="1" t="str">
        <f>TEXT(38,"00")</f>
        <v>38</v>
      </c>
      <c r="C2434" s="1" t="str">
        <f t="shared" si="153"/>
        <v>306-38</v>
      </c>
      <c r="D2434" t="s">
        <v>2418</v>
      </c>
      <c r="E2434" t="b">
        <f>IF(COUNTIF(D2434,"*"&amp;'Keyword Search'!$C$5&amp;"*"),TRUE,FALSE)</f>
        <v>1</v>
      </c>
      <c r="G2434" t="str">
        <f t="shared" si="154"/>
        <v>306-38: Duplicator Paper: Blue Print, Brown Print, and White Print, Environmentally Certified Products</v>
      </c>
    </row>
    <row r="2435" spans="1:7" x14ac:dyDescent="0.25">
      <c r="A2435" s="1" t="str">
        <f t="shared" si="156"/>
        <v>306</v>
      </c>
      <c r="B2435" s="1" t="str">
        <f>TEXT(39,"00")</f>
        <v>39</v>
      </c>
      <c r="C2435" s="1" t="str">
        <f t="shared" ref="C2435:C2498" si="157">CONCATENATE(A2435,"-",B2435)</f>
        <v>306-39</v>
      </c>
      <c r="D2435" t="s">
        <v>2419</v>
      </c>
      <c r="E2435" t="b">
        <f>IF(COUNTIF(D2435,"*"&amp;'Keyword Search'!$C$5&amp;"*"),TRUE,FALSE)</f>
        <v>1</v>
      </c>
      <c r="G2435" t="str">
        <f t="shared" si="154"/>
        <v>306-39: Duplicator Paper, Chemicals, and Supplies, Diazo Process Copying Machines, (See Class 015 for Coated and Treated Paper Type, Diffusion Transfer Type, Dual Spectrum Process and Thermal Process Copiers), Environmentally Certified Products</v>
      </c>
    </row>
    <row r="2436" spans="1:7" x14ac:dyDescent="0.25">
      <c r="A2436" s="1" t="str">
        <f t="shared" si="156"/>
        <v>306</v>
      </c>
      <c r="B2436" s="1" t="str">
        <f>TEXT(40,"00")</f>
        <v>40</v>
      </c>
      <c r="C2436" s="1" t="str">
        <f t="shared" si="157"/>
        <v>306-40</v>
      </c>
      <c r="D2436" t="s">
        <v>2420</v>
      </c>
      <c r="E2436" t="b">
        <f>IF(COUNTIF(D2436,"*"&amp;'Keyword Search'!$C$5&amp;"*"),TRUE,FALSE)</f>
        <v>1</v>
      </c>
      <c r="G2436" t="str">
        <f t="shared" ref="G2436:G2499" si="158">CONCATENATE(C2436,": ",D2436)</f>
        <v>306-40: Duplicators: Blue Print, Brown Print, Diazo Process, White Print, etc., Environmentally Certified Products</v>
      </c>
    </row>
    <row r="2437" spans="1:7" x14ac:dyDescent="0.25">
      <c r="A2437" s="1" t="str">
        <f t="shared" si="156"/>
        <v>306</v>
      </c>
      <c r="B2437" s="1" t="str">
        <f>TEXT(42,"00")</f>
        <v>42</v>
      </c>
      <c r="C2437" s="1" t="str">
        <f t="shared" si="157"/>
        <v>306-42</v>
      </c>
      <c r="D2437" t="s">
        <v>2421</v>
      </c>
      <c r="E2437" t="b">
        <f>IF(COUNTIF(D2437,"*"&amp;'Keyword Search'!$C$5&amp;"*"),TRUE,FALSE)</f>
        <v>1</v>
      </c>
      <c r="G2437" t="str">
        <f t="shared" si="158"/>
        <v>306-42: Engineering Supplies, Miscellaneous, Environmentally Certified Products</v>
      </c>
    </row>
    <row r="2438" spans="1:7" x14ac:dyDescent="0.25">
      <c r="A2438" s="1" t="str">
        <f t="shared" si="156"/>
        <v>306</v>
      </c>
      <c r="B2438" s="1" t="str">
        <f>TEXT(44,"00")</f>
        <v>44</v>
      </c>
      <c r="C2438" s="1" t="str">
        <f t="shared" si="157"/>
        <v>306-44</v>
      </c>
      <c r="D2438" t="s">
        <v>2422</v>
      </c>
      <c r="E2438" t="b">
        <f>IF(COUNTIF(D2438,"*"&amp;'Keyword Search'!$C$5&amp;"*"),TRUE,FALSE)</f>
        <v>1</v>
      </c>
      <c r="G2438" t="str">
        <f t="shared" si="158"/>
        <v>306-44: Erasers and Erasing Machines, Electric, Environmentally Certified Products</v>
      </c>
    </row>
    <row r="2439" spans="1:7" x14ac:dyDescent="0.25">
      <c r="A2439" s="1" t="str">
        <f t="shared" si="156"/>
        <v>306</v>
      </c>
      <c r="B2439" s="1" t="str">
        <f>TEXT(48,"00")</f>
        <v>48</v>
      </c>
      <c r="C2439" s="1" t="str">
        <f t="shared" si="157"/>
        <v>306-48</v>
      </c>
      <c r="D2439" t="s">
        <v>2423</v>
      </c>
      <c r="E2439" t="b">
        <f>IF(COUNTIF(D2439,"*"&amp;'Keyword Search'!$C$5&amp;"*"),TRUE,FALSE)</f>
        <v>1</v>
      </c>
      <c r="G2439" t="str">
        <f t="shared" si="158"/>
        <v>306-48: Field Books, Engineers', Environmentally Certified Products</v>
      </c>
    </row>
    <row r="2440" spans="1:7" x14ac:dyDescent="0.25">
      <c r="A2440" s="1" t="str">
        <f t="shared" si="156"/>
        <v>306</v>
      </c>
      <c r="B2440" s="1" t="str">
        <f>TEXT(50,"00")</f>
        <v>50</v>
      </c>
      <c r="C2440" s="1" t="str">
        <f t="shared" si="157"/>
        <v>306-50</v>
      </c>
      <c r="D2440" t="s">
        <v>2424</v>
      </c>
      <c r="E2440" t="b">
        <f>IF(COUNTIF(D2440,"*"&amp;'Keyword Search'!$C$5&amp;"*"),TRUE,FALSE)</f>
        <v>1</v>
      </c>
      <c r="G2440" t="str">
        <f t="shared" si="158"/>
        <v>306-50: Field Equipment: Arrows, Bush Knives, Flags and Flagging, Hand Levels, Leveling Rods, Machetes, Plumb Bobs, Pocket Transits, Range Poles, etc., Environmentally Certified Products</v>
      </c>
    </row>
    <row r="2441" spans="1:7" x14ac:dyDescent="0.25">
      <c r="A2441" s="1" t="str">
        <f t="shared" si="156"/>
        <v>306</v>
      </c>
      <c r="B2441" s="1" t="str">
        <f>TEXT(53,"00")</f>
        <v>53</v>
      </c>
      <c r="C2441" s="1" t="str">
        <f t="shared" si="157"/>
        <v>306-53</v>
      </c>
      <c r="D2441" t="s">
        <v>2425</v>
      </c>
      <c r="E2441" t="b">
        <f>IF(COUNTIF(D2441,"*"&amp;'Keyword Search'!$C$5&amp;"*"),TRUE,FALSE)</f>
        <v>1</v>
      </c>
      <c r="G2441" t="str">
        <f t="shared" si="158"/>
        <v>306-53: Graphic Art Type Supplies, Environmentally Certified Products</v>
      </c>
    </row>
    <row r="2442" spans="1:7" x14ac:dyDescent="0.25">
      <c r="A2442" s="1" t="str">
        <f t="shared" si="156"/>
        <v>306</v>
      </c>
      <c r="B2442" s="1" t="str">
        <f>TEXT(55,"00")</f>
        <v>55</v>
      </c>
      <c r="C2442" s="1" t="str">
        <f t="shared" si="157"/>
        <v>306-55</v>
      </c>
      <c r="D2442" t="s">
        <v>2426</v>
      </c>
      <c r="E2442" t="b">
        <f>IF(COUNTIF(D2442,"*"&amp;'Keyword Search'!$C$5&amp;"*"),TRUE,FALSE)</f>
        <v>1</v>
      </c>
      <c r="G2442" t="str">
        <f t="shared" si="158"/>
        <v>306-55: Lettering Equipment, Automatic Letter or Character Generating Devices, Environmentally Certified Products</v>
      </c>
    </row>
    <row r="2443" spans="1:7" x14ac:dyDescent="0.25">
      <c r="A2443" s="1" t="str">
        <f t="shared" si="156"/>
        <v>306</v>
      </c>
      <c r="B2443" s="1" t="str">
        <f>TEXT(57,"00")</f>
        <v>57</v>
      </c>
      <c r="C2443" s="1" t="str">
        <f t="shared" si="157"/>
        <v>306-57</v>
      </c>
      <c r="D2443" t="s">
        <v>2427</v>
      </c>
      <c r="E2443" t="b">
        <f>IF(COUNTIF(D2443,"*"&amp;'Keyword Search'!$C$5&amp;"*"),TRUE,FALSE)</f>
        <v>1</v>
      </c>
      <c r="G2443" t="str">
        <f t="shared" si="158"/>
        <v>306-57: Lettering Equipment, Hand Manipulated: Guides, Pens, Sets, etc., Environmentally Certified Products</v>
      </c>
    </row>
    <row r="2444" spans="1:7" x14ac:dyDescent="0.25">
      <c r="A2444" s="1" t="str">
        <f t="shared" si="156"/>
        <v>306</v>
      </c>
      <c r="B2444" s="1" t="str">
        <f>TEXT(58,"00")</f>
        <v>58</v>
      </c>
      <c r="C2444" s="1" t="str">
        <f t="shared" si="157"/>
        <v>306-58</v>
      </c>
      <c r="D2444" t="s">
        <v>2428</v>
      </c>
      <c r="E2444" t="b">
        <f>IF(COUNTIF(D2444,"*"&amp;'Keyword Search'!$C$5&amp;"*"),TRUE,FALSE)</f>
        <v>1</v>
      </c>
      <c r="G2444" t="str">
        <f t="shared" si="158"/>
        <v>306-58: Magnifying Glasses, Angle Mirrors, Prisms, Stereoscopes, etc., Environmentally Certified Products</v>
      </c>
    </row>
    <row r="2445" spans="1:7" x14ac:dyDescent="0.25">
      <c r="A2445" s="1" t="str">
        <f t="shared" si="156"/>
        <v>306</v>
      </c>
      <c r="B2445" s="1" t="str">
        <f>TEXT(59,"00")</f>
        <v>59</v>
      </c>
      <c r="C2445" s="1" t="str">
        <f t="shared" si="157"/>
        <v>306-59</v>
      </c>
      <c r="D2445" t="s">
        <v>2429</v>
      </c>
      <c r="E2445" t="b">
        <f>IF(COUNTIF(D2445,"*"&amp;'Keyword Search'!$C$5&amp;"*"),TRUE,FALSE)</f>
        <v>1</v>
      </c>
      <c r="G2445" t="str">
        <f t="shared" si="158"/>
        <v>306-59: *Maps, Engineer and Topographical, Environmentally Certified Products</v>
      </c>
    </row>
    <row r="2446" spans="1:7" x14ac:dyDescent="0.25">
      <c r="A2446" s="1" t="str">
        <f t="shared" si="156"/>
        <v>306</v>
      </c>
      <c r="B2446" s="1" t="str">
        <f>TEXT(60,"00")</f>
        <v>60</v>
      </c>
      <c r="C2446" s="1" t="str">
        <f t="shared" si="157"/>
        <v>306-60</v>
      </c>
      <c r="D2446" t="s">
        <v>2430</v>
      </c>
      <c r="E2446" t="b">
        <f>IF(COUNTIF(D2446,"*"&amp;'Keyword Search'!$C$5&amp;"*"),TRUE,FALSE)</f>
        <v>1</v>
      </c>
      <c r="G2446" t="str">
        <f t="shared" si="158"/>
        <v>306-60: *Measuring Equipment: Chains, Maps, Optical Tapes, Tapes, Wheels, etc., Including Photogrammetry and Laser Equipment), Environmentally Certified Products</v>
      </c>
    </row>
    <row r="2447" spans="1:7" x14ac:dyDescent="0.25">
      <c r="A2447" s="1" t="str">
        <f t="shared" si="156"/>
        <v>306</v>
      </c>
      <c r="B2447" s="1" t="str">
        <f>TEXT(61,"00")</f>
        <v>61</v>
      </c>
      <c r="C2447" s="1" t="str">
        <f t="shared" si="157"/>
        <v>306-61</v>
      </c>
      <c r="D2447" t="s">
        <v>2431</v>
      </c>
      <c r="E2447" t="b">
        <f>IF(COUNTIF(D2447,"*"&amp;'Keyword Search'!$C$5&amp;"*"),TRUE,FALSE)</f>
        <v>1</v>
      </c>
      <c r="G2447" t="str">
        <f t="shared" si="158"/>
        <v>306-61: Measuring Equipment, Area, Large Scale, Environmentally Certified Products</v>
      </c>
    </row>
    <row r="2448" spans="1:7" x14ac:dyDescent="0.25">
      <c r="A2448" s="1" t="str">
        <f t="shared" si="156"/>
        <v>306</v>
      </c>
      <c r="B2448" s="1" t="str">
        <f>TEXT(64,"00")</f>
        <v>64</v>
      </c>
      <c r="C2448" s="1" t="str">
        <f t="shared" si="157"/>
        <v>306-64</v>
      </c>
      <c r="D2448" t="s">
        <v>2432</v>
      </c>
      <c r="E2448" t="b">
        <f>IF(COUNTIF(D2448,"*"&amp;'Keyword Search'!$C$5&amp;"*"),TRUE,FALSE)</f>
        <v>1</v>
      </c>
      <c r="G2448" t="str">
        <f t="shared" si="158"/>
        <v>306-64: Opaquing and Transparentizing Liquids, Erasing Fluids, and Pastes, Environmentally Certified Products</v>
      </c>
    </row>
    <row r="2449" spans="1:7" x14ac:dyDescent="0.25">
      <c r="A2449" s="1" t="str">
        <f t="shared" si="156"/>
        <v>306</v>
      </c>
      <c r="B2449" s="1" t="str">
        <f>TEXT(68,"00")</f>
        <v>68</v>
      </c>
      <c r="C2449" s="1" t="str">
        <f t="shared" si="157"/>
        <v>306-68</v>
      </c>
      <c r="D2449" t="s">
        <v>2433</v>
      </c>
      <c r="E2449" t="b">
        <f>IF(COUNTIF(D2449,"*"&amp;'Keyword Search'!$C$5&amp;"*"),TRUE,FALSE)</f>
        <v>1</v>
      </c>
      <c r="G2449" t="str">
        <f t="shared" si="158"/>
        <v>306-68: Planimeters, Environmentally Certified Products</v>
      </c>
    </row>
    <row r="2450" spans="1:7" x14ac:dyDescent="0.25">
      <c r="A2450" s="1" t="str">
        <f t="shared" si="156"/>
        <v>306</v>
      </c>
      <c r="B2450" s="1" t="str">
        <f>TEXT(70,"00")</f>
        <v>70</v>
      </c>
      <c r="C2450" s="1" t="str">
        <f t="shared" si="157"/>
        <v>306-70</v>
      </c>
      <c r="D2450" t="s">
        <v>2434</v>
      </c>
      <c r="E2450" t="b">
        <f>IF(COUNTIF(D2450,"*"&amp;'Keyword Search'!$C$5&amp;"*"),TRUE,FALSE)</f>
        <v>1</v>
      </c>
      <c r="G2450" t="str">
        <f t="shared" si="158"/>
        <v>306-70: Recycled Engineering Equipment, Accessories and Supplies, Environmentally Certified Products</v>
      </c>
    </row>
    <row r="2451" spans="1:7" x14ac:dyDescent="0.25">
      <c r="A2451" s="1" t="str">
        <f t="shared" si="156"/>
        <v>306</v>
      </c>
      <c r="B2451" s="1" t="str">
        <f>TEXT(71,"00")</f>
        <v>71</v>
      </c>
      <c r="C2451" s="1" t="str">
        <f t="shared" si="157"/>
        <v>306-71</v>
      </c>
      <c r="D2451" t="s">
        <v>2435</v>
      </c>
      <c r="E2451" t="b">
        <f>IF(COUNTIF(D2451,"*"&amp;'Keyword Search'!$C$5&amp;"*"),TRUE,FALSE)</f>
        <v>1</v>
      </c>
      <c r="G2451" t="str">
        <f t="shared" si="158"/>
        <v>306-71: Signage and Logos, Architectural, Glass, Photographic, Stone, Tile, Environmentally Certified Products</v>
      </c>
    </row>
    <row r="2452" spans="1:7" x14ac:dyDescent="0.25">
      <c r="A2452" s="1" t="str">
        <f t="shared" si="156"/>
        <v>306</v>
      </c>
      <c r="B2452" s="1" t="str">
        <f>TEXT(72,"00")</f>
        <v>72</v>
      </c>
      <c r="C2452" s="1" t="str">
        <f t="shared" si="157"/>
        <v>306-72</v>
      </c>
      <c r="D2452" t="s">
        <v>2436</v>
      </c>
      <c r="E2452" t="b">
        <f>IF(COUNTIF(D2452,"*"&amp;'Keyword Search'!$C$5&amp;"*"),TRUE,FALSE)</f>
        <v>1</v>
      </c>
      <c r="G2452" t="str">
        <f t="shared" si="158"/>
        <v>306-72: Slide Rules, Environmentally Certified Products</v>
      </c>
    </row>
    <row r="2453" spans="1:7" x14ac:dyDescent="0.25">
      <c r="A2453" s="1" t="str">
        <f t="shared" si="156"/>
        <v>306</v>
      </c>
      <c r="B2453" s="1" t="str">
        <f>TEXT(75,"00")</f>
        <v>75</v>
      </c>
      <c r="C2453" s="1" t="str">
        <f t="shared" si="157"/>
        <v>306-75</v>
      </c>
      <c r="D2453" t="s">
        <v>2437</v>
      </c>
      <c r="E2453" t="b">
        <f>IF(COUNTIF(D2453,"*"&amp;'Keyword Search'!$C$5&amp;"*"),TRUE,FALSE)</f>
        <v>1</v>
      </c>
      <c r="G2453" t="str">
        <f t="shared" si="158"/>
        <v>306-75: Straightedges, Environmentally Certified Products</v>
      </c>
    </row>
    <row r="2454" spans="1:7" x14ac:dyDescent="0.25">
      <c r="A2454" s="1" t="str">
        <f t="shared" si="156"/>
        <v>306</v>
      </c>
      <c r="B2454" s="1" t="str">
        <f>TEXT(78,"00")</f>
        <v>78</v>
      </c>
      <c r="C2454" s="1" t="str">
        <f t="shared" si="157"/>
        <v>306-78</v>
      </c>
      <c r="D2454" t="s">
        <v>2438</v>
      </c>
      <c r="E2454" t="b">
        <f>IF(COUNTIF(D2454,"*"&amp;'Keyword Search'!$C$5&amp;"*"),TRUE,FALSE)</f>
        <v>1</v>
      </c>
      <c r="G2454" t="str">
        <f t="shared" si="158"/>
        <v>306-78: Surveying Instruments and Accessories: Alidades, Compasses, Levels, Theodolites, Transits, Tripods, etc. (See 305-60 for Surveyor's Measuring Equipment), Environmentally Certified Products</v>
      </c>
    </row>
    <row r="2455" spans="1:7" x14ac:dyDescent="0.25">
      <c r="A2455" s="1" t="str">
        <f t="shared" si="156"/>
        <v>306</v>
      </c>
      <c r="B2455" s="1" t="str">
        <f>TEXT(80,"00")</f>
        <v>80</v>
      </c>
      <c r="C2455" s="1" t="str">
        <f t="shared" si="157"/>
        <v>306-80</v>
      </c>
      <c r="D2455" t="s">
        <v>2439</v>
      </c>
      <c r="E2455" t="b">
        <f>IF(COUNTIF(D2455,"*"&amp;'Keyword Search'!$C$5&amp;"*"),TRUE,FALSE)</f>
        <v>1</v>
      </c>
      <c r="G2455" t="str">
        <f t="shared" si="158"/>
        <v>306-80: Surveying Systems, Geo Satellite Navigation Type, Environmentally Certified Products</v>
      </c>
    </row>
    <row r="2456" spans="1:7" x14ac:dyDescent="0.25">
      <c r="A2456" s="1" t="str">
        <f t="shared" si="156"/>
        <v>306</v>
      </c>
      <c r="B2456" s="1" t="str">
        <f>TEXT(82,"00")</f>
        <v>82</v>
      </c>
      <c r="C2456" s="1" t="str">
        <f t="shared" si="157"/>
        <v>306-82</v>
      </c>
      <c r="D2456" t="s">
        <v>2440</v>
      </c>
      <c r="E2456" t="b">
        <f>IF(COUNTIF(D2456,"*"&amp;'Keyword Search'!$C$5&amp;"*"),TRUE,FALSE)</f>
        <v>1</v>
      </c>
      <c r="G2456" t="str">
        <f t="shared" si="158"/>
        <v>306-82: Tables, Tracing and Light, Environmentally Certified Products</v>
      </c>
    </row>
    <row r="2457" spans="1:7" x14ac:dyDescent="0.25">
      <c r="A2457" s="1" t="str">
        <f t="shared" si="156"/>
        <v>306</v>
      </c>
      <c r="B2457" s="1" t="str">
        <f>TEXT(84,"00")</f>
        <v>84</v>
      </c>
      <c r="C2457" s="1" t="str">
        <f t="shared" si="157"/>
        <v>306-84</v>
      </c>
      <c r="D2457" t="s">
        <v>2441</v>
      </c>
      <c r="E2457" t="b">
        <f>IF(COUNTIF(D2457,"*"&amp;'Keyword Search'!$C$5&amp;"*"),TRUE,FALSE)</f>
        <v>1</v>
      </c>
      <c r="G2457" t="str">
        <f t="shared" si="158"/>
        <v>306-84: Technical Pens and Sets, Points and Refills, etc., Environmentally Certified Products</v>
      </c>
    </row>
    <row r="2458" spans="1:7" x14ac:dyDescent="0.25">
      <c r="A2458" s="5" t="str">
        <f t="shared" ref="A2458:A2466" si="159">TEXT(310,"000")</f>
        <v>310</v>
      </c>
      <c r="B2458" s="5" t="str">
        <f>TEXT(0,"00")</f>
        <v>00</v>
      </c>
      <c r="C2458" s="1"/>
      <c r="D2458" s="2" t="s">
        <v>2442</v>
      </c>
    </row>
    <row r="2459" spans="1:7" x14ac:dyDescent="0.25">
      <c r="A2459" s="1" t="str">
        <f t="shared" si="159"/>
        <v>310</v>
      </c>
      <c r="B2459" s="1" t="str">
        <f>TEXT(6,"00")</f>
        <v>06</v>
      </c>
      <c r="C2459" s="1" t="str">
        <f t="shared" si="157"/>
        <v>310-06</v>
      </c>
      <c r="D2459" t="s">
        <v>2443</v>
      </c>
      <c r="E2459" t="b">
        <f>IF(COUNTIF(D2459,"*"&amp;'Keyword Search'!$C$5&amp;"*"),TRUE,FALSE)</f>
        <v>1</v>
      </c>
      <c r="G2459" t="str">
        <f t="shared" si="158"/>
        <v>310-06: Envelopes: Clasp, String, etc.</v>
      </c>
    </row>
    <row r="2460" spans="1:7" x14ac:dyDescent="0.25">
      <c r="A2460" s="1" t="str">
        <f t="shared" si="159"/>
        <v>310</v>
      </c>
      <c r="B2460" s="1" t="str">
        <f>TEXT(24,"00")</f>
        <v>24</v>
      </c>
      <c r="C2460" s="1" t="str">
        <f t="shared" si="157"/>
        <v>310-24</v>
      </c>
      <c r="D2460" t="s">
        <v>2444</v>
      </c>
      <c r="E2460" t="b">
        <f>IF(COUNTIF(D2460,"*"&amp;'Keyword Search'!$C$5&amp;"*"),TRUE,FALSE)</f>
        <v>1</v>
      </c>
      <c r="G2460" t="str">
        <f t="shared" si="158"/>
        <v>310-24: Envelopes, Plain, Special, Colored wove, White wove</v>
      </c>
    </row>
    <row r="2461" spans="1:7" x14ac:dyDescent="0.25">
      <c r="A2461" s="1" t="str">
        <f t="shared" si="159"/>
        <v>310</v>
      </c>
      <c r="B2461" s="1" t="str">
        <f>TEXT(30,"00")</f>
        <v>30</v>
      </c>
      <c r="C2461" s="1" t="str">
        <f t="shared" si="157"/>
        <v>310-30</v>
      </c>
      <c r="D2461" t="s">
        <v>2445</v>
      </c>
      <c r="E2461" t="b">
        <f>IF(COUNTIF(D2461,"*"&amp;'Keyword Search'!$C$5&amp;"*"),TRUE,FALSE)</f>
        <v>1</v>
      </c>
      <c r="G2461" t="str">
        <f t="shared" si="158"/>
        <v>310-30: Envelopes, Plain, Stock Sizes</v>
      </c>
    </row>
    <row r="2462" spans="1:7" x14ac:dyDescent="0.25">
      <c r="A2462" s="1" t="str">
        <f t="shared" si="159"/>
        <v>310</v>
      </c>
      <c r="B2462" s="1" t="str">
        <f>TEXT(31,"00")</f>
        <v>31</v>
      </c>
      <c r="C2462" s="1" t="str">
        <f t="shared" si="157"/>
        <v>310-31</v>
      </c>
      <c r="D2462" t="s">
        <v>2446</v>
      </c>
      <c r="E2462" t="b">
        <f>IF(COUNTIF(D2462,"*"&amp;'Keyword Search'!$C$5&amp;"*"),TRUE,FALSE)</f>
        <v>1</v>
      </c>
      <c r="G2462" t="str">
        <f t="shared" si="158"/>
        <v>310-31: Envelopes, Plastic and Poly.</v>
      </c>
    </row>
    <row r="2463" spans="1:7" x14ac:dyDescent="0.25">
      <c r="A2463" s="1" t="str">
        <f t="shared" si="159"/>
        <v>310</v>
      </c>
      <c r="B2463" s="1" t="str">
        <f>TEXT(60,"00")</f>
        <v>60</v>
      </c>
      <c r="C2463" s="1" t="str">
        <f t="shared" si="157"/>
        <v>310-60</v>
      </c>
      <c r="D2463" t="s">
        <v>2447</v>
      </c>
      <c r="E2463" t="b">
        <f>IF(COUNTIF(D2463,"*"&amp;'Keyword Search'!$C$5&amp;"*"),TRUE,FALSE)</f>
        <v>1</v>
      </c>
      <c r="G2463" t="str">
        <f t="shared" si="158"/>
        <v>310-60: Envelopes, Recycled Paper</v>
      </c>
    </row>
    <row r="2464" spans="1:7" x14ac:dyDescent="0.25">
      <c r="A2464" s="1" t="str">
        <f t="shared" si="159"/>
        <v>310</v>
      </c>
      <c r="B2464" s="1" t="str">
        <f>TEXT(65,"00")</f>
        <v>65</v>
      </c>
      <c r="C2464" s="1" t="str">
        <f t="shared" si="157"/>
        <v>310-65</v>
      </c>
      <c r="D2464" t="s">
        <v>2448</v>
      </c>
      <c r="E2464" t="b">
        <f>IF(COUNTIF(D2464,"*"&amp;'Keyword Search'!$C$5&amp;"*"),TRUE,FALSE)</f>
        <v>1</v>
      </c>
      <c r="G2464" t="str">
        <f t="shared" si="158"/>
        <v>310-65: Envelopes: Seed, Metal or Plastic Closure</v>
      </c>
    </row>
    <row r="2465" spans="1:7" x14ac:dyDescent="0.25">
      <c r="A2465" s="1" t="str">
        <f t="shared" si="159"/>
        <v>310</v>
      </c>
      <c r="B2465" s="1" t="str">
        <f>TEXT(67,"00")</f>
        <v>67</v>
      </c>
      <c r="C2465" s="1" t="str">
        <f t="shared" si="157"/>
        <v>310-67</v>
      </c>
      <c r="D2465" t="s">
        <v>2449</v>
      </c>
      <c r="E2465" t="b">
        <f>IF(COUNTIF(D2465,"*"&amp;'Keyword Search'!$C$5&amp;"*"),TRUE,FALSE)</f>
        <v>1</v>
      </c>
      <c r="G2465" t="str">
        <f t="shared" si="158"/>
        <v>310-67: Envelopes, Shipping and Mailing</v>
      </c>
    </row>
    <row r="2466" spans="1:7" x14ac:dyDescent="0.25">
      <c r="A2466" s="1" t="str">
        <f t="shared" si="159"/>
        <v>310</v>
      </c>
      <c r="B2466" s="1" t="str">
        <f>TEXT(78,"00")</f>
        <v>78</v>
      </c>
      <c r="C2466" s="1" t="str">
        <f t="shared" si="157"/>
        <v>310-78</v>
      </c>
      <c r="D2466" t="s">
        <v>2450</v>
      </c>
      <c r="E2466" t="b">
        <f>IF(COUNTIF(D2466,"*"&amp;'Keyword Search'!$C$5&amp;"*"),TRUE,FALSE)</f>
        <v>1</v>
      </c>
      <c r="G2466" t="str">
        <f t="shared" si="158"/>
        <v>310-78: Envelopes, X-Ray Film Filing</v>
      </c>
    </row>
    <row r="2467" spans="1:7" x14ac:dyDescent="0.25">
      <c r="A2467" s="5" t="str">
        <f t="shared" ref="A2467:A2478" si="160">TEXT(312,"000")</f>
        <v>312</v>
      </c>
      <c r="B2467" s="5" t="str">
        <f>TEXT(0,"00")</f>
        <v>00</v>
      </c>
      <c r="C2467" s="1"/>
      <c r="D2467" s="2" t="s">
        <v>2451</v>
      </c>
    </row>
    <row r="2468" spans="1:7" x14ac:dyDescent="0.25">
      <c r="A2468" s="1" t="str">
        <f t="shared" si="160"/>
        <v>312</v>
      </c>
      <c r="B2468" s="1" t="str">
        <f>TEXT(22,"00")</f>
        <v>22</v>
      </c>
      <c r="C2468" s="1" t="str">
        <f t="shared" si="157"/>
        <v>312-22</v>
      </c>
      <c r="D2468" t="s">
        <v>2452</v>
      </c>
      <c r="E2468" t="b">
        <f>IF(COUNTIF(D2468,"*"&amp;'Keyword Search'!$C$5&amp;"*"),TRUE,FALSE)</f>
        <v>1</v>
      </c>
      <c r="G2468" t="str">
        <f t="shared" si="158"/>
        <v>312-22: Air Filtration Equipment for Aircraft, Boat and Ship, Cargo Containers and Vehicles</v>
      </c>
    </row>
    <row r="2469" spans="1:7" x14ac:dyDescent="0.25">
      <c r="A2469" s="1" t="str">
        <f t="shared" si="160"/>
        <v>312</v>
      </c>
      <c r="B2469" s="1" t="str">
        <f>TEXT(23,"00")</f>
        <v>23</v>
      </c>
      <c r="C2469" s="1" t="str">
        <f t="shared" si="157"/>
        <v>312-23</v>
      </c>
      <c r="D2469" t="s">
        <v>2453</v>
      </c>
      <c r="E2469" t="b">
        <f>IF(COUNTIF(D2469,"*"&amp;'Keyword Search'!$C$5&amp;"*"),TRUE,FALSE)</f>
        <v>1</v>
      </c>
      <c r="G2469" t="str">
        <f t="shared" si="158"/>
        <v>312-23: Air Filtration Equipment for Soft and Hard Shelters</v>
      </c>
    </row>
    <row r="2470" spans="1:7" x14ac:dyDescent="0.25">
      <c r="A2470" s="1" t="str">
        <f t="shared" si="160"/>
        <v>312</v>
      </c>
      <c r="B2470" s="1" t="str">
        <f>TEXT(38,"00")</f>
        <v>38</v>
      </c>
      <c r="C2470" s="1" t="str">
        <f t="shared" si="157"/>
        <v>312-38</v>
      </c>
      <c r="D2470" t="s">
        <v>2454</v>
      </c>
      <c r="E2470" t="b">
        <f>IF(COUNTIF(D2470,"*"&amp;'Keyword Search'!$C$5&amp;"*"),TRUE,FALSE)</f>
        <v>1</v>
      </c>
      <c r="G2470" t="str">
        <f t="shared" si="158"/>
        <v>312-38: Environmental Control Systems, Aircraft</v>
      </c>
    </row>
    <row r="2471" spans="1:7" x14ac:dyDescent="0.25">
      <c r="A2471" s="1" t="str">
        <f t="shared" si="160"/>
        <v>312</v>
      </c>
      <c r="B2471" s="1" t="str">
        <f>TEXT(39,"00")</f>
        <v>39</v>
      </c>
      <c r="C2471" s="1" t="str">
        <f t="shared" si="157"/>
        <v>312-39</v>
      </c>
      <c r="D2471" t="s">
        <v>2455</v>
      </c>
      <c r="E2471" t="b">
        <f>IF(COUNTIF(D2471,"*"&amp;'Keyword Search'!$C$5&amp;"*"),TRUE,FALSE)</f>
        <v>1</v>
      </c>
      <c r="G2471" t="str">
        <f t="shared" si="158"/>
        <v>312-39: Environmental Control Systems for Automobiles, Emergency Vehicles, Trucks</v>
      </c>
    </row>
    <row r="2472" spans="1:7" x14ac:dyDescent="0.25">
      <c r="A2472" s="1" t="str">
        <f t="shared" si="160"/>
        <v>312</v>
      </c>
      <c r="B2472" s="1" t="str">
        <f>TEXT(40,"00")</f>
        <v>40</v>
      </c>
      <c r="C2472" s="1" t="str">
        <f t="shared" si="157"/>
        <v>312-40</v>
      </c>
      <c r="D2472" t="s">
        <v>2456</v>
      </c>
      <c r="E2472" t="b">
        <f>IF(COUNTIF(D2472,"*"&amp;'Keyword Search'!$C$5&amp;"*"),TRUE,FALSE)</f>
        <v>1</v>
      </c>
      <c r="G2472" t="str">
        <f t="shared" si="158"/>
        <v>312-40: Environmental Control Systems for Boats, Ships, Marine</v>
      </c>
    </row>
    <row r="2473" spans="1:7" x14ac:dyDescent="0.25">
      <c r="A2473" s="1" t="str">
        <f t="shared" si="160"/>
        <v>312</v>
      </c>
      <c r="B2473" s="1" t="str">
        <f>TEXT(41,"00")</f>
        <v>41</v>
      </c>
      <c r="C2473" s="1" t="str">
        <f t="shared" si="157"/>
        <v>312-41</v>
      </c>
      <c r="D2473" t="s">
        <v>2457</v>
      </c>
      <c r="E2473" t="b">
        <f>IF(COUNTIF(D2473,"*"&amp;'Keyword Search'!$C$5&amp;"*"),TRUE,FALSE)</f>
        <v>1</v>
      </c>
      <c r="G2473" t="str">
        <f t="shared" si="158"/>
        <v>312-41: Environmental Control Systems for Cargo Containers, etc.</v>
      </c>
    </row>
    <row r="2474" spans="1:7" x14ac:dyDescent="0.25">
      <c r="A2474" s="1" t="str">
        <f t="shared" si="160"/>
        <v>312</v>
      </c>
      <c r="B2474" s="1" t="str">
        <f>TEXT(43,"00")</f>
        <v>43</v>
      </c>
      <c r="C2474" s="1" t="str">
        <f t="shared" si="157"/>
        <v>312-43</v>
      </c>
      <c r="D2474" t="s">
        <v>2458</v>
      </c>
      <c r="E2474" t="b">
        <f>IF(COUNTIF(D2474,"*"&amp;'Keyword Search'!$C$5&amp;"*"),TRUE,FALSE)</f>
        <v>1</v>
      </c>
      <c r="G2474" t="str">
        <f t="shared" si="158"/>
        <v>312-43: Environmental Control Systems, Spacecraft</v>
      </c>
    </row>
    <row r="2475" spans="1:7" x14ac:dyDescent="0.25">
      <c r="A2475" s="1" t="str">
        <f t="shared" si="160"/>
        <v>312</v>
      </c>
      <c r="B2475" s="1" t="str">
        <f>TEXT(46,"00")</f>
        <v>46</v>
      </c>
      <c r="C2475" s="1" t="str">
        <f t="shared" si="157"/>
        <v>312-46</v>
      </c>
      <c r="D2475" t="s">
        <v>2459</v>
      </c>
      <c r="E2475" t="b">
        <f>IF(COUNTIF(D2475,"*"&amp;'Keyword Search'!$C$5&amp;"*"),TRUE,FALSE)</f>
        <v>1</v>
      </c>
      <c r="G2475" t="str">
        <f t="shared" si="158"/>
        <v>312-46: Environmental Remote Control Systems</v>
      </c>
    </row>
    <row r="2476" spans="1:7" x14ac:dyDescent="0.25">
      <c r="A2476" s="1" t="str">
        <f t="shared" si="160"/>
        <v>312</v>
      </c>
      <c r="B2476" s="1" t="str">
        <f>TEXT(48,"00")</f>
        <v>48</v>
      </c>
      <c r="C2476" s="1" t="str">
        <f t="shared" si="157"/>
        <v>312-48</v>
      </c>
      <c r="D2476" t="s">
        <v>2460</v>
      </c>
      <c r="E2476" t="b">
        <f>IF(COUNTIF(D2476,"*"&amp;'Keyword Search'!$C$5&amp;"*"),TRUE,FALSE)</f>
        <v>1</v>
      </c>
      <c r="G2476" t="str">
        <f t="shared" si="158"/>
        <v>312-48: Environmental Test Chambers and Rooms, Controlled Temperature, Humidity, etc.</v>
      </c>
    </row>
    <row r="2477" spans="1:7" x14ac:dyDescent="0.25">
      <c r="A2477" s="1" t="str">
        <f t="shared" si="160"/>
        <v>312</v>
      </c>
      <c r="B2477" s="1" t="str">
        <f>TEXT(83,"00")</f>
        <v>83</v>
      </c>
      <c r="C2477" s="1" t="str">
        <f t="shared" si="157"/>
        <v>312-83</v>
      </c>
      <c r="D2477" t="s">
        <v>2461</v>
      </c>
      <c r="E2477" t="b">
        <f>IF(COUNTIF(D2477,"*"&amp;'Keyword Search'!$C$5&amp;"*"),TRUE,FALSE)</f>
        <v>1</v>
      </c>
      <c r="G2477" t="str">
        <f t="shared" si="158"/>
        <v>312-83: Tent Systems, Field, Ground Zero Environment</v>
      </c>
    </row>
    <row r="2478" spans="1:7" x14ac:dyDescent="0.25">
      <c r="A2478" s="1" t="str">
        <f t="shared" si="160"/>
        <v>312</v>
      </c>
      <c r="B2478" s="1" t="str">
        <f>TEXT(84,"00")</f>
        <v>84</v>
      </c>
      <c r="C2478" s="1" t="str">
        <f t="shared" si="157"/>
        <v>312-84</v>
      </c>
      <c r="D2478" t="s">
        <v>2462</v>
      </c>
      <c r="E2478" t="b">
        <f>IF(COUNTIF(D2478,"*"&amp;'Keyword Search'!$C$5&amp;"*"),TRUE,FALSE)</f>
        <v>1</v>
      </c>
      <c r="G2478" t="str">
        <f t="shared" si="158"/>
        <v>312-84: Tent Units, Contaminated Patient Isolation, Negative Pressure</v>
      </c>
    </row>
    <row r="2479" spans="1:7" x14ac:dyDescent="0.25">
      <c r="A2479" s="5" t="str">
        <f t="shared" ref="A2479:A2490" si="161">TEXT(315,"000")</f>
        <v>315</v>
      </c>
      <c r="B2479" s="5" t="str">
        <f>TEXT(0,"00")</f>
        <v>00</v>
      </c>
      <c r="C2479" s="1"/>
      <c r="D2479" s="2" t="s">
        <v>2463</v>
      </c>
    </row>
    <row r="2480" spans="1:7" x14ac:dyDescent="0.25">
      <c r="A2480" s="1" t="str">
        <f t="shared" si="161"/>
        <v>315</v>
      </c>
      <c r="B2480" s="1" t="str">
        <f>TEXT(10,"00")</f>
        <v>10</v>
      </c>
      <c r="C2480" s="1" t="str">
        <f t="shared" si="157"/>
        <v>315-10</v>
      </c>
      <c r="D2480" t="s">
        <v>2464</v>
      </c>
      <c r="E2480" t="b">
        <f>IF(COUNTIF(D2480,"*"&amp;'Keyword Search'!$C$5&amp;"*"),TRUE,FALSE)</f>
        <v>1</v>
      </c>
      <c r="G2480" t="str">
        <f t="shared" si="158"/>
        <v>315-10: Adhesives, For Concrete: Cured-to-Cured, Fresh-to-Cured, and Steel-to-Concrete</v>
      </c>
    </row>
    <row r="2481" spans="1:7" x14ac:dyDescent="0.25">
      <c r="A2481" s="1" t="str">
        <f t="shared" si="161"/>
        <v>315</v>
      </c>
      <c r="B2481" s="1" t="str">
        <f>TEXT(20,"00")</f>
        <v>20</v>
      </c>
      <c r="C2481" s="1" t="str">
        <f t="shared" si="157"/>
        <v>315-20</v>
      </c>
      <c r="D2481" t="s">
        <v>2465</v>
      </c>
      <c r="E2481" t="b">
        <f>IF(COUNTIF(D2481,"*"&amp;'Keyword Search'!$C$5&amp;"*"),TRUE,FALSE)</f>
        <v>1</v>
      </c>
      <c r="G2481" t="str">
        <f t="shared" si="158"/>
        <v>315-20: Adhesive, General Purpose</v>
      </c>
    </row>
    <row r="2482" spans="1:7" x14ac:dyDescent="0.25">
      <c r="A2482" s="1" t="str">
        <f t="shared" si="161"/>
        <v>315</v>
      </c>
      <c r="B2482" s="1" t="str">
        <f>TEXT(25,"00")</f>
        <v>25</v>
      </c>
      <c r="C2482" s="1" t="str">
        <f t="shared" si="157"/>
        <v>315-25</v>
      </c>
      <c r="D2482" t="s">
        <v>2466</v>
      </c>
      <c r="E2482" t="b">
        <f>IF(COUNTIF(D2482,"*"&amp;'Keyword Search'!$C$5&amp;"*"),TRUE,FALSE)</f>
        <v>1</v>
      </c>
      <c r="G2482" t="str">
        <f t="shared" si="158"/>
        <v>315-25: Casting, Encapsulating, and Potting Systems</v>
      </c>
    </row>
    <row r="2483" spans="1:7" x14ac:dyDescent="0.25">
      <c r="A2483" s="1" t="str">
        <f t="shared" si="161"/>
        <v>315</v>
      </c>
      <c r="B2483" s="1" t="str">
        <f>TEXT(30,"00")</f>
        <v>30</v>
      </c>
      <c r="C2483" s="1" t="str">
        <f t="shared" si="157"/>
        <v>315-30</v>
      </c>
      <c r="D2483" t="s">
        <v>2467</v>
      </c>
      <c r="E2483" t="b">
        <f>IF(COUNTIF(D2483,"*"&amp;'Keyword Search'!$C$5&amp;"*"),TRUE,FALSE)</f>
        <v>1</v>
      </c>
      <c r="G2483" t="str">
        <f t="shared" si="158"/>
        <v>315-30: Coatings, Protective, For Masonry Including Concrete Floor)</v>
      </c>
    </row>
    <row r="2484" spans="1:7" x14ac:dyDescent="0.25">
      <c r="A2484" s="1" t="str">
        <f t="shared" si="161"/>
        <v>315</v>
      </c>
      <c r="B2484" s="1" t="str">
        <f>TEXT(40,"00")</f>
        <v>40</v>
      </c>
      <c r="C2484" s="1" t="str">
        <f t="shared" si="157"/>
        <v>315-40</v>
      </c>
      <c r="D2484" t="s">
        <v>2468</v>
      </c>
      <c r="E2484" t="b">
        <f>IF(COUNTIF(D2484,"*"&amp;'Keyword Search'!$C$5&amp;"*"),TRUE,FALSE)</f>
        <v>1</v>
      </c>
      <c r="G2484" t="str">
        <f t="shared" si="158"/>
        <v>315-40: Coatings, Protective, For Metal</v>
      </c>
    </row>
    <row r="2485" spans="1:7" x14ac:dyDescent="0.25">
      <c r="A2485" s="1" t="str">
        <f t="shared" si="161"/>
        <v>315</v>
      </c>
      <c r="B2485" s="1" t="str">
        <f>TEXT(50,"00")</f>
        <v>50</v>
      </c>
      <c r="C2485" s="1" t="str">
        <f t="shared" si="157"/>
        <v>315-50</v>
      </c>
      <c r="D2485" t="s">
        <v>2469</v>
      </c>
      <c r="E2485" t="b">
        <f>IF(COUNTIF(D2485,"*"&amp;'Keyword Search'!$C$5&amp;"*"),TRUE,FALSE)</f>
        <v>1</v>
      </c>
      <c r="G2485" t="str">
        <f t="shared" si="158"/>
        <v>315-50: Coatings, Protective, For Wood</v>
      </c>
    </row>
    <row r="2486" spans="1:7" x14ac:dyDescent="0.25">
      <c r="A2486" s="1" t="str">
        <f t="shared" si="161"/>
        <v>315</v>
      </c>
      <c r="B2486" s="1" t="str">
        <f>TEXT(55,"00")</f>
        <v>55</v>
      </c>
      <c r="C2486" s="1" t="str">
        <f t="shared" si="157"/>
        <v>315-55</v>
      </c>
      <c r="D2486" t="s">
        <v>2470</v>
      </c>
      <c r="E2486" t="b">
        <f>IF(COUNTIF(D2486,"*"&amp;'Keyword Search'!$C$5&amp;"*"),TRUE,FALSE)</f>
        <v>1</v>
      </c>
      <c r="G2486" t="str">
        <f t="shared" si="158"/>
        <v>315-55: Coatings, Special, Abrasion and Chemical Resistant</v>
      </c>
    </row>
    <row r="2487" spans="1:7" x14ac:dyDescent="0.25">
      <c r="A2487" s="1" t="str">
        <f t="shared" si="161"/>
        <v>315</v>
      </c>
      <c r="B2487" s="1" t="str">
        <f>TEXT(70,"00")</f>
        <v>70</v>
      </c>
      <c r="C2487" s="1" t="str">
        <f t="shared" si="157"/>
        <v>315-70</v>
      </c>
      <c r="D2487" t="s">
        <v>2471</v>
      </c>
      <c r="E2487" t="b">
        <f>IF(COUNTIF(D2487,"*"&amp;'Keyword Search'!$C$5&amp;"*"),TRUE,FALSE)</f>
        <v>1</v>
      </c>
      <c r="G2487" t="str">
        <f t="shared" si="158"/>
        <v>315-70: Hardening Agents: Amines, Anhydrides, Polyamide Solutions, etc.</v>
      </c>
    </row>
    <row r="2488" spans="1:7" x14ac:dyDescent="0.25">
      <c r="A2488" s="1" t="str">
        <f t="shared" si="161"/>
        <v>315</v>
      </c>
      <c r="B2488" s="1" t="str">
        <f>TEXT(80,"00")</f>
        <v>80</v>
      </c>
      <c r="C2488" s="1" t="str">
        <f t="shared" si="157"/>
        <v>315-80</v>
      </c>
      <c r="D2488" t="s">
        <v>2472</v>
      </c>
      <c r="E2488" t="b">
        <f>IF(COUNTIF(D2488,"*"&amp;'Keyword Search'!$C$5&amp;"*"),TRUE,FALSE)</f>
        <v>1</v>
      </c>
      <c r="G2488" t="str">
        <f t="shared" si="158"/>
        <v>315-80: Mortars</v>
      </c>
    </row>
    <row r="2489" spans="1:7" x14ac:dyDescent="0.25">
      <c r="A2489" s="1" t="str">
        <f t="shared" si="161"/>
        <v>315</v>
      </c>
      <c r="B2489" s="1" t="str">
        <f>TEXT(89,"00")</f>
        <v>89</v>
      </c>
      <c r="C2489" s="1" t="str">
        <f t="shared" si="157"/>
        <v>315-89</v>
      </c>
      <c r="D2489" t="s">
        <v>2473</v>
      </c>
      <c r="E2489" t="b">
        <f>IF(COUNTIF(D2489,"*"&amp;'Keyword Search'!$C$5&amp;"*"),TRUE,FALSE)</f>
        <v>1</v>
      </c>
      <c r="G2489" t="str">
        <f t="shared" si="158"/>
        <v>315-89: Recycled Epoxy Based Formulations</v>
      </c>
    </row>
    <row r="2490" spans="1:7" x14ac:dyDescent="0.25">
      <c r="A2490" s="1" t="str">
        <f t="shared" si="161"/>
        <v>315</v>
      </c>
      <c r="B2490" s="1" t="str">
        <f>TEXT(90,"00")</f>
        <v>90</v>
      </c>
      <c r="C2490" s="1" t="str">
        <f t="shared" si="157"/>
        <v>315-90</v>
      </c>
      <c r="D2490" t="s">
        <v>2474</v>
      </c>
      <c r="E2490" t="b">
        <f>IF(COUNTIF(D2490,"*"&amp;'Keyword Search'!$C$5&amp;"*"),TRUE,FALSE)</f>
        <v>1</v>
      </c>
      <c r="G2490" t="str">
        <f t="shared" si="158"/>
        <v>315-90: Resins, Epoxy Only</v>
      </c>
    </row>
    <row r="2491" spans="1:7" x14ac:dyDescent="0.25">
      <c r="A2491" s="5" t="str">
        <f t="shared" ref="A2491:A2507" si="162">TEXT(318,"000")</f>
        <v>318</v>
      </c>
      <c r="B2491" s="5" t="str">
        <f>TEXT(0,"00")</f>
        <v>00</v>
      </c>
      <c r="C2491" s="1"/>
      <c r="D2491" s="2" t="s">
        <v>2475</v>
      </c>
    </row>
    <row r="2492" spans="1:7" x14ac:dyDescent="0.25">
      <c r="A2492" s="1" t="str">
        <f t="shared" si="162"/>
        <v>318</v>
      </c>
      <c r="B2492" s="1" t="str">
        <f>TEXT(20,"00")</f>
        <v>20</v>
      </c>
      <c r="C2492" s="1" t="str">
        <f t="shared" si="157"/>
        <v>318-20</v>
      </c>
      <c r="D2492" t="s">
        <v>2476</v>
      </c>
      <c r="E2492" t="b">
        <f>IF(COUNTIF(D2492,"*"&amp;'Keyword Search'!$C$5&amp;"*"),TRUE,FALSE)</f>
        <v>1</v>
      </c>
      <c r="G2492" t="str">
        <f t="shared" si="158"/>
        <v>318-20: Encoding Equipment</v>
      </c>
    </row>
    <row r="2493" spans="1:7" x14ac:dyDescent="0.25">
      <c r="A2493" s="1" t="str">
        <f t="shared" si="162"/>
        <v>318</v>
      </c>
      <c r="B2493" s="1" t="str">
        <f>TEXT(30,"00")</f>
        <v>30</v>
      </c>
      <c r="C2493" s="1" t="str">
        <f t="shared" si="157"/>
        <v>318-30</v>
      </c>
      <c r="D2493" t="s">
        <v>2477</v>
      </c>
      <c r="E2493" t="b">
        <f>IF(COUNTIF(D2493,"*"&amp;'Keyword Search'!$C$5&amp;"*"),TRUE,FALSE)</f>
        <v>1</v>
      </c>
      <c r="G2493" t="str">
        <f t="shared" si="158"/>
        <v>318-30: Fare Box</v>
      </c>
    </row>
    <row r="2494" spans="1:7" x14ac:dyDescent="0.25">
      <c r="A2494" s="1" t="str">
        <f t="shared" si="162"/>
        <v>318</v>
      </c>
      <c r="B2494" s="1" t="str">
        <f>TEXT(33,"00")</f>
        <v>33</v>
      </c>
      <c r="C2494" s="1" t="str">
        <f t="shared" si="157"/>
        <v>318-33</v>
      </c>
      <c r="D2494" t="s">
        <v>2478</v>
      </c>
      <c r="E2494" t="b">
        <f>IF(COUNTIF(D2494,"*"&amp;'Keyword Search'!$C$5&amp;"*"),TRUE,FALSE)</f>
        <v>1</v>
      </c>
      <c r="G2494" t="str">
        <f t="shared" si="158"/>
        <v>318-33: Fare Box Vault</v>
      </c>
    </row>
    <row r="2495" spans="1:7" x14ac:dyDescent="0.25">
      <c r="A2495" s="1" t="str">
        <f t="shared" si="162"/>
        <v>318</v>
      </c>
      <c r="B2495" s="1" t="str">
        <f>TEXT(40,"00")</f>
        <v>40</v>
      </c>
      <c r="C2495" s="1" t="str">
        <f t="shared" si="157"/>
        <v>318-40</v>
      </c>
      <c r="D2495" t="s">
        <v>2479</v>
      </c>
      <c r="E2495" t="b">
        <f>IF(COUNTIF(D2495,"*"&amp;'Keyword Search'!$C$5&amp;"*"),TRUE,FALSE)</f>
        <v>1</v>
      </c>
      <c r="G2495" t="str">
        <f t="shared" si="158"/>
        <v>318-40: Locks and Keys</v>
      </c>
    </row>
    <row r="2496" spans="1:7" x14ac:dyDescent="0.25">
      <c r="A2496" s="1" t="str">
        <f t="shared" si="162"/>
        <v>318</v>
      </c>
      <c r="B2496" s="1" t="str">
        <f>TEXT(50,"00")</f>
        <v>50</v>
      </c>
      <c r="C2496" s="1" t="str">
        <f t="shared" si="157"/>
        <v>318-50</v>
      </c>
      <c r="D2496" t="s">
        <v>2480</v>
      </c>
      <c r="E2496" t="b">
        <f>IF(COUNTIF(D2496,"*"&amp;'Keyword Search'!$C$5&amp;"*"),TRUE,FALSE)</f>
        <v>1</v>
      </c>
      <c r="G2496" t="str">
        <f t="shared" si="158"/>
        <v>318-50: Money Changers</v>
      </c>
    </row>
    <row r="2497" spans="1:7" x14ac:dyDescent="0.25">
      <c r="A2497" s="1" t="str">
        <f t="shared" si="162"/>
        <v>318</v>
      </c>
      <c r="B2497" s="1" t="str">
        <f>TEXT(55,"00")</f>
        <v>55</v>
      </c>
      <c r="C2497" s="1" t="str">
        <f t="shared" si="157"/>
        <v>318-55</v>
      </c>
      <c r="D2497" t="s">
        <v>2481</v>
      </c>
      <c r="E2497" t="b">
        <f>IF(COUNTIF(D2497,"*"&amp;'Keyword Search'!$C$5&amp;"*"),TRUE,FALSE)</f>
        <v>1</v>
      </c>
      <c r="G2497" t="str">
        <f t="shared" si="158"/>
        <v>318-55: Portable Safe and Money Cart</v>
      </c>
    </row>
    <row r="2498" spans="1:7" x14ac:dyDescent="0.25">
      <c r="A2498" s="1" t="str">
        <f t="shared" si="162"/>
        <v>318</v>
      </c>
      <c r="B2498" s="1" t="str">
        <f>TEXT(60,"00")</f>
        <v>60</v>
      </c>
      <c r="C2498" s="1" t="str">
        <f t="shared" si="157"/>
        <v>318-60</v>
      </c>
      <c r="D2498" t="s">
        <v>2482</v>
      </c>
      <c r="E2498" t="b">
        <f>IF(COUNTIF(D2498,"*"&amp;'Keyword Search'!$C$5&amp;"*"),TRUE,FALSE)</f>
        <v>1</v>
      </c>
      <c r="G2498" t="str">
        <f t="shared" si="158"/>
        <v>318-60: Receiver Bin and Terminal</v>
      </c>
    </row>
    <row r="2499" spans="1:7" x14ac:dyDescent="0.25">
      <c r="A2499" s="1" t="str">
        <f t="shared" si="162"/>
        <v>318</v>
      </c>
      <c r="B2499" s="1" t="str">
        <f>TEXT(62,"00")</f>
        <v>62</v>
      </c>
      <c r="C2499" s="1" t="str">
        <f t="shared" ref="C2499:C2562" si="163">CONCATENATE(A2499,"-",B2499)</f>
        <v>318-62</v>
      </c>
      <c r="D2499" t="s">
        <v>2483</v>
      </c>
      <c r="E2499" t="b">
        <f>IF(COUNTIF(D2499,"*"&amp;'Keyword Search'!$C$5&amp;"*"),TRUE,FALSE)</f>
        <v>1</v>
      </c>
      <c r="G2499" t="str">
        <f t="shared" si="158"/>
        <v>318-62: Recycled Fare Collection Equipment and Supplies</v>
      </c>
    </row>
    <row r="2500" spans="1:7" x14ac:dyDescent="0.25">
      <c r="A2500" s="1" t="str">
        <f t="shared" si="162"/>
        <v>318</v>
      </c>
      <c r="B2500" s="1" t="str">
        <f>TEXT(70,"00")</f>
        <v>70</v>
      </c>
      <c r="C2500" s="1" t="str">
        <f t="shared" si="163"/>
        <v>318-70</v>
      </c>
      <c r="D2500" t="s">
        <v>2484</v>
      </c>
      <c r="E2500" t="b">
        <f>IF(COUNTIF(D2500,"*"&amp;'Keyword Search'!$C$5&amp;"*"),TRUE,FALSE)</f>
        <v>1</v>
      </c>
      <c r="G2500" t="str">
        <f t="shared" ref="G2500:G2563" si="164">CONCATENATE(C2500,": ",D2500)</f>
        <v>318-70: Testing and Verifying Equipment</v>
      </c>
    </row>
    <row r="2501" spans="1:7" x14ac:dyDescent="0.25">
      <c r="A2501" s="1" t="str">
        <f t="shared" si="162"/>
        <v>318</v>
      </c>
      <c r="B2501" s="1" t="str">
        <f>TEXT(75,"00")</f>
        <v>75</v>
      </c>
      <c r="C2501" s="1" t="str">
        <f t="shared" si="163"/>
        <v>318-75</v>
      </c>
      <c r="D2501" t="s">
        <v>2485</v>
      </c>
      <c r="E2501" t="b">
        <f>IF(COUNTIF(D2501,"*"&amp;'Keyword Search'!$C$5&amp;"*"),TRUE,FALSE)</f>
        <v>1</v>
      </c>
      <c r="G2501" t="str">
        <f t="shared" si="164"/>
        <v>318-75: Tickets, Non-Magnetic</v>
      </c>
    </row>
    <row r="2502" spans="1:7" x14ac:dyDescent="0.25">
      <c r="A2502" s="1" t="str">
        <f t="shared" si="162"/>
        <v>318</v>
      </c>
      <c r="B2502" s="1" t="str">
        <f>TEXT(77,"00")</f>
        <v>77</v>
      </c>
      <c r="C2502" s="1" t="str">
        <f t="shared" si="163"/>
        <v>318-77</v>
      </c>
      <c r="D2502" t="s">
        <v>2486</v>
      </c>
      <c r="E2502" t="b">
        <f>IF(COUNTIF(D2502,"*"&amp;'Keyword Search'!$C$5&amp;"*"),TRUE,FALSE)</f>
        <v>1</v>
      </c>
      <c r="G2502" t="str">
        <f t="shared" si="164"/>
        <v>318-77: Tickets, Pre-Encoded</v>
      </c>
    </row>
    <row r="2503" spans="1:7" x14ac:dyDescent="0.25">
      <c r="A2503" s="1" t="str">
        <f t="shared" si="162"/>
        <v>318</v>
      </c>
      <c r="B2503" s="1" t="str">
        <f>TEXT(80,"00")</f>
        <v>80</v>
      </c>
      <c r="C2503" s="1" t="str">
        <f t="shared" si="163"/>
        <v>318-80</v>
      </c>
      <c r="D2503" t="s">
        <v>2487</v>
      </c>
      <c r="E2503" t="b">
        <f>IF(COUNTIF(D2503,"*"&amp;'Keyword Search'!$C$5&amp;"*"),TRUE,FALSE)</f>
        <v>1</v>
      </c>
      <c r="G2503" t="str">
        <f t="shared" si="164"/>
        <v>318-80: Tickets, Not Encoded</v>
      </c>
    </row>
    <row r="2504" spans="1:7" x14ac:dyDescent="0.25">
      <c r="A2504" s="1" t="str">
        <f t="shared" si="162"/>
        <v>318</v>
      </c>
      <c r="B2504" s="1" t="str">
        <f>TEXT(85,"00")</f>
        <v>85</v>
      </c>
      <c r="C2504" s="1" t="str">
        <f t="shared" si="163"/>
        <v>318-85</v>
      </c>
      <c r="D2504" t="s">
        <v>2488</v>
      </c>
      <c r="E2504" t="b">
        <f>IF(COUNTIF(D2504,"*"&amp;'Keyword Search'!$C$5&amp;"*"),TRUE,FALSE)</f>
        <v>1</v>
      </c>
      <c r="G2504" t="str">
        <f t="shared" si="164"/>
        <v>318-85: Ticket Vending Machine</v>
      </c>
    </row>
    <row r="2505" spans="1:7" x14ac:dyDescent="0.25">
      <c r="A2505" s="1" t="str">
        <f t="shared" si="162"/>
        <v>318</v>
      </c>
      <c r="B2505" s="1" t="str">
        <f>TEXT(88,"00")</f>
        <v>88</v>
      </c>
      <c r="C2505" s="1" t="str">
        <f t="shared" si="163"/>
        <v>318-88</v>
      </c>
      <c r="D2505" t="s">
        <v>2489</v>
      </c>
      <c r="E2505" t="b">
        <f>IF(COUNTIF(D2505,"*"&amp;'Keyword Search'!$C$5&amp;"*"),TRUE,FALSE)</f>
        <v>1</v>
      </c>
      <c r="G2505" t="str">
        <f t="shared" si="164"/>
        <v>318-88: Tokens</v>
      </c>
    </row>
    <row r="2506" spans="1:7" x14ac:dyDescent="0.25">
      <c r="A2506" s="1" t="str">
        <f t="shared" si="162"/>
        <v>318</v>
      </c>
      <c r="B2506" s="1" t="str">
        <f>TEXT(89,"00")</f>
        <v>89</v>
      </c>
      <c r="C2506" s="1" t="str">
        <f t="shared" si="163"/>
        <v>318-89</v>
      </c>
      <c r="D2506" t="s">
        <v>2490</v>
      </c>
      <c r="E2506" t="b">
        <f>IF(COUNTIF(D2506,"*"&amp;'Keyword Search'!$C$5&amp;"*"),TRUE,FALSE)</f>
        <v>1</v>
      </c>
      <c r="G2506" t="str">
        <f t="shared" si="164"/>
        <v>318-89: Transfer Machines</v>
      </c>
    </row>
    <row r="2507" spans="1:7" x14ac:dyDescent="0.25">
      <c r="A2507" s="1" t="str">
        <f t="shared" si="162"/>
        <v>318</v>
      </c>
      <c r="B2507" s="1" t="str">
        <f>TEXT(90,"00")</f>
        <v>90</v>
      </c>
      <c r="C2507" s="1" t="str">
        <f t="shared" si="163"/>
        <v>318-90</v>
      </c>
      <c r="D2507" t="s">
        <v>2491</v>
      </c>
      <c r="E2507" t="b">
        <f>IF(COUNTIF(D2507,"*"&amp;'Keyword Search'!$C$5&amp;"*"),TRUE,FALSE)</f>
        <v>1</v>
      </c>
      <c r="G2507" t="str">
        <f t="shared" si="164"/>
        <v>318-90: Turnstiles</v>
      </c>
    </row>
    <row r="2508" spans="1:7" x14ac:dyDescent="0.25">
      <c r="A2508" s="5" t="str">
        <f t="shared" ref="A2508:A2536" si="165">TEXT(320,"000")</f>
        <v>320</v>
      </c>
      <c r="B2508" s="5" t="str">
        <f>TEXT(0,"00")</f>
        <v>00</v>
      </c>
      <c r="C2508" s="1"/>
      <c r="D2508" s="2" t="s">
        <v>2492</v>
      </c>
    </row>
    <row r="2509" spans="1:7" x14ac:dyDescent="0.25">
      <c r="A2509" s="1" t="str">
        <f t="shared" si="165"/>
        <v>320</v>
      </c>
      <c r="B2509" s="1" t="str">
        <f>TEXT(10,"00")</f>
        <v>10</v>
      </c>
      <c r="C2509" s="1" t="str">
        <f t="shared" si="163"/>
        <v>320-10</v>
      </c>
      <c r="D2509" t="s">
        <v>2493</v>
      </c>
      <c r="E2509" t="b">
        <f>IF(COUNTIF(D2509,"*"&amp;'Keyword Search'!$C$5&amp;"*"),TRUE,FALSE)</f>
        <v>1</v>
      </c>
      <c r="G2509" t="str">
        <f t="shared" si="164"/>
        <v>320-10: Anchors, Expansion Shields, Molly Bolts, Plugs, Toggle Bolts, U-Bolts, etc.</v>
      </c>
    </row>
    <row r="2510" spans="1:7" x14ac:dyDescent="0.25">
      <c r="A2510" s="1" t="str">
        <f t="shared" si="165"/>
        <v>320</v>
      </c>
      <c r="B2510" s="1" t="str">
        <f>TEXT(20,"00")</f>
        <v>20</v>
      </c>
      <c r="C2510" s="1" t="str">
        <f t="shared" si="163"/>
        <v>320-20</v>
      </c>
      <c r="D2510" t="s">
        <v>2494</v>
      </c>
      <c r="E2510" t="b">
        <f>IF(COUNTIF(D2510,"*"&amp;'Keyword Search'!$C$5&amp;"*"),TRUE,FALSE)</f>
        <v>1</v>
      </c>
      <c r="G2510" t="str">
        <f t="shared" si="164"/>
        <v>320-20: Bolts, Steel</v>
      </c>
    </row>
    <row r="2511" spans="1:7" x14ac:dyDescent="0.25">
      <c r="A2511" s="1" t="str">
        <f t="shared" si="165"/>
        <v>320</v>
      </c>
      <c r="B2511" s="1" t="str">
        <f>TEXT(22,"00")</f>
        <v>22</v>
      </c>
      <c r="C2511" s="1" t="str">
        <f t="shared" si="163"/>
        <v>320-22</v>
      </c>
      <c r="D2511" t="s">
        <v>2495</v>
      </c>
      <c r="E2511" t="b">
        <f>IF(COUNTIF(D2511,"*"&amp;'Keyword Search'!$C$5&amp;"*"),TRUE,FALSE)</f>
        <v>1</v>
      </c>
      <c r="G2511" t="str">
        <f t="shared" si="164"/>
        <v>320-22: Bolts, Metal or Other Material, Not Steel</v>
      </c>
    </row>
    <row r="2512" spans="1:7" x14ac:dyDescent="0.25">
      <c r="A2512" s="1" t="str">
        <f t="shared" si="165"/>
        <v>320</v>
      </c>
      <c r="B2512" s="1" t="str">
        <f>TEXT(24,"00")</f>
        <v>24</v>
      </c>
      <c r="C2512" s="1" t="str">
        <f t="shared" si="163"/>
        <v>320-24</v>
      </c>
      <c r="D2512" t="s">
        <v>2496</v>
      </c>
      <c r="E2512" t="b">
        <f>IF(COUNTIF(D2512,"*"&amp;'Keyword Search'!$C$5&amp;"*"),TRUE,FALSE)</f>
        <v>1</v>
      </c>
      <c r="G2512" t="str">
        <f t="shared" si="164"/>
        <v>320-24: Box Stitching Machines, Wire, and Parts</v>
      </c>
    </row>
    <row r="2513" spans="1:7" x14ac:dyDescent="0.25">
      <c r="A2513" s="1" t="str">
        <f t="shared" si="165"/>
        <v>320</v>
      </c>
      <c r="B2513" s="1" t="str">
        <f>TEXT(35,"00")</f>
        <v>35</v>
      </c>
      <c r="C2513" s="1" t="str">
        <f t="shared" si="163"/>
        <v>320-35</v>
      </c>
      <c r="D2513" t="s">
        <v>2497</v>
      </c>
      <c r="E2513" t="b">
        <f>IF(COUNTIF(D2513,"*"&amp;'Keyword Search'!$C$5&amp;"*"),TRUE,FALSE)</f>
        <v>1</v>
      </c>
      <c r="G2513" t="str">
        <f t="shared" si="164"/>
        <v>320-35: Cotter Pins, Clevis Pins, Dowel Pins, Spring Pins, Taper Pins, and Woodruff Keys and Snaps</v>
      </c>
    </row>
    <row r="2514" spans="1:7" x14ac:dyDescent="0.25">
      <c r="A2514" s="1" t="str">
        <f t="shared" si="165"/>
        <v>320</v>
      </c>
      <c r="B2514" s="1" t="str">
        <f>TEXT(36,"00")</f>
        <v>36</v>
      </c>
      <c r="C2514" s="1" t="str">
        <f t="shared" si="163"/>
        <v>320-36</v>
      </c>
      <c r="D2514" t="s">
        <v>2498</v>
      </c>
      <c r="E2514" t="b">
        <f>IF(COUNTIF(D2514,"*"&amp;'Keyword Search'!$C$5&amp;"*"),TRUE,FALSE)</f>
        <v>1</v>
      </c>
      <c r="G2514" t="str">
        <f t="shared" si="164"/>
        <v>320-36: Fasteners (Not Otherwise Classified)</v>
      </c>
    </row>
    <row r="2515" spans="1:7" x14ac:dyDescent="0.25">
      <c r="A2515" s="1" t="str">
        <f t="shared" si="165"/>
        <v>320</v>
      </c>
      <c r="B2515" s="1" t="str">
        <f>TEXT(37,"00")</f>
        <v>37</v>
      </c>
      <c r="C2515" s="1" t="str">
        <f t="shared" si="163"/>
        <v>320-37</v>
      </c>
      <c r="D2515" t="s">
        <v>2499</v>
      </c>
      <c r="E2515" t="b">
        <f>IF(COUNTIF(D2515,"*"&amp;'Keyword Search'!$C$5&amp;"*"),TRUE,FALSE)</f>
        <v>1</v>
      </c>
      <c r="G2515" t="str">
        <f t="shared" si="164"/>
        <v>320-37: Grommets (See 590-16 for Sewing Type)</v>
      </c>
    </row>
    <row r="2516" spans="1:7" x14ac:dyDescent="0.25">
      <c r="A2516" s="1" t="str">
        <f t="shared" si="165"/>
        <v>320</v>
      </c>
      <c r="B2516" s="1" t="str">
        <f>TEXT(40,"00")</f>
        <v>40</v>
      </c>
      <c r="C2516" s="1" t="str">
        <f t="shared" si="163"/>
        <v>320-40</v>
      </c>
      <c r="D2516" t="s">
        <v>2500</v>
      </c>
      <c r="E2516" t="b">
        <f>IF(COUNTIF(D2516,"*"&amp;'Keyword Search'!$C$5&amp;"*"),TRUE,FALSE)</f>
        <v>1</v>
      </c>
      <c r="G2516" t="str">
        <f t="shared" si="164"/>
        <v>320-40: Mono-Bolts, Power Locking</v>
      </c>
    </row>
    <row r="2517" spans="1:7" x14ac:dyDescent="0.25">
      <c r="A2517" s="1" t="str">
        <f t="shared" si="165"/>
        <v>320</v>
      </c>
      <c r="B2517" s="1" t="str">
        <f>TEXT(42,"00")</f>
        <v>42</v>
      </c>
      <c r="C2517" s="1" t="str">
        <f t="shared" si="163"/>
        <v>320-42</v>
      </c>
      <c r="D2517" t="s">
        <v>2501</v>
      </c>
      <c r="E2517" t="b">
        <f>IF(COUNTIF(D2517,"*"&amp;'Keyword Search'!$C$5&amp;"*"),TRUE,FALSE)</f>
        <v>1</v>
      </c>
      <c r="G2517" t="str">
        <f t="shared" si="164"/>
        <v>320-42: Nuts, Steel, Including Nutserts</v>
      </c>
    </row>
    <row r="2518" spans="1:7" x14ac:dyDescent="0.25">
      <c r="A2518" s="1" t="str">
        <f t="shared" si="165"/>
        <v>320</v>
      </c>
      <c r="B2518" s="1" t="str">
        <f>TEXT(43,"00")</f>
        <v>43</v>
      </c>
      <c r="C2518" s="1" t="str">
        <f t="shared" si="163"/>
        <v>320-43</v>
      </c>
      <c r="D2518" t="s">
        <v>2502</v>
      </c>
      <c r="E2518" t="b">
        <f>IF(COUNTIF(D2518,"*"&amp;'Keyword Search'!$C$5&amp;"*"),TRUE,FALSE)</f>
        <v>1</v>
      </c>
      <c r="G2518" t="str">
        <f t="shared" si="164"/>
        <v>320-43: Nuts, Metal or Other Material, Not Steel</v>
      </c>
    </row>
    <row r="2519" spans="1:7" x14ac:dyDescent="0.25">
      <c r="A2519" s="1" t="str">
        <f t="shared" si="165"/>
        <v>320</v>
      </c>
      <c r="B2519" s="1" t="str">
        <f>TEXT(50,"00")</f>
        <v>50</v>
      </c>
      <c r="C2519" s="1" t="str">
        <f t="shared" si="163"/>
        <v>320-50</v>
      </c>
      <c r="D2519" t="s">
        <v>2503</v>
      </c>
      <c r="E2519" t="b">
        <f>IF(COUNTIF(D2519,"*"&amp;'Keyword Search'!$C$5&amp;"*"),TRUE,FALSE)</f>
        <v>1</v>
      </c>
      <c r="G2519" t="str">
        <f t="shared" si="164"/>
        <v>320-50: Package Tying Machines and Parts</v>
      </c>
    </row>
    <row r="2520" spans="1:7" x14ac:dyDescent="0.25">
      <c r="A2520" s="1" t="str">
        <f t="shared" si="165"/>
        <v>320</v>
      </c>
      <c r="B2520" s="1" t="str">
        <f>TEXT(55,"00")</f>
        <v>55</v>
      </c>
      <c r="C2520" s="1" t="str">
        <f t="shared" si="163"/>
        <v>320-55</v>
      </c>
      <c r="D2520" t="s">
        <v>2504</v>
      </c>
      <c r="E2520" t="b">
        <f>IF(COUNTIF(D2520,"*"&amp;'Keyword Search'!$C$5&amp;"*"),TRUE,FALSE)</f>
        <v>1</v>
      </c>
      <c r="G2520" t="str">
        <f t="shared" si="164"/>
        <v>320-55: Powder Actuated, Explosive Tools and Supplies</v>
      </c>
    </row>
    <row r="2521" spans="1:7" x14ac:dyDescent="0.25">
      <c r="A2521" s="1" t="str">
        <f t="shared" si="165"/>
        <v>320</v>
      </c>
      <c r="B2521" s="1" t="str">
        <f>TEXT(56,"00")</f>
        <v>56</v>
      </c>
      <c r="C2521" s="1" t="str">
        <f t="shared" si="163"/>
        <v>320-56</v>
      </c>
      <c r="D2521" t="s">
        <v>2505</v>
      </c>
      <c r="E2521" t="b">
        <f>IF(COUNTIF(D2521,"*"&amp;'Keyword Search'!$C$5&amp;"*"),TRUE,FALSE)</f>
        <v>1</v>
      </c>
      <c r="G2521" t="str">
        <f t="shared" si="164"/>
        <v>320-56: Recycled Fastening, Packaging, Strapping and Tying Equipment and Supplies</v>
      </c>
    </row>
    <row r="2522" spans="1:7" x14ac:dyDescent="0.25">
      <c r="A2522" s="1" t="str">
        <f t="shared" si="165"/>
        <v>320</v>
      </c>
      <c r="B2522" s="1" t="str">
        <f>TEXT(57,"00")</f>
        <v>57</v>
      </c>
      <c r="C2522" s="1" t="str">
        <f t="shared" si="163"/>
        <v>320-57</v>
      </c>
      <c r="D2522" t="s">
        <v>2506</v>
      </c>
      <c r="E2522" t="b">
        <f>IF(COUNTIF(D2522,"*"&amp;'Keyword Search'!$C$5&amp;"*"),TRUE,FALSE)</f>
        <v>1</v>
      </c>
      <c r="G2522" t="str">
        <f t="shared" si="164"/>
        <v>320-57: Retainers and Keepers</v>
      </c>
    </row>
    <row r="2523" spans="1:7" x14ac:dyDescent="0.25">
      <c r="A2523" s="1" t="str">
        <f t="shared" si="165"/>
        <v>320</v>
      </c>
      <c r="B2523" s="1" t="str">
        <f>TEXT(58,"00")</f>
        <v>58</v>
      </c>
      <c r="C2523" s="1" t="str">
        <f t="shared" si="163"/>
        <v>320-58</v>
      </c>
      <c r="D2523" t="s">
        <v>2507</v>
      </c>
      <c r="E2523" t="b">
        <f>IF(COUNTIF(D2523,"*"&amp;'Keyword Search'!$C$5&amp;"*"),TRUE,FALSE)</f>
        <v>1</v>
      </c>
      <c r="G2523" t="str">
        <f t="shared" si="164"/>
        <v>320-58: Rings, Retaining</v>
      </c>
    </row>
    <row r="2524" spans="1:7" x14ac:dyDescent="0.25">
      <c r="A2524" s="1" t="str">
        <f t="shared" si="165"/>
        <v>320</v>
      </c>
      <c r="B2524" s="1" t="str">
        <f>TEXT(60,"00")</f>
        <v>60</v>
      </c>
      <c r="C2524" s="1" t="str">
        <f t="shared" si="163"/>
        <v>320-60</v>
      </c>
      <c r="D2524" t="s">
        <v>2508</v>
      </c>
      <c r="E2524" t="b">
        <f>IF(COUNTIF(D2524,"*"&amp;'Keyword Search'!$C$5&amp;"*"),TRUE,FALSE)</f>
        <v>1</v>
      </c>
      <c r="G2524" t="str">
        <f t="shared" si="164"/>
        <v>320-60: Rivets, All Types, Except Brake Lining Rivets</v>
      </c>
    </row>
    <row r="2525" spans="1:7" x14ac:dyDescent="0.25">
      <c r="A2525" s="1" t="str">
        <f t="shared" si="165"/>
        <v>320</v>
      </c>
      <c r="B2525" s="1" t="str">
        <f>TEXT(62,"00")</f>
        <v>62</v>
      </c>
      <c r="C2525" s="1" t="str">
        <f t="shared" si="163"/>
        <v>320-62</v>
      </c>
      <c r="D2525" t="s">
        <v>2509</v>
      </c>
      <c r="E2525" t="b">
        <f>IF(COUNTIF(D2525,"*"&amp;'Keyword Search'!$C$5&amp;"*"),TRUE,FALSE)</f>
        <v>1</v>
      </c>
      <c r="G2525" t="str">
        <f t="shared" si="164"/>
        <v>320-62: Rivet Guns</v>
      </c>
    </row>
    <row r="2526" spans="1:7" x14ac:dyDescent="0.25">
      <c r="A2526" s="1" t="str">
        <f t="shared" si="165"/>
        <v>320</v>
      </c>
      <c r="B2526" s="1" t="str">
        <f>TEXT(69,"00")</f>
        <v>69</v>
      </c>
      <c r="C2526" s="1" t="str">
        <f t="shared" si="163"/>
        <v>320-69</v>
      </c>
      <c r="D2526" t="s">
        <v>2510</v>
      </c>
      <c r="E2526" t="b">
        <f>IF(COUNTIF(D2526,"*"&amp;'Keyword Search'!$C$5&amp;"*"),TRUE,FALSE)</f>
        <v>1</v>
      </c>
      <c r="G2526" t="str">
        <f t="shared" si="164"/>
        <v>320-69: Screws, All Kinds (Not Otherwise Classified)</v>
      </c>
    </row>
    <row r="2527" spans="1:7" x14ac:dyDescent="0.25">
      <c r="A2527" s="1" t="str">
        <f t="shared" si="165"/>
        <v>320</v>
      </c>
      <c r="B2527" s="1" t="str">
        <f>TEXT(70,"00")</f>
        <v>70</v>
      </c>
      <c r="C2527" s="1" t="str">
        <f t="shared" si="163"/>
        <v>320-70</v>
      </c>
      <c r="D2527" t="s">
        <v>2511</v>
      </c>
      <c r="E2527" t="b">
        <f>IF(COUNTIF(D2527,"*"&amp;'Keyword Search'!$C$5&amp;"*"),TRUE,FALSE)</f>
        <v>1</v>
      </c>
      <c r="G2527" t="str">
        <f t="shared" si="164"/>
        <v>320-70: Screws, Cap</v>
      </c>
    </row>
    <row r="2528" spans="1:7" x14ac:dyDescent="0.25">
      <c r="A2528" s="1" t="str">
        <f t="shared" si="165"/>
        <v>320</v>
      </c>
      <c r="B2528" s="1" t="str">
        <f>TEXT(71,"00")</f>
        <v>71</v>
      </c>
      <c r="C2528" s="1" t="str">
        <f t="shared" si="163"/>
        <v>320-71</v>
      </c>
      <c r="D2528" t="s">
        <v>2512</v>
      </c>
      <c r="E2528" t="b">
        <f>IF(COUNTIF(D2528,"*"&amp;'Keyword Search'!$C$5&amp;"*"),TRUE,FALSE)</f>
        <v>1</v>
      </c>
      <c r="G2528" t="str">
        <f t="shared" si="164"/>
        <v>320-71: Screws: Coach, Drywall, Eye, Lag, Phillips, Set, Thumb, etc.</v>
      </c>
    </row>
    <row r="2529" spans="1:7" x14ac:dyDescent="0.25">
      <c r="A2529" s="1" t="str">
        <f t="shared" si="165"/>
        <v>320</v>
      </c>
      <c r="B2529" s="1" t="str">
        <f>TEXT(72,"00")</f>
        <v>72</v>
      </c>
      <c r="C2529" s="1" t="str">
        <f t="shared" si="163"/>
        <v>320-72</v>
      </c>
      <c r="D2529" t="s">
        <v>2513</v>
      </c>
      <c r="E2529" t="b">
        <f>IF(COUNTIF(D2529,"*"&amp;'Keyword Search'!$C$5&amp;"*"),TRUE,FALSE)</f>
        <v>1</v>
      </c>
      <c r="G2529" t="str">
        <f t="shared" si="164"/>
        <v>320-72: Screws, Machine</v>
      </c>
    </row>
    <row r="2530" spans="1:7" x14ac:dyDescent="0.25">
      <c r="A2530" s="1" t="str">
        <f t="shared" si="165"/>
        <v>320</v>
      </c>
      <c r="B2530" s="1" t="str">
        <f>TEXT(73,"00")</f>
        <v>73</v>
      </c>
      <c r="C2530" s="1" t="str">
        <f t="shared" si="163"/>
        <v>320-73</v>
      </c>
      <c r="D2530" t="s">
        <v>2514</v>
      </c>
      <c r="E2530" t="b">
        <f>IF(COUNTIF(D2530,"*"&amp;'Keyword Search'!$C$5&amp;"*"),TRUE,FALSE)</f>
        <v>1</v>
      </c>
      <c r="G2530" t="str">
        <f t="shared" si="164"/>
        <v>320-73: Screws, Sheet Metal</v>
      </c>
    </row>
    <row r="2531" spans="1:7" x14ac:dyDescent="0.25">
      <c r="A2531" s="1" t="str">
        <f t="shared" si="165"/>
        <v>320</v>
      </c>
      <c r="B2531" s="1" t="str">
        <f>TEXT(74,"00")</f>
        <v>74</v>
      </c>
      <c r="C2531" s="1" t="str">
        <f t="shared" si="163"/>
        <v>320-74</v>
      </c>
      <c r="D2531" t="s">
        <v>2515</v>
      </c>
      <c r="E2531" t="b">
        <f>IF(COUNTIF(D2531,"*"&amp;'Keyword Search'!$C$5&amp;"*"),TRUE,FALSE)</f>
        <v>1</v>
      </c>
      <c r="G2531" t="str">
        <f t="shared" si="164"/>
        <v>320-74: Screws, Wood</v>
      </c>
    </row>
    <row r="2532" spans="1:7" x14ac:dyDescent="0.25">
      <c r="A2532" s="1" t="str">
        <f t="shared" si="165"/>
        <v>320</v>
      </c>
      <c r="B2532" s="1" t="str">
        <f>TEXT(75,"00")</f>
        <v>75</v>
      </c>
      <c r="C2532" s="1" t="str">
        <f t="shared" si="163"/>
        <v>320-75</v>
      </c>
      <c r="D2532" t="s">
        <v>2516</v>
      </c>
      <c r="E2532" t="b">
        <f>IF(COUNTIF(D2532,"*"&amp;'Keyword Search'!$C$5&amp;"*"),TRUE,FALSE)</f>
        <v>1</v>
      </c>
      <c r="G2532" t="str">
        <f t="shared" si="164"/>
        <v>320-75: Strapping, Seals, Banding and Tools and Equipment</v>
      </c>
    </row>
    <row r="2533" spans="1:7" x14ac:dyDescent="0.25">
      <c r="A2533" s="1" t="str">
        <f t="shared" si="165"/>
        <v>320</v>
      </c>
      <c r="B2533" s="1" t="str">
        <f>TEXT(83,"00")</f>
        <v>83</v>
      </c>
      <c r="C2533" s="1" t="str">
        <f t="shared" si="163"/>
        <v>320-83</v>
      </c>
      <c r="D2533" t="s">
        <v>2517</v>
      </c>
      <c r="E2533" t="b">
        <f>IF(COUNTIF(D2533,"*"&amp;'Keyword Search'!$C$5&amp;"*"),TRUE,FALSE)</f>
        <v>1</v>
      </c>
      <c r="G2533" t="str">
        <f t="shared" si="164"/>
        <v>320-83: Threaded Rods, Studs, and Fittings</v>
      </c>
    </row>
    <row r="2534" spans="1:7" x14ac:dyDescent="0.25">
      <c r="A2534" s="1" t="str">
        <f t="shared" si="165"/>
        <v>320</v>
      </c>
      <c r="B2534" s="1" t="str">
        <f>TEXT(85,"00")</f>
        <v>85</v>
      </c>
      <c r="C2534" s="1" t="str">
        <f t="shared" si="163"/>
        <v>320-85</v>
      </c>
      <c r="D2534" t="s">
        <v>2518</v>
      </c>
      <c r="E2534" t="b">
        <f>IF(COUNTIF(D2534,"*"&amp;'Keyword Search'!$C$5&amp;"*"),TRUE,FALSE)</f>
        <v>1</v>
      </c>
      <c r="G2534" t="str">
        <f t="shared" si="164"/>
        <v>320-85: Ties: Bar, Form, etc.</v>
      </c>
    </row>
    <row r="2535" spans="1:7" x14ac:dyDescent="0.25">
      <c r="A2535" s="1" t="str">
        <f t="shared" si="165"/>
        <v>320</v>
      </c>
      <c r="B2535" s="1" t="str">
        <f>TEXT(91,"00")</f>
        <v>91</v>
      </c>
      <c r="C2535" s="1" t="str">
        <f t="shared" si="163"/>
        <v>320-91</v>
      </c>
      <c r="D2535" t="s">
        <v>2519</v>
      </c>
      <c r="E2535" t="b">
        <f>IF(COUNTIF(D2535,"*"&amp;'Keyword Search'!$C$5&amp;"*"),TRUE,FALSE)</f>
        <v>1</v>
      </c>
      <c r="G2535" t="str">
        <f t="shared" si="164"/>
        <v>320-91: Washers, Steel</v>
      </c>
    </row>
    <row r="2536" spans="1:7" x14ac:dyDescent="0.25">
      <c r="A2536" s="1" t="str">
        <f t="shared" si="165"/>
        <v>320</v>
      </c>
      <c r="B2536" s="1" t="str">
        <f>TEXT(92,"00")</f>
        <v>92</v>
      </c>
      <c r="C2536" s="1" t="str">
        <f t="shared" si="163"/>
        <v>320-92</v>
      </c>
      <c r="D2536" t="s">
        <v>2520</v>
      </c>
      <c r="E2536" t="b">
        <f>IF(COUNTIF(D2536,"*"&amp;'Keyword Search'!$C$5&amp;"*"),TRUE,FALSE)</f>
        <v>1</v>
      </c>
      <c r="G2536" t="str">
        <f t="shared" si="164"/>
        <v>320-92: Washers, Metal or Other Material, Not Steel</v>
      </c>
    </row>
    <row r="2537" spans="1:7" x14ac:dyDescent="0.25">
      <c r="A2537" s="5" t="str">
        <f t="shared" ref="A2537:A2570" si="166">TEXT(325,"000")</f>
        <v>325</v>
      </c>
      <c r="B2537" s="5" t="str">
        <f>TEXT(0,"00")</f>
        <v>00</v>
      </c>
      <c r="C2537" s="1"/>
      <c r="D2537" s="2" t="s">
        <v>2521</v>
      </c>
    </row>
    <row r="2538" spans="1:7" x14ac:dyDescent="0.25">
      <c r="A2538" s="1" t="str">
        <f t="shared" si="166"/>
        <v>325</v>
      </c>
      <c r="B2538" s="1" t="str">
        <f>TEXT(4,"00")</f>
        <v>04</v>
      </c>
      <c r="C2538" s="1" t="str">
        <f t="shared" si="163"/>
        <v>325-04</v>
      </c>
      <c r="D2538" t="s">
        <v>2522</v>
      </c>
      <c r="E2538" t="b">
        <f>IF(COUNTIF(D2538,"*"&amp;'Keyword Search'!$C$5&amp;"*"),TRUE,FALSE)</f>
        <v>1</v>
      </c>
      <c r="G2538" t="str">
        <f t="shared" si="164"/>
        <v>325-04: Animal By-Products</v>
      </c>
    </row>
    <row r="2539" spans="1:7" x14ac:dyDescent="0.25">
      <c r="A2539" s="1" t="str">
        <f t="shared" si="166"/>
        <v>325</v>
      </c>
      <c r="B2539" s="1" t="str">
        <f>TEXT(5,"00")</f>
        <v>05</v>
      </c>
      <c r="C2539" s="1" t="str">
        <f t="shared" si="163"/>
        <v>325-05</v>
      </c>
      <c r="D2539" t="s">
        <v>2523</v>
      </c>
      <c r="E2539" t="b">
        <f>IF(COUNTIF(D2539,"*"&amp;'Keyword Search'!$C$5&amp;"*"),TRUE,FALSE)</f>
        <v>1</v>
      </c>
      <c r="G2539" t="str">
        <f t="shared" si="164"/>
        <v>325-05: Animal Food for Zoo and Farm Animals</v>
      </c>
    </row>
    <row r="2540" spans="1:7" x14ac:dyDescent="0.25">
      <c r="A2540" s="1" t="str">
        <f t="shared" si="166"/>
        <v>325</v>
      </c>
      <c r="B2540" s="1" t="str">
        <f>TEXT(8,"00")</f>
        <v>08</v>
      </c>
      <c r="C2540" s="1" t="str">
        <f t="shared" si="163"/>
        <v>325-08</v>
      </c>
      <c r="D2540" t="s">
        <v>2524</v>
      </c>
      <c r="E2540" t="b">
        <f>IF(COUNTIF(D2540,"*"&amp;'Keyword Search'!$C$5&amp;"*"),TRUE,FALSE)</f>
        <v>1</v>
      </c>
      <c r="G2540" t="str">
        <f t="shared" si="164"/>
        <v>325-08: Bedding, All Types</v>
      </c>
    </row>
    <row r="2541" spans="1:7" x14ac:dyDescent="0.25">
      <c r="A2541" s="1" t="str">
        <f t="shared" si="166"/>
        <v>325</v>
      </c>
      <c r="B2541" s="1" t="str">
        <f>TEXT(10,"00")</f>
        <v>10</v>
      </c>
      <c r="C2541" s="1" t="str">
        <f t="shared" si="163"/>
        <v>325-10</v>
      </c>
      <c r="D2541" t="s">
        <v>2525</v>
      </c>
      <c r="E2541" t="b">
        <f>IF(COUNTIF(D2541,"*"&amp;'Keyword Search'!$C$5&amp;"*"),TRUE,FALSE)</f>
        <v>1</v>
      </c>
      <c r="G2541" t="str">
        <f t="shared" si="164"/>
        <v>325-10: Bird Food, All Types</v>
      </c>
    </row>
    <row r="2542" spans="1:7" x14ac:dyDescent="0.25">
      <c r="A2542" s="1" t="str">
        <f t="shared" si="166"/>
        <v>325</v>
      </c>
      <c r="B2542" s="1" t="str">
        <f>TEXT(12,"00")</f>
        <v>12</v>
      </c>
      <c r="C2542" s="1" t="str">
        <f t="shared" si="163"/>
        <v>325-12</v>
      </c>
      <c r="D2542" t="s">
        <v>2526</v>
      </c>
      <c r="E2542" t="b">
        <f>IF(COUNTIF(D2542,"*"&amp;'Keyword Search'!$C$5&amp;"*"),TRUE,FALSE)</f>
        <v>1</v>
      </c>
      <c r="G2542" t="str">
        <f t="shared" si="164"/>
        <v>325-12: Calcium Carbonate</v>
      </c>
    </row>
    <row r="2543" spans="1:7" x14ac:dyDescent="0.25">
      <c r="A2543" s="1" t="str">
        <f t="shared" si="166"/>
        <v>325</v>
      </c>
      <c r="B2543" s="1" t="str">
        <f>TEXT(14,"00")</f>
        <v>14</v>
      </c>
      <c r="C2543" s="1" t="str">
        <f t="shared" si="163"/>
        <v>325-14</v>
      </c>
      <c r="D2543" t="s">
        <v>2527</v>
      </c>
      <c r="E2543" t="b">
        <f>IF(COUNTIF(D2543,"*"&amp;'Keyword Search'!$C$5&amp;"*"),TRUE,FALSE)</f>
        <v>1</v>
      </c>
      <c r="G2543" t="str">
        <f t="shared" si="164"/>
        <v>325-14: Citrus Pulp, Dried</v>
      </c>
    </row>
    <row r="2544" spans="1:7" x14ac:dyDescent="0.25">
      <c r="A2544" s="1" t="str">
        <f t="shared" si="166"/>
        <v>325</v>
      </c>
      <c r="B2544" s="1" t="str">
        <f>TEXT(16,"00")</f>
        <v>16</v>
      </c>
      <c r="C2544" s="1" t="str">
        <f t="shared" si="163"/>
        <v>325-16</v>
      </c>
      <c r="D2544" t="s">
        <v>2528</v>
      </c>
      <c r="E2544" t="b">
        <f>IF(COUNTIF(D2544,"*"&amp;'Keyword Search'!$C$5&amp;"*"),TRUE,FALSE)</f>
        <v>1</v>
      </c>
      <c r="G2544" t="str">
        <f t="shared" si="164"/>
        <v>325-16: Cottonseed Products</v>
      </c>
    </row>
    <row r="2545" spans="1:7" x14ac:dyDescent="0.25">
      <c r="A2545" s="1" t="str">
        <f t="shared" si="166"/>
        <v>325</v>
      </c>
      <c r="B2545" s="1" t="str">
        <f>TEXT(20,"00")</f>
        <v>20</v>
      </c>
      <c r="C2545" s="1" t="str">
        <f t="shared" si="163"/>
        <v>325-20</v>
      </c>
      <c r="D2545" t="s">
        <v>2529</v>
      </c>
      <c r="E2545" t="b">
        <f>IF(COUNTIF(D2545,"*"&amp;'Keyword Search'!$C$5&amp;"*"),TRUE,FALSE)</f>
        <v>1</v>
      </c>
      <c r="G2545" t="str">
        <f t="shared" si="164"/>
        <v>325-20: Dehydrated Feed</v>
      </c>
    </row>
    <row r="2546" spans="1:7" x14ac:dyDescent="0.25">
      <c r="A2546" s="1" t="str">
        <f t="shared" si="166"/>
        <v>325</v>
      </c>
      <c r="B2546" s="1" t="str">
        <f>TEXT(24,"00")</f>
        <v>24</v>
      </c>
      <c r="C2546" s="1" t="str">
        <f t="shared" si="163"/>
        <v>325-24</v>
      </c>
      <c r="D2546" t="s">
        <v>2530</v>
      </c>
      <c r="E2546" t="b">
        <f>IF(COUNTIF(D2546,"*"&amp;'Keyword Search'!$C$5&amp;"*"),TRUE,FALSE)</f>
        <v>1</v>
      </c>
      <c r="G2546" t="str">
        <f t="shared" si="164"/>
        <v>325-24: Distiller's Dried Solubles</v>
      </c>
    </row>
    <row r="2547" spans="1:7" x14ac:dyDescent="0.25">
      <c r="A2547" s="1" t="str">
        <f t="shared" si="166"/>
        <v>325</v>
      </c>
      <c r="B2547" s="1" t="str">
        <f>TEXT(25,"00")</f>
        <v>25</v>
      </c>
      <c r="C2547" s="1" t="str">
        <f t="shared" si="163"/>
        <v>325-25</v>
      </c>
      <c r="D2547" t="s">
        <v>2531</v>
      </c>
      <c r="E2547" t="b">
        <f>IF(COUNTIF(D2547,"*"&amp;'Keyword Search'!$C$5&amp;"*"),TRUE,FALSE)</f>
        <v>1</v>
      </c>
      <c r="G2547" t="str">
        <f t="shared" si="164"/>
        <v>325-25: Dog and Cat Food</v>
      </c>
    </row>
    <row r="2548" spans="1:7" x14ac:dyDescent="0.25">
      <c r="A2548" s="1" t="str">
        <f t="shared" si="166"/>
        <v>325</v>
      </c>
      <c r="B2548" s="1" t="str">
        <f>TEXT(26,"00")</f>
        <v>26</v>
      </c>
      <c r="C2548" s="1" t="str">
        <f t="shared" si="163"/>
        <v>325-26</v>
      </c>
      <c r="D2548" t="s">
        <v>2532</v>
      </c>
      <c r="E2548" t="b">
        <f>IF(COUNTIF(D2548,"*"&amp;'Keyword Search'!$C$5&amp;"*"),TRUE,FALSE)</f>
        <v>1</v>
      </c>
      <c r="G2548" t="str">
        <f t="shared" si="164"/>
        <v>325-26: Fat, Feed Grade</v>
      </c>
    </row>
    <row r="2549" spans="1:7" x14ac:dyDescent="0.25">
      <c r="A2549" s="1" t="str">
        <f t="shared" si="166"/>
        <v>325</v>
      </c>
      <c r="B2549" s="1" t="str">
        <f>TEXT(27,"00")</f>
        <v>27</v>
      </c>
      <c r="C2549" s="1" t="str">
        <f t="shared" si="163"/>
        <v>325-27</v>
      </c>
      <c r="D2549" t="s">
        <v>2533</v>
      </c>
      <c r="E2549" t="b">
        <f>IF(COUNTIF(D2549,"*"&amp;'Keyword Search'!$C$5&amp;"*"),TRUE,FALSE)</f>
        <v>1</v>
      </c>
      <c r="G2549" t="str">
        <f t="shared" si="164"/>
        <v>325-27: Feeders, All Types, Birds, Pets, Squirrels, etc.</v>
      </c>
    </row>
    <row r="2550" spans="1:7" x14ac:dyDescent="0.25">
      <c r="A2550" s="1" t="str">
        <f t="shared" si="166"/>
        <v>325</v>
      </c>
      <c r="B2550" s="1" t="str">
        <f>TEXT(28,"00")</f>
        <v>28</v>
      </c>
      <c r="C2550" s="1" t="str">
        <f t="shared" si="163"/>
        <v>325-28</v>
      </c>
      <c r="D2550" t="s">
        <v>2534</v>
      </c>
      <c r="E2550" t="b">
        <f>IF(COUNTIF(D2550,"*"&amp;'Keyword Search'!$C$5&amp;"*"),TRUE,FALSE)</f>
        <v>1</v>
      </c>
      <c r="G2550" t="str">
        <f t="shared" si="164"/>
        <v>325-28: Fish Food, Including Live</v>
      </c>
    </row>
    <row r="2551" spans="1:7" x14ac:dyDescent="0.25">
      <c r="A2551" s="1" t="str">
        <f t="shared" si="166"/>
        <v>325</v>
      </c>
      <c r="B2551" s="1" t="str">
        <f>TEXT(32,"00")</f>
        <v>32</v>
      </c>
      <c r="C2551" s="1" t="str">
        <f t="shared" si="163"/>
        <v>325-32</v>
      </c>
      <c r="D2551" t="s">
        <v>2535</v>
      </c>
      <c r="E2551" t="b">
        <f>IF(COUNTIF(D2551,"*"&amp;'Keyword Search'!$C$5&amp;"*"),TRUE,FALSE)</f>
        <v>1</v>
      </c>
      <c r="G2551" t="str">
        <f t="shared" si="164"/>
        <v>325-32: Grain, Chopped or Whole, Unmixed</v>
      </c>
    </row>
    <row r="2552" spans="1:7" x14ac:dyDescent="0.25">
      <c r="A2552" s="1" t="str">
        <f t="shared" si="166"/>
        <v>325</v>
      </c>
      <c r="B2552" s="1" t="str">
        <f>TEXT(36,"00")</f>
        <v>36</v>
      </c>
      <c r="C2552" s="1" t="str">
        <f t="shared" si="163"/>
        <v>325-36</v>
      </c>
      <c r="D2552" t="s">
        <v>2536</v>
      </c>
      <c r="E2552" t="b">
        <f>IF(COUNTIF(D2552,"*"&amp;'Keyword Search'!$C$5&amp;"*"),TRUE,FALSE)</f>
        <v>1</v>
      </c>
      <c r="G2552" t="str">
        <f t="shared" si="164"/>
        <v>325-36: Guar Products</v>
      </c>
    </row>
    <row r="2553" spans="1:7" x14ac:dyDescent="0.25">
      <c r="A2553" s="1" t="str">
        <f t="shared" si="166"/>
        <v>325</v>
      </c>
      <c r="B2553" s="1" t="str">
        <f>TEXT(40,"00")</f>
        <v>40</v>
      </c>
      <c r="C2553" s="1" t="str">
        <f t="shared" si="163"/>
        <v>325-40</v>
      </c>
      <c r="D2553" t="s">
        <v>2537</v>
      </c>
      <c r="E2553" t="b">
        <f>IF(COUNTIF(D2553,"*"&amp;'Keyword Search'!$C$5&amp;"*"),TRUE,FALSE)</f>
        <v>1</v>
      </c>
      <c r="G2553" t="str">
        <f t="shared" si="164"/>
        <v>325-40: Hay and Straw</v>
      </c>
    </row>
    <row r="2554" spans="1:7" x14ac:dyDescent="0.25">
      <c r="A2554" s="1" t="str">
        <f t="shared" si="166"/>
        <v>325</v>
      </c>
      <c r="B2554" s="1" t="str">
        <f>TEXT(44,"00")</f>
        <v>44</v>
      </c>
      <c r="C2554" s="1" t="str">
        <f t="shared" si="163"/>
        <v>325-44</v>
      </c>
      <c r="D2554" t="s">
        <v>2538</v>
      </c>
      <c r="E2554" t="b">
        <f>IF(COUNTIF(D2554,"*"&amp;'Keyword Search'!$C$5&amp;"*"),TRUE,FALSE)</f>
        <v>1</v>
      </c>
      <c r="G2554" t="str">
        <f t="shared" si="164"/>
        <v>325-44: Marine Products</v>
      </c>
    </row>
    <row r="2555" spans="1:7" x14ac:dyDescent="0.25">
      <c r="A2555" s="1" t="str">
        <f t="shared" si="166"/>
        <v>325</v>
      </c>
      <c r="B2555" s="1" t="str">
        <f>TEXT(48,"00")</f>
        <v>48</v>
      </c>
      <c r="C2555" s="1" t="str">
        <f t="shared" si="163"/>
        <v>325-48</v>
      </c>
      <c r="D2555" t="s">
        <v>2539</v>
      </c>
      <c r="E2555" t="b">
        <f>IF(COUNTIF(D2555,"*"&amp;'Keyword Search'!$C$5&amp;"*"),TRUE,FALSE)</f>
        <v>1</v>
      </c>
      <c r="G2555" t="str">
        <f t="shared" si="164"/>
        <v>325-48: Milk Products</v>
      </c>
    </row>
    <row r="2556" spans="1:7" x14ac:dyDescent="0.25">
      <c r="A2556" s="1" t="str">
        <f t="shared" si="166"/>
        <v>325</v>
      </c>
      <c r="B2556" s="1" t="str">
        <f>TEXT(52,"00")</f>
        <v>52</v>
      </c>
      <c r="C2556" s="1" t="str">
        <f t="shared" si="163"/>
        <v>325-52</v>
      </c>
      <c r="D2556" t="s">
        <v>2540</v>
      </c>
      <c r="E2556" t="b">
        <f>IF(COUNTIF(D2556,"*"&amp;'Keyword Search'!$C$5&amp;"*"),TRUE,FALSE)</f>
        <v>1</v>
      </c>
      <c r="G2556" t="str">
        <f t="shared" si="164"/>
        <v>325-52: Mixed Feed, All Types, Including Feed for Poultry, Deer, etc.</v>
      </c>
    </row>
    <row r="2557" spans="1:7" x14ac:dyDescent="0.25">
      <c r="A2557" s="1" t="str">
        <f t="shared" si="166"/>
        <v>325</v>
      </c>
      <c r="B2557" s="1" t="str">
        <f>TEXT(56,"00")</f>
        <v>56</v>
      </c>
      <c r="C2557" s="1" t="str">
        <f t="shared" si="163"/>
        <v>325-56</v>
      </c>
      <c r="D2557" t="s">
        <v>2541</v>
      </c>
      <c r="E2557" t="b">
        <f>IF(COUNTIF(D2557,"*"&amp;'Keyword Search'!$C$5&amp;"*"),TRUE,FALSE)</f>
        <v>1</v>
      </c>
      <c r="G2557" t="str">
        <f t="shared" si="164"/>
        <v>325-56: Molasses, Stock Feed</v>
      </c>
    </row>
    <row r="2558" spans="1:7" x14ac:dyDescent="0.25">
      <c r="A2558" s="1" t="str">
        <f t="shared" si="166"/>
        <v>325</v>
      </c>
      <c r="B2558" s="1" t="str">
        <f>TEXT(60,"00")</f>
        <v>60</v>
      </c>
      <c r="C2558" s="1" t="str">
        <f t="shared" si="163"/>
        <v>325-60</v>
      </c>
      <c r="D2558" t="s">
        <v>2542</v>
      </c>
      <c r="E2558" t="b">
        <f>IF(COUNTIF(D2558,"*"&amp;'Keyword Search'!$C$5&amp;"*"),TRUE,FALSE)</f>
        <v>1</v>
      </c>
      <c r="G2558" t="str">
        <f t="shared" si="164"/>
        <v>325-60: Peanut Products</v>
      </c>
    </row>
    <row r="2559" spans="1:7" x14ac:dyDescent="0.25">
      <c r="A2559" s="1" t="str">
        <f t="shared" si="166"/>
        <v>325</v>
      </c>
      <c r="B2559" s="1" t="str">
        <f>TEXT(62,"00")</f>
        <v>62</v>
      </c>
      <c r="C2559" s="1" t="str">
        <f t="shared" si="163"/>
        <v>325-62</v>
      </c>
      <c r="D2559" t="s">
        <v>2543</v>
      </c>
      <c r="E2559" t="b">
        <f>IF(COUNTIF(D2559,"*"&amp;'Keyword Search'!$C$5&amp;"*"),TRUE,FALSE)</f>
        <v>1</v>
      </c>
      <c r="G2559" t="str">
        <f t="shared" si="164"/>
        <v>325-62: Phosphate, Defluorinated</v>
      </c>
    </row>
    <row r="2560" spans="1:7" x14ac:dyDescent="0.25">
      <c r="A2560" s="1" t="str">
        <f t="shared" si="166"/>
        <v>325</v>
      </c>
      <c r="B2560" s="1" t="str">
        <f>TEXT(63,"00")</f>
        <v>63</v>
      </c>
      <c r="C2560" s="1" t="str">
        <f t="shared" si="163"/>
        <v>325-63</v>
      </c>
      <c r="D2560" t="s">
        <v>2544</v>
      </c>
      <c r="E2560" t="b">
        <f>IF(COUNTIF(D2560,"*"&amp;'Keyword Search'!$C$5&amp;"*"),TRUE,FALSE)</f>
        <v>1</v>
      </c>
      <c r="G2560" t="str">
        <f t="shared" si="164"/>
        <v>325-63: Potassium Carbonate, Feed Grade</v>
      </c>
    </row>
    <row r="2561" spans="1:7" x14ac:dyDescent="0.25">
      <c r="A2561" s="1" t="str">
        <f t="shared" si="166"/>
        <v>325</v>
      </c>
      <c r="B2561" s="1" t="str">
        <f>TEXT(64,"00")</f>
        <v>64</v>
      </c>
      <c r="C2561" s="1" t="str">
        <f t="shared" si="163"/>
        <v>325-64</v>
      </c>
      <c r="D2561" t="s">
        <v>2545</v>
      </c>
      <c r="E2561" t="b">
        <f>IF(COUNTIF(D2561,"*"&amp;'Keyword Search'!$C$5&amp;"*"),TRUE,FALSE)</f>
        <v>1</v>
      </c>
      <c r="G2561" t="str">
        <f t="shared" si="164"/>
        <v>325-64: Rations, Small Animal</v>
      </c>
    </row>
    <row r="2562" spans="1:7" x14ac:dyDescent="0.25">
      <c r="A2562" s="1" t="str">
        <f t="shared" si="166"/>
        <v>325</v>
      </c>
      <c r="B2562" s="1" t="str">
        <f>TEXT(66,"00")</f>
        <v>66</v>
      </c>
      <c r="C2562" s="1" t="str">
        <f t="shared" si="163"/>
        <v>325-66</v>
      </c>
      <c r="D2562" t="s">
        <v>2546</v>
      </c>
      <c r="E2562" t="b">
        <f>IF(COUNTIF(D2562,"*"&amp;'Keyword Search'!$C$5&amp;"*"),TRUE,FALSE)</f>
        <v>1</v>
      </c>
      <c r="G2562" t="str">
        <f t="shared" si="164"/>
        <v>325-66: Recycled Feed, Bedding, Vitamins and Supplements for Animals</v>
      </c>
    </row>
    <row r="2563" spans="1:7" x14ac:dyDescent="0.25">
      <c r="A2563" s="1" t="str">
        <f t="shared" si="166"/>
        <v>325</v>
      </c>
      <c r="B2563" s="1" t="str">
        <f>TEXT(67,"00")</f>
        <v>67</v>
      </c>
      <c r="C2563" s="1" t="str">
        <f t="shared" ref="C2563:C2626" si="167">CONCATENATE(A2563,"-",B2563)</f>
        <v>325-67</v>
      </c>
      <c r="D2563" t="s">
        <v>2547</v>
      </c>
      <c r="E2563" t="b">
        <f>IF(COUNTIF(D2563,"*"&amp;'Keyword Search'!$C$5&amp;"*"),TRUE,FALSE)</f>
        <v>1</v>
      </c>
      <c r="G2563" t="str">
        <f t="shared" si="164"/>
        <v>325-67: Reptile Food, Including Live</v>
      </c>
    </row>
    <row r="2564" spans="1:7" x14ac:dyDescent="0.25">
      <c r="A2564" s="1" t="str">
        <f t="shared" si="166"/>
        <v>325</v>
      </c>
      <c r="B2564" s="1" t="str">
        <f>TEXT(68,"00")</f>
        <v>68</v>
      </c>
      <c r="C2564" s="1" t="str">
        <f t="shared" si="167"/>
        <v>325-68</v>
      </c>
      <c r="D2564" t="s">
        <v>2548</v>
      </c>
      <c r="E2564" t="b">
        <f>IF(COUNTIF(D2564,"*"&amp;'Keyword Search'!$C$5&amp;"*"),TRUE,FALSE)</f>
        <v>1</v>
      </c>
      <c r="G2564" t="str">
        <f t="shared" ref="G2564:G2627" si="168">CONCATENATE(C2564,": ",D2564)</f>
        <v>325-68: Rice Products</v>
      </c>
    </row>
    <row r="2565" spans="1:7" x14ac:dyDescent="0.25">
      <c r="A2565" s="1" t="str">
        <f t="shared" si="166"/>
        <v>325</v>
      </c>
      <c r="B2565" s="1" t="str">
        <f>TEXT(72,"00")</f>
        <v>72</v>
      </c>
      <c r="C2565" s="1" t="str">
        <f t="shared" si="167"/>
        <v>325-72</v>
      </c>
      <c r="D2565" t="s">
        <v>2549</v>
      </c>
      <c r="E2565" t="b">
        <f>IF(COUNTIF(D2565,"*"&amp;'Keyword Search'!$C$5&amp;"*"),TRUE,FALSE)</f>
        <v>1</v>
      </c>
      <c r="G2565" t="str">
        <f t="shared" si="168"/>
        <v>325-72: Shell, Ground</v>
      </c>
    </row>
    <row r="2566" spans="1:7" x14ac:dyDescent="0.25">
      <c r="A2566" s="1" t="str">
        <f t="shared" si="166"/>
        <v>325</v>
      </c>
      <c r="B2566" s="1" t="str">
        <f>TEXT(76,"00")</f>
        <v>76</v>
      </c>
      <c r="C2566" s="1" t="str">
        <f t="shared" si="167"/>
        <v>325-76</v>
      </c>
      <c r="D2566" t="s">
        <v>2550</v>
      </c>
      <c r="E2566" t="b">
        <f>IF(COUNTIF(D2566,"*"&amp;'Keyword Search'!$C$5&amp;"*"),TRUE,FALSE)</f>
        <v>1</v>
      </c>
      <c r="G2566" t="str">
        <f t="shared" si="168"/>
        <v>325-76: Soybean Products</v>
      </c>
    </row>
    <row r="2567" spans="1:7" x14ac:dyDescent="0.25">
      <c r="A2567" s="1" t="str">
        <f t="shared" si="166"/>
        <v>325</v>
      </c>
      <c r="B2567" s="1" t="str">
        <f>TEXT(77,"00")</f>
        <v>77</v>
      </c>
      <c r="C2567" s="1" t="str">
        <f t="shared" si="167"/>
        <v>325-77</v>
      </c>
      <c r="D2567" t="s">
        <v>2551</v>
      </c>
      <c r="E2567" t="b">
        <f>IF(COUNTIF(D2567,"*"&amp;'Keyword Search'!$C$5&amp;"*"),TRUE,FALSE)</f>
        <v>1</v>
      </c>
      <c r="G2567" t="str">
        <f t="shared" si="168"/>
        <v>325-77: Supplement, Feed, Dry</v>
      </c>
    </row>
    <row r="2568" spans="1:7" x14ac:dyDescent="0.25">
      <c r="A2568" s="1" t="str">
        <f t="shared" si="166"/>
        <v>325</v>
      </c>
      <c r="B2568" s="1" t="str">
        <f>TEXT(78,"00")</f>
        <v>78</v>
      </c>
      <c r="C2568" s="1" t="str">
        <f t="shared" si="167"/>
        <v>325-78</v>
      </c>
      <c r="D2568" t="s">
        <v>2552</v>
      </c>
      <c r="E2568" t="b">
        <f>IF(COUNTIF(D2568,"*"&amp;'Keyword Search'!$C$5&amp;"*"),TRUE,FALSE)</f>
        <v>1</v>
      </c>
      <c r="G2568" t="str">
        <f t="shared" si="168"/>
        <v>325-78: Supplement, Liquid Feed</v>
      </c>
    </row>
    <row r="2569" spans="1:7" x14ac:dyDescent="0.25">
      <c r="A2569" s="1" t="str">
        <f t="shared" si="166"/>
        <v>325</v>
      </c>
      <c r="B2569" s="1" t="str">
        <f>TEXT(80,"00")</f>
        <v>80</v>
      </c>
      <c r="C2569" s="1" t="str">
        <f t="shared" si="167"/>
        <v>325-80</v>
      </c>
      <c r="D2569" t="s">
        <v>2553</v>
      </c>
      <c r="E2569" t="b">
        <f>IF(COUNTIF(D2569,"*"&amp;'Keyword Search'!$C$5&amp;"*"),TRUE,FALSE)</f>
        <v>1</v>
      </c>
      <c r="G2569" t="str">
        <f t="shared" si="168"/>
        <v>325-80: Urea, Feed Grade</v>
      </c>
    </row>
    <row r="2570" spans="1:7" x14ac:dyDescent="0.25">
      <c r="A2570" s="1" t="str">
        <f t="shared" si="166"/>
        <v>325</v>
      </c>
      <c r="B2570" s="1" t="str">
        <f>TEXT(84,"00")</f>
        <v>84</v>
      </c>
      <c r="C2570" s="1" t="str">
        <f t="shared" si="167"/>
        <v>325-84</v>
      </c>
      <c r="D2570" t="s">
        <v>2554</v>
      </c>
      <c r="E2570" t="b">
        <f>IF(COUNTIF(D2570,"*"&amp;'Keyword Search'!$C$5&amp;"*"),TRUE,FALSE)</f>
        <v>1</v>
      </c>
      <c r="G2570" t="str">
        <f t="shared" si="168"/>
        <v>325-84: Vitamins and Supplements</v>
      </c>
    </row>
    <row r="2571" spans="1:7" x14ac:dyDescent="0.25">
      <c r="A2571" s="5" t="str">
        <f t="shared" ref="A2571:A2590" si="169">TEXT(330,"000")</f>
        <v>330</v>
      </c>
      <c r="B2571" s="5" t="str">
        <f>TEXT(0,"00")</f>
        <v>00</v>
      </c>
      <c r="C2571" s="1"/>
      <c r="D2571" s="2" t="s">
        <v>2555</v>
      </c>
    </row>
    <row r="2572" spans="1:7" x14ac:dyDescent="0.25">
      <c r="A2572" s="1" t="str">
        <f t="shared" si="169"/>
        <v>330</v>
      </c>
      <c r="B2572" s="1" t="str">
        <f>TEXT(5,"00")</f>
        <v>05</v>
      </c>
      <c r="C2572" s="1" t="str">
        <f t="shared" si="167"/>
        <v>330-05</v>
      </c>
      <c r="D2572" t="s">
        <v>2556</v>
      </c>
      <c r="E2572" t="b">
        <f>IF(COUNTIF(D2572,"*"&amp;'Keyword Search'!$C$5&amp;"*"),TRUE,FALSE)</f>
        <v>1</v>
      </c>
      <c r="G2572" t="str">
        <f t="shared" si="168"/>
        <v>330-05: Fencing, Adobe, Cinderblock and Sand</v>
      </c>
    </row>
    <row r="2573" spans="1:7" x14ac:dyDescent="0.25">
      <c r="A2573" s="1" t="str">
        <f t="shared" si="169"/>
        <v>330</v>
      </c>
      <c r="B2573" s="1" t="str">
        <f>TEXT(10,"00")</f>
        <v>10</v>
      </c>
      <c r="C2573" s="1" t="str">
        <f t="shared" si="167"/>
        <v>330-10</v>
      </c>
      <c r="D2573" t="s">
        <v>2557</v>
      </c>
      <c r="E2573" t="b">
        <f>IF(COUNTIF(D2573,"*"&amp;'Keyword Search'!$C$5&amp;"*"),TRUE,FALSE)</f>
        <v>1</v>
      </c>
      <c r="G2573" t="str">
        <f t="shared" si="168"/>
        <v>330-10: Fencing, Concrete or Rock</v>
      </c>
    </row>
    <row r="2574" spans="1:7" x14ac:dyDescent="0.25">
      <c r="A2574" s="1" t="str">
        <f t="shared" si="169"/>
        <v>330</v>
      </c>
      <c r="B2574" s="1" t="str">
        <f>TEXT(13,"00")</f>
        <v>13</v>
      </c>
      <c r="C2574" s="1" t="str">
        <f t="shared" si="167"/>
        <v>330-13</v>
      </c>
      <c r="D2574" t="s">
        <v>2558</v>
      </c>
      <c r="E2574" t="b">
        <f>IF(COUNTIF(D2574,"*"&amp;'Keyword Search'!$C$5&amp;"*"),TRUE,FALSE)</f>
        <v>1</v>
      </c>
      <c r="G2574" t="str">
        <f t="shared" si="168"/>
        <v>330-13: Fencing, Chain Link, Including Fabric, Gates, Panels, Posts and Fittings</v>
      </c>
    </row>
    <row r="2575" spans="1:7" x14ac:dyDescent="0.25">
      <c r="A2575" s="1" t="str">
        <f t="shared" si="169"/>
        <v>330</v>
      </c>
      <c r="B2575" s="1" t="str">
        <f>TEXT(20,"00")</f>
        <v>20</v>
      </c>
      <c r="C2575" s="1" t="str">
        <f t="shared" si="167"/>
        <v>330-20</v>
      </c>
      <c r="D2575" t="s">
        <v>2559</v>
      </c>
      <c r="E2575" t="b">
        <f>IF(COUNTIF(D2575,"*"&amp;'Keyword Search'!$C$5&amp;"*"),TRUE,FALSE)</f>
        <v>1</v>
      </c>
      <c r="G2575" t="str">
        <f t="shared" si="168"/>
        <v>330-20: Fencing, Electrified</v>
      </c>
    </row>
    <row r="2576" spans="1:7" x14ac:dyDescent="0.25">
      <c r="A2576" s="1" t="str">
        <f t="shared" si="169"/>
        <v>330</v>
      </c>
      <c r="B2576" s="1" t="str">
        <f>TEXT(32,"00")</f>
        <v>32</v>
      </c>
      <c r="C2576" s="1" t="str">
        <f t="shared" si="167"/>
        <v>330-32</v>
      </c>
      <c r="D2576" t="s">
        <v>2560</v>
      </c>
      <c r="E2576" t="b">
        <f>IF(COUNTIF(D2576,"*"&amp;'Keyword Search'!$C$5&amp;"*"),TRUE,FALSE)</f>
        <v>1</v>
      </c>
      <c r="G2576" t="str">
        <f t="shared" si="168"/>
        <v>330-32: Fencing, Wrought Iron, Including Components</v>
      </c>
    </row>
    <row r="2577" spans="1:7" x14ac:dyDescent="0.25">
      <c r="A2577" s="1" t="str">
        <f t="shared" si="169"/>
        <v>330</v>
      </c>
      <c r="B2577" s="1" t="str">
        <f>TEXT(37,"00")</f>
        <v>37</v>
      </c>
      <c r="C2577" s="1" t="str">
        <f t="shared" si="167"/>
        <v>330-37</v>
      </c>
      <c r="D2577" t="s">
        <v>2561</v>
      </c>
      <c r="E2577" t="b">
        <f>IF(COUNTIF(D2577,"*"&amp;'Keyword Search'!$C$5&amp;"*"),TRUE,FALSE)</f>
        <v>1</v>
      </c>
      <c r="G2577" t="str">
        <f t="shared" si="168"/>
        <v>330-37: Fencing, Metal Slat and Tubular, Including Components</v>
      </c>
    </row>
    <row r="2578" spans="1:7" x14ac:dyDescent="0.25">
      <c r="A2578" s="1" t="str">
        <f t="shared" si="169"/>
        <v>330</v>
      </c>
      <c r="B2578" s="1" t="str">
        <f>TEXT(38,"00")</f>
        <v>38</v>
      </c>
      <c r="C2578" s="1" t="str">
        <f t="shared" si="167"/>
        <v>330-38</v>
      </c>
      <c r="D2578" t="s">
        <v>2562</v>
      </c>
      <c r="E2578" t="b">
        <f>IF(COUNTIF(D2578,"*"&amp;'Keyword Search'!$C$5&amp;"*"),TRUE,FALSE)</f>
        <v>1</v>
      </c>
      <c r="G2578" t="str">
        <f t="shared" si="168"/>
        <v>330-38: Fencing, Plastic, Polyethelene, and Composite Materials</v>
      </c>
    </row>
    <row r="2579" spans="1:7" x14ac:dyDescent="0.25">
      <c r="A2579" s="1" t="str">
        <f t="shared" si="169"/>
        <v>330</v>
      </c>
      <c r="B2579" s="1" t="str">
        <f>TEXT(40,"00")</f>
        <v>40</v>
      </c>
      <c r="C2579" s="1" t="str">
        <f t="shared" si="167"/>
        <v>330-40</v>
      </c>
      <c r="D2579" t="s">
        <v>2563</v>
      </c>
      <c r="E2579" t="b">
        <f>IF(COUNTIF(D2579,"*"&amp;'Keyword Search'!$C$5&amp;"*"),TRUE,FALSE)</f>
        <v>1</v>
      </c>
      <c r="G2579" t="str">
        <f t="shared" si="168"/>
        <v>330-40: Fencing, Ornamental</v>
      </c>
    </row>
    <row r="2580" spans="1:7" x14ac:dyDescent="0.25">
      <c r="A2580" s="1" t="str">
        <f t="shared" si="169"/>
        <v>330</v>
      </c>
      <c r="B2580" s="1" t="str">
        <f>TEXT(46,"00")</f>
        <v>46</v>
      </c>
      <c r="C2580" s="1" t="str">
        <f t="shared" si="167"/>
        <v>330-46</v>
      </c>
      <c r="D2580" t="s">
        <v>2564</v>
      </c>
      <c r="E2580" t="b">
        <f>IF(COUNTIF(D2580,"*"&amp;'Keyword Search'!$C$5&amp;"*"),TRUE,FALSE)</f>
        <v>1</v>
      </c>
      <c r="G2580" t="str">
        <f t="shared" si="168"/>
        <v>330-46: Fencing, Snow</v>
      </c>
    </row>
    <row r="2581" spans="1:7" x14ac:dyDescent="0.25">
      <c r="A2581" s="1" t="str">
        <f t="shared" si="169"/>
        <v>330</v>
      </c>
      <c r="B2581" s="1" t="str">
        <f>TEXT(49,"00")</f>
        <v>49</v>
      </c>
      <c r="C2581" s="1" t="str">
        <f t="shared" si="167"/>
        <v>330-49</v>
      </c>
      <c r="D2581" t="s">
        <v>2565</v>
      </c>
      <c r="E2581" t="b">
        <f>IF(COUNTIF(D2581,"*"&amp;'Keyword Search'!$C$5&amp;"*"),TRUE,FALSE)</f>
        <v>1</v>
      </c>
      <c r="G2581" t="str">
        <f t="shared" si="168"/>
        <v>330-49: Fencing, Split Rail</v>
      </c>
    </row>
    <row r="2582" spans="1:7" x14ac:dyDescent="0.25">
      <c r="A2582" s="1" t="str">
        <f t="shared" si="169"/>
        <v>330</v>
      </c>
      <c r="B2582" s="1" t="str">
        <f>TEXT(55,"00")</f>
        <v>55</v>
      </c>
      <c r="C2582" s="1" t="str">
        <f t="shared" si="167"/>
        <v>330-55</v>
      </c>
      <c r="D2582" t="s">
        <v>2566</v>
      </c>
      <c r="E2582" t="b">
        <f>IF(COUNTIF(D2582,"*"&amp;'Keyword Search'!$C$5&amp;"*"),TRUE,FALSE)</f>
        <v>1</v>
      </c>
      <c r="G2582" t="str">
        <f t="shared" si="168"/>
        <v>330-55: Fencing, Temporary Construction and Other Industrial or Safety Uses</v>
      </c>
    </row>
    <row r="2583" spans="1:7" x14ac:dyDescent="0.25">
      <c r="A2583" s="1" t="str">
        <f t="shared" si="169"/>
        <v>330</v>
      </c>
      <c r="B2583" s="1" t="str">
        <f>TEXT(58,"00")</f>
        <v>58</v>
      </c>
      <c r="C2583" s="1" t="str">
        <f t="shared" si="167"/>
        <v>330-58</v>
      </c>
      <c r="D2583" t="s">
        <v>2567</v>
      </c>
      <c r="E2583" t="b">
        <f>IF(COUNTIF(D2583,"*"&amp;'Keyword Search'!$C$5&amp;"*"),TRUE,FALSE)</f>
        <v>1</v>
      </c>
      <c r="G2583" t="str">
        <f t="shared" si="168"/>
        <v>330-58: Fencing, Wire</v>
      </c>
    </row>
    <row r="2584" spans="1:7" x14ac:dyDescent="0.25">
      <c r="A2584" s="1" t="str">
        <f t="shared" si="169"/>
        <v>330</v>
      </c>
      <c r="B2584" s="1" t="str">
        <f>TEXT(59,"00")</f>
        <v>59</v>
      </c>
      <c r="C2584" s="1" t="str">
        <f t="shared" si="167"/>
        <v>330-59</v>
      </c>
      <c r="D2584" t="s">
        <v>2568</v>
      </c>
      <c r="E2584" t="b">
        <f>IF(COUNTIF(D2584,"*"&amp;'Keyword Search'!$C$5&amp;"*"),TRUE,FALSE)</f>
        <v>1</v>
      </c>
      <c r="G2584" t="str">
        <f t="shared" si="168"/>
        <v>330-59: Fencing, Wood, Including Components</v>
      </c>
    </row>
    <row r="2585" spans="1:7" x14ac:dyDescent="0.25">
      <c r="A2585" s="1" t="str">
        <f t="shared" si="169"/>
        <v>330</v>
      </c>
      <c r="B2585" s="1" t="str">
        <f>TEXT(61,"00")</f>
        <v>61</v>
      </c>
      <c r="C2585" s="1" t="str">
        <f t="shared" si="167"/>
        <v>330-61</v>
      </c>
      <c r="D2585" t="s">
        <v>2569</v>
      </c>
      <c r="E2585" t="b">
        <f>IF(COUNTIF(D2585,"*"&amp;'Keyword Search'!$C$5&amp;"*"),TRUE,FALSE)</f>
        <v>1</v>
      </c>
      <c r="G2585" t="str">
        <f t="shared" si="168"/>
        <v>330-61: Windscreens and Accessories for Fencing</v>
      </c>
    </row>
    <row r="2586" spans="1:7" x14ac:dyDescent="0.25">
      <c r="A2586" s="1" t="str">
        <f t="shared" si="169"/>
        <v>330</v>
      </c>
      <c r="B2586" s="1" t="str">
        <f>TEXT(65,"00")</f>
        <v>65</v>
      </c>
      <c r="C2586" s="1" t="str">
        <f t="shared" si="167"/>
        <v>330-65</v>
      </c>
      <c r="D2586" t="s">
        <v>2570</v>
      </c>
      <c r="E2586" t="b">
        <f>IF(COUNTIF(D2586,"*"&amp;'Keyword Search'!$C$5&amp;"*"),TRUE,FALSE)</f>
        <v>1</v>
      </c>
      <c r="G2586" t="str">
        <f t="shared" si="168"/>
        <v>330-65: Wire, Barbed</v>
      </c>
    </row>
    <row r="2587" spans="1:7" x14ac:dyDescent="0.25">
      <c r="A2587" s="1" t="str">
        <f t="shared" si="169"/>
        <v>330</v>
      </c>
      <c r="B2587" s="1" t="str">
        <f>TEXT(69,"00")</f>
        <v>69</v>
      </c>
      <c r="C2587" s="1" t="str">
        <f t="shared" si="167"/>
        <v>330-69</v>
      </c>
      <c r="D2587" t="s">
        <v>2571</v>
      </c>
      <c r="E2587" t="b">
        <f>IF(COUNTIF(D2587,"*"&amp;'Keyword Search'!$C$5&amp;"*"),TRUE,FALSE)</f>
        <v>1</v>
      </c>
      <c r="G2587" t="str">
        <f t="shared" si="168"/>
        <v>330-69: Wire, Obstacle: Concertina, Including Razor Ribbon and Barbed Tape</v>
      </c>
    </row>
    <row r="2588" spans="1:7" x14ac:dyDescent="0.25">
      <c r="A2588" s="1" t="str">
        <f t="shared" si="169"/>
        <v>330</v>
      </c>
      <c r="B2588" s="1" t="str">
        <f>TEXT(78,"00")</f>
        <v>78</v>
      </c>
      <c r="C2588" s="1" t="str">
        <f t="shared" si="167"/>
        <v>330-78</v>
      </c>
      <c r="D2588" t="s">
        <v>2572</v>
      </c>
      <c r="E2588" t="b">
        <f>IF(COUNTIF(D2588,"*"&amp;'Keyword Search'!$C$5&amp;"*"),TRUE,FALSE)</f>
        <v>1</v>
      </c>
      <c r="G2588" t="str">
        <f t="shared" si="168"/>
        <v>330-78: Wire, Plain</v>
      </c>
    </row>
    <row r="2589" spans="1:7" x14ac:dyDescent="0.25">
      <c r="A2589" s="1" t="str">
        <f t="shared" si="169"/>
        <v>330</v>
      </c>
      <c r="B2589" s="1" t="str">
        <f>TEXT(91,"00")</f>
        <v>91</v>
      </c>
      <c r="C2589" s="1" t="str">
        <f t="shared" si="167"/>
        <v>330-91</v>
      </c>
      <c r="D2589" t="s">
        <v>2573</v>
      </c>
      <c r="E2589" t="b">
        <f>IF(COUNTIF(D2589,"*"&amp;'Keyword Search'!$C$5&amp;"*"),TRUE,FALSE)</f>
        <v>1</v>
      </c>
      <c r="G2589" t="str">
        <f t="shared" si="168"/>
        <v>330-91: Wire, Woven</v>
      </c>
    </row>
    <row r="2590" spans="1:7" x14ac:dyDescent="0.25">
      <c r="A2590" s="1" t="str">
        <f t="shared" si="169"/>
        <v>330</v>
      </c>
      <c r="B2590" s="1" t="str">
        <f>TEXT(95,"00")</f>
        <v>95</v>
      </c>
      <c r="C2590" s="1" t="str">
        <f t="shared" si="167"/>
        <v>330-95</v>
      </c>
      <c r="D2590" t="s">
        <v>2574</v>
      </c>
      <c r="E2590" t="b">
        <f>IF(COUNTIF(D2590,"*"&amp;'Keyword Search'!$C$5&amp;"*"),TRUE,FALSE)</f>
        <v>1</v>
      </c>
      <c r="G2590" t="str">
        <f t="shared" si="168"/>
        <v>330-95: Recycled Fencing and Supplies</v>
      </c>
    </row>
    <row r="2591" spans="1:7" x14ac:dyDescent="0.25">
      <c r="A2591" s="5" t="str">
        <f t="shared" ref="A2591:A2615" si="170">TEXT(335,"000")</f>
        <v>335</v>
      </c>
      <c r="B2591" s="5" t="str">
        <f>TEXT(0,"00")</f>
        <v>00</v>
      </c>
      <c r="C2591" s="1"/>
      <c r="D2591" s="2" t="s">
        <v>2575</v>
      </c>
    </row>
    <row r="2592" spans="1:7" x14ac:dyDescent="0.25">
      <c r="A2592" s="1" t="str">
        <f t="shared" si="170"/>
        <v>335</v>
      </c>
      <c r="B2592" s="1" t="str">
        <f>TEXT(4,"00")</f>
        <v>04</v>
      </c>
      <c r="C2592" s="1" t="str">
        <f t="shared" si="167"/>
        <v>335-04</v>
      </c>
      <c r="D2592" t="s">
        <v>2576</v>
      </c>
      <c r="E2592" t="b">
        <f>IF(COUNTIF(D2592,"*"&amp;'Keyword Search'!$C$5&amp;"*"),TRUE,FALSE)</f>
        <v>1</v>
      </c>
      <c r="G2592" t="str">
        <f t="shared" si="168"/>
        <v>335-04: Additives and Supplements, Fertilizer</v>
      </c>
    </row>
    <row r="2593" spans="1:7" x14ac:dyDescent="0.25">
      <c r="A2593" s="1" t="str">
        <f t="shared" si="170"/>
        <v>335</v>
      </c>
      <c r="B2593" s="1" t="str">
        <f>TEXT(6,"00")</f>
        <v>06</v>
      </c>
      <c r="C2593" s="1" t="str">
        <f t="shared" si="167"/>
        <v>335-06</v>
      </c>
      <c r="D2593" t="s">
        <v>2577</v>
      </c>
      <c r="E2593" t="b">
        <f>IF(COUNTIF(D2593,"*"&amp;'Keyword Search'!$C$5&amp;"*"),TRUE,FALSE)</f>
        <v>1</v>
      </c>
      <c r="G2593" t="str">
        <f t="shared" si="168"/>
        <v>335-06: Fertilizer, Ammonium Nitrate</v>
      </c>
    </row>
    <row r="2594" spans="1:7" x14ac:dyDescent="0.25">
      <c r="A2594" s="1" t="str">
        <f t="shared" si="170"/>
        <v>335</v>
      </c>
      <c r="B2594" s="1" t="str">
        <f>TEXT(9,"00")</f>
        <v>09</v>
      </c>
      <c r="C2594" s="1" t="str">
        <f t="shared" si="167"/>
        <v>335-09</v>
      </c>
      <c r="D2594" t="s">
        <v>2578</v>
      </c>
      <c r="E2594" t="b">
        <f>IF(COUNTIF(D2594,"*"&amp;'Keyword Search'!$C$5&amp;"*"),TRUE,FALSE)</f>
        <v>1</v>
      </c>
      <c r="G2594" t="str">
        <f t="shared" si="168"/>
        <v>335-09: Fertilizer, Ammonium Phosphate</v>
      </c>
    </row>
    <row r="2595" spans="1:7" x14ac:dyDescent="0.25">
      <c r="A2595" s="1" t="str">
        <f t="shared" si="170"/>
        <v>335</v>
      </c>
      <c r="B2595" s="1" t="str">
        <f>TEXT(12,"00")</f>
        <v>12</v>
      </c>
      <c r="C2595" s="1" t="str">
        <f t="shared" si="167"/>
        <v>335-12</v>
      </c>
      <c r="D2595" t="s">
        <v>2579</v>
      </c>
      <c r="E2595" t="b">
        <f>IF(COUNTIF(D2595,"*"&amp;'Keyword Search'!$C$5&amp;"*"),TRUE,FALSE)</f>
        <v>1</v>
      </c>
      <c r="G2595" t="str">
        <f t="shared" si="168"/>
        <v>335-12: Fertilizer, Ammonium Sulfate</v>
      </c>
    </row>
    <row r="2596" spans="1:7" x14ac:dyDescent="0.25">
      <c r="A2596" s="1" t="str">
        <f t="shared" si="170"/>
        <v>335</v>
      </c>
      <c r="B2596" s="1" t="str">
        <f>TEXT(18,"00")</f>
        <v>18</v>
      </c>
      <c r="C2596" s="1" t="str">
        <f t="shared" si="167"/>
        <v>335-18</v>
      </c>
      <c r="D2596" t="s">
        <v>2580</v>
      </c>
      <c r="E2596" t="b">
        <f>IF(COUNTIF(D2596,"*"&amp;'Keyword Search'!$C$5&amp;"*"),TRUE,FALSE)</f>
        <v>1</v>
      </c>
      <c r="G2596" t="str">
        <f t="shared" si="168"/>
        <v>335-18: Fertilizer, Anhydrous Ammonia</v>
      </c>
    </row>
    <row r="2597" spans="1:7" x14ac:dyDescent="0.25">
      <c r="A2597" s="1" t="str">
        <f t="shared" si="170"/>
        <v>335</v>
      </c>
      <c r="B2597" s="1" t="str">
        <f>TEXT(24,"00")</f>
        <v>24</v>
      </c>
      <c r="C2597" s="1" t="str">
        <f t="shared" si="167"/>
        <v>335-24</v>
      </c>
      <c r="D2597" t="s">
        <v>2581</v>
      </c>
      <c r="E2597" t="b">
        <f>IF(COUNTIF(D2597,"*"&amp;'Keyword Search'!$C$5&amp;"*"),TRUE,FALSE)</f>
        <v>1</v>
      </c>
      <c r="G2597" t="str">
        <f t="shared" si="168"/>
        <v>335-24: Fertilizer, Animal and Marine Content</v>
      </c>
    </row>
    <row r="2598" spans="1:7" x14ac:dyDescent="0.25">
      <c r="A2598" s="1" t="str">
        <f t="shared" si="170"/>
        <v>335</v>
      </c>
      <c r="B2598" s="1" t="str">
        <f>TEXT(30,"00")</f>
        <v>30</v>
      </c>
      <c r="C2598" s="1" t="str">
        <f t="shared" si="167"/>
        <v>335-30</v>
      </c>
      <c r="D2598" t="s">
        <v>2582</v>
      </c>
      <c r="E2598" t="b">
        <f>IF(COUNTIF(D2598,"*"&amp;'Keyword Search'!$C$5&amp;"*"),TRUE,FALSE)</f>
        <v>1</v>
      </c>
      <c r="G2598" t="str">
        <f t="shared" si="168"/>
        <v>335-30: Fertilizer, Blended or Dry Mix, Commercial</v>
      </c>
    </row>
    <row r="2599" spans="1:7" x14ac:dyDescent="0.25">
      <c r="A2599" s="1" t="str">
        <f t="shared" si="170"/>
        <v>335</v>
      </c>
      <c r="B2599" s="1" t="str">
        <f>TEXT(33,"00")</f>
        <v>33</v>
      </c>
      <c r="C2599" s="1" t="str">
        <f t="shared" si="167"/>
        <v>335-33</v>
      </c>
      <c r="D2599" t="s">
        <v>2583</v>
      </c>
      <c r="E2599" t="b">
        <f>IF(COUNTIF(D2599,"*"&amp;'Keyword Search'!$C$5&amp;"*"),TRUE,FALSE)</f>
        <v>1</v>
      </c>
      <c r="G2599" t="str">
        <f t="shared" si="168"/>
        <v>335-33: Soil Conditioner, Chemical Root Stimulators</v>
      </c>
    </row>
    <row r="2600" spans="1:7" x14ac:dyDescent="0.25">
      <c r="A2600" s="1" t="str">
        <f t="shared" si="170"/>
        <v>335</v>
      </c>
      <c r="B2600" s="1" t="str">
        <f>TEXT(36,"00")</f>
        <v>36</v>
      </c>
      <c r="C2600" s="1" t="str">
        <f t="shared" si="167"/>
        <v>335-36</v>
      </c>
      <c r="D2600" t="s">
        <v>2584</v>
      </c>
      <c r="E2600" t="b">
        <f>IF(COUNTIF(D2600,"*"&amp;'Keyword Search'!$C$5&amp;"*"),TRUE,FALSE)</f>
        <v>1</v>
      </c>
      <c r="G2600" t="str">
        <f t="shared" si="168"/>
        <v>335-36: Fertilizer, Ferrous Sulfate and Chelates of Iron and Zinc</v>
      </c>
    </row>
    <row r="2601" spans="1:7" x14ac:dyDescent="0.25">
      <c r="A2601" s="1" t="str">
        <f t="shared" si="170"/>
        <v>335</v>
      </c>
      <c r="B2601" s="1" t="str">
        <f>TEXT(37,"00")</f>
        <v>37</v>
      </c>
      <c r="C2601" s="1" t="str">
        <f t="shared" si="167"/>
        <v>335-37</v>
      </c>
      <c r="D2601" t="s">
        <v>2585</v>
      </c>
      <c r="E2601" t="b">
        <f>IF(COUNTIF(D2601,"*"&amp;'Keyword Search'!$C$5&amp;"*"),TRUE,FALSE)</f>
        <v>1</v>
      </c>
      <c r="G2601" t="str">
        <f t="shared" si="168"/>
        <v>335-37: Fertilizer, Combined with Fungicide and/or Insecticide</v>
      </c>
    </row>
    <row r="2602" spans="1:7" x14ac:dyDescent="0.25">
      <c r="A2602" s="1" t="str">
        <f t="shared" si="170"/>
        <v>335</v>
      </c>
      <c r="B2602" s="1" t="str">
        <f>TEXT(38,"00")</f>
        <v>38</v>
      </c>
      <c r="C2602" s="1" t="str">
        <f t="shared" si="167"/>
        <v>335-38</v>
      </c>
      <c r="D2602" t="s">
        <v>2586</v>
      </c>
      <c r="E2602" t="b">
        <f>IF(COUNTIF(D2602,"*"&amp;'Keyword Search'!$C$5&amp;"*"),TRUE,FALSE)</f>
        <v>1</v>
      </c>
      <c r="G2602" t="str">
        <f t="shared" si="168"/>
        <v>335-38: Fertilizer, Tree and Shrub, Spikes, Tablets, etc.</v>
      </c>
    </row>
    <row r="2603" spans="1:7" x14ac:dyDescent="0.25">
      <c r="A2603" s="1" t="str">
        <f t="shared" si="170"/>
        <v>335</v>
      </c>
      <c r="B2603" s="1" t="str">
        <f>TEXT(40,"00")</f>
        <v>40</v>
      </c>
      <c r="C2603" s="1" t="str">
        <f t="shared" si="167"/>
        <v>335-40</v>
      </c>
      <c r="D2603" t="s">
        <v>2587</v>
      </c>
      <c r="E2603" t="b">
        <f>IF(COUNTIF(D2603,"*"&amp;'Keyword Search'!$C$5&amp;"*"),TRUE,FALSE)</f>
        <v>1</v>
      </c>
      <c r="G2603" t="str">
        <f t="shared" si="168"/>
        <v>335-40: Fertilizer, Liquid, All Types, Except Anhydrous Ammonia</v>
      </c>
    </row>
    <row r="2604" spans="1:7" x14ac:dyDescent="0.25">
      <c r="A2604" s="1" t="str">
        <f t="shared" si="170"/>
        <v>335</v>
      </c>
      <c r="B2604" s="1" t="str">
        <f>TEXT(41,"00")</f>
        <v>41</v>
      </c>
      <c r="C2604" s="1" t="str">
        <f t="shared" si="167"/>
        <v>335-41</v>
      </c>
      <c r="D2604" t="s">
        <v>2588</v>
      </c>
      <c r="E2604" t="b">
        <f>IF(COUNTIF(D2604,"*"&amp;'Keyword Search'!$C$5&amp;"*"),TRUE,FALSE)</f>
        <v>1</v>
      </c>
      <c r="G2604" t="str">
        <f t="shared" si="168"/>
        <v>335-41: Fertilizer, Formulations and Components, (Not Otherwise Classified)</v>
      </c>
    </row>
    <row r="2605" spans="1:7" x14ac:dyDescent="0.25">
      <c r="A2605" s="1" t="str">
        <f t="shared" si="170"/>
        <v>335</v>
      </c>
      <c r="B2605" s="1" t="str">
        <f>TEXT(42,"00")</f>
        <v>42</v>
      </c>
      <c r="C2605" s="1" t="str">
        <f t="shared" si="167"/>
        <v>335-42</v>
      </c>
      <c r="D2605" t="s">
        <v>2589</v>
      </c>
      <c r="E2605" t="b">
        <f>IF(COUNTIF(D2605,"*"&amp;'Keyword Search'!$C$5&amp;"*"),TRUE,FALSE)</f>
        <v>1</v>
      </c>
      <c r="G2605" t="str">
        <f t="shared" si="168"/>
        <v>335-42: Fertilizer, Granulated or Pelletized, Commercial</v>
      </c>
    </row>
    <row r="2606" spans="1:7" x14ac:dyDescent="0.25">
      <c r="A2606" s="1" t="str">
        <f t="shared" si="170"/>
        <v>335</v>
      </c>
      <c r="B2606" s="1" t="str">
        <f>TEXT(45,"00")</f>
        <v>45</v>
      </c>
      <c r="C2606" s="1" t="str">
        <f t="shared" si="167"/>
        <v>335-45</v>
      </c>
      <c r="D2606" t="s">
        <v>2590</v>
      </c>
      <c r="E2606" t="b">
        <f>IF(COUNTIF(D2606,"*"&amp;'Keyword Search'!$C$5&amp;"*"),TRUE,FALSE)</f>
        <v>1</v>
      </c>
      <c r="G2606" t="str">
        <f t="shared" si="168"/>
        <v>335-45: Hydromulch</v>
      </c>
    </row>
    <row r="2607" spans="1:7" x14ac:dyDescent="0.25">
      <c r="A2607" s="1" t="str">
        <f t="shared" si="170"/>
        <v>335</v>
      </c>
      <c r="B2607" s="1" t="str">
        <f>TEXT(48,"00")</f>
        <v>48</v>
      </c>
      <c r="C2607" s="1" t="str">
        <f t="shared" si="167"/>
        <v>335-48</v>
      </c>
      <c r="D2607" t="s">
        <v>2591</v>
      </c>
      <c r="E2607" t="b">
        <f>IF(COUNTIF(D2607,"*"&amp;'Keyword Search'!$C$5&amp;"*"),TRUE,FALSE)</f>
        <v>1</v>
      </c>
      <c r="G2607" t="str">
        <f t="shared" si="168"/>
        <v>335-48: Limestone, Agricultural</v>
      </c>
    </row>
    <row r="2608" spans="1:7" x14ac:dyDescent="0.25">
      <c r="A2608" s="1" t="str">
        <f t="shared" si="170"/>
        <v>335</v>
      </c>
      <c r="B2608" s="1" t="str">
        <f>TEXT(54,"00")</f>
        <v>54</v>
      </c>
      <c r="C2608" s="1" t="str">
        <f t="shared" si="167"/>
        <v>335-54</v>
      </c>
      <c r="D2608" t="s">
        <v>2592</v>
      </c>
      <c r="E2608" t="b">
        <f>IF(COUNTIF(D2608,"*"&amp;'Keyword Search'!$C$5&amp;"*"),TRUE,FALSE)</f>
        <v>1</v>
      </c>
      <c r="G2608" t="str">
        <f t="shared" si="168"/>
        <v>335-54: Muriate of Potash, Potassium Chloride)</v>
      </c>
    </row>
    <row r="2609" spans="1:7" x14ac:dyDescent="0.25">
      <c r="A2609" s="1" t="str">
        <f t="shared" si="170"/>
        <v>335</v>
      </c>
      <c r="B2609" s="1" t="str">
        <f>TEXT(60,"00")</f>
        <v>60</v>
      </c>
      <c r="C2609" s="1" t="str">
        <f t="shared" si="167"/>
        <v>335-60</v>
      </c>
      <c r="D2609" t="s">
        <v>2593</v>
      </c>
      <c r="E2609" t="b">
        <f>IF(COUNTIF(D2609,"*"&amp;'Keyword Search'!$C$5&amp;"*"),TRUE,FALSE)</f>
        <v>1</v>
      </c>
      <c r="G2609" t="str">
        <f t="shared" si="168"/>
        <v>335-60: Organic Base, Including Manure and Guano</v>
      </c>
    </row>
    <row r="2610" spans="1:7" x14ac:dyDescent="0.25">
      <c r="A2610" s="1" t="str">
        <f t="shared" si="170"/>
        <v>335</v>
      </c>
      <c r="B2610" s="1" t="str">
        <f>TEXT(66,"00")</f>
        <v>66</v>
      </c>
      <c r="C2610" s="1" t="str">
        <f t="shared" si="167"/>
        <v>335-66</v>
      </c>
      <c r="D2610" t="s">
        <v>2594</v>
      </c>
      <c r="E2610" t="b">
        <f>IF(COUNTIF(D2610,"*"&amp;'Keyword Search'!$C$5&amp;"*"),TRUE,FALSE)</f>
        <v>1</v>
      </c>
      <c r="G2610" t="str">
        <f t="shared" si="168"/>
        <v>335-66: Phosphate, Agricultural, Including Triple Superphosphate</v>
      </c>
    </row>
    <row r="2611" spans="1:7" x14ac:dyDescent="0.25">
      <c r="A2611" s="1" t="str">
        <f t="shared" si="170"/>
        <v>335</v>
      </c>
      <c r="B2611" s="1" t="str">
        <f>TEXT(69,"00")</f>
        <v>69</v>
      </c>
      <c r="C2611" s="1" t="str">
        <f t="shared" si="167"/>
        <v>335-69</v>
      </c>
      <c r="D2611" t="s">
        <v>2595</v>
      </c>
      <c r="E2611" t="b">
        <f>IF(COUNTIF(D2611,"*"&amp;'Keyword Search'!$C$5&amp;"*"),TRUE,FALSE)</f>
        <v>1</v>
      </c>
      <c r="G2611" t="str">
        <f t="shared" si="168"/>
        <v>335-69: Recycled Fertilizer and Soil Conditioners</v>
      </c>
    </row>
    <row r="2612" spans="1:7" x14ac:dyDescent="0.25">
      <c r="A2612" s="1" t="str">
        <f t="shared" si="170"/>
        <v>335</v>
      </c>
      <c r="B2612" s="1" t="str">
        <f>TEXT(72,"00")</f>
        <v>72</v>
      </c>
      <c r="C2612" s="1" t="str">
        <f t="shared" si="167"/>
        <v>335-72</v>
      </c>
      <c r="D2612" t="s">
        <v>2596</v>
      </c>
      <c r="E2612" t="b">
        <f>IF(COUNTIF(D2612,"*"&amp;'Keyword Search'!$C$5&amp;"*"),TRUE,FALSE)</f>
        <v>1</v>
      </c>
      <c r="G2612" t="str">
        <f t="shared" si="168"/>
        <v>335-72: Soil Conditioners: Compost, Marine Humus, Sulfur, Synthetic Polymers, Mulch, etc.</v>
      </c>
    </row>
    <row r="2613" spans="1:7" x14ac:dyDescent="0.25">
      <c r="A2613" s="1" t="str">
        <f t="shared" si="170"/>
        <v>335</v>
      </c>
      <c r="B2613" s="1" t="str">
        <f>TEXT(75,"00")</f>
        <v>75</v>
      </c>
      <c r="C2613" s="1" t="str">
        <f t="shared" si="167"/>
        <v>335-75</v>
      </c>
      <c r="D2613" t="s">
        <v>2597</v>
      </c>
      <c r="E2613" t="b">
        <f>IF(COUNTIF(D2613,"*"&amp;'Keyword Search'!$C$5&amp;"*"),TRUE,FALSE)</f>
        <v>1</v>
      </c>
      <c r="G2613" t="str">
        <f t="shared" si="168"/>
        <v>335-75: Soil Stabilizers and Penetrants: Liquid and Solid</v>
      </c>
    </row>
    <row r="2614" spans="1:7" x14ac:dyDescent="0.25">
      <c r="A2614" s="1" t="str">
        <f t="shared" si="170"/>
        <v>335</v>
      </c>
      <c r="B2614" s="1" t="str">
        <f>TEXT(78,"00")</f>
        <v>78</v>
      </c>
      <c r="C2614" s="1" t="str">
        <f t="shared" si="167"/>
        <v>335-78</v>
      </c>
      <c r="D2614" t="s">
        <v>2598</v>
      </c>
      <c r="E2614" t="b">
        <f>IF(COUNTIF(D2614,"*"&amp;'Keyword Search'!$C$5&amp;"*"),TRUE,FALSE)</f>
        <v>1</v>
      </c>
      <c r="G2614" t="str">
        <f t="shared" si="168"/>
        <v>335-78: Urea, Fertilizer Grade</v>
      </c>
    </row>
    <row r="2615" spans="1:7" x14ac:dyDescent="0.25">
      <c r="A2615" s="1" t="str">
        <f t="shared" si="170"/>
        <v>335</v>
      </c>
      <c r="B2615" s="1" t="str">
        <f>TEXT(85,"00")</f>
        <v>85</v>
      </c>
      <c r="C2615" s="1" t="str">
        <f t="shared" si="167"/>
        <v>335-85</v>
      </c>
      <c r="D2615" t="s">
        <v>2599</v>
      </c>
      <c r="E2615" t="b">
        <f>IF(COUNTIF(D2615,"*"&amp;'Keyword Search'!$C$5&amp;"*"),TRUE,FALSE)</f>
        <v>1</v>
      </c>
      <c r="G2615" t="str">
        <f t="shared" si="168"/>
        <v>335-85: Wetting Agents</v>
      </c>
    </row>
    <row r="2616" spans="1:7" x14ac:dyDescent="0.25">
      <c r="A2616" s="5" t="str">
        <f t="shared" ref="A2616:A2661" si="171">TEXT(340,"000")</f>
        <v>340</v>
      </c>
      <c r="B2616" s="5" t="str">
        <f>TEXT(0,"00")</f>
        <v>00</v>
      </c>
      <c r="C2616" s="1"/>
      <c r="D2616" s="2" t="s">
        <v>2600</v>
      </c>
    </row>
    <row r="2617" spans="1:7" x14ac:dyDescent="0.25">
      <c r="A2617" s="1" t="str">
        <f t="shared" si="171"/>
        <v>340</v>
      </c>
      <c r="B2617" s="1" t="str">
        <f>TEXT(4,"00")</f>
        <v>04</v>
      </c>
      <c r="C2617" s="1" t="str">
        <f t="shared" si="167"/>
        <v>340-04</v>
      </c>
      <c r="D2617" t="s">
        <v>2601</v>
      </c>
      <c r="E2617" t="b">
        <f>IF(COUNTIF(D2617,"*"&amp;'Keyword Search'!$C$5&amp;"*"),TRUE,FALSE)</f>
        <v>1</v>
      </c>
      <c r="G2617" t="str">
        <f t="shared" si="168"/>
        <v>340-04: Backfiring and Burning Equipment: Firing Torches, Flame Guns, etc.</v>
      </c>
    </row>
    <row r="2618" spans="1:7" x14ac:dyDescent="0.25">
      <c r="A2618" s="1" t="str">
        <f t="shared" si="171"/>
        <v>340</v>
      </c>
      <c r="B2618" s="1" t="str">
        <f>TEXT(6,"00")</f>
        <v>06</v>
      </c>
      <c r="C2618" s="1" t="str">
        <f t="shared" si="167"/>
        <v>340-06</v>
      </c>
      <c r="D2618" t="s">
        <v>2602</v>
      </c>
      <c r="E2618" t="b">
        <f>IF(COUNTIF(D2618,"*"&amp;'Keyword Search'!$C$5&amp;"*"),TRUE,FALSE)</f>
        <v>1</v>
      </c>
      <c r="G2618" t="str">
        <f t="shared" si="168"/>
        <v>340-06: Brackets, Clamps and Holders For Fire Fighting Equipment</v>
      </c>
    </row>
    <row r="2619" spans="1:7" x14ac:dyDescent="0.25">
      <c r="A2619" s="1" t="str">
        <f t="shared" si="171"/>
        <v>340</v>
      </c>
      <c r="B2619" s="1" t="str">
        <f>TEXT(7,"00")</f>
        <v>07</v>
      </c>
      <c r="C2619" s="1" t="str">
        <f t="shared" si="167"/>
        <v>340-07</v>
      </c>
      <c r="D2619" t="s">
        <v>2603</v>
      </c>
      <c r="E2619" t="b">
        <f>IF(COUNTIF(D2619,"*"&amp;'Keyword Search'!$C$5&amp;"*"),TRUE,FALSE)</f>
        <v>1</v>
      </c>
      <c r="G2619" t="str">
        <f t="shared" si="168"/>
        <v>340-07: Breathing Equipment for Firemen, Including Mobile Air Filler Stations</v>
      </c>
    </row>
    <row r="2620" spans="1:7" x14ac:dyDescent="0.25">
      <c r="A2620" s="1" t="str">
        <f t="shared" si="171"/>
        <v>340</v>
      </c>
      <c r="B2620" s="1" t="str">
        <f>TEXT(8,"00")</f>
        <v>08</v>
      </c>
      <c r="C2620" s="1" t="str">
        <f t="shared" si="167"/>
        <v>340-08</v>
      </c>
      <c r="D2620" t="s">
        <v>2604</v>
      </c>
      <c r="E2620" t="b">
        <f>IF(COUNTIF(D2620,"*"&amp;'Keyword Search'!$C$5&amp;"*"),TRUE,FALSE)</f>
        <v>1</v>
      </c>
      <c r="G2620" t="str">
        <f t="shared" si="168"/>
        <v>340-08: Cabinets and Covers, For Fire Extinguishers, Fire Hose and Racks, Valves, etc.</v>
      </c>
    </row>
    <row r="2621" spans="1:7" x14ac:dyDescent="0.25">
      <c r="A2621" s="1" t="str">
        <f t="shared" si="171"/>
        <v>340</v>
      </c>
      <c r="B2621" s="1" t="str">
        <f>TEXT(10,"00")</f>
        <v>10</v>
      </c>
      <c r="C2621" s="1" t="str">
        <f t="shared" si="167"/>
        <v>340-10</v>
      </c>
      <c r="D2621" t="s">
        <v>2605</v>
      </c>
      <c r="E2621" t="b">
        <f>IF(COUNTIF(D2621,"*"&amp;'Keyword Search'!$C$5&amp;"*"),TRUE,FALSE)</f>
        <v>1</v>
      </c>
      <c r="G2621" t="str">
        <f t="shared" si="168"/>
        <v>340-10: Chemicals, Fire Retardant, Used to Make Various Materials Fire Retardant</v>
      </c>
    </row>
    <row r="2622" spans="1:7" x14ac:dyDescent="0.25">
      <c r="A2622" s="1" t="str">
        <f t="shared" si="171"/>
        <v>340</v>
      </c>
      <c r="B2622" s="1" t="str">
        <f>TEXT(12,"00")</f>
        <v>12</v>
      </c>
      <c r="C2622" s="1" t="str">
        <f t="shared" si="167"/>
        <v>340-12</v>
      </c>
      <c r="D2622" t="s">
        <v>2606</v>
      </c>
      <c r="E2622" t="b">
        <f>IF(COUNTIF(D2622,"*"&amp;'Keyword Search'!$C$5&amp;"*"),TRUE,FALSE)</f>
        <v>1</v>
      </c>
      <c r="G2622" t="str">
        <f t="shared" si="168"/>
        <v>340-12: Couplings, Fire Hose</v>
      </c>
    </row>
    <row r="2623" spans="1:7" x14ac:dyDescent="0.25">
      <c r="A2623" s="1" t="str">
        <f t="shared" si="171"/>
        <v>340</v>
      </c>
      <c r="B2623" s="1" t="str">
        <f>TEXT(14,"00")</f>
        <v>14</v>
      </c>
      <c r="C2623" s="1" t="str">
        <f t="shared" si="167"/>
        <v>340-14</v>
      </c>
      <c r="D2623" t="s">
        <v>2607</v>
      </c>
      <c r="E2623" t="b">
        <f>IF(COUNTIF(D2623,"*"&amp;'Keyword Search'!$C$5&amp;"*"),TRUE,FALSE)</f>
        <v>1</v>
      </c>
      <c r="G2623" t="str">
        <f t="shared" si="168"/>
        <v>340-14: Ejectors, Smoke</v>
      </c>
    </row>
    <row r="2624" spans="1:7" x14ac:dyDescent="0.25">
      <c r="A2624" s="1" t="str">
        <f t="shared" si="171"/>
        <v>340</v>
      </c>
      <c r="B2624" s="1" t="str">
        <f>TEXT(15,"00")</f>
        <v>15</v>
      </c>
      <c r="C2624" s="1" t="str">
        <f t="shared" si="167"/>
        <v>340-15</v>
      </c>
      <c r="D2624" t="s">
        <v>2608</v>
      </c>
      <c r="E2624" t="b">
        <f>IF(COUNTIF(D2624,"*"&amp;'Keyword Search'!$C$5&amp;"*"),TRUE,FALSE)</f>
        <v>1</v>
      </c>
      <c r="G2624" t="str">
        <f t="shared" si="168"/>
        <v>340-15: Fire and Medical Alert Systems</v>
      </c>
    </row>
    <row r="2625" spans="1:7" x14ac:dyDescent="0.25">
      <c r="A2625" s="1" t="str">
        <f t="shared" si="171"/>
        <v>340</v>
      </c>
      <c r="B2625" s="1" t="str">
        <f>TEXT(16,"00")</f>
        <v>16</v>
      </c>
      <c r="C2625" s="1" t="str">
        <f t="shared" si="167"/>
        <v>340-16</v>
      </c>
      <c r="D2625" t="s">
        <v>2609</v>
      </c>
      <c r="E2625" t="b">
        <f>IF(COUNTIF(D2625,"*"&amp;'Keyword Search'!$C$5&amp;"*"),TRUE,FALSE)</f>
        <v>1</v>
      </c>
      <c r="G2625" t="str">
        <f t="shared" si="168"/>
        <v>340-16: Fire Alarm Systems, Power Sirens, and Controls</v>
      </c>
    </row>
    <row r="2626" spans="1:7" x14ac:dyDescent="0.25">
      <c r="A2626" s="1" t="str">
        <f t="shared" si="171"/>
        <v>340</v>
      </c>
      <c r="B2626" s="1" t="str">
        <f>TEXT(18,"00")</f>
        <v>18</v>
      </c>
      <c r="C2626" s="1" t="str">
        <f t="shared" si="167"/>
        <v>340-18</v>
      </c>
      <c r="D2626" t="s">
        <v>2610</v>
      </c>
      <c r="E2626" t="b">
        <f>IF(COUNTIF(D2626,"*"&amp;'Keyword Search'!$C$5&amp;"*"),TRUE,FALSE)</f>
        <v>1</v>
      </c>
      <c r="G2626" t="str">
        <f t="shared" si="168"/>
        <v>340-18: Fire Blankets</v>
      </c>
    </row>
    <row r="2627" spans="1:7" x14ac:dyDescent="0.25">
      <c r="A2627" s="1" t="str">
        <f t="shared" si="171"/>
        <v>340</v>
      </c>
      <c r="B2627" s="1" t="str">
        <f>TEXT(20,"00")</f>
        <v>20</v>
      </c>
      <c r="C2627" s="1" t="str">
        <f t="shared" ref="C2627:C2690" si="172">CONCATENATE(A2627,"-",B2627)</f>
        <v>340-20</v>
      </c>
      <c r="D2627" t="s">
        <v>2611</v>
      </c>
      <c r="E2627" t="b">
        <f>IF(COUNTIF(D2627,"*"&amp;'Keyword Search'!$C$5&amp;"*"),TRUE,FALSE)</f>
        <v>1</v>
      </c>
      <c r="G2627" t="str">
        <f t="shared" si="168"/>
        <v>340-20: Fire Detecting Equipment</v>
      </c>
    </row>
    <row r="2628" spans="1:7" x14ac:dyDescent="0.25">
      <c r="A2628" s="1" t="str">
        <f t="shared" si="171"/>
        <v>340</v>
      </c>
      <c r="B2628" s="1" t="str">
        <f>TEXT(21,"00")</f>
        <v>21</v>
      </c>
      <c r="C2628" s="1" t="str">
        <f t="shared" si="172"/>
        <v>340-21</v>
      </c>
      <c r="D2628" t="s">
        <v>2612</v>
      </c>
      <c r="E2628" t="b">
        <f>IF(COUNTIF(D2628,"*"&amp;'Keyword Search'!$C$5&amp;"*"),TRUE,FALSE)</f>
        <v>1</v>
      </c>
      <c r="G2628" t="str">
        <f t="shared" ref="G2628:G2691" si="173">CONCATENATE(C2628,": ",D2628)</f>
        <v>340-21: Fire Emergency Access and Rapid Entry Equipment</v>
      </c>
    </row>
    <row r="2629" spans="1:7" x14ac:dyDescent="0.25">
      <c r="A2629" s="1" t="str">
        <f t="shared" si="171"/>
        <v>340</v>
      </c>
      <c r="B2629" s="1" t="str">
        <f>TEXT(24,"00")</f>
        <v>24</v>
      </c>
      <c r="C2629" s="1" t="str">
        <f t="shared" si="172"/>
        <v>340-24</v>
      </c>
      <c r="D2629" t="s">
        <v>2613</v>
      </c>
      <c r="E2629" t="b">
        <f>IF(COUNTIF(D2629,"*"&amp;'Keyword Search'!$C$5&amp;"*"),TRUE,FALSE)</f>
        <v>1</v>
      </c>
      <c r="G2629" t="str">
        <f t="shared" si="173"/>
        <v>340-24: Fire Escapes and Fire Exit Devices</v>
      </c>
    </row>
    <row r="2630" spans="1:7" x14ac:dyDescent="0.25">
      <c r="A2630" s="1" t="str">
        <f t="shared" si="171"/>
        <v>340</v>
      </c>
      <c r="B2630" s="1" t="str">
        <f>TEXT(28,"00")</f>
        <v>28</v>
      </c>
      <c r="C2630" s="1" t="str">
        <f t="shared" si="172"/>
        <v>340-28</v>
      </c>
      <c r="D2630" t="s">
        <v>2614</v>
      </c>
      <c r="E2630" t="b">
        <f>IF(COUNTIF(D2630,"*"&amp;'Keyword Search'!$C$5&amp;"*"),TRUE,FALSE)</f>
        <v>1</v>
      </c>
      <c r="G2630" t="str">
        <f t="shared" si="173"/>
        <v>340-28: Fire Extinguishers, Rechargers, and Parts</v>
      </c>
    </row>
    <row r="2631" spans="1:7" x14ac:dyDescent="0.25">
      <c r="A2631" s="1" t="str">
        <f t="shared" si="171"/>
        <v>340</v>
      </c>
      <c r="B2631" s="1" t="str">
        <f>TEXT(29,"00")</f>
        <v>29</v>
      </c>
      <c r="C2631" s="1" t="str">
        <f t="shared" si="172"/>
        <v>340-29</v>
      </c>
      <c r="D2631" t="s">
        <v>2615</v>
      </c>
      <c r="E2631" t="b">
        <f>IF(COUNTIF(D2631,"*"&amp;'Keyword Search'!$C$5&amp;"*"),TRUE,FALSE)</f>
        <v>1</v>
      </c>
      <c r="G2631" t="str">
        <f t="shared" si="173"/>
        <v>340-29: Fire Extinguisher Systems, Complete, All Types (See Item 28 for Individual Extinguishers)</v>
      </c>
    </row>
    <row r="2632" spans="1:7" x14ac:dyDescent="0.25">
      <c r="A2632" s="1" t="str">
        <f t="shared" si="171"/>
        <v>340</v>
      </c>
      <c r="B2632" s="1" t="str">
        <f>TEXT(32,"00")</f>
        <v>32</v>
      </c>
      <c r="C2632" s="1" t="str">
        <f t="shared" si="172"/>
        <v>340-32</v>
      </c>
      <c r="D2632" t="s">
        <v>2616</v>
      </c>
      <c r="E2632" t="b">
        <f>IF(COUNTIF(D2632,"*"&amp;'Keyword Search'!$C$5&amp;"*"),TRUE,FALSE)</f>
        <v>1</v>
      </c>
      <c r="G2632" t="str">
        <f t="shared" si="173"/>
        <v>340-32: Fire Hose Carts, Dryers, Racks, Reels, Rollers, and Winders, etc.</v>
      </c>
    </row>
    <row r="2633" spans="1:7" x14ac:dyDescent="0.25">
      <c r="A2633" s="1" t="str">
        <f t="shared" si="171"/>
        <v>340</v>
      </c>
      <c r="B2633" s="1" t="str">
        <f>TEXT(34,"00")</f>
        <v>34</v>
      </c>
      <c r="C2633" s="1" t="str">
        <f t="shared" si="172"/>
        <v>340-34</v>
      </c>
      <c r="D2633" t="s">
        <v>2617</v>
      </c>
      <c r="E2633" t="b">
        <f>IF(COUNTIF(D2633,"*"&amp;'Keyword Search'!$C$5&amp;"*"),TRUE,FALSE)</f>
        <v>1</v>
      </c>
      <c r="G2633" t="str">
        <f t="shared" si="173"/>
        <v>340-34: Fire Protection Clothing: Turnout Coats, Bunker Pants, Hoods, Gloves, etc., (See 345-56 for Fire Helmets)</v>
      </c>
    </row>
    <row r="2634" spans="1:7" x14ac:dyDescent="0.25">
      <c r="A2634" s="1" t="str">
        <f t="shared" si="171"/>
        <v>340</v>
      </c>
      <c r="B2634" s="1" t="str">
        <f>TEXT(36,"00")</f>
        <v>36</v>
      </c>
      <c r="C2634" s="1" t="str">
        <f t="shared" si="172"/>
        <v>340-36</v>
      </c>
      <c r="D2634" t="s">
        <v>2618</v>
      </c>
      <c r="E2634" t="b">
        <f>IF(COUNTIF(D2634,"*"&amp;'Keyword Search'!$C$5&amp;"*"),TRUE,FALSE)</f>
        <v>1</v>
      </c>
      <c r="G2634" t="str">
        <f t="shared" si="173"/>
        <v>340-36: Fire Pump, Back Carrying Type</v>
      </c>
    </row>
    <row r="2635" spans="1:7" x14ac:dyDescent="0.25">
      <c r="A2635" s="1" t="str">
        <f t="shared" si="171"/>
        <v>340</v>
      </c>
      <c r="B2635" s="1" t="str">
        <f>TEXT(38,"00")</f>
        <v>38</v>
      </c>
      <c r="C2635" s="1" t="str">
        <f t="shared" si="172"/>
        <v>340-38</v>
      </c>
      <c r="D2635" t="s">
        <v>2619</v>
      </c>
      <c r="E2635" t="b">
        <f>IF(COUNTIF(D2635,"*"&amp;'Keyword Search'!$C$5&amp;"*"),TRUE,FALSE)</f>
        <v>1</v>
      </c>
      <c r="G2635" t="str">
        <f t="shared" si="173"/>
        <v>340-38: Fire-Stop Equipment, Materials, Including Parts and Accessories</v>
      </c>
    </row>
    <row r="2636" spans="1:7" x14ac:dyDescent="0.25">
      <c r="A2636" s="1" t="str">
        <f t="shared" si="171"/>
        <v>340</v>
      </c>
      <c r="B2636" s="1" t="str">
        <f>TEXT(40,"00")</f>
        <v>40</v>
      </c>
      <c r="C2636" s="1" t="str">
        <f t="shared" si="172"/>
        <v>340-40</v>
      </c>
      <c r="D2636" t="s">
        <v>2620</v>
      </c>
      <c r="E2636" t="b">
        <f>IF(COUNTIF(D2636,"*"&amp;'Keyword Search'!$C$5&amp;"*"),TRUE,FALSE)</f>
        <v>1</v>
      </c>
      <c r="G2636" t="str">
        <f t="shared" si="173"/>
        <v>340-40: Fire Suppression Hand Tools: Fire Axe, Fire Rack, Fire Swatter, etc.</v>
      </c>
    </row>
    <row r="2637" spans="1:7" x14ac:dyDescent="0.25">
      <c r="A2637" s="1" t="str">
        <f t="shared" si="171"/>
        <v>340</v>
      </c>
      <c r="B2637" s="1" t="str">
        <f>TEXT(41,"00")</f>
        <v>41</v>
      </c>
      <c r="C2637" s="1" t="str">
        <f t="shared" si="172"/>
        <v>340-41</v>
      </c>
      <c r="D2637" t="s">
        <v>2621</v>
      </c>
      <c r="E2637" t="b">
        <f>IF(COUNTIF(D2637,"*"&amp;'Keyword Search'!$C$5&amp;"*"),TRUE,FALSE)</f>
        <v>1</v>
      </c>
      <c r="G2637" t="str">
        <f t="shared" si="173"/>
        <v>340-41: Fire Suppression Foam and Other Suppression Compounds</v>
      </c>
    </row>
    <row r="2638" spans="1:7" x14ac:dyDescent="0.25">
      <c r="A2638" s="1" t="str">
        <f t="shared" si="171"/>
        <v>340</v>
      </c>
      <c r="B2638" s="1" t="str">
        <f>TEXT(44,"00")</f>
        <v>44</v>
      </c>
      <c r="C2638" s="1" t="str">
        <f t="shared" si="172"/>
        <v>340-44</v>
      </c>
      <c r="D2638" t="s">
        <v>2622</v>
      </c>
      <c r="E2638" t="b">
        <f>IF(COUNTIF(D2638,"*"&amp;'Keyword Search'!$C$5&amp;"*"),TRUE,FALSE)</f>
        <v>1</v>
      </c>
      <c r="G2638" t="str">
        <f t="shared" si="173"/>
        <v>340-44: Fire Finder, Forest</v>
      </c>
    </row>
    <row r="2639" spans="1:7" x14ac:dyDescent="0.25">
      <c r="A2639" s="1" t="str">
        <f t="shared" si="171"/>
        <v>340</v>
      </c>
      <c r="B2639" s="1" t="str">
        <f>TEXT(45,"00")</f>
        <v>45</v>
      </c>
      <c r="C2639" s="1" t="str">
        <f t="shared" si="172"/>
        <v>340-45</v>
      </c>
      <c r="D2639" t="s">
        <v>2623</v>
      </c>
      <c r="E2639" t="b">
        <f>IF(COUNTIF(D2639,"*"&amp;'Keyword Search'!$C$5&amp;"*"),TRUE,FALSE)</f>
        <v>1</v>
      </c>
      <c r="G2639" t="str">
        <f t="shared" si="173"/>
        <v>340-45: Fireman Training and Instructional Aids and Materials</v>
      </c>
    </row>
    <row r="2640" spans="1:7" x14ac:dyDescent="0.25">
      <c r="A2640" s="1" t="str">
        <f t="shared" si="171"/>
        <v>340</v>
      </c>
      <c r="B2640" s="1" t="str">
        <f>TEXT(48,"00")</f>
        <v>48</v>
      </c>
      <c r="C2640" s="1" t="str">
        <f t="shared" si="172"/>
        <v>340-48</v>
      </c>
      <c r="D2640" t="s">
        <v>2624</v>
      </c>
      <c r="E2640" t="b">
        <f>IF(COUNTIF(D2640,"*"&amp;'Keyword Search'!$C$5&amp;"*"),TRUE,FALSE)</f>
        <v>1</v>
      </c>
      <c r="G2640" t="str">
        <f t="shared" si="173"/>
        <v>340-48: Flail Trencher</v>
      </c>
    </row>
    <row r="2641" spans="1:7" x14ac:dyDescent="0.25">
      <c r="A2641" s="1" t="str">
        <f t="shared" si="171"/>
        <v>340</v>
      </c>
      <c r="B2641" s="1" t="str">
        <f>TEXT(49,"00")</f>
        <v>49</v>
      </c>
      <c r="C2641" s="1" t="str">
        <f t="shared" si="172"/>
        <v>340-49</v>
      </c>
      <c r="D2641" t="s">
        <v>2625</v>
      </c>
      <c r="E2641" t="b">
        <f>IF(COUNTIF(D2641,"*"&amp;'Keyword Search'!$C$5&amp;"*"),TRUE,FALSE)</f>
        <v>1</v>
      </c>
      <c r="G2641" t="str">
        <f t="shared" si="173"/>
        <v>340-49: Foam Dispensing Equipment, Compressed Air, For Fires</v>
      </c>
    </row>
    <row r="2642" spans="1:7" x14ac:dyDescent="0.25">
      <c r="A2642" s="1" t="str">
        <f t="shared" si="171"/>
        <v>340</v>
      </c>
      <c r="B2642" s="1" t="str">
        <f>TEXT(50,"00")</f>
        <v>50</v>
      </c>
      <c r="C2642" s="1" t="str">
        <f t="shared" si="172"/>
        <v>340-50</v>
      </c>
      <c r="D2642" t="s">
        <v>2626</v>
      </c>
      <c r="E2642" t="b">
        <f>IF(COUNTIF(D2642,"*"&amp;'Keyword Search'!$C$5&amp;"*"),TRUE,FALSE)</f>
        <v>1</v>
      </c>
      <c r="G2642" t="str">
        <f t="shared" si="173"/>
        <v>340-50: Foam Generators, Truck or Trailer Mounted</v>
      </c>
    </row>
    <row r="2643" spans="1:7" x14ac:dyDescent="0.25">
      <c r="A2643" s="1" t="str">
        <f t="shared" si="171"/>
        <v>340</v>
      </c>
      <c r="B2643" s="1" t="str">
        <f>TEXT(52,"00")</f>
        <v>52</v>
      </c>
      <c r="C2643" s="1" t="str">
        <f t="shared" si="172"/>
        <v>340-52</v>
      </c>
      <c r="D2643" t="s">
        <v>2627</v>
      </c>
      <c r="E2643" t="b">
        <f>IF(COUNTIF(D2643,"*"&amp;'Keyword Search'!$C$5&amp;"*"),TRUE,FALSE)</f>
        <v>1</v>
      </c>
      <c r="G2643" t="str">
        <f t="shared" si="173"/>
        <v>340-52: Fusible Links, For Fire Doors</v>
      </c>
    </row>
    <row r="2644" spans="1:7" x14ac:dyDescent="0.25">
      <c r="A2644" s="1" t="str">
        <f t="shared" si="171"/>
        <v>340</v>
      </c>
      <c r="B2644" s="1" t="str">
        <f>TEXT(54,"00")</f>
        <v>54</v>
      </c>
      <c r="C2644" s="1" t="str">
        <f t="shared" si="172"/>
        <v>340-54</v>
      </c>
      <c r="D2644" t="s">
        <v>2628</v>
      </c>
      <c r="E2644" t="b">
        <f>IF(COUNTIF(D2644,"*"&amp;'Keyword Search'!$C$5&amp;"*"),TRUE,FALSE)</f>
        <v>1</v>
      </c>
      <c r="G2644" t="str">
        <f t="shared" si="173"/>
        <v>340-54: Gas Detection and Monitoring Equipment, Firemen</v>
      </c>
    </row>
    <row r="2645" spans="1:7" x14ac:dyDescent="0.25">
      <c r="A2645" s="1" t="str">
        <f t="shared" si="171"/>
        <v>340</v>
      </c>
      <c r="B2645" s="1" t="str">
        <f>TEXT(56,"00")</f>
        <v>56</v>
      </c>
      <c r="C2645" s="1" t="str">
        <f t="shared" si="172"/>
        <v>340-56</v>
      </c>
      <c r="D2645" t="s">
        <v>2629</v>
      </c>
      <c r="E2645" t="b">
        <f>IF(COUNTIF(D2645,"*"&amp;'Keyword Search'!$C$5&amp;"*"),TRUE,FALSE)</f>
        <v>1</v>
      </c>
      <c r="G2645" t="str">
        <f t="shared" si="173"/>
        <v>340-56: Hose, Fire, and Fittings, Coupled and Uncoupled (See 340-12 for Couplings)</v>
      </c>
    </row>
    <row r="2646" spans="1:7" x14ac:dyDescent="0.25">
      <c r="A2646" s="1" t="str">
        <f t="shared" si="171"/>
        <v>340</v>
      </c>
      <c r="B2646" s="1" t="str">
        <f>TEXT(60,"00")</f>
        <v>60</v>
      </c>
      <c r="C2646" s="1" t="str">
        <f t="shared" si="172"/>
        <v>340-60</v>
      </c>
      <c r="D2646" t="s">
        <v>2630</v>
      </c>
      <c r="E2646" t="b">
        <f>IF(COUNTIF(D2646,"*"&amp;'Keyword Search'!$C$5&amp;"*"),TRUE,FALSE)</f>
        <v>1</v>
      </c>
      <c r="G2646" t="str">
        <f t="shared" si="173"/>
        <v>340-60: Hydrants, Fire, Including Parts and Accessories</v>
      </c>
    </row>
    <row r="2647" spans="1:7" x14ac:dyDescent="0.25">
      <c r="A2647" s="1" t="str">
        <f t="shared" si="171"/>
        <v>340</v>
      </c>
      <c r="B2647" s="1" t="str">
        <f>TEXT(62,"00")</f>
        <v>62</v>
      </c>
      <c r="C2647" s="1" t="str">
        <f t="shared" si="172"/>
        <v>340-62</v>
      </c>
      <c r="D2647" t="s">
        <v>2631</v>
      </c>
      <c r="E2647" t="b">
        <f>IF(COUNTIF(D2647,"*"&amp;'Keyword Search'!$C$5&amp;"*"),TRUE,FALSE)</f>
        <v>1</v>
      </c>
      <c r="G2647" t="str">
        <f t="shared" si="173"/>
        <v>340-62: Ladders, Fire</v>
      </c>
    </row>
    <row r="2648" spans="1:7" x14ac:dyDescent="0.25">
      <c r="A2648" s="1" t="str">
        <f t="shared" si="171"/>
        <v>340</v>
      </c>
      <c r="B2648" s="1" t="str">
        <f>TEXT(63,"00")</f>
        <v>63</v>
      </c>
      <c r="C2648" s="1" t="str">
        <f t="shared" si="172"/>
        <v>340-63</v>
      </c>
      <c r="D2648" t="s">
        <v>2632</v>
      </c>
      <c r="E2648" t="b">
        <f>IF(COUNTIF(D2648,"*"&amp;'Keyword Search'!$C$5&amp;"*"),TRUE,FALSE)</f>
        <v>1</v>
      </c>
      <c r="G2648" t="str">
        <f t="shared" si="173"/>
        <v>340-63: Lockers, Turnout Gear</v>
      </c>
    </row>
    <row r="2649" spans="1:7" x14ac:dyDescent="0.25">
      <c r="A2649" s="1" t="str">
        <f t="shared" si="171"/>
        <v>340</v>
      </c>
      <c r="B2649" s="1" t="str">
        <f>TEXT(64,"00")</f>
        <v>64</v>
      </c>
      <c r="C2649" s="1" t="str">
        <f t="shared" si="172"/>
        <v>340-64</v>
      </c>
      <c r="D2649" t="s">
        <v>2633</v>
      </c>
      <c r="E2649" t="b">
        <f>IF(COUNTIF(D2649,"*"&amp;'Keyword Search'!$C$5&amp;"*"),TRUE,FALSE)</f>
        <v>1</v>
      </c>
      <c r="G2649" t="str">
        <f t="shared" si="173"/>
        <v>340-64: Nozzles and Parts, Fire Hose</v>
      </c>
    </row>
    <row r="2650" spans="1:7" x14ac:dyDescent="0.25">
      <c r="A2650" s="1" t="str">
        <f t="shared" si="171"/>
        <v>340</v>
      </c>
      <c r="B2650" s="1" t="str">
        <f>TEXT(67,"00")</f>
        <v>67</v>
      </c>
      <c r="C2650" s="1" t="str">
        <f t="shared" si="172"/>
        <v>340-67</v>
      </c>
      <c r="D2650" t="s">
        <v>2634</v>
      </c>
      <c r="E2650" t="b">
        <f>IF(COUNTIF(D2650,"*"&amp;'Keyword Search'!$C$5&amp;"*"),TRUE,FALSE)</f>
        <v>1</v>
      </c>
      <c r="G2650" t="str">
        <f t="shared" si="173"/>
        <v>340-67: Poles and Stanchions</v>
      </c>
    </row>
    <row r="2651" spans="1:7" x14ac:dyDescent="0.25">
      <c r="A2651" s="1" t="str">
        <f t="shared" si="171"/>
        <v>340</v>
      </c>
      <c r="B2651" s="1" t="str">
        <f>TEXT(70,"00")</f>
        <v>70</v>
      </c>
      <c r="C2651" s="1" t="str">
        <f t="shared" si="172"/>
        <v>340-70</v>
      </c>
      <c r="D2651" t="s">
        <v>2635</v>
      </c>
      <c r="E2651" t="b">
        <f>IF(COUNTIF(D2651,"*"&amp;'Keyword Search'!$C$5&amp;"*"),TRUE,FALSE)</f>
        <v>1</v>
      </c>
      <c r="G2651" t="str">
        <f t="shared" si="173"/>
        <v>340-70: Refurbished Fire Protection Equipment and Supplies</v>
      </c>
    </row>
    <row r="2652" spans="1:7" x14ac:dyDescent="0.25">
      <c r="A2652" s="1" t="str">
        <f t="shared" si="171"/>
        <v>340</v>
      </c>
      <c r="B2652" s="1" t="str">
        <f>TEXT(72,"00")</f>
        <v>72</v>
      </c>
      <c r="C2652" s="1" t="str">
        <f t="shared" si="172"/>
        <v>340-72</v>
      </c>
      <c r="D2652" t="s">
        <v>2636</v>
      </c>
      <c r="E2652" t="b">
        <f>IF(COUNTIF(D2652,"*"&amp;'Keyword Search'!$C$5&amp;"*"),TRUE,FALSE)</f>
        <v>1</v>
      </c>
      <c r="G2652" t="str">
        <f t="shared" si="173"/>
        <v>340-72: Rescue Equipment, Supplies and Accessories Including Confined Space Hard Line Communications Systems, Rescue Nets, Power Extractors (Jaws of Life), Rope and Life Harnesses, etc.</v>
      </c>
    </row>
    <row r="2653" spans="1:7" x14ac:dyDescent="0.25">
      <c r="A2653" s="1" t="str">
        <f t="shared" si="171"/>
        <v>340</v>
      </c>
      <c r="B2653" s="1" t="str">
        <f>TEXT(76,"00")</f>
        <v>76</v>
      </c>
      <c r="C2653" s="1" t="str">
        <f t="shared" si="172"/>
        <v>340-76</v>
      </c>
      <c r="D2653" t="s">
        <v>2637</v>
      </c>
      <c r="E2653" t="b">
        <f>IF(COUNTIF(D2653,"*"&amp;'Keyword Search'!$C$5&amp;"*"),TRUE,FALSE)</f>
        <v>1</v>
      </c>
      <c r="G2653" t="str">
        <f t="shared" si="173"/>
        <v>340-76: Smoke Bombs and Candles, Forestry</v>
      </c>
    </row>
    <row r="2654" spans="1:7" x14ac:dyDescent="0.25">
      <c r="A2654" s="1" t="str">
        <f t="shared" si="171"/>
        <v>340</v>
      </c>
      <c r="B2654" s="1" t="str">
        <f>TEXT(80,"00")</f>
        <v>80</v>
      </c>
      <c r="C2654" s="1" t="str">
        <f t="shared" si="172"/>
        <v>340-80</v>
      </c>
      <c r="D2654" t="s">
        <v>2638</v>
      </c>
      <c r="E2654" t="b">
        <f>IF(COUNTIF(D2654,"*"&amp;'Keyword Search'!$C$5&amp;"*"),TRUE,FALSE)</f>
        <v>1</v>
      </c>
      <c r="G2654" t="str">
        <f t="shared" si="173"/>
        <v>340-80: Smoke Detecting Equipment, Including Smoke Alarms</v>
      </c>
    </row>
    <row r="2655" spans="1:7" x14ac:dyDescent="0.25">
      <c r="A2655" s="1" t="str">
        <f t="shared" si="171"/>
        <v>340</v>
      </c>
      <c r="B2655" s="1" t="str">
        <f>TEXT(84,"00")</f>
        <v>84</v>
      </c>
      <c r="C2655" s="1" t="str">
        <f t="shared" si="172"/>
        <v>340-84</v>
      </c>
      <c r="D2655" t="s">
        <v>2639</v>
      </c>
      <c r="E2655" t="b">
        <f>IF(COUNTIF(D2655,"*"&amp;'Keyword Search'!$C$5&amp;"*"),TRUE,FALSE)</f>
        <v>1</v>
      </c>
      <c r="G2655" t="str">
        <f t="shared" si="173"/>
        <v>340-84: Sprinkler Heads and Systems</v>
      </c>
    </row>
    <row r="2656" spans="1:7" x14ac:dyDescent="0.25">
      <c r="A2656" s="1" t="str">
        <f t="shared" si="171"/>
        <v>340</v>
      </c>
      <c r="B2656" s="1" t="str">
        <f>TEXT(86,"00")</f>
        <v>86</v>
      </c>
      <c r="C2656" s="1" t="str">
        <f t="shared" si="172"/>
        <v>340-86</v>
      </c>
      <c r="D2656" t="s">
        <v>2640</v>
      </c>
      <c r="E2656" t="b">
        <f>IF(COUNTIF(D2656,"*"&amp;'Keyword Search'!$C$5&amp;"*"),TRUE,FALSE)</f>
        <v>1</v>
      </c>
      <c r="G2656" t="str">
        <f t="shared" si="173"/>
        <v>340-86: Swivels and Swivel Joints</v>
      </c>
    </row>
    <row r="2657" spans="1:7" x14ac:dyDescent="0.25">
      <c r="A2657" s="1" t="str">
        <f t="shared" si="171"/>
        <v>340</v>
      </c>
      <c r="B2657" s="1" t="str">
        <f>TEXT(87,"00")</f>
        <v>87</v>
      </c>
      <c r="C2657" s="1" t="str">
        <f t="shared" si="172"/>
        <v>340-87</v>
      </c>
      <c r="D2657" t="s">
        <v>2641</v>
      </c>
      <c r="E2657" t="b">
        <f>IF(COUNTIF(D2657,"*"&amp;'Keyword Search'!$C$5&amp;"*"),TRUE,FALSE)</f>
        <v>1</v>
      </c>
      <c r="G2657" t="str">
        <f t="shared" si="173"/>
        <v>340-87: Training Equipment and Supplies, Fire and Safety</v>
      </c>
    </row>
    <row r="2658" spans="1:7" x14ac:dyDescent="0.25">
      <c r="A2658" s="1" t="str">
        <f t="shared" si="171"/>
        <v>340</v>
      </c>
      <c r="B2658" s="1" t="str">
        <f>TEXT(88,"00")</f>
        <v>88</v>
      </c>
      <c r="C2658" s="1" t="str">
        <f t="shared" si="172"/>
        <v>340-88</v>
      </c>
      <c r="D2658" t="s">
        <v>2642</v>
      </c>
      <c r="E2658" t="b">
        <f>IF(COUNTIF(D2658,"*"&amp;'Keyword Search'!$C$5&amp;"*"),TRUE,FALSE)</f>
        <v>1</v>
      </c>
      <c r="G2658" t="str">
        <f t="shared" si="173"/>
        <v>340-88: Valves, Fire Hose</v>
      </c>
    </row>
    <row r="2659" spans="1:7" x14ac:dyDescent="0.25">
      <c r="A2659" s="1" t="str">
        <f t="shared" si="171"/>
        <v>340</v>
      </c>
      <c r="B2659" s="1" t="str">
        <f>TEXT(92,"00")</f>
        <v>92</v>
      </c>
      <c r="C2659" s="1" t="str">
        <f t="shared" si="172"/>
        <v>340-92</v>
      </c>
      <c r="D2659" t="s">
        <v>2643</v>
      </c>
      <c r="E2659" t="b">
        <f>IF(COUNTIF(D2659,"*"&amp;'Keyword Search'!$C$5&amp;"*"),TRUE,FALSE)</f>
        <v>1</v>
      </c>
      <c r="G2659" t="str">
        <f t="shared" si="173"/>
        <v>340-92: Vise, Fire Extinguisher, Pneumatic Belt</v>
      </c>
    </row>
    <row r="2660" spans="1:7" x14ac:dyDescent="0.25">
      <c r="A2660" s="1" t="str">
        <f t="shared" si="171"/>
        <v>340</v>
      </c>
      <c r="B2660" s="1" t="str">
        <f>TEXT(94,"00")</f>
        <v>94</v>
      </c>
      <c r="C2660" s="1" t="str">
        <f t="shared" si="172"/>
        <v>340-94</v>
      </c>
      <c r="D2660" t="s">
        <v>2644</v>
      </c>
      <c r="E2660" t="b">
        <f>IF(COUNTIF(D2660,"*"&amp;'Keyword Search'!$C$5&amp;"*"),TRUE,FALSE)</f>
        <v>1</v>
      </c>
      <c r="G2660" t="str">
        <f t="shared" si="173"/>
        <v>340-94: Washing Equipment for Face Masks, etc.</v>
      </c>
    </row>
    <row r="2661" spans="1:7" x14ac:dyDescent="0.25">
      <c r="A2661" s="1" t="str">
        <f t="shared" si="171"/>
        <v>340</v>
      </c>
      <c r="B2661" s="1" t="str">
        <f>TEXT(95,"00")</f>
        <v>95</v>
      </c>
      <c r="C2661" s="1" t="str">
        <f t="shared" si="172"/>
        <v>340-95</v>
      </c>
      <c r="D2661" t="s">
        <v>2645</v>
      </c>
      <c r="E2661" t="b">
        <f>IF(COUNTIF(D2661,"*"&amp;'Keyword Search'!$C$5&amp;"*"),TRUE,FALSE)</f>
        <v>1</v>
      </c>
      <c r="G2661" t="str">
        <f t="shared" si="173"/>
        <v>340-95: Water Clean-up Vacuums</v>
      </c>
    </row>
    <row r="2662" spans="1:7" x14ac:dyDescent="0.25">
      <c r="A2662" s="5" t="str">
        <f t="shared" ref="A2662:A2695" si="174">TEXT(345,"000")</f>
        <v>345</v>
      </c>
      <c r="B2662" s="5" t="str">
        <f>TEXT(0,"00")</f>
        <v>00</v>
      </c>
      <c r="C2662" s="1"/>
      <c r="D2662" s="2" t="s">
        <v>2646</v>
      </c>
    </row>
    <row r="2663" spans="1:7" x14ac:dyDescent="0.25">
      <c r="A2663" s="1" t="str">
        <f t="shared" si="174"/>
        <v>345</v>
      </c>
      <c r="B2663" s="1" t="str">
        <f>TEXT(4,"00")</f>
        <v>04</v>
      </c>
      <c r="C2663" s="1" t="str">
        <f t="shared" si="172"/>
        <v>345-04</v>
      </c>
      <c r="D2663" t="s">
        <v>2647</v>
      </c>
      <c r="E2663" t="b">
        <f>IF(COUNTIF(D2663,"*"&amp;'Keyword Search'!$C$5&amp;"*"),TRUE,FALSE)</f>
        <v>1</v>
      </c>
      <c r="G2663" t="str">
        <f t="shared" si="173"/>
        <v>345-04: Air Bags, Rescue Lifting Systems</v>
      </c>
    </row>
    <row r="2664" spans="1:7" x14ac:dyDescent="0.25">
      <c r="A2664" s="1" t="str">
        <f t="shared" si="174"/>
        <v>345</v>
      </c>
      <c r="B2664" s="1" t="str">
        <f>TEXT(5,"00")</f>
        <v>05</v>
      </c>
      <c r="C2664" s="1" t="str">
        <f t="shared" si="172"/>
        <v>345-05</v>
      </c>
      <c r="D2664" t="s">
        <v>2648</v>
      </c>
      <c r="E2664" t="b">
        <f>IF(COUNTIF(D2664,"*"&amp;'Keyword Search'!$C$5&amp;"*"),TRUE,FALSE)</f>
        <v>1</v>
      </c>
      <c r="G2664" t="str">
        <f t="shared" si="173"/>
        <v>345-05: Asbestos Abatement Equipment and Supplies</v>
      </c>
    </row>
    <row r="2665" spans="1:7" x14ac:dyDescent="0.25">
      <c r="A2665" s="1" t="str">
        <f t="shared" si="174"/>
        <v>345</v>
      </c>
      <c r="B2665" s="1" t="str">
        <f>TEXT(6,"00")</f>
        <v>06</v>
      </c>
      <c r="C2665" s="1" t="str">
        <f t="shared" si="172"/>
        <v>345-06</v>
      </c>
      <c r="D2665" t="s">
        <v>2649</v>
      </c>
      <c r="E2665" t="b">
        <f>IF(COUNTIF(D2665,"*"&amp;'Keyword Search'!$C$5&amp;"*"),TRUE,FALSE)</f>
        <v>1</v>
      </c>
      <c r="G2665" t="str">
        <f t="shared" si="173"/>
        <v>345-06: Chemical Light, Emergency</v>
      </c>
    </row>
    <row r="2666" spans="1:7" x14ac:dyDescent="0.25">
      <c r="A2666" s="1" t="str">
        <f t="shared" si="174"/>
        <v>345</v>
      </c>
      <c r="B2666" s="1" t="str">
        <f>TEXT(8,"00")</f>
        <v>08</v>
      </c>
      <c r="C2666" s="1" t="str">
        <f t="shared" si="172"/>
        <v>345-08</v>
      </c>
      <c r="D2666" t="s">
        <v>2650</v>
      </c>
      <c r="E2666" t="b">
        <f>IF(COUNTIF(D2666,"*"&amp;'Keyword Search'!$C$5&amp;"*"),TRUE,FALSE)</f>
        <v>1</v>
      </c>
      <c r="G2666" t="str">
        <f t="shared" si="173"/>
        <v>345-08: Clothing and Belts, Safety, Not Automotive, (See 345-79 for Reflective Type)</v>
      </c>
    </row>
    <row r="2667" spans="1:7" x14ac:dyDescent="0.25">
      <c r="A2667" s="1" t="str">
        <f t="shared" si="174"/>
        <v>345</v>
      </c>
      <c r="B2667" s="1" t="str">
        <f>TEXT(10,"00")</f>
        <v>10</v>
      </c>
      <c r="C2667" s="1" t="str">
        <f t="shared" si="172"/>
        <v>345-10</v>
      </c>
      <c r="D2667" t="s">
        <v>2651</v>
      </c>
      <c r="E2667" t="b">
        <f>IF(COUNTIF(D2667,"*"&amp;'Keyword Search'!$C$5&amp;"*"),TRUE,FALSE)</f>
        <v>1</v>
      </c>
      <c r="G2667" t="str">
        <f t="shared" si="173"/>
        <v>345-10: C.P.R. Equipment and Supplies (See 345-68 For Models)</v>
      </c>
    </row>
    <row r="2668" spans="1:7" x14ac:dyDescent="0.25">
      <c r="A2668" s="1" t="str">
        <f t="shared" si="174"/>
        <v>345</v>
      </c>
      <c r="B2668" s="1" t="str">
        <f>TEXT(16,"00")</f>
        <v>16</v>
      </c>
      <c r="C2668" s="1" t="str">
        <f t="shared" si="172"/>
        <v>345-16</v>
      </c>
      <c r="D2668" t="s">
        <v>2652</v>
      </c>
      <c r="E2668" t="b">
        <f>IF(COUNTIF(D2668,"*"&amp;'Keyword Search'!$C$5&amp;"*"),TRUE,FALSE)</f>
        <v>1</v>
      </c>
      <c r="G2668" t="str">
        <f t="shared" si="173"/>
        <v>345-16: Detectors and Parts, Dust, Gas, Voltage</v>
      </c>
    </row>
    <row r="2669" spans="1:7" x14ac:dyDescent="0.25">
      <c r="A2669" s="1" t="str">
        <f t="shared" si="174"/>
        <v>345</v>
      </c>
      <c r="B2669" s="1" t="str">
        <f>TEXT(18,"00")</f>
        <v>18</v>
      </c>
      <c r="C2669" s="1" t="str">
        <f t="shared" si="172"/>
        <v>345-18</v>
      </c>
      <c r="D2669" t="s">
        <v>2653</v>
      </c>
      <c r="E2669" t="b">
        <f>IF(COUNTIF(D2669,"*"&amp;'Keyword Search'!$C$5&amp;"*"),TRUE,FALSE)</f>
        <v>1</v>
      </c>
      <c r="G2669" t="str">
        <f t="shared" si="173"/>
        <v>345-18: Emergency Showers and Wash Stations</v>
      </c>
    </row>
    <row r="2670" spans="1:7" x14ac:dyDescent="0.25">
      <c r="A2670" s="1" t="str">
        <f t="shared" si="174"/>
        <v>345</v>
      </c>
      <c r="B2670" s="1" t="str">
        <f>TEXT(21,"00")</f>
        <v>21</v>
      </c>
      <c r="C2670" s="1" t="str">
        <f t="shared" si="172"/>
        <v>345-21</v>
      </c>
      <c r="D2670" t="s">
        <v>2654</v>
      </c>
      <c r="E2670" t="b">
        <f>IF(COUNTIF(D2670,"*"&amp;'Keyword Search'!$C$5&amp;"*"),TRUE,FALSE)</f>
        <v>1</v>
      </c>
      <c r="G2670" t="str">
        <f t="shared" si="173"/>
        <v>345-21: Extraction Equipment for the Removal of Exhaust Gases and Other Vapors from Buildings (OSHA)</v>
      </c>
    </row>
    <row r="2671" spans="1:7" x14ac:dyDescent="0.25">
      <c r="A2671" s="1" t="str">
        <f t="shared" si="174"/>
        <v>345</v>
      </c>
      <c r="B2671" s="1" t="str">
        <f>TEXT(22,"00")</f>
        <v>22</v>
      </c>
      <c r="C2671" s="1" t="str">
        <f t="shared" si="172"/>
        <v>345-22</v>
      </c>
      <c r="D2671" t="s">
        <v>2655</v>
      </c>
      <c r="E2671" t="b">
        <f>IF(COUNTIF(D2671,"*"&amp;'Keyword Search'!$C$5&amp;"*"),TRUE,FALSE)</f>
        <v>1</v>
      </c>
      <c r="G2671" t="str">
        <f t="shared" si="173"/>
        <v>345-22: Fall Protection Equipment and Accessories (For the Climber's Protection from Falls (See 445-83 for Pole and Tree Climbing Equipment)</v>
      </c>
    </row>
    <row r="2672" spans="1:7" x14ac:dyDescent="0.25">
      <c r="A2672" s="1" t="str">
        <f t="shared" si="174"/>
        <v>345</v>
      </c>
      <c r="B2672" s="1" t="str">
        <f>TEXT(24,"00")</f>
        <v>24</v>
      </c>
      <c r="C2672" s="1" t="str">
        <f t="shared" si="172"/>
        <v>345-24</v>
      </c>
      <c r="D2672" t="s">
        <v>2656</v>
      </c>
      <c r="E2672" t="b">
        <f>IF(COUNTIF(D2672,"*"&amp;'Keyword Search'!$C$5&amp;"*"),TRUE,FALSE)</f>
        <v>1</v>
      </c>
      <c r="G2672" t="str">
        <f t="shared" si="173"/>
        <v>345-24: Fireproof Curtains</v>
      </c>
    </row>
    <row r="2673" spans="1:7" x14ac:dyDescent="0.25">
      <c r="A2673" s="1" t="str">
        <f t="shared" si="174"/>
        <v>345</v>
      </c>
      <c r="B2673" s="1" t="str">
        <f>TEXT(30,"00")</f>
        <v>30</v>
      </c>
      <c r="C2673" s="1" t="str">
        <f t="shared" si="172"/>
        <v>345-30</v>
      </c>
      <c r="D2673" t="s">
        <v>2657</v>
      </c>
      <c r="E2673" t="b">
        <f>IF(COUNTIF(D2673,"*"&amp;'Keyword Search'!$C$5&amp;"*"),TRUE,FALSE)</f>
        <v>1</v>
      </c>
      <c r="G2673" t="str">
        <f t="shared" si="173"/>
        <v>345-30: First Aid Blankets, Stretchers, etc.</v>
      </c>
    </row>
    <row r="2674" spans="1:7" x14ac:dyDescent="0.25">
      <c r="A2674" s="1" t="str">
        <f t="shared" si="174"/>
        <v>345</v>
      </c>
      <c r="B2674" s="1" t="str">
        <f>TEXT(32,"00")</f>
        <v>32</v>
      </c>
      <c r="C2674" s="1" t="str">
        <f t="shared" si="172"/>
        <v>345-32</v>
      </c>
      <c r="D2674" t="s">
        <v>2658</v>
      </c>
      <c r="E2674" t="b">
        <f>IF(COUNTIF(D2674,"*"&amp;'Keyword Search'!$C$5&amp;"*"),TRUE,FALSE)</f>
        <v>1</v>
      </c>
      <c r="G2674" t="str">
        <f t="shared" si="173"/>
        <v>345-32: First Aid Cabinets, Kits, and Refills</v>
      </c>
    </row>
    <row r="2675" spans="1:7" x14ac:dyDescent="0.25">
      <c r="A2675" s="1" t="str">
        <f t="shared" si="174"/>
        <v>345</v>
      </c>
      <c r="B2675" s="1" t="str">
        <f>TEXT(40,"00")</f>
        <v>40</v>
      </c>
      <c r="C2675" s="1" t="str">
        <f t="shared" si="172"/>
        <v>345-40</v>
      </c>
      <c r="D2675" t="s">
        <v>2659</v>
      </c>
      <c r="E2675" t="b">
        <f>IF(COUNTIF(D2675,"*"&amp;'Keyword Search'!$C$5&amp;"*"),TRUE,FALSE)</f>
        <v>1</v>
      </c>
      <c r="G2675" t="str">
        <f t="shared" si="173"/>
        <v>345-40: First Aid and Safety Teaching Equipment and Supplies: Charts, Manuals, Posters, Safety Placards, Safety Training Videos, etc.</v>
      </c>
    </row>
    <row r="2676" spans="1:7" x14ac:dyDescent="0.25">
      <c r="A2676" s="1" t="str">
        <f t="shared" si="174"/>
        <v>345</v>
      </c>
      <c r="B2676" s="1" t="str">
        <f>TEXT(48,"00")</f>
        <v>48</v>
      </c>
      <c r="C2676" s="1" t="str">
        <f t="shared" si="172"/>
        <v>345-48</v>
      </c>
      <c r="D2676" t="s">
        <v>2660</v>
      </c>
      <c r="E2676" t="b">
        <f>IF(COUNTIF(D2676,"*"&amp;'Keyword Search'!$C$5&amp;"*"),TRUE,FALSE)</f>
        <v>1</v>
      </c>
      <c r="G2676" t="str">
        <f t="shared" si="173"/>
        <v>345-48: Gloves, Safety: Electrician's, Lineman's, etc., Including Sleeves</v>
      </c>
    </row>
    <row r="2677" spans="1:7" x14ac:dyDescent="0.25">
      <c r="A2677" s="1" t="str">
        <f t="shared" si="174"/>
        <v>345</v>
      </c>
      <c r="B2677" s="1" t="str">
        <f>TEXT(49,"00")</f>
        <v>49</v>
      </c>
      <c r="C2677" s="1" t="str">
        <f t="shared" si="172"/>
        <v>345-49</v>
      </c>
      <c r="D2677" t="s">
        <v>2661</v>
      </c>
      <c r="E2677" t="b">
        <f>IF(COUNTIF(D2677,"*"&amp;'Keyword Search'!$C$5&amp;"*"),TRUE,FALSE)</f>
        <v>1</v>
      </c>
      <c r="G2677" t="str">
        <f t="shared" si="173"/>
        <v>345-49: Gloves, Therapeutic</v>
      </c>
    </row>
    <row r="2678" spans="1:7" x14ac:dyDescent="0.25">
      <c r="A2678" s="1" t="str">
        <f t="shared" si="174"/>
        <v>345</v>
      </c>
      <c r="B2678" s="1" t="str">
        <f>TEXT(56,"00")</f>
        <v>56</v>
      </c>
      <c r="C2678" s="1" t="str">
        <f t="shared" si="172"/>
        <v>345-56</v>
      </c>
      <c r="D2678" t="s">
        <v>2662</v>
      </c>
      <c r="E2678" t="b">
        <f>IF(COUNTIF(D2678,"*"&amp;'Keyword Search'!$C$5&amp;"*"),TRUE,FALSE)</f>
        <v>1</v>
      </c>
      <c r="G2678" t="str">
        <f t="shared" si="173"/>
        <v>345-56: Hats and Helmets, Safety, Including Fire Helmets</v>
      </c>
    </row>
    <row r="2679" spans="1:7" x14ac:dyDescent="0.25">
      <c r="A2679" s="1" t="str">
        <f t="shared" si="174"/>
        <v>345</v>
      </c>
      <c r="B2679" s="1" t="str">
        <f>TEXT(64,"00")</f>
        <v>64</v>
      </c>
      <c r="C2679" s="1" t="str">
        <f t="shared" si="172"/>
        <v>345-64</v>
      </c>
      <c r="D2679" t="s">
        <v>2663</v>
      </c>
      <c r="E2679" t="b">
        <f>IF(COUNTIF(D2679,"*"&amp;'Keyword Search'!$C$5&amp;"*"),TRUE,FALSE)</f>
        <v>1</v>
      </c>
      <c r="G2679" t="str">
        <f t="shared" si="173"/>
        <v>345-64: Head, Ear, Eye and Face Protection</v>
      </c>
    </row>
    <row r="2680" spans="1:7" x14ac:dyDescent="0.25">
      <c r="A2680" s="1" t="str">
        <f t="shared" si="174"/>
        <v>345</v>
      </c>
      <c r="B2680" s="1" t="str">
        <f>TEXT(65,"00")</f>
        <v>65</v>
      </c>
      <c r="C2680" s="1" t="str">
        <f t="shared" si="172"/>
        <v>345-65</v>
      </c>
      <c r="D2680" t="s">
        <v>2664</v>
      </c>
      <c r="E2680" t="b">
        <f>IF(COUNTIF(D2680,"*"&amp;'Keyword Search'!$C$5&amp;"*"),TRUE,FALSE)</f>
        <v>1</v>
      </c>
      <c r="G2680" t="str">
        <f t="shared" si="173"/>
        <v>345-65: Labels, Warning</v>
      </c>
    </row>
    <row r="2681" spans="1:7" x14ac:dyDescent="0.25">
      <c r="A2681" s="1" t="str">
        <f t="shared" si="174"/>
        <v>345</v>
      </c>
      <c r="B2681" s="1" t="str">
        <f>TEXT(66,"00")</f>
        <v>66</v>
      </c>
      <c r="C2681" s="1" t="str">
        <f t="shared" si="172"/>
        <v>345-66</v>
      </c>
      <c r="D2681" t="s">
        <v>2665</v>
      </c>
      <c r="E2681" t="b">
        <f>IF(COUNTIF(D2681,"*"&amp;'Keyword Search'!$C$5&amp;"*"),TRUE,FALSE)</f>
        <v>1</v>
      </c>
      <c r="G2681" t="str">
        <f t="shared" si="173"/>
        <v>345-66: Lockout and Tagout Safety Kits and Supplies</v>
      </c>
    </row>
    <row r="2682" spans="1:7" x14ac:dyDescent="0.25">
      <c r="A2682" s="1" t="str">
        <f t="shared" si="174"/>
        <v>345</v>
      </c>
      <c r="B2682" s="1" t="str">
        <f>TEXT(68,"00")</f>
        <v>68</v>
      </c>
      <c r="C2682" s="1" t="str">
        <f t="shared" si="172"/>
        <v>345-68</v>
      </c>
      <c r="D2682" t="s">
        <v>2666</v>
      </c>
      <c r="E2682" t="b">
        <f>IF(COUNTIF(D2682,"*"&amp;'Keyword Search'!$C$5&amp;"*"),TRUE,FALSE)</f>
        <v>1</v>
      </c>
      <c r="G2682" t="str">
        <f t="shared" si="173"/>
        <v>345-68: Manikins and Models, First Aid and Safety Teaching</v>
      </c>
    </row>
    <row r="2683" spans="1:7" x14ac:dyDescent="0.25">
      <c r="A2683" s="1" t="str">
        <f t="shared" si="174"/>
        <v>345</v>
      </c>
      <c r="B2683" s="1" t="str">
        <f>TEXT(72,"00")</f>
        <v>72</v>
      </c>
      <c r="C2683" s="1" t="str">
        <f t="shared" si="172"/>
        <v>345-72</v>
      </c>
      <c r="D2683" t="s">
        <v>2667</v>
      </c>
      <c r="E2683" t="b">
        <f>IF(COUNTIF(D2683,"*"&amp;'Keyword Search'!$C$5&amp;"*"),TRUE,FALSE)</f>
        <v>1</v>
      </c>
      <c r="G2683" t="str">
        <f t="shared" si="173"/>
        <v>345-72: Masks, Filters, and Parts: Dust and Gas</v>
      </c>
    </row>
    <row r="2684" spans="1:7" x14ac:dyDescent="0.25">
      <c r="A2684" s="1" t="str">
        <f t="shared" si="174"/>
        <v>345</v>
      </c>
      <c r="B2684" s="1" t="str">
        <f>TEXT(73,"00")</f>
        <v>73</v>
      </c>
      <c r="C2684" s="1" t="str">
        <f t="shared" si="172"/>
        <v>345-73</v>
      </c>
      <c r="D2684" t="s">
        <v>2668</v>
      </c>
      <c r="E2684" t="b">
        <f>IF(COUNTIF(D2684,"*"&amp;'Keyword Search'!$C$5&amp;"*"),TRUE,FALSE)</f>
        <v>1</v>
      </c>
      <c r="G2684" t="str">
        <f t="shared" si="173"/>
        <v>345-73: Personal Distress Warning Devices</v>
      </c>
    </row>
    <row r="2685" spans="1:7" x14ac:dyDescent="0.25">
      <c r="A2685" s="1" t="str">
        <f t="shared" si="174"/>
        <v>345</v>
      </c>
      <c r="B2685" s="1" t="str">
        <f>TEXT(74,"00")</f>
        <v>74</v>
      </c>
      <c r="C2685" s="1" t="str">
        <f t="shared" si="172"/>
        <v>345-74</v>
      </c>
      <c r="D2685" t="s">
        <v>2669</v>
      </c>
      <c r="E2685" t="b">
        <f>IF(COUNTIF(D2685,"*"&amp;'Keyword Search'!$C$5&amp;"*"),TRUE,FALSE)</f>
        <v>1</v>
      </c>
      <c r="G2685" t="str">
        <f t="shared" si="173"/>
        <v>345-74: Personal Protective Equipment (PPE), Blood Borne Pathogen Protection, (Not Otherwise Classified)</v>
      </c>
    </row>
    <row r="2686" spans="1:7" x14ac:dyDescent="0.25">
      <c r="A2686" s="1" t="str">
        <f t="shared" si="174"/>
        <v>345</v>
      </c>
      <c r="B2686" s="1" t="str">
        <f>TEXT(78,"00")</f>
        <v>78</v>
      </c>
      <c r="C2686" s="1" t="str">
        <f t="shared" si="172"/>
        <v>345-78</v>
      </c>
      <c r="D2686" t="s">
        <v>2670</v>
      </c>
      <c r="E2686" t="b">
        <f>IF(COUNTIF(D2686,"*"&amp;'Keyword Search'!$C$5&amp;"*"),TRUE,FALSE)</f>
        <v>1</v>
      </c>
      <c r="G2686" t="str">
        <f t="shared" si="173"/>
        <v>345-78: Recycled First Aid and Safety Equipment and Supplies</v>
      </c>
    </row>
    <row r="2687" spans="1:7" x14ac:dyDescent="0.25">
      <c r="A2687" s="1" t="str">
        <f t="shared" si="174"/>
        <v>345</v>
      </c>
      <c r="B2687" s="1" t="str">
        <f>TEXT(79,"00")</f>
        <v>79</v>
      </c>
      <c r="C2687" s="1" t="str">
        <f t="shared" si="172"/>
        <v>345-79</v>
      </c>
      <c r="D2687" t="s">
        <v>2671</v>
      </c>
      <c r="E2687" t="b">
        <f>IF(COUNTIF(D2687,"*"&amp;'Keyword Search'!$C$5&amp;"*"),TRUE,FALSE)</f>
        <v>1</v>
      </c>
      <c r="G2687" t="str">
        <f t="shared" si="173"/>
        <v>345-79: Reflective Safety Apparel and Accessories (See 345-08 for Non-Reflective Type)</v>
      </c>
    </row>
    <row r="2688" spans="1:7" x14ac:dyDescent="0.25">
      <c r="A2688" s="1" t="str">
        <f t="shared" si="174"/>
        <v>345</v>
      </c>
      <c r="B2688" s="1" t="str">
        <f>TEXT(80,"00")</f>
        <v>80</v>
      </c>
      <c r="C2688" s="1" t="str">
        <f t="shared" si="172"/>
        <v>345-80</v>
      </c>
      <c r="D2688" t="s">
        <v>2672</v>
      </c>
      <c r="E2688" t="b">
        <f>IF(COUNTIF(D2688,"*"&amp;'Keyword Search'!$C$5&amp;"*"),TRUE,FALSE)</f>
        <v>1</v>
      </c>
      <c r="G2688" t="str">
        <f t="shared" si="173"/>
        <v>345-80: Respiratory Protection Equipment and Parts, Including CPAP Equipment and Parts</v>
      </c>
    </row>
    <row r="2689" spans="1:7" x14ac:dyDescent="0.25">
      <c r="A2689" s="1" t="str">
        <f t="shared" si="174"/>
        <v>345</v>
      </c>
      <c r="B2689" s="1" t="str">
        <f>TEXT(84,"00")</f>
        <v>84</v>
      </c>
      <c r="C2689" s="1" t="str">
        <f t="shared" si="172"/>
        <v>345-84</v>
      </c>
      <c r="D2689" t="s">
        <v>2673</v>
      </c>
      <c r="E2689" t="b">
        <f>IF(COUNTIF(D2689,"*"&amp;'Keyword Search'!$C$5&amp;"*"),TRUE,FALSE)</f>
        <v>1</v>
      </c>
      <c r="G2689" t="str">
        <f t="shared" si="173"/>
        <v>345-84: Resuscitators and Parts, Including Portable Rescue Units</v>
      </c>
    </row>
    <row r="2690" spans="1:7" x14ac:dyDescent="0.25">
      <c r="A2690" s="1" t="str">
        <f t="shared" si="174"/>
        <v>345</v>
      </c>
      <c r="B2690" s="1" t="str">
        <f>TEXT(86,"00")</f>
        <v>86</v>
      </c>
      <c r="C2690" s="1" t="str">
        <f t="shared" si="172"/>
        <v>345-86</v>
      </c>
      <c r="D2690" t="s">
        <v>2674</v>
      </c>
      <c r="E2690" t="b">
        <f>IF(COUNTIF(D2690,"*"&amp;'Keyword Search'!$C$5&amp;"*"),TRUE,FALSE)</f>
        <v>1</v>
      </c>
      <c r="G2690" t="str">
        <f t="shared" si="173"/>
        <v>345-86: Scissors, First Aid and Paramedic</v>
      </c>
    </row>
    <row r="2691" spans="1:7" x14ac:dyDescent="0.25">
      <c r="A2691" s="1" t="str">
        <f t="shared" si="174"/>
        <v>345</v>
      </c>
      <c r="B2691" s="1" t="str">
        <f>TEXT(87,"00")</f>
        <v>87</v>
      </c>
      <c r="C2691" s="1" t="str">
        <f t="shared" ref="C2691:C2754" si="175">CONCATENATE(A2691,"-",B2691)</f>
        <v>345-87</v>
      </c>
      <c r="D2691" t="s">
        <v>2675</v>
      </c>
      <c r="E2691" t="b">
        <f>IF(COUNTIF(D2691,"*"&amp;'Keyword Search'!$C$5&amp;"*"),TRUE,FALSE)</f>
        <v>1</v>
      </c>
      <c r="G2691" t="str">
        <f t="shared" si="173"/>
        <v>345-87: Shoe Chain, For Icy and Slippery Surfaces</v>
      </c>
    </row>
    <row r="2692" spans="1:7" x14ac:dyDescent="0.25">
      <c r="A2692" s="1" t="str">
        <f t="shared" si="174"/>
        <v>345</v>
      </c>
      <c r="B2692" s="1" t="str">
        <f>TEXT(90,"00")</f>
        <v>90</v>
      </c>
      <c r="C2692" s="1" t="str">
        <f t="shared" si="175"/>
        <v>345-90</v>
      </c>
      <c r="D2692" t="s">
        <v>2676</v>
      </c>
      <c r="E2692" t="b">
        <f>IF(COUNTIF(D2692,"*"&amp;'Keyword Search'!$C$5&amp;"*"),TRUE,FALSE)</f>
        <v>1</v>
      </c>
      <c r="G2692" t="str">
        <f t="shared" ref="G2692:G2755" si="176">CONCATENATE(C2692,": ",D2692)</f>
        <v>345-90: Vests, Life</v>
      </c>
    </row>
    <row r="2693" spans="1:7" x14ac:dyDescent="0.25">
      <c r="A2693" s="1" t="str">
        <f t="shared" si="174"/>
        <v>345</v>
      </c>
      <c r="B2693" s="1" t="str">
        <f>TEXT(92,"00")</f>
        <v>92</v>
      </c>
      <c r="C2693" s="1" t="str">
        <f t="shared" si="175"/>
        <v>345-92</v>
      </c>
      <c r="D2693" t="s">
        <v>2677</v>
      </c>
      <c r="E2693" t="b">
        <f>IF(COUNTIF(D2693,"*"&amp;'Keyword Search'!$C$5&amp;"*"),TRUE,FALSE)</f>
        <v>1</v>
      </c>
      <c r="G2693" t="str">
        <f t="shared" si="176"/>
        <v>345-92: Vests, Safety</v>
      </c>
    </row>
    <row r="2694" spans="1:7" x14ac:dyDescent="0.25">
      <c r="A2694" s="1" t="str">
        <f t="shared" si="174"/>
        <v>345</v>
      </c>
      <c r="B2694" s="1" t="str">
        <f>TEXT(94,"00")</f>
        <v>94</v>
      </c>
      <c r="C2694" s="1" t="str">
        <f t="shared" si="175"/>
        <v>345-94</v>
      </c>
      <c r="D2694" t="s">
        <v>2678</v>
      </c>
      <c r="E2694" t="b">
        <f>IF(COUNTIF(D2694,"*"&amp;'Keyword Search'!$C$5&amp;"*"),TRUE,FALSE)</f>
        <v>1</v>
      </c>
      <c r="G2694" t="str">
        <f t="shared" si="176"/>
        <v>345-94: Wipes, Decontamination, Personnel, Equipment</v>
      </c>
    </row>
    <row r="2695" spans="1:7" x14ac:dyDescent="0.25">
      <c r="A2695" s="1" t="str">
        <f t="shared" si="174"/>
        <v>345</v>
      </c>
      <c r="B2695" s="1" t="str">
        <f>TEXT(95,"00")</f>
        <v>95</v>
      </c>
      <c r="C2695" s="1" t="str">
        <f t="shared" si="175"/>
        <v>345-95</v>
      </c>
      <c r="D2695" t="s">
        <v>2679</v>
      </c>
      <c r="E2695" t="b">
        <f>IF(COUNTIF(D2695,"*"&amp;'Keyword Search'!$C$5&amp;"*"),TRUE,FALSE)</f>
        <v>1</v>
      </c>
      <c r="G2695" t="str">
        <f t="shared" si="176"/>
        <v>345-95: Wipes for Safety Equipment</v>
      </c>
    </row>
    <row r="2696" spans="1:7" x14ac:dyDescent="0.25">
      <c r="A2696" s="5" t="str">
        <f t="shared" ref="A2696:A2706" si="177">TEXT(350,"000")</f>
        <v>350</v>
      </c>
      <c r="B2696" s="5" t="str">
        <f>TEXT(0,"00")</f>
        <v>00</v>
      </c>
      <c r="C2696" s="1"/>
      <c r="D2696" s="2" t="s">
        <v>2680</v>
      </c>
    </row>
    <row r="2697" spans="1:7" x14ac:dyDescent="0.25">
      <c r="A2697" s="1" t="str">
        <f t="shared" si="177"/>
        <v>350</v>
      </c>
      <c r="B2697" s="1" t="str">
        <f>TEXT(10,"00")</f>
        <v>10</v>
      </c>
      <c r="C2697" s="1" t="str">
        <f t="shared" si="175"/>
        <v>350-10</v>
      </c>
      <c r="D2697" t="s">
        <v>2681</v>
      </c>
      <c r="E2697" t="b">
        <f>IF(COUNTIF(D2697,"*"&amp;'Keyword Search'!$C$5&amp;"*"),TRUE,FALSE)</f>
        <v>1</v>
      </c>
      <c r="G2697" t="str">
        <f t="shared" si="176"/>
        <v>350-10: Banners, Pennants, and Decorative Fans, Drapes, and Pull Downs</v>
      </c>
    </row>
    <row r="2698" spans="1:7" x14ac:dyDescent="0.25">
      <c r="A2698" s="1" t="str">
        <f t="shared" si="177"/>
        <v>350</v>
      </c>
      <c r="B2698" s="1" t="str">
        <f>TEXT(20,"00")</f>
        <v>20</v>
      </c>
      <c r="C2698" s="1" t="str">
        <f t="shared" si="175"/>
        <v>350-20</v>
      </c>
      <c r="D2698" t="s">
        <v>2682</v>
      </c>
      <c r="E2698" t="b">
        <f>IF(COUNTIF(D2698,"*"&amp;'Keyword Search'!$C$5&amp;"*"),TRUE,FALSE)</f>
        <v>1</v>
      </c>
      <c r="G2698" t="str">
        <f t="shared" si="176"/>
        <v>350-20: Flag Accessories: Belts, Brackets, Covers, Crosses, Eagles, Holders, Sockets, Spears, Staffs, Stands, and Tassels</v>
      </c>
    </row>
    <row r="2699" spans="1:7" x14ac:dyDescent="0.25">
      <c r="A2699" s="1" t="str">
        <f t="shared" si="177"/>
        <v>350</v>
      </c>
      <c r="B2699" s="1" t="str">
        <f>TEXT(30,"00")</f>
        <v>30</v>
      </c>
      <c r="C2699" s="1" t="str">
        <f t="shared" si="175"/>
        <v>350-30</v>
      </c>
      <c r="D2699" t="s">
        <v>2683</v>
      </c>
      <c r="E2699" t="b">
        <f>IF(COUNTIF(D2699,"*"&amp;'Keyword Search'!$C$5&amp;"*"),TRUE,FALSE)</f>
        <v>1</v>
      </c>
      <c r="G2699" t="str">
        <f t="shared" si="176"/>
        <v>350-30: Flag Poles, All Types</v>
      </c>
    </row>
    <row r="2700" spans="1:7" x14ac:dyDescent="0.25">
      <c r="A2700" s="1" t="str">
        <f t="shared" si="177"/>
        <v>350</v>
      </c>
      <c r="B2700" s="1" t="str">
        <f>TEXT(35,"00")</f>
        <v>35</v>
      </c>
      <c r="C2700" s="1" t="str">
        <f t="shared" si="175"/>
        <v>350-35</v>
      </c>
      <c r="D2700" t="s">
        <v>2684</v>
      </c>
      <c r="E2700" t="b">
        <f>IF(COUNTIF(D2700,"*"&amp;'Keyword Search'!$C$5&amp;"*"),TRUE,FALSE)</f>
        <v>1</v>
      </c>
      <c r="G2700" t="str">
        <f t="shared" si="176"/>
        <v>350-35: Flags, County</v>
      </c>
    </row>
    <row r="2701" spans="1:7" x14ac:dyDescent="0.25">
      <c r="A2701" s="1" t="str">
        <f t="shared" si="177"/>
        <v>350</v>
      </c>
      <c r="B2701" s="1" t="str">
        <f>TEXT(40,"00")</f>
        <v>40</v>
      </c>
      <c r="C2701" s="1" t="str">
        <f t="shared" si="175"/>
        <v>350-40</v>
      </c>
      <c r="D2701" t="s">
        <v>2685</v>
      </c>
      <c r="E2701" t="b">
        <f>IF(COUNTIF(D2701,"*"&amp;'Keyword Search'!$C$5&amp;"*"),TRUE,FALSE)</f>
        <v>1</v>
      </c>
      <c r="G2701" t="str">
        <f t="shared" si="176"/>
        <v>350-40: Flags, International and Special Occasion</v>
      </c>
    </row>
    <row r="2702" spans="1:7" x14ac:dyDescent="0.25">
      <c r="A2702" s="1" t="str">
        <f t="shared" si="177"/>
        <v>350</v>
      </c>
      <c r="B2702" s="1" t="str">
        <f>TEXT(45,"00")</f>
        <v>45</v>
      </c>
      <c r="C2702" s="1" t="str">
        <f t="shared" si="175"/>
        <v>350-45</v>
      </c>
      <c r="D2702" t="s">
        <v>2686</v>
      </c>
      <c r="E2702" t="b">
        <f>IF(COUNTIF(D2702,"*"&amp;'Keyword Search'!$C$5&amp;"*"),TRUE,FALSE)</f>
        <v>1</v>
      </c>
      <c r="G2702" t="str">
        <f t="shared" si="176"/>
        <v>350-45: Flags: Municipal, School, Departmental, Agency, etc.</v>
      </c>
    </row>
    <row r="2703" spans="1:7" x14ac:dyDescent="0.25">
      <c r="A2703" s="1" t="str">
        <f t="shared" si="177"/>
        <v>350</v>
      </c>
      <c r="B2703" s="1" t="str">
        <f>TEXT(60,"00")</f>
        <v>60</v>
      </c>
      <c r="C2703" s="1" t="str">
        <f t="shared" si="175"/>
        <v>350-60</v>
      </c>
      <c r="D2703" t="s">
        <v>2687</v>
      </c>
      <c r="E2703" t="b">
        <f>IF(COUNTIF(D2703,"*"&amp;'Keyword Search'!$C$5&amp;"*"),TRUE,FALSE)</f>
        <v>1</v>
      </c>
      <c r="G2703" t="str">
        <f t="shared" si="176"/>
        <v>350-60: Flags, Safety and Warning, Any Color</v>
      </c>
    </row>
    <row r="2704" spans="1:7" x14ac:dyDescent="0.25">
      <c r="A2704" s="1" t="str">
        <f t="shared" si="177"/>
        <v>350</v>
      </c>
      <c r="B2704" s="1" t="str">
        <f>TEXT(70,"00")</f>
        <v>70</v>
      </c>
      <c r="C2704" s="1" t="str">
        <f t="shared" si="175"/>
        <v>350-70</v>
      </c>
      <c r="D2704" t="s">
        <v>2688</v>
      </c>
      <c r="E2704" t="b">
        <f>IF(COUNTIF(D2704,"*"&amp;'Keyword Search'!$C$5&amp;"*"),TRUE,FALSE)</f>
        <v>1</v>
      </c>
      <c r="G2704" t="str">
        <f t="shared" si="176"/>
        <v>350-70: Flags: State and U.S.: Cotton, Nylon, Polyester, and Wool</v>
      </c>
    </row>
    <row r="2705" spans="1:7" x14ac:dyDescent="0.25">
      <c r="A2705" s="1" t="str">
        <f t="shared" si="177"/>
        <v>350</v>
      </c>
      <c r="B2705" s="1" t="str">
        <f>TEXT(72,"00")</f>
        <v>72</v>
      </c>
      <c r="C2705" s="1" t="str">
        <f t="shared" si="175"/>
        <v>350-72</v>
      </c>
      <c r="D2705" t="s">
        <v>2689</v>
      </c>
      <c r="E2705" t="b">
        <f>IF(COUNTIF(D2705,"*"&amp;'Keyword Search'!$C$5&amp;"*"),TRUE,FALSE)</f>
        <v>1</v>
      </c>
      <c r="G2705" t="str">
        <f t="shared" si="176"/>
        <v>350-72: Flags: State and U.S., Presentation: Nylon, Rayon, and Taffeta</v>
      </c>
    </row>
    <row r="2706" spans="1:7" x14ac:dyDescent="0.25">
      <c r="A2706" s="1" t="str">
        <f t="shared" si="177"/>
        <v>350</v>
      </c>
      <c r="B2706" s="1" t="str">
        <f>TEXT(80,"00")</f>
        <v>80</v>
      </c>
      <c r="C2706" s="1" t="str">
        <f t="shared" si="175"/>
        <v>350-80</v>
      </c>
      <c r="D2706" t="s">
        <v>2690</v>
      </c>
      <c r="E2706" t="b">
        <f>IF(COUNTIF(D2706,"*"&amp;'Keyword Search'!$C$5&amp;"*"),TRUE,FALSE)</f>
        <v>1</v>
      </c>
      <c r="G2706" t="str">
        <f t="shared" si="176"/>
        <v>350-80: Recycled Flags, Banners, and Accessories</v>
      </c>
    </row>
    <row r="2707" spans="1:7" x14ac:dyDescent="0.25">
      <c r="A2707" s="5" t="str">
        <f t="shared" ref="A2707:A2745" si="178">TEXT(360,"000")</f>
        <v>360</v>
      </c>
      <c r="B2707" s="5" t="str">
        <f>TEXT(0,"00")</f>
        <v>00</v>
      </c>
      <c r="C2707" s="1"/>
      <c r="D2707" s="2" t="s">
        <v>2691</v>
      </c>
    </row>
    <row r="2708" spans="1:7" x14ac:dyDescent="0.25">
      <c r="A2708" s="1" t="str">
        <f t="shared" si="178"/>
        <v>360</v>
      </c>
      <c r="B2708" s="1" t="str">
        <f>TEXT(5,"00")</f>
        <v>05</v>
      </c>
      <c r="C2708" s="1" t="str">
        <f t="shared" si="175"/>
        <v>360-05</v>
      </c>
      <c r="D2708" t="s">
        <v>2692</v>
      </c>
      <c r="E2708" t="b">
        <f>IF(COUNTIF(D2708,"*"&amp;'Keyword Search'!$C$5&amp;"*"),TRUE,FALSE)</f>
        <v>1</v>
      </c>
      <c r="G2708" t="str">
        <f t="shared" si="176"/>
        <v>360-05: Adhesive, Cement and Mastic</v>
      </c>
    </row>
    <row r="2709" spans="1:7" x14ac:dyDescent="0.25">
      <c r="A2709" s="1" t="str">
        <f t="shared" si="178"/>
        <v>360</v>
      </c>
      <c r="B2709" s="1" t="str">
        <f>TEXT(7,"00")</f>
        <v>07</v>
      </c>
      <c r="C2709" s="1" t="str">
        <f t="shared" si="175"/>
        <v>360-07</v>
      </c>
      <c r="D2709" t="s">
        <v>2693</v>
      </c>
      <c r="E2709" t="b">
        <f>IF(COUNTIF(D2709,"*"&amp;'Keyword Search'!$C$5&amp;"*"),TRUE,FALSE)</f>
        <v>1</v>
      </c>
      <c r="G2709" t="str">
        <f t="shared" si="176"/>
        <v>360-07: Base, Resilient, Cove and Straight</v>
      </c>
    </row>
    <row r="2710" spans="1:7" x14ac:dyDescent="0.25">
      <c r="A2710" s="1" t="str">
        <f t="shared" si="178"/>
        <v>360</v>
      </c>
      <c r="B2710" s="1" t="str">
        <f>TEXT(10,"00")</f>
        <v>10</v>
      </c>
      <c r="C2710" s="1" t="str">
        <f t="shared" si="175"/>
        <v>360-10</v>
      </c>
      <c r="D2710" t="s">
        <v>2694</v>
      </c>
      <c r="E2710" t="b">
        <f>IF(COUNTIF(D2710,"*"&amp;'Keyword Search'!$C$5&amp;"*"),TRUE,FALSE)</f>
        <v>1</v>
      </c>
      <c r="G2710" t="str">
        <f t="shared" si="176"/>
        <v>360-10: Carpets and Rugs: Cotton, Synthetic, Wool, etc.</v>
      </c>
    </row>
    <row r="2711" spans="1:7" x14ac:dyDescent="0.25">
      <c r="A2711" s="1" t="str">
        <f t="shared" si="178"/>
        <v>360</v>
      </c>
      <c r="B2711" s="1" t="str">
        <f>TEXT(11,"00")</f>
        <v>11</v>
      </c>
      <c r="C2711" s="1" t="str">
        <f t="shared" si="175"/>
        <v>360-11</v>
      </c>
      <c r="D2711" t="s">
        <v>2695</v>
      </c>
      <c r="E2711" t="b">
        <f>IF(COUNTIF(D2711,"*"&amp;'Keyword Search'!$C$5&amp;"*"),TRUE,FALSE)</f>
        <v>1</v>
      </c>
      <c r="G2711" t="str">
        <f t="shared" si="176"/>
        <v>360-11: Carpet and Rug Mills (Inactive, effective January 1, 2016)</v>
      </c>
    </row>
    <row r="2712" spans="1:7" x14ac:dyDescent="0.25">
      <c r="A2712" s="1" t="str">
        <f t="shared" si="178"/>
        <v>360</v>
      </c>
      <c r="B2712" s="1" t="str">
        <f>TEXT(14,"00")</f>
        <v>14</v>
      </c>
      <c r="C2712" s="1" t="str">
        <f t="shared" si="175"/>
        <v>360-14</v>
      </c>
      <c r="D2712" t="s">
        <v>2696</v>
      </c>
      <c r="E2712" t="b">
        <f>IF(COUNTIF(D2712,"*"&amp;'Keyword Search'!$C$5&amp;"*"),TRUE,FALSE)</f>
        <v>1</v>
      </c>
      <c r="G2712" t="str">
        <f t="shared" si="176"/>
        <v>360-14: Duckboards and Boardwalks</v>
      </c>
    </row>
    <row r="2713" spans="1:7" x14ac:dyDescent="0.25">
      <c r="A2713" s="1" t="str">
        <f t="shared" si="178"/>
        <v>360</v>
      </c>
      <c r="B2713" s="1" t="str">
        <f>TEXT(17,"00")</f>
        <v>17</v>
      </c>
      <c r="C2713" s="1" t="str">
        <f t="shared" si="175"/>
        <v>360-17</v>
      </c>
      <c r="D2713" t="s">
        <v>2697</v>
      </c>
      <c r="E2713" t="b">
        <f>IF(COUNTIF(D2713,"*"&amp;'Keyword Search'!$C$5&amp;"*"),TRUE,FALSE)</f>
        <v>1</v>
      </c>
      <c r="G2713" t="str">
        <f t="shared" si="176"/>
        <v>360-17: Felt and Paper</v>
      </c>
    </row>
    <row r="2714" spans="1:7" x14ac:dyDescent="0.25">
      <c r="A2714" s="1" t="str">
        <f t="shared" si="178"/>
        <v>360</v>
      </c>
      <c r="B2714" s="1" t="str">
        <f>TEXT(19,"00")</f>
        <v>19</v>
      </c>
      <c r="C2714" s="1" t="str">
        <f t="shared" si="175"/>
        <v>360-19</v>
      </c>
      <c r="D2714" t="s">
        <v>2698</v>
      </c>
      <c r="E2714" t="b">
        <f>IF(COUNTIF(D2714,"*"&amp;'Keyword Search'!$C$5&amp;"*"),TRUE,FALSE)</f>
        <v>1</v>
      </c>
      <c r="G2714" t="str">
        <f t="shared" si="176"/>
        <v>360-19: Floor Covering Accessories (Not Otherwise Classified)</v>
      </c>
    </row>
    <row r="2715" spans="1:7" x14ac:dyDescent="0.25">
      <c r="A2715" s="1" t="str">
        <f t="shared" si="178"/>
        <v>360</v>
      </c>
      <c r="B2715" s="1" t="str">
        <f>TEXT(20,"00")</f>
        <v>20</v>
      </c>
      <c r="C2715" s="1" t="str">
        <f t="shared" si="175"/>
        <v>360-20</v>
      </c>
      <c r="D2715" t="s">
        <v>2699</v>
      </c>
      <c r="E2715" t="b">
        <f>IF(COUNTIF(D2715,"*"&amp;'Keyword Search'!$C$5&amp;"*"),TRUE,FALSE)</f>
        <v>1</v>
      </c>
      <c r="G2715" t="str">
        <f t="shared" si="176"/>
        <v>360-20: Floor Covering, Seamless, All Types</v>
      </c>
    </row>
    <row r="2716" spans="1:7" x14ac:dyDescent="0.25">
      <c r="A2716" s="1" t="str">
        <f t="shared" si="178"/>
        <v>360</v>
      </c>
      <c r="B2716" s="1" t="str">
        <f>TEXT(21,"00")</f>
        <v>21</v>
      </c>
      <c r="C2716" s="1" t="str">
        <f t="shared" si="175"/>
        <v>360-21</v>
      </c>
      <c r="D2716" t="s">
        <v>2700</v>
      </c>
      <c r="E2716" t="b">
        <f>IF(COUNTIF(D2716,"*"&amp;'Keyword Search'!$C$5&amp;"*"),TRUE,FALSE)</f>
        <v>1</v>
      </c>
      <c r="G2716" t="str">
        <f t="shared" si="176"/>
        <v>360-21: Hardwood Flooring</v>
      </c>
    </row>
    <row r="2717" spans="1:7" x14ac:dyDescent="0.25">
      <c r="A2717" s="1" t="str">
        <f t="shared" si="178"/>
        <v>360</v>
      </c>
      <c r="B2717" s="1" t="str">
        <f>TEXT(22,"00")</f>
        <v>22</v>
      </c>
      <c r="C2717" s="1" t="str">
        <f t="shared" si="175"/>
        <v>360-22</v>
      </c>
      <c r="D2717" t="s">
        <v>2701</v>
      </c>
      <c r="E2717" t="b">
        <f>IF(COUNTIF(D2717,"*"&amp;'Keyword Search'!$C$5&amp;"*"),TRUE,FALSE)</f>
        <v>1</v>
      </c>
      <c r="G2717" t="str">
        <f t="shared" si="176"/>
        <v>360-22: Installation Supplies: Adhesive Edge Strip, Seam Tape, Tack Strips, etc.</v>
      </c>
    </row>
    <row r="2718" spans="1:7" x14ac:dyDescent="0.25">
      <c r="A2718" s="1" t="str">
        <f t="shared" si="178"/>
        <v>360</v>
      </c>
      <c r="B2718" s="1" t="str">
        <f>TEXT(25,"00")</f>
        <v>25</v>
      </c>
      <c r="C2718" s="1" t="str">
        <f t="shared" si="175"/>
        <v>360-25</v>
      </c>
      <c r="D2718" t="s">
        <v>2702</v>
      </c>
      <c r="E2718" t="b">
        <f>IF(COUNTIF(D2718,"*"&amp;'Keyword Search'!$C$5&amp;"*"),TRUE,FALSE)</f>
        <v>1</v>
      </c>
      <c r="G2718" t="str">
        <f t="shared" si="176"/>
        <v>360-25: Linoleum</v>
      </c>
    </row>
    <row r="2719" spans="1:7" x14ac:dyDescent="0.25">
      <c r="A2719" s="1" t="str">
        <f t="shared" si="178"/>
        <v>360</v>
      </c>
      <c r="B2719" s="1" t="str">
        <f>TEXT(27,"00")</f>
        <v>27</v>
      </c>
      <c r="C2719" s="1" t="str">
        <f t="shared" si="175"/>
        <v>360-27</v>
      </c>
      <c r="D2719" t="s">
        <v>2703</v>
      </c>
      <c r="E2719" t="b">
        <f>IF(COUNTIF(D2719,"*"&amp;'Keyword Search'!$C$5&amp;"*"),TRUE,FALSE)</f>
        <v>1</v>
      </c>
      <c r="G2719" t="str">
        <f t="shared" si="176"/>
        <v>360-27: Mats, All Kinds (Not Otherwise Classified)</v>
      </c>
    </row>
    <row r="2720" spans="1:7" x14ac:dyDescent="0.25">
      <c r="A2720" s="1" t="str">
        <f t="shared" si="178"/>
        <v>360</v>
      </c>
      <c r="B2720" s="1" t="str">
        <f>TEXT(28,"00")</f>
        <v>28</v>
      </c>
      <c r="C2720" s="1" t="str">
        <f t="shared" si="175"/>
        <v>360-28</v>
      </c>
      <c r="D2720" t="s">
        <v>2704</v>
      </c>
      <c r="E2720" t="b">
        <f>IF(COUNTIF(D2720,"*"&amp;'Keyword Search'!$C$5&amp;"*"),TRUE,FALSE)</f>
        <v>1</v>
      </c>
      <c r="G2720" t="str">
        <f t="shared" si="176"/>
        <v>360-28: Non-slip Floor Coverings: Mats, Rolls, Strips, etc.</v>
      </c>
    </row>
    <row r="2721" spans="1:7" x14ac:dyDescent="0.25">
      <c r="A2721" s="1" t="str">
        <f t="shared" si="178"/>
        <v>360</v>
      </c>
      <c r="B2721" s="1" t="str">
        <f>TEXT(30,"00")</f>
        <v>30</v>
      </c>
      <c r="C2721" s="1" t="str">
        <f t="shared" si="175"/>
        <v>360-30</v>
      </c>
      <c r="D2721" t="s">
        <v>2705</v>
      </c>
      <c r="E2721" t="b">
        <f>IF(COUNTIF(D2721,"*"&amp;'Keyword Search'!$C$5&amp;"*"),TRUE,FALSE)</f>
        <v>1</v>
      </c>
      <c r="G2721" t="str">
        <f t="shared" si="176"/>
        <v>360-30: Padding and Cushioning, Carpet</v>
      </c>
    </row>
    <row r="2722" spans="1:7" x14ac:dyDescent="0.25">
      <c r="A2722" s="1" t="str">
        <f t="shared" si="178"/>
        <v>360</v>
      </c>
      <c r="B2722" s="1" t="str">
        <f>TEXT(37,"00")</f>
        <v>37</v>
      </c>
      <c r="C2722" s="1" t="str">
        <f t="shared" si="175"/>
        <v>360-37</v>
      </c>
      <c r="D2722" t="s">
        <v>2706</v>
      </c>
      <c r="E2722" t="b">
        <f>IF(COUNTIF(D2722,"*"&amp;'Keyword Search'!$C$5&amp;"*"),TRUE,FALSE)</f>
        <v>1</v>
      </c>
      <c r="G2722" t="str">
        <f t="shared" si="176"/>
        <v>360-37: Recycled Floor Covering Products</v>
      </c>
    </row>
    <row r="2723" spans="1:7" x14ac:dyDescent="0.25">
      <c r="A2723" s="1" t="str">
        <f t="shared" si="178"/>
        <v>360</v>
      </c>
      <c r="B2723" s="1" t="str">
        <f>TEXT(40,"00")</f>
        <v>40</v>
      </c>
      <c r="C2723" s="1" t="str">
        <f t="shared" si="175"/>
        <v>360-40</v>
      </c>
      <c r="D2723" t="s">
        <v>2707</v>
      </c>
      <c r="E2723" t="b">
        <f>IF(COUNTIF(D2723,"*"&amp;'Keyword Search'!$C$5&amp;"*"),TRUE,FALSE)</f>
        <v>1</v>
      </c>
      <c r="G2723" t="str">
        <f t="shared" si="176"/>
        <v>360-40: Rugs, Cut and Bound Sizes: Cotton, Synthetic, Wool, etc.</v>
      </c>
    </row>
    <row r="2724" spans="1:7" x14ac:dyDescent="0.25">
      <c r="A2724" s="1" t="str">
        <f t="shared" si="178"/>
        <v>360</v>
      </c>
      <c r="B2724" s="1" t="str">
        <f>TEXT(50,"00")</f>
        <v>50</v>
      </c>
      <c r="C2724" s="1" t="str">
        <f t="shared" si="175"/>
        <v>360-50</v>
      </c>
      <c r="D2724" t="s">
        <v>2708</v>
      </c>
      <c r="E2724" t="b">
        <f>IF(COUNTIF(D2724,"*"&amp;'Keyword Search'!$C$5&amp;"*"),TRUE,FALSE)</f>
        <v>1</v>
      </c>
      <c r="G2724" t="str">
        <f t="shared" si="176"/>
        <v>360-50: Runners, Carpet and Fabric</v>
      </c>
    </row>
    <row r="2725" spans="1:7" x14ac:dyDescent="0.25">
      <c r="A2725" s="1" t="str">
        <f t="shared" si="178"/>
        <v>360</v>
      </c>
      <c r="B2725" s="1" t="str">
        <f>TEXT(52,"00")</f>
        <v>52</v>
      </c>
      <c r="C2725" s="1" t="str">
        <f t="shared" si="175"/>
        <v>360-52</v>
      </c>
      <c r="D2725" t="s">
        <v>2709</v>
      </c>
      <c r="E2725" t="b">
        <f>IF(COUNTIF(D2725,"*"&amp;'Keyword Search'!$C$5&amp;"*"),TRUE,FALSE)</f>
        <v>1</v>
      </c>
      <c r="G2725" t="str">
        <f t="shared" si="176"/>
        <v>360-52: Runners, Rubber and Synthetic</v>
      </c>
    </row>
    <row r="2726" spans="1:7" x14ac:dyDescent="0.25">
      <c r="A2726" s="1" t="str">
        <f t="shared" si="178"/>
        <v>360</v>
      </c>
      <c r="B2726" s="1" t="str">
        <f>TEXT(55,"00")</f>
        <v>55</v>
      </c>
      <c r="C2726" s="1" t="str">
        <f t="shared" si="175"/>
        <v>360-55</v>
      </c>
      <c r="D2726" t="s">
        <v>2710</v>
      </c>
      <c r="E2726" t="b">
        <f>IF(COUNTIF(D2726,"*"&amp;'Keyword Search'!$C$5&amp;"*"),TRUE,FALSE)</f>
        <v>1</v>
      </c>
      <c r="G2726" t="str">
        <f t="shared" si="176"/>
        <v>360-55: Sheet Rubber, Floor</v>
      </c>
    </row>
    <row r="2727" spans="1:7" x14ac:dyDescent="0.25">
      <c r="A2727" s="1" t="str">
        <f t="shared" si="178"/>
        <v>360</v>
      </c>
      <c r="B2727" s="1" t="str">
        <f>TEXT(56,"00")</f>
        <v>56</v>
      </c>
      <c r="C2727" s="1" t="str">
        <f t="shared" si="175"/>
        <v>360-56</v>
      </c>
      <c r="D2727" t="s">
        <v>2711</v>
      </c>
      <c r="E2727" t="b">
        <f>IF(COUNTIF(D2727,"*"&amp;'Keyword Search'!$C$5&amp;"*"),TRUE,FALSE)</f>
        <v>1</v>
      </c>
      <c r="G2727" t="str">
        <f t="shared" si="176"/>
        <v>360-56: Sheet Vinyl, Cushioned</v>
      </c>
    </row>
    <row r="2728" spans="1:7" x14ac:dyDescent="0.25">
      <c r="A2728" s="1" t="str">
        <f t="shared" si="178"/>
        <v>360</v>
      </c>
      <c r="B2728" s="1" t="str">
        <f>TEXT(58,"00")</f>
        <v>58</v>
      </c>
      <c r="C2728" s="1" t="str">
        <f t="shared" si="175"/>
        <v>360-58</v>
      </c>
      <c r="D2728" t="s">
        <v>2712</v>
      </c>
      <c r="E2728" t="b">
        <f>IF(COUNTIF(D2728,"*"&amp;'Keyword Search'!$C$5&amp;"*"),TRUE,FALSE)</f>
        <v>1</v>
      </c>
      <c r="G2728" t="str">
        <f t="shared" si="176"/>
        <v>360-58: Sheet Vinyl, Non-Cushioned</v>
      </c>
    </row>
    <row r="2729" spans="1:7" x14ac:dyDescent="0.25">
      <c r="A2729" s="1" t="str">
        <f t="shared" si="178"/>
        <v>360</v>
      </c>
      <c r="B2729" s="1" t="str">
        <f>TEXT(60,"00")</f>
        <v>60</v>
      </c>
      <c r="C2729" s="1" t="str">
        <f t="shared" si="175"/>
        <v>360-60</v>
      </c>
      <c r="D2729" t="s">
        <v>2713</v>
      </c>
      <c r="E2729" t="b">
        <f>IF(COUNTIF(D2729,"*"&amp;'Keyword Search'!$C$5&amp;"*"),TRUE,FALSE)</f>
        <v>1</v>
      </c>
      <c r="G2729" t="str">
        <f t="shared" si="176"/>
        <v>360-60: Special Flooring, Industrial: Resinous, Elastomeric Liquid, etc.</v>
      </c>
    </row>
    <row r="2730" spans="1:7" x14ac:dyDescent="0.25">
      <c r="A2730" s="1" t="str">
        <f t="shared" si="178"/>
        <v>360</v>
      </c>
      <c r="B2730" s="1" t="str">
        <f>TEXT(65,"00")</f>
        <v>65</v>
      </c>
      <c r="C2730" s="1" t="str">
        <f t="shared" si="175"/>
        <v>360-65</v>
      </c>
      <c r="D2730" t="s">
        <v>2714</v>
      </c>
      <c r="E2730" t="b">
        <f>IF(COUNTIF(D2730,"*"&amp;'Keyword Search'!$C$5&amp;"*"),TRUE,FALSE)</f>
        <v>1</v>
      </c>
      <c r="G2730" t="str">
        <f t="shared" si="176"/>
        <v>360-65: Stair Treads, Metal, Rubber and Vinyl</v>
      </c>
    </row>
    <row r="2731" spans="1:7" x14ac:dyDescent="0.25">
      <c r="A2731" s="1" t="str">
        <f t="shared" si="178"/>
        <v>360</v>
      </c>
      <c r="B2731" s="1" t="str">
        <f>TEXT(67,"00")</f>
        <v>67</v>
      </c>
      <c r="C2731" s="1" t="str">
        <f t="shared" si="175"/>
        <v>360-67</v>
      </c>
      <c r="D2731" t="s">
        <v>2715</v>
      </c>
      <c r="E2731" t="b">
        <f>IF(COUNTIF(D2731,"*"&amp;'Keyword Search'!$C$5&amp;"*"),TRUE,FALSE)</f>
        <v>1</v>
      </c>
      <c r="G2731" t="str">
        <f t="shared" si="176"/>
        <v>360-67: Stair Treads, Rubber  (Inactive, please see commodity code 360-65 effective January 1, 2016)</v>
      </c>
    </row>
    <row r="2732" spans="1:7" x14ac:dyDescent="0.25">
      <c r="A2732" s="1" t="str">
        <f t="shared" si="178"/>
        <v>360</v>
      </c>
      <c r="B2732" s="1" t="str">
        <f>TEXT(68,"00")</f>
        <v>68</v>
      </c>
      <c r="C2732" s="1" t="str">
        <f t="shared" si="175"/>
        <v>360-68</v>
      </c>
      <c r="D2732" t="s">
        <v>2716</v>
      </c>
      <c r="E2732" t="b">
        <f>IF(COUNTIF(D2732,"*"&amp;'Keyword Search'!$C$5&amp;"*"),TRUE,FALSE)</f>
        <v>1</v>
      </c>
      <c r="G2732" t="str">
        <f t="shared" si="176"/>
        <v>360-68: Stair Treads, Vinyl (Inactive, please see commodity code 360-65 effective January 1, 2016)</v>
      </c>
    </row>
    <row r="2733" spans="1:7" x14ac:dyDescent="0.25">
      <c r="A2733" s="1" t="str">
        <f t="shared" si="178"/>
        <v>360</v>
      </c>
      <c r="B2733" s="1" t="str">
        <f>TEXT(69,"00")</f>
        <v>69</v>
      </c>
      <c r="C2733" s="1" t="str">
        <f t="shared" si="175"/>
        <v>360-69</v>
      </c>
      <c r="D2733" t="s">
        <v>2717</v>
      </c>
      <c r="E2733" t="b">
        <f>IF(COUNTIF(D2733,"*"&amp;'Keyword Search'!$C$5&amp;"*"),TRUE,FALSE)</f>
        <v>1</v>
      </c>
      <c r="G2733" t="str">
        <f t="shared" si="176"/>
        <v>360-69: Steel Flooring</v>
      </c>
    </row>
    <row r="2734" spans="1:7" x14ac:dyDescent="0.25">
      <c r="A2734" s="1" t="str">
        <f t="shared" si="178"/>
        <v>360</v>
      </c>
      <c r="B2734" s="1" t="str">
        <f>TEXT(70,"00")</f>
        <v>70</v>
      </c>
      <c r="C2734" s="1" t="str">
        <f t="shared" si="175"/>
        <v>360-70</v>
      </c>
      <c r="D2734" t="s">
        <v>2718</v>
      </c>
      <c r="E2734" t="b">
        <f>IF(COUNTIF(D2734,"*"&amp;'Keyword Search'!$C$5&amp;"*"),TRUE,FALSE)</f>
        <v>1</v>
      </c>
      <c r="G2734" t="str">
        <f t="shared" si="176"/>
        <v>360-70: Steel Mats, Flexible</v>
      </c>
    </row>
    <row r="2735" spans="1:7" x14ac:dyDescent="0.25">
      <c r="A2735" s="1" t="str">
        <f t="shared" si="178"/>
        <v>360</v>
      </c>
      <c r="B2735" s="1" t="str">
        <f>TEXT(75,"00")</f>
        <v>75</v>
      </c>
      <c r="C2735" s="1" t="str">
        <f t="shared" si="175"/>
        <v>360-75</v>
      </c>
      <c r="D2735" t="s">
        <v>2719</v>
      </c>
      <c r="E2735" t="b">
        <f>IF(COUNTIF(D2735,"*"&amp;'Keyword Search'!$C$5&amp;"*"),TRUE,FALSE)</f>
        <v>1</v>
      </c>
      <c r="G2735" t="str">
        <f t="shared" si="176"/>
        <v>360-75: Tile, Asphalt</v>
      </c>
    </row>
    <row r="2736" spans="1:7" x14ac:dyDescent="0.25">
      <c r="A2736" s="1" t="str">
        <f t="shared" si="178"/>
        <v>360</v>
      </c>
      <c r="B2736" s="1" t="str">
        <f>TEXT(76,"00")</f>
        <v>76</v>
      </c>
      <c r="C2736" s="1" t="str">
        <f t="shared" si="175"/>
        <v>360-76</v>
      </c>
      <c r="D2736" t="s">
        <v>2720</v>
      </c>
      <c r="E2736" t="b">
        <f>IF(COUNTIF(D2736,"*"&amp;'Keyword Search'!$C$5&amp;"*"),TRUE,FALSE)</f>
        <v>1</v>
      </c>
      <c r="G2736" t="str">
        <f t="shared" si="176"/>
        <v>360-76: Tile, Carpet</v>
      </c>
    </row>
    <row r="2737" spans="1:7" x14ac:dyDescent="0.25">
      <c r="A2737" s="1" t="str">
        <f t="shared" si="178"/>
        <v>360</v>
      </c>
      <c r="B2737" s="1" t="str">
        <f>TEXT(77,"00")</f>
        <v>77</v>
      </c>
      <c r="C2737" s="1" t="str">
        <f t="shared" si="175"/>
        <v>360-77</v>
      </c>
      <c r="D2737" t="s">
        <v>2721</v>
      </c>
      <c r="E2737" t="b">
        <f>IF(COUNTIF(D2737,"*"&amp;'Keyword Search'!$C$5&amp;"*"),TRUE,FALSE)</f>
        <v>1</v>
      </c>
      <c r="G2737" t="str">
        <f t="shared" si="176"/>
        <v>360-77: Tile, Composition Asbestos-Vinyl</v>
      </c>
    </row>
    <row r="2738" spans="1:7" x14ac:dyDescent="0.25">
      <c r="A2738" s="1" t="str">
        <f t="shared" si="178"/>
        <v>360</v>
      </c>
      <c r="B2738" s="1" t="str">
        <f>TEXT(78,"00")</f>
        <v>78</v>
      </c>
      <c r="C2738" s="1" t="str">
        <f t="shared" si="175"/>
        <v>360-78</v>
      </c>
      <c r="D2738" t="s">
        <v>2722</v>
      </c>
      <c r="E2738" t="b">
        <f>IF(COUNTIF(D2738,"*"&amp;'Keyword Search'!$C$5&amp;"*"),TRUE,FALSE)</f>
        <v>1</v>
      </c>
      <c r="G2738" t="str">
        <f t="shared" si="176"/>
        <v>360-78: Tile, Coping Double Slant</v>
      </c>
    </row>
    <row r="2739" spans="1:7" x14ac:dyDescent="0.25">
      <c r="A2739" s="1" t="str">
        <f t="shared" si="178"/>
        <v>360</v>
      </c>
      <c r="B2739" s="1" t="str">
        <f>TEXT(79,"00")</f>
        <v>79</v>
      </c>
      <c r="C2739" s="1" t="str">
        <f t="shared" si="175"/>
        <v>360-79</v>
      </c>
      <c r="D2739" t="s">
        <v>2723</v>
      </c>
      <c r="E2739" t="b">
        <f>IF(COUNTIF(D2739,"*"&amp;'Keyword Search'!$C$5&amp;"*"),TRUE,FALSE)</f>
        <v>1</v>
      </c>
      <c r="G2739" t="str">
        <f t="shared" si="176"/>
        <v>360-79: Tile, Cork</v>
      </c>
    </row>
    <row r="2740" spans="1:7" x14ac:dyDescent="0.25">
      <c r="A2740" s="1" t="str">
        <f t="shared" si="178"/>
        <v>360</v>
      </c>
      <c r="B2740" s="1" t="str">
        <f>TEXT(81,"00")</f>
        <v>81</v>
      </c>
      <c r="C2740" s="1" t="str">
        <f t="shared" si="175"/>
        <v>360-81</v>
      </c>
      <c r="D2740" t="s">
        <v>2724</v>
      </c>
      <c r="E2740" t="b">
        <f>IF(COUNTIF(D2740,"*"&amp;'Keyword Search'!$C$5&amp;"*"),TRUE,FALSE)</f>
        <v>1</v>
      </c>
      <c r="G2740" t="str">
        <f t="shared" si="176"/>
        <v>360-81: Tile, Parquet</v>
      </c>
    </row>
    <row r="2741" spans="1:7" x14ac:dyDescent="0.25">
      <c r="A2741" s="1" t="str">
        <f t="shared" si="178"/>
        <v>360</v>
      </c>
      <c r="B2741" s="1" t="str">
        <f>TEXT(83,"00")</f>
        <v>83</v>
      </c>
      <c r="C2741" s="1" t="str">
        <f t="shared" si="175"/>
        <v>360-83</v>
      </c>
      <c r="D2741" t="s">
        <v>2725</v>
      </c>
      <c r="E2741" t="b">
        <f>IF(COUNTIF(D2741,"*"&amp;'Keyword Search'!$C$5&amp;"*"),TRUE,FALSE)</f>
        <v>1</v>
      </c>
      <c r="G2741" t="str">
        <f t="shared" si="176"/>
        <v>360-83: Tile, Rubber</v>
      </c>
    </row>
    <row r="2742" spans="1:7" x14ac:dyDescent="0.25">
      <c r="A2742" s="1" t="str">
        <f t="shared" si="178"/>
        <v>360</v>
      </c>
      <c r="B2742" s="1" t="str">
        <f>TEXT(84,"00")</f>
        <v>84</v>
      </c>
      <c r="C2742" s="1" t="str">
        <f t="shared" si="175"/>
        <v>360-84</v>
      </c>
      <c r="D2742" t="s">
        <v>2726</v>
      </c>
      <c r="E2742" t="b">
        <f>IF(COUNTIF(D2742,"*"&amp;'Keyword Search'!$C$5&amp;"*"),TRUE,FALSE)</f>
        <v>1</v>
      </c>
      <c r="G2742" t="str">
        <f t="shared" si="176"/>
        <v>360-84: Tile, Stone</v>
      </c>
    </row>
    <row r="2743" spans="1:7" x14ac:dyDescent="0.25">
      <c r="A2743" s="1" t="str">
        <f t="shared" si="178"/>
        <v>360</v>
      </c>
      <c r="B2743" s="1" t="str">
        <f>TEXT(85,"00")</f>
        <v>85</v>
      </c>
      <c r="C2743" s="1" t="str">
        <f t="shared" si="175"/>
        <v>360-85</v>
      </c>
      <c r="D2743" t="s">
        <v>2727</v>
      </c>
      <c r="E2743" t="b">
        <f>IF(COUNTIF(D2743,"*"&amp;'Keyword Search'!$C$5&amp;"*"),TRUE,FALSE)</f>
        <v>1</v>
      </c>
      <c r="G2743" t="str">
        <f t="shared" si="176"/>
        <v>360-85: Tile, Vinyl</v>
      </c>
    </row>
    <row r="2744" spans="1:7" x14ac:dyDescent="0.25">
      <c r="A2744" s="1" t="str">
        <f t="shared" si="178"/>
        <v>360</v>
      </c>
      <c r="B2744" s="1" t="str">
        <f>TEXT(89,"00")</f>
        <v>89</v>
      </c>
      <c r="C2744" s="1" t="str">
        <f t="shared" si="175"/>
        <v>360-89</v>
      </c>
      <c r="D2744" t="s">
        <v>2728</v>
      </c>
      <c r="E2744" t="b">
        <f>IF(COUNTIF(D2744,"*"&amp;'Keyword Search'!$C$5&amp;"*"),TRUE,FALSE)</f>
        <v>1</v>
      </c>
      <c r="G2744" t="str">
        <f t="shared" si="176"/>
        <v>360-89: Tools and Equipment, Floor Installation</v>
      </c>
    </row>
    <row r="2745" spans="1:7" x14ac:dyDescent="0.25">
      <c r="A2745" s="1" t="str">
        <f t="shared" si="178"/>
        <v>360</v>
      </c>
      <c r="B2745" s="1" t="str">
        <f>TEXT(90,"00")</f>
        <v>90</v>
      </c>
      <c r="C2745" s="1" t="str">
        <f t="shared" si="175"/>
        <v>360-90</v>
      </c>
      <c r="D2745" t="s">
        <v>2729</v>
      </c>
      <c r="E2745" t="b">
        <f>IF(COUNTIF(D2745,"*"&amp;'Keyword Search'!$C$5&amp;"*"),TRUE,FALSE)</f>
        <v>1</v>
      </c>
      <c r="G2745" t="str">
        <f t="shared" si="176"/>
        <v>360-90: Turf, Artificial, Indoor and Outdoor</v>
      </c>
    </row>
    <row r="2746" spans="1:7" x14ac:dyDescent="0.25">
      <c r="A2746" s="5" t="str">
        <f t="shared" ref="A2746:A2756" si="179">TEXT(365,"000")</f>
        <v>365</v>
      </c>
      <c r="B2746" s="5" t="str">
        <f>TEXT(0,"00")</f>
        <v>00</v>
      </c>
      <c r="C2746" s="1"/>
      <c r="D2746" s="2" t="s">
        <v>2730</v>
      </c>
    </row>
    <row r="2747" spans="1:7" x14ac:dyDescent="0.25">
      <c r="A2747" s="1" t="str">
        <f t="shared" si="179"/>
        <v>365</v>
      </c>
      <c r="B2747" s="1" t="str">
        <f>TEXT(10,"00")</f>
        <v>10</v>
      </c>
      <c r="C2747" s="1" t="str">
        <f t="shared" si="175"/>
        <v>365-10</v>
      </c>
      <c r="D2747" t="s">
        <v>2731</v>
      </c>
      <c r="E2747" t="b">
        <f>IF(COUNTIF(D2747,"*"&amp;'Keyword Search'!$C$5&amp;"*"),TRUE,FALSE)</f>
        <v>1</v>
      </c>
      <c r="G2747" t="str">
        <f t="shared" si="176"/>
        <v>365-10: Brushes and Pads, Floor Machine Type</v>
      </c>
    </row>
    <row r="2748" spans="1:7" x14ac:dyDescent="0.25">
      <c r="A2748" s="1" t="str">
        <f t="shared" si="179"/>
        <v>365</v>
      </c>
      <c r="B2748" s="1" t="str">
        <f>TEXT(15,"00")</f>
        <v>15</v>
      </c>
      <c r="C2748" s="1" t="str">
        <f t="shared" si="175"/>
        <v>365-15</v>
      </c>
      <c r="D2748" t="s">
        <v>2732</v>
      </c>
      <c r="E2748" t="b">
        <f>IF(COUNTIF(D2748,"*"&amp;'Keyword Search'!$C$5&amp;"*"),TRUE,FALSE)</f>
        <v>1</v>
      </c>
      <c r="G2748" t="str">
        <f t="shared" si="176"/>
        <v>365-15: Carpet Cleaning Machines, Foam, Hot Water, Steam, etc., Including Parts and Accessories</v>
      </c>
    </row>
    <row r="2749" spans="1:7" x14ac:dyDescent="0.25">
      <c r="A2749" s="1" t="str">
        <f t="shared" si="179"/>
        <v>365</v>
      </c>
      <c r="B2749" s="1" t="str">
        <f>TEXT(20,"00")</f>
        <v>20</v>
      </c>
      <c r="C2749" s="1" t="str">
        <f t="shared" si="175"/>
        <v>365-20</v>
      </c>
      <c r="D2749" t="s">
        <v>2733</v>
      </c>
      <c r="E2749" t="b">
        <f>IF(COUNTIF(D2749,"*"&amp;'Keyword Search'!$C$5&amp;"*"),TRUE,FALSE)</f>
        <v>1</v>
      </c>
      <c r="G2749" t="str">
        <f t="shared" si="176"/>
        <v>365-20: Edgers and Sanders, Floor Type, Including Parts and Accessories</v>
      </c>
    </row>
    <row r="2750" spans="1:7" x14ac:dyDescent="0.25">
      <c r="A2750" s="1" t="str">
        <f t="shared" si="179"/>
        <v>365</v>
      </c>
      <c r="B2750" s="1" t="str">
        <f>TEXT(25,"00")</f>
        <v>25</v>
      </c>
      <c r="C2750" s="1" t="str">
        <f t="shared" si="175"/>
        <v>365-25</v>
      </c>
      <c r="D2750" t="s">
        <v>2734</v>
      </c>
      <c r="E2750" t="b">
        <f>IF(COUNTIF(D2750,"*"&amp;'Keyword Search'!$C$5&amp;"*"),TRUE,FALSE)</f>
        <v>1</v>
      </c>
      <c r="G2750" t="str">
        <f t="shared" si="176"/>
        <v>365-25: Floor Covering Stripping Machines, For Removing Glued Down Floor Covering, Including Parts and Accessories</v>
      </c>
    </row>
    <row r="2751" spans="1:7" x14ac:dyDescent="0.25">
      <c r="A2751" s="1" t="str">
        <f t="shared" si="179"/>
        <v>365</v>
      </c>
      <c r="B2751" s="1" t="str">
        <f>TEXT(30,"00")</f>
        <v>30</v>
      </c>
      <c r="C2751" s="1" t="str">
        <f t="shared" si="175"/>
        <v>365-30</v>
      </c>
      <c r="D2751" t="s">
        <v>2735</v>
      </c>
      <c r="E2751" t="b">
        <f>IF(COUNTIF(D2751,"*"&amp;'Keyword Search'!$C$5&amp;"*"),TRUE,FALSE)</f>
        <v>1</v>
      </c>
      <c r="G2751" t="str">
        <f t="shared" si="176"/>
        <v>365-30: Polishing and Scrubbing Machines, Commercial Type, Including Parts and Accessories</v>
      </c>
    </row>
    <row r="2752" spans="1:7" x14ac:dyDescent="0.25">
      <c r="A2752" s="1" t="str">
        <f t="shared" si="179"/>
        <v>365</v>
      </c>
      <c r="B2752" s="1" t="str">
        <f>TEXT(50,"00")</f>
        <v>50</v>
      </c>
      <c r="C2752" s="1" t="str">
        <f t="shared" si="175"/>
        <v>365-50</v>
      </c>
      <c r="D2752" t="s">
        <v>2736</v>
      </c>
      <c r="E2752" t="b">
        <f>IF(COUNTIF(D2752,"*"&amp;'Keyword Search'!$C$5&amp;"*"),TRUE,FALSE)</f>
        <v>1</v>
      </c>
      <c r="G2752" t="str">
        <f t="shared" si="176"/>
        <v>365-50: Power Sweepers and Brooms, Warehouse Type, Not Road and Street, Including Parts and Accessories</v>
      </c>
    </row>
    <row r="2753" spans="1:7" x14ac:dyDescent="0.25">
      <c r="A2753" s="1" t="str">
        <f t="shared" si="179"/>
        <v>365</v>
      </c>
      <c r="B2753" s="1" t="str">
        <f>TEXT(56,"00")</f>
        <v>56</v>
      </c>
      <c r="C2753" s="1" t="str">
        <f t="shared" si="175"/>
        <v>365-56</v>
      </c>
      <c r="D2753" t="s">
        <v>2737</v>
      </c>
      <c r="E2753" t="b">
        <f>IF(COUNTIF(D2753,"*"&amp;'Keyword Search'!$C$5&amp;"*"),TRUE,FALSE)</f>
        <v>1</v>
      </c>
      <c r="G2753" t="str">
        <f t="shared" si="176"/>
        <v>365-56: Recycled Floor Maintenance Machines, Accessories and Supplies</v>
      </c>
    </row>
    <row r="2754" spans="1:7" x14ac:dyDescent="0.25">
      <c r="A2754" s="1" t="str">
        <f t="shared" si="179"/>
        <v>365</v>
      </c>
      <c r="B2754" s="1" t="str">
        <f>TEXT(60,"00")</f>
        <v>60</v>
      </c>
      <c r="C2754" s="1" t="str">
        <f t="shared" si="175"/>
        <v>365-60</v>
      </c>
      <c r="D2754" t="s">
        <v>2738</v>
      </c>
      <c r="E2754" t="b">
        <f>IF(COUNTIF(D2754,"*"&amp;'Keyword Search'!$C$5&amp;"*"),TRUE,FALSE)</f>
        <v>1</v>
      </c>
      <c r="G2754" t="str">
        <f t="shared" si="176"/>
        <v>365-60: Scrubbing Machines, With Vacuum Pickup, Including Parts and Accessories</v>
      </c>
    </row>
    <row r="2755" spans="1:7" x14ac:dyDescent="0.25">
      <c r="A2755" s="1" t="str">
        <f t="shared" si="179"/>
        <v>365</v>
      </c>
      <c r="B2755" s="1" t="str">
        <f>TEXT(70,"00")</f>
        <v>70</v>
      </c>
      <c r="C2755" s="1" t="str">
        <f t="shared" ref="C2755:C2818" si="180">CONCATENATE(A2755,"-",B2755)</f>
        <v>365-70</v>
      </c>
      <c r="D2755" t="s">
        <v>2739</v>
      </c>
      <c r="E2755" t="b">
        <f>IF(COUNTIF(D2755,"*"&amp;'Keyword Search'!$C$5&amp;"*"),TRUE,FALSE)</f>
        <v>1</v>
      </c>
      <c r="G2755" t="str">
        <f t="shared" si="176"/>
        <v>365-70: Shampoo and Spray Buffing Machines, Including Parts and Accessories</v>
      </c>
    </row>
    <row r="2756" spans="1:7" x14ac:dyDescent="0.25">
      <c r="A2756" s="1" t="str">
        <f t="shared" si="179"/>
        <v>365</v>
      </c>
      <c r="B2756" s="1" t="str">
        <f>TEXT(80,"00")</f>
        <v>80</v>
      </c>
      <c r="C2756" s="1" t="str">
        <f t="shared" si="180"/>
        <v>365-80</v>
      </c>
      <c r="D2756" t="s">
        <v>2740</v>
      </c>
      <c r="E2756" t="b">
        <f>IF(COUNTIF(D2756,"*"&amp;'Keyword Search'!$C$5&amp;"*"),TRUE,FALSE)</f>
        <v>1</v>
      </c>
      <c r="G2756" t="str">
        <f t="shared" ref="G2756:G2819" si="181">CONCATENATE(C2756,": ",D2756)</f>
        <v>365-80: Vacuum Cleaners, Commercial, Wet or Dry, Including Parts and Accessories</v>
      </c>
    </row>
    <row r="2757" spans="1:7" x14ac:dyDescent="0.25">
      <c r="A2757" s="5" t="str">
        <f t="shared" ref="A2757:A2800" si="182">TEXT(370,"000")</f>
        <v>370</v>
      </c>
      <c r="B2757" s="5" t="str">
        <f>TEXT(0,"00")</f>
        <v>00</v>
      </c>
      <c r="C2757" s="1"/>
      <c r="D2757" s="2" t="s">
        <v>2741</v>
      </c>
    </row>
    <row r="2758" spans="1:7" x14ac:dyDescent="0.25">
      <c r="A2758" s="1" t="str">
        <f t="shared" si="182"/>
        <v>370</v>
      </c>
      <c r="B2758" s="1" t="str">
        <f>TEXT(3,"00")</f>
        <v>03</v>
      </c>
      <c r="C2758" s="1" t="str">
        <f t="shared" si="180"/>
        <v>370-03</v>
      </c>
      <c r="D2758" t="s">
        <v>2742</v>
      </c>
      <c r="E2758" t="b">
        <f>IF(COUNTIF(D2758,"*"&amp;'Keyword Search'!$C$5&amp;"*"),TRUE,FALSE)</f>
        <v>1</v>
      </c>
      <c r="G2758" t="str">
        <f t="shared" si="181"/>
        <v>370-03: Blanchers, Fruit and Vegetable</v>
      </c>
    </row>
    <row r="2759" spans="1:7" x14ac:dyDescent="0.25">
      <c r="A2759" s="1" t="str">
        <f t="shared" si="182"/>
        <v>370</v>
      </c>
      <c r="B2759" s="1" t="str">
        <f>TEXT(4,"00")</f>
        <v>04</v>
      </c>
      <c r="C2759" s="1" t="str">
        <f t="shared" si="180"/>
        <v>370-04</v>
      </c>
      <c r="D2759" t="s">
        <v>2743</v>
      </c>
      <c r="E2759" t="b">
        <f>IF(COUNTIF(D2759,"*"&amp;'Keyword Search'!$C$5&amp;"*"),TRUE,FALSE)</f>
        <v>1</v>
      </c>
      <c r="G2759" t="str">
        <f t="shared" si="181"/>
        <v>370-04: Bottles: Wine, Juice, etc.</v>
      </c>
    </row>
    <row r="2760" spans="1:7" x14ac:dyDescent="0.25">
      <c r="A2760" s="1" t="str">
        <f t="shared" si="182"/>
        <v>370</v>
      </c>
      <c r="B2760" s="1" t="str">
        <f>TEXT(5,"00")</f>
        <v>05</v>
      </c>
      <c r="C2760" s="1" t="str">
        <f t="shared" si="180"/>
        <v>370-05</v>
      </c>
      <c r="D2760" t="s">
        <v>2744</v>
      </c>
      <c r="E2760" t="b">
        <f>IF(COUNTIF(D2760,"*"&amp;'Keyword Search'!$C$5&amp;"*"),TRUE,FALSE)</f>
        <v>1</v>
      </c>
      <c r="G2760" t="str">
        <f t="shared" si="181"/>
        <v>370-05: Reusable Water Bottle (Screw On Top, Flip Top Spout)</v>
      </c>
    </row>
    <row r="2761" spans="1:7" x14ac:dyDescent="0.25">
      <c r="A2761" s="1" t="str">
        <f t="shared" si="182"/>
        <v>370</v>
      </c>
      <c r="B2761" s="1" t="str">
        <f>TEXT(6,"00")</f>
        <v>06</v>
      </c>
      <c r="C2761" s="1" t="str">
        <f t="shared" si="180"/>
        <v>370-06</v>
      </c>
      <c r="D2761" t="s">
        <v>2745</v>
      </c>
      <c r="E2761" t="b">
        <f>IF(COUNTIF(D2761,"*"&amp;'Keyword Search'!$C$5&amp;"*"),TRUE,FALSE)</f>
        <v>1</v>
      </c>
      <c r="G2761" t="str">
        <f t="shared" si="181"/>
        <v>370-06: Closing and Labeling Machines</v>
      </c>
    </row>
    <row r="2762" spans="1:7" x14ac:dyDescent="0.25">
      <c r="A2762" s="1" t="str">
        <f t="shared" si="182"/>
        <v>370</v>
      </c>
      <c r="B2762" s="1" t="str">
        <f>TEXT(9,"00")</f>
        <v>09</v>
      </c>
      <c r="C2762" s="1" t="str">
        <f t="shared" si="180"/>
        <v>370-09</v>
      </c>
      <c r="D2762" t="s">
        <v>2746</v>
      </c>
      <c r="E2762" t="b">
        <f>IF(COUNTIF(D2762,"*"&amp;'Keyword Search'!$C$5&amp;"*"),TRUE,FALSE)</f>
        <v>1</v>
      </c>
      <c r="G2762" t="str">
        <f t="shared" si="181"/>
        <v>370-09: Cooker, Canning</v>
      </c>
    </row>
    <row r="2763" spans="1:7" x14ac:dyDescent="0.25">
      <c r="A2763" s="1" t="str">
        <f t="shared" si="182"/>
        <v>370</v>
      </c>
      <c r="B2763" s="1" t="str">
        <f>TEXT(12,"00")</f>
        <v>12</v>
      </c>
      <c r="C2763" s="1" t="str">
        <f t="shared" si="180"/>
        <v>370-12</v>
      </c>
      <c r="D2763" t="s">
        <v>2747</v>
      </c>
      <c r="E2763" t="b">
        <f>IF(COUNTIF(D2763,"*"&amp;'Keyword Search'!$C$5&amp;"*"),TRUE,FALSE)</f>
        <v>1</v>
      </c>
      <c r="G2763" t="str">
        <f t="shared" si="181"/>
        <v>370-12: Corn Machinery</v>
      </c>
    </row>
    <row r="2764" spans="1:7" x14ac:dyDescent="0.25">
      <c r="A2764" s="1" t="str">
        <f t="shared" si="182"/>
        <v>370</v>
      </c>
      <c r="B2764" s="1" t="str">
        <f>TEXT(14,"00")</f>
        <v>14</v>
      </c>
      <c r="C2764" s="1" t="str">
        <f t="shared" si="180"/>
        <v>370-14</v>
      </c>
      <c r="D2764" t="s">
        <v>2748</v>
      </c>
      <c r="E2764" t="b">
        <f>IF(COUNTIF(D2764,"*"&amp;'Keyword Search'!$C$5&amp;"*"),TRUE,FALSE)</f>
        <v>1</v>
      </c>
      <c r="G2764" t="str">
        <f t="shared" si="181"/>
        <v>370-14: Crushers, Food</v>
      </c>
    </row>
    <row r="2765" spans="1:7" x14ac:dyDescent="0.25">
      <c r="A2765" s="1" t="str">
        <f t="shared" si="182"/>
        <v>370</v>
      </c>
      <c r="B2765" s="1" t="str">
        <f>TEXT(15,"00")</f>
        <v>15</v>
      </c>
      <c r="C2765" s="1" t="str">
        <f t="shared" si="180"/>
        <v>370-15</v>
      </c>
      <c r="D2765" t="s">
        <v>2749</v>
      </c>
      <c r="E2765" t="b">
        <f>IF(COUNTIF(D2765,"*"&amp;'Keyword Search'!$C$5&amp;"*"),TRUE,FALSE)</f>
        <v>1</v>
      </c>
      <c r="G2765" t="str">
        <f t="shared" si="181"/>
        <v>370-15: Cutters and Shredders</v>
      </c>
    </row>
    <row r="2766" spans="1:7" x14ac:dyDescent="0.25">
      <c r="A2766" s="1" t="str">
        <f t="shared" si="182"/>
        <v>370</v>
      </c>
      <c r="B2766" s="1" t="str">
        <f>TEXT(16,"00")</f>
        <v>16</v>
      </c>
      <c r="C2766" s="1" t="str">
        <f t="shared" si="180"/>
        <v>370-16</v>
      </c>
      <c r="D2766" t="s">
        <v>2750</v>
      </c>
      <c r="E2766" t="b">
        <f>IF(COUNTIF(D2766,"*"&amp;'Keyword Search'!$C$5&amp;"*"),TRUE,FALSE)</f>
        <v>1</v>
      </c>
      <c r="G2766" t="str">
        <f t="shared" si="181"/>
        <v>370-16: Dehydrating Equipment, Food, Including Parts and Accessories</v>
      </c>
    </row>
    <row r="2767" spans="1:7" x14ac:dyDescent="0.25">
      <c r="A2767" s="1" t="str">
        <f t="shared" si="182"/>
        <v>370</v>
      </c>
      <c r="B2767" s="1" t="str">
        <f>TEXT(17,"00")</f>
        <v>17</v>
      </c>
      <c r="C2767" s="1" t="str">
        <f t="shared" si="180"/>
        <v>370-17</v>
      </c>
      <c r="D2767" t="s">
        <v>2751</v>
      </c>
      <c r="E2767" t="b">
        <f>IF(COUNTIF(D2767,"*"&amp;'Keyword Search'!$C$5&amp;"*"),TRUE,FALSE)</f>
        <v>1</v>
      </c>
      <c r="G2767" t="str">
        <f t="shared" si="181"/>
        <v>370-17: Drying Equipment, Freeze</v>
      </c>
    </row>
    <row r="2768" spans="1:7" x14ac:dyDescent="0.25">
      <c r="A2768" s="1" t="str">
        <f t="shared" si="182"/>
        <v>370</v>
      </c>
      <c r="B2768" s="1" t="str">
        <f>TEXT(18,"00")</f>
        <v>18</v>
      </c>
      <c r="C2768" s="1" t="str">
        <f t="shared" si="180"/>
        <v>370-18</v>
      </c>
      <c r="D2768" t="s">
        <v>2752</v>
      </c>
      <c r="E2768" t="b">
        <f>IF(COUNTIF(D2768,"*"&amp;'Keyword Search'!$C$5&amp;"*"),TRUE,FALSE)</f>
        <v>1</v>
      </c>
      <c r="G2768" t="str">
        <f t="shared" si="181"/>
        <v>370-18: Elevators, Continuous Bucket Type</v>
      </c>
    </row>
    <row r="2769" spans="1:7" x14ac:dyDescent="0.25">
      <c r="A2769" s="1" t="str">
        <f t="shared" si="182"/>
        <v>370</v>
      </c>
      <c r="B2769" s="1" t="str">
        <f>TEXT(21,"00")</f>
        <v>21</v>
      </c>
      <c r="C2769" s="1" t="str">
        <f t="shared" si="180"/>
        <v>370-21</v>
      </c>
      <c r="D2769" t="s">
        <v>2753</v>
      </c>
      <c r="E2769" t="b">
        <f>IF(COUNTIF(D2769,"*"&amp;'Keyword Search'!$C$5&amp;"*"),TRUE,FALSE)</f>
        <v>1</v>
      </c>
      <c r="G2769" t="str">
        <f t="shared" si="181"/>
        <v>370-21: Filling Machine</v>
      </c>
    </row>
    <row r="2770" spans="1:7" x14ac:dyDescent="0.25">
      <c r="A2770" s="1" t="str">
        <f t="shared" si="182"/>
        <v>370</v>
      </c>
      <c r="B2770" s="1" t="str">
        <f>TEXT(22,"00")</f>
        <v>22</v>
      </c>
      <c r="C2770" s="1" t="str">
        <f t="shared" si="180"/>
        <v>370-22</v>
      </c>
      <c r="D2770" t="s">
        <v>2754</v>
      </c>
      <c r="E2770" t="b">
        <f>IF(COUNTIF(D2770,"*"&amp;'Keyword Search'!$C$5&amp;"*"),TRUE,FALSE)</f>
        <v>1</v>
      </c>
      <c r="G2770" t="str">
        <f t="shared" si="181"/>
        <v>370-22: Food Conveyer Dryer and Cooler</v>
      </c>
    </row>
    <row r="2771" spans="1:7" x14ac:dyDescent="0.25">
      <c r="A2771" s="1" t="str">
        <f t="shared" si="182"/>
        <v>370</v>
      </c>
      <c r="B2771" s="1" t="str">
        <f>TEXT(23,"00")</f>
        <v>23</v>
      </c>
      <c r="C2771" s="1" t="str">
        <f t="shared" si="180"/>
        <v>370-23</v>
      </c>
      <c r="D2771" t="s">
        <v>2755</v>
      </c>
      <c r="E2771" t="b">
        <f>IF(COUNTIF(D2771,"*"&amp;'Keyword Search'!$C$5&amp;"*"),TRUE,FALSE)</f>
        <v>1</v>
      </c>
      <c r="G2771" t="str">
        <f t="shared" si="181"/>
        <v>370-23: Grease, USDA Approved for Food Processing</v>
      </c>
    </row>
    <row r="2772" spans="1:7" x14ac:dyDescent="0.25">
      <c r="A2772" s="1" t="str">
        <f t="shared" si="182"/>
        <v>370</v>
      </c>
      <c r="B2772" s="1" t="str">
        <f>TEXT(24,"00")</f>
        <v>24</v>
      </c>
      <c r="C2772" s="1" t="str">
        <f t="shared" si="180"/>
        <v>370-24</v>
      </c>
      <c r="D2772" t="s">
        <v>2756</v>
      </c>
      <c r="E2772" t="b">
        <f>IF(COUNTIF(D2772,"*"&amp;'Keyword Search'!$C$5&amp;"*"),TRUE,FALSE)</f>
        <v>1</v>
      </c>
      <c r="G2772" t="str">
        <f t="shared" si="181"/>
        <v>370-24: Hullers, Pea and Bean</v>
      </c>
    </row>
    <row r="2773" spans="1:7" x14ac:dyDescent="0.25">
      <c r="A2773" s="1" t="str">
        <f t="shared" si="182"/>
        <v>370</v>
      </c>
      <c r="B2773" s="1" t="str">
        <f>TEXT(25,"00")</f>
        <v>25</v>
      </c>
      <c r="C2773" s="1" t="str">
        <f t="shared" si="180"/>
        <v>370-25</v>
      </c>
      <c r="D2773" t="s">
        <v>2757</v>
      </c>
      <c r="E2773" t="b">
        <f>IF(COUNTIF(D2773,"*"&amp;'Keyword Search'!$C$5&amp;"*"),TRUE,FALSE)</f>
        <v>1</v>
      </c>
      <c r="G2773" t="str">
        <f t="shared" si="181"/>
        <v>370-25: Jars and Lids</v>
      </c>
    </row>
    <row r="2774" spans="1:7" x14ac:dyDescent="0.25">
      <c r="A2774" s="1" t="str">
        <f t="shared" si="182"/>
        <v>370</v>
      </c>
      <c r="B2774" s="1" t="str">
        <f>TEXT(26,"00")</f>
        <v>26</v>
      </c>
      <c r="C2774" s="1" t="str">
        <f t="shared" si="180"/>
        <v>370-26</v>
      </c>
      <c r="D2774" t="s">
        <v>2758</v>
      </c>
      <c r="E2774" t="b">
        <f>IF(COUNTIF(D2774,"*"&amp;'Keyword Search'!$C$5&amp;"*"),TRUE,FALSE)</f>
        <v>1</v>
      </c>
      <c r="G2774" t="str">
        <f t="shared" si="181"/>
        <v>370-26: Jars, Glass; and Lids</v>
      </c>
    </row>
    <row r="2775" spans="1:7" x14ac:dyDescent="0.25">
      <c r="A2775" s="1" t="str">
        <f t="shared" si="182"/>
        <v>370</v>
      </c>
      <c r="B2775" s="1" t="str">
        <f>TEXT(27,"00")</f>
        <v>27</v>
      </c>
      <c r="C2775" s="1" t="str">
        <f t="shared" si="180"/>
        <v>370-27</v>
      </c>
      <c r="D2775" t="s">
        <v>2759</v>
      </c>
      <c r="E2775" t="b">
        <f>IF(COUNTIF(D2775,"*"&amp;'Keyword Search'!$C$5&amp;"*"),TRUE,FALSE)</f>
        <v>1</v>
      </c>
      <c r="G2775" t="str">
        <f t="shared" si="181"/>
        <v>370-27: Juice Extractor</v>
      </c>
    </row>
    <row r="2776" spans="1:7" x14ac:dyDescent="0.25">
      <c r="A2776" s="1" t="str">
        <f t="shared" si="182"/>
        <v>370</v>
      </c>
      <c r="B2776" s="1" t="str">
        <f>TEXT(30,"00")</f>
        <v>30</v>
      </c>
      <c r="C2776" s="1" t="str">
        <f t="shared" si="180"/>
        <v>370-30</v>
      </c>
      <c r="D2776" t="s">
        <v>2760</v>
      </c>
      <c r="E2776" t="b">
        <f>IF(COUNTIF(D2776,"*"&amp;'Keyword Search'!$C$5&amp;"*"),TRUE,FALSE)</f>
        <v>1</v>
      </c>
      <c r="G2776" t="str">
        <f t="shared" si="181"/>
        <v>370-30: Juice Heating Equipment</v>
      </c>
    </row>
    <row r="2777" spans="1:7" x14ac:dyDescent="0.25">
      <c r="A2777" s="1" t="str">
        <f t="shared" si="182"/>
        <v>370</v>
      </c>
      <c r="B2777" s="1" t="str">
        <f>TEXT(33,"00")</f>
        <v>33</v>
      </c>
      <c r="C2777" s="1" t="str">
        <f t="shared" si="180"/>
        <v>370-33</v>
      </c>
      <c r="D2777" t="s">
        <v>2761</v>
      </c>
      <c r="E2777" t="b">
        <f>IF(COUNTIF(D2777,"*"&amp;'Keyword Search'!$C$5&amp;"*"),TRUE,FALSE)</f>
        <v>1</v>
      </c>
      <c r="G2777" t="str">
        <f t="shared" si="181"/>
        <v>370-33: Kettle, Heavy Duty</v>
      </c>
    </row>
    <row r="2778" spans="1:7" x14ac:dyDescent="0.25">
      <c r="A2778" s="1" t="str">
        <f t="shared" si="182"/>
        <v>370</v>
      </c>
      <c r="B2778" s="1" t="str">
        <f>TEXT(34,"00")</f>
        <v>34</v>
      </c>
      <c r="C2778" s="1" t="str">
        <f t="shared" si="180"/>
        <v>370-34</v>
      </c>
      <c r="D2778" t="s">
        <v>2762</v>
      </c>
      <c r="E2778" t="b">
        <f>IF(COUNTIF(D2778,"*"&amp;'Keyword Search'!$C$5&amp;"*"),TRUE,FALSE)</f>
        <v>1</v>
      </c>
      <c r="G2778" t="str">
        <f t="shared" si="181"/>
        <v>370-34: Milling Machines, Food</v>
      </c>
    </row>
    <row r="2779" spans="1:7" x14ac:dyDescent="0.25">
      <c r="A2779" s="1" t="str">
        <f t="shared" si="182"/>
        <v>370</v>
      </c>
      <c r="B2779" s="1" t="str">
        <f>TEXT(35,"00")</f>
        <v>35</v>
      </c>
      <c r="C2779" s="1" t="str">
        <f t="shared" si="180"/>
        <v>370-35</v>
      </c>
      <c r="D2779" t="s">
        <v>2763</v>
      </c>
      <c r="E2779" t="b">
        <f>IF(COUNTIF(D2779,"*"&amp;'Keyword Search'!$C$5&amp;"*"),TRUE,FALSE)</f>
        <v>1</v>
      </c>
      <c r="G2779" t="str">
        <f t="shared" si="181"/>
        <v>370-35: Oil, USDA Approved for Food Processing</v>
      </c>
    </row>
    <row r="2780" spans="1:7" x14ac:dyDescent="0.25">
      <c r="A2780" s="1" t="str">
        <f t="shared" si="182"/>
        <v>370</v>
      </c>
      <c r="B2780" s="1" t="str">
        <f>TEXT(36,"00")</f>
        <v>36</v>
      </c>
      <c r="C2780" s="1" t="str">
        <f t="shared" si="180"/>
        <v>370-36</v>
      </c>
      <c r="D2780" t="s">
        <v>2764</v>
      </c>
      <c r="E2780" t="b">
        <f>IF(COUNTIF(D2780,"*"&amp;'Keyword Search'!$C$5&amp;"*"),TRUE,FALSE)</f>
        <v>1</v>
      </c>
      <c r="G2780" t="str">
        <f t="shared" si="181"/>
        <v>370-36: Peelers, Slicers, and Dicers</v>
      </c>
    </row>
    <row r="2781" spans="1:7" x14ac:dyDescent="0.25">
      <c r="A2781" s="1" t="str">
        <f t="shared" si="182"/>
        <v>370</v>
      </c>
      <c r="B2781" s="1" t="str">
        <f>TEXT(38,"00")</f>
        <v>38</v>
      </c>
      <c r="C2781" s="1" t="str">
        <f t="shared" si="180"/>
        <v>370-38</v>
      </c>
      <c r="D2781" t="s">
        <v>2765</v>
      </c>
      <c r="E2781" t="b">
        <f>IF(COUNTIF(D2781,"*"&amp;'Keyword Search'!$C$5&amp;"*"),TRUE,FALSE)</f>
        <v>1</v>
      </c>
      <c r="G2781" t="str">
        <f t="shared" si="181"/>
        <v>370-38: Processing and Canning Equipment and Supplies, Food</v>
      </c>
    </row>
    <row r="2782" spans="1:7" x14ac:dyDescent="0.25">
      <c r="A2782" s="1" t="str">
        <f t="shared" si="182"/>
        <v>370</v>
      </c>
      <c r="B2782" s="1" t="str">
        <f>TEXT(39,"00")</f>
        <v>39</v>
      </c>
      <c r="C2782" s="1" t="str">
        <f t="shared" si="180"/>
        <v>370-39</v>
      </c>
      <c r="D2782" t="s">
        <v>2766</v>
      </c>
      <c r="E2782" t="b">
        <f>IF(COUNTIF(D2782,"*"&amp;'Keyword Search'!$C$5&amp;"*"),TRUE,FALSE)</f>
        <v>1</v>
      </c>
      <c r="G2782" t="str">
        <f t="shared" si="181"/>
        <v>370-39: Pulper</v>
      </c>
    </row>
    <row r="2783" spans="1:7" x14ac:dyDescent="0.25">
      <c r="A2783" s="1" t="str">
        <f t="shared" si="182"/>
        <v>370</v>
      </c>
      <c r="B2783" s="1" t="str">
        <f>TEXT(40,"00")</f>
        <v>40</v>
      </c>
      <c r="C2783" s="1" t="str">
        <f t="shared" si="180"/>
        <v>370-40</v>
      </c>
      <c r="D2783" t="s">
        <v>2767</v>
      </c>
      <c r="E2783" t="b">
        <f>IF(COUNTIF(D2783,"*"&amp;'Keyword Search'!$C$5&amp;"*"),TRUE,FALSE)</f>
        <v>1</v>
      </c>
      <c r="G2783" t="str">
        <f t="shared" si="181"/>
        <v>370-40: Pump, Stainless Steel,  For Wine Must, Juice or Pulp</v>
      </c>
    </row>
    <row r="2784" spans="1:7" x14ac:dyDescent="0.25">
      <c r="A2784" s="1" t="str">
        <f t="shared" si="182"/>
        <v>370</v>
      </c>
      <c r="B2784" s="1" t="str">
        <f>TEXT(41,"00")</f>
        <v>41</v>
      </c>
      <c r="C2784" s="1" t="str">
        <f t="shared" si="180"/>
        <v>370-41</v>
      </c>
      <c r="D2784" t="s">
        <v>2768</v>
      </c>
      <c r="E2784" t="b">
        <f>IF(COUNTIF(D2784,"*"&amp;'Keyword Search'!$C$5&amp;"*"),TRUE,FALSE)</f>
        <v>1</v>
      </c>
      <c r="G2784" t="str">
        <f t="shared" si="181"/>
        <v>370-41: Refurbished Food Processing and Canning Equipment and Supplies</v>
      </c>
    </row>
    <row r="2785" spans="1:7" x14ac:dyDescent="0.25">
      <c r="A2785" s="1" t="str">
        <f t="shared" si="182"/>
        <v>370</v>
      </c>
      <c r="B2785" s="1" t="str">
        <f>TEXT(42,"00")</f>
        <v>42</v>
      </c>
      <c r="C2785" s="1" t="str">
        <f t="shared" si="180"/>
        <v>370-42</v>
      </c>
      <c r="D2785" t="s">
        <v>2769</v>
      </c>
      <c r="E2785" t="b">
        <f>IF(COUNTIF(D2785,"*"&amp;'Keyword Search'!$C$5&amp;"*"),TRUE,FALSE)</f>
        <v>1</v>
      </c>
      <c r="G2785" t="str">
        <f t="shared" si="181"/>
        <v>370-42: Scalder</v>
      </c>
    </row>
    <row r="2786" spans="1:7" x14ac:dyDescent="0.25">
      <c r="A2786" s="1" t="str">
        <f t="shared" si="182"/>
        <v>370</v>
      </c>
      <c r="B2786" s="1" t="str">
        <f>TEXT(45,"00")</f>
        <v>45</v>
      </c>
      <c r="C2786" s="1" t="str">
        <f t="shared" si="180"/>
        <v>370-45</v>
      </c>
      <c r="D2786" t="s">
        <v>2770</v>
      </c>
      <c r="E2786" t="b">
        <f>IF(COUNTIF(D2786,"*"&amp;'Keyword Search'!$C$5&amp;"*"),TRUE,FALSE)</f>
        <v>1</v>
      </c>
      <c r="G2786" t="str">
        <f t="shared" si="181"/>
        <v>370-45: Sealer, Canning</v>
      </c>
    </row>
    <row r="2787" spans="1:7" x14ac:dyDescent="0.25">
      <c r="A2787" s="1" t="str">
        <f t="shared" si="182"/>
        <v>370</v>
      </c>
      <c r="B2787" s="1" t="str">
        <f>TEXT(46,"00")</f>
        <v>46</v>
      </c>
      <c r="C2787" s="1" t="str">
        <f t="shared" si="180"/>
        <v>370-46</v>
      </c>
      <c r="D2787" t="s">
        <v>2771</v>
      </c>
      <c r="E2787" t="b">
        <f>IF(COUNTIF(D2787,"*"&amp;'Keyword Search'!$C$5&amp;"*"),TRUE,FALSE)</f>
        <v>1</v>
      </c>
      <c r="G2787" t="str">
        <f t="shared" si="181"/>
        <v>370-46: Seed Extractors</v>
      </c>
    </row>
    <row r="2788" spans="1:7" x14ac:dyDescent="0.25">
      <c r="A2788" s="1" t="str">
        <f t="shared" si="182"/>
        <v>370</v>
      </c>
      <c r="B2788" s="1" t="str">
        <f>TEXT(48,"00")</f>
        <v>48</v>
      </c>
      <c r="C2788" s="1" t="str">
        <f t="shared" si="180"/>
        <v>370-48</v>
      </c>
      <c r="D2788" t="s">
        <v>2772</v>
      </c>
      <c r="E2788" t="b">
        <f>IF(COUNTIF(D2788,"*"&amp;'Keyword Search'!$C$5&amp;"*"),TRUE,FALSE)</f>
        <v>1</v>
      </c>
      <c r="G2788" t="str">
        <f t="shared" si="181"/>
        <v>370-48: Sorters: Seed, Grain, Dried Vegetables, etc.</v>
      </c>
    </row>
    <row r="2789" spans="1:7" x14ac:dyDescent="0.25">
      <c r="A2789" s="1" t="str">
        <f t="shared" si="182"/>
        <v>370</v>
      </c>
      <c r="B2789" s="1" t="str">
        <f>TEXT(51,"00")</f>
        <v>51</v>
      </c>
      <c r="C2789" s="1" t="str">
        <f t="shared" si="180"/>
        <v>370-51</v>
      </c>
      <c r="D2789" t="s">
        <v>2773</v>
      </c>
      <c r="E2789" t="b">
        <f>IF(COUNTIF(D2789,"*"&amp;'Keyword Search'!$C$5&amp;"*"),TRUE,FALSE)</f>
        <v>1</v>
      </c>
      <c r="G2789" t="str">
        <f t="shared" si="181"/>
        <v>370-51: Spice Bucket</v>
      </c>
    </row>
    <row r="2790" spans="1:7" x14ac:dyDescent="0.25">
      <c r="A2790" s="1" t="str">
        <f t="shared" si="182"/>
        <v>370</v>
      </c>
      <c r="B2790" s="1" t="str">
        <f>TEXT(54,"00")</f>
        <v>54</v>
      </c>
      <c r="C2790" s="1" t="str">
        <f t="shared" si="180"/>
        <v>370-54</v>
      </c>
      <c r="D2790" t="s">
        <v>2774</v>
      </c>
      <c r="E2790" t="b">
        <f>IF(COUNTIF(D2790,"*"&amp;'Keyword Search'!$C$5&amp;"*"),TRUE,FALSE)</f>
        <v>1</v>
      </c>
      <c r="G2790" t="str">
        <f t="shared" si="181"/>
        <v>370-54: Table, Grading</v>
      </c>
    </row>
    <row r="2791" spans="1:7" x14ac:dyDescent="0.25">
      <c r="A2791" s="1" t="str">
        <f t="shared" si="182"/>
        <v>370</v>
      </c>
      <c r="B2791" s="1" t="str">
        <f>TEXT(57,"00")</f>
        <v>57</v>
      </c>
      <c r="C2791" s="1" t="str">
        <f t="shared" si="180"/>
        <v>370-57</v>
      </c>
      <c r="D2791" t="s">
        <v>2775</v>
      </c>
      <c r="E2791" t="b">
        <f>IF(COUNTIF(D2791,"*"&amp;'Keyword Search'!$C$5&amp;"*"),TRUE,FALSE)</f>
        <v>1</v>
      </c>
      <c r="G2791" t="str">
        <f t="shared" si="181"/>
        <v>370-57: Table, Peeling</v>
      </c>
    </row>
    <row r="2792" spans="1:7" x14ac:dyDescent="0.25">
      <c r="A2792" s="1" t="str">
        <f t="shared" si="182"/>
        <v>370</v>
      </c>
      <c r="B2792" s="1" t="str">
        <f>TEXT(60,"00")</f>
        <v>60</v>
      </c>
      <c r="C2792" s="1" t="str">
        <f t="shared" si="180"/>
        <v>370-60</v>
      </c>
      <c r="D2792" t="s">
        <v>2776</v>
      </c>
      <c r="E2792" t="b">
        <f>IF(COUNTIF(D2792,"*"&amp;'Keyword Search'!$C$5&amp;"*"),TRUE,FALSE)</f>
        <v>1</v>
      </c>
      <c r="G2792" t="str">
        <f t="shared" si="181"/>
        <v>370-60: Table, Picking</v>
      </c>
    </row>
    <row r="2793" spans="1:7" x14ac:dyDescent="0.25">
      <c r="A2793" s="1" t="str">
        <f t="shared" si="182"/>
        <v>370</v>
      </c>
      <c r="B2793" s="1" t="str">
        <f>TEXT(63,"00")</f>
        <v>63</v>
      </c>
      <c r="C2793" s="1" t="str">
        <f t="shared" si="180"/>
        <v>370-63</v>
      </c>
      <c r="D2793" t="s">
        <v>2777</v>
      </c>
      <c r="E2793" t="b">
        <f>IF(COUNTIF(D2793,"*"&amp;'Keyword Search'!$C$5&amp;"*"),TRUE,FALSE)</f>
        <v>1</v>
      </c>
      <c r="G2793" t="str">
        <f t="shared" si="181"/>
        <v>370-63: Table, Sorting</v>
      </c>
    </row>
    <row r="2794" spans="1:7" x14ac:dyDescent="0.25">
      <c r="A2794" s="1" t="str">
        <f t="shared" si="182"/>
        <v>370</v>
      </c>
      <c r="B2794" s="1" t="str">
        <f>TEXT(65,"00")</f>
        <v>65</v>
      </c>
      <c r="C2794" s="1" t="str">
        <f t="shared" si="180"/>
        <v>370-65</v>
      </c>
      <c r="D2794" t="s">
        <v>2778</v>
      </c>
      <c r="E2794" t="b">
        <f>IF(COUNTIF(D2794,"*"&amp;'Keyword Search'!$C$5&amp;"*"),TRUE,FALSE)</f>
        <v>1</v>
      </c>
      <c r="G2794" t="str">
        <f t="shared" si="181"/>
        <v>370-65: Thermometers, Industrial, Including Recording Thermometers</v>
      </c>
    </row>
    <row r="2795" spans="1:7" x14ac:dyDescent="0.25">
      <c r="A2795" s="1" t="str">
        <f t="shared" si="182"/>
        <v>370</v>
      </c>
      <c r="B2795" s="1" t="str">
        <f>TEXT(66,"00")</f>
        <v>66</v>
      </c>
      <c r="C2795" s="1" t="str">
        <f t="shared" si="180"/>
        <v>370-66</v>
      </c>
      <c r="D2795" t="s">
        <v>2779</v>
      </c>
      <c r="E2795" t="b">
        <f>IF(COUNTIF(D2795,"*"&amp;'Keyword Search'!$C$5&amp;"*"),TRUE,FALSE)</f>
        <v>1</v>
      </c>
      <c r="G2795" t="str">
        <f t="shared" si="181"/>
        <v>370-66: Tin Cans and Lids, All Types</v>
      </c>
    </row>
    <row r="2796" spans="1:7" x14ac:dyDescent="0.25">
      <c r="A2796" s="1" t="str">
        <f t="shared" si="182"/>
        <v>370</v>
      </c>
      <c r="B2796" s="1" t="str">
        <f>TEXT(67,"00")</f>
        <v>67</v>
      </c>
      <c r="C2796" s="1" t="str">
        <f t="shared" si="180"/>
        <v>370-67</v>
      </c>
      <c r="D2796" t="s">
        <v>2780</v>
      </c>
      <c r="E2796" t="b">
        <f>IF(COUNTIF(D2796,"*"&amp;'Keyword Search'!$C$5&amp;"*"),TRUE,FALSE)</f>
        <v>1</v>
      </c>
      <c r="G2796" t="str">
        <f t="shared" si="181"/>
        <v>370-67: Tinning Equipment</v>
      </c>
    </row>
    <row r="2797" spans="1:7" x14ac:dyDescent="0.25">
      <c r="A2797" s="1" t="str">
        <f t="shared" si="182"/>
        <v>370</v>
      </c>
      <c r="B2797" s="1" t="str">
        <f>TEXT(69,"00")</f>
        <v>69</v>
      </c>
      <c r="C2797" s="1" t="str">
        <f t="shared" si="180"/>
        <v>370-69</v>
      </c>
      <c r="D2797" t="s">
        <v>2781</v>
      </c>
      <c r="E2797" t="b">
        <f>IF(COUNTIF(D2797,"*"&amp;'Keyword Search'!$C$5&amp;"*"),TRUE,FALSE)</f>
        <v>1</v>
      </c>
      <c r="G2797" t="str">
        <f t="shared" si="181"/>
        <v>370-69: Vacuum Pan</v>
      </c>
    </row>
    <row r="2798" spans="1:7" x14ac:dyDescent="0.25">
      <c r="A2798" s="1" t="str">
        <f t="shared" si="182"/>
        <v>370</v>
      </c>
      <c r="B2798" s="1" t="str">
        <f>TEXT(72,"00")</f>
        <v>72</v>
      </c>
      <c r="C2798" s="1" t="str">
        <f t="shared" si="180"/>
        <v>370-72</v>
      </c>
      <c r="D2798" t="s">
        <v>2782</v>
      </c>
      <c r="E2798" t="b">
        <f>IF(COUNTIF(D2798,"*"&amp;'Keyword Search'!$C$5&amp;"*"),TRUE,FALSE)</f>
        <v>1</v>
      </c>
      <c r="G2798" t="str">
        <f t="shared" si="181"/>
        <v>370-72: Vacuum Still</v>
      </c>
    </row>
    <row r="2799" spans="1:7" x14ac:dyDescent="0.25">
      <c r="A2799" s="1" t="str">
        <f t="shared" si="182"/>
        <v>370</v>
      </c>
      <c r="B2799" s="1" t="str">
        <f>TEXT(75,"00")</f>
        <v>75</v>
      </c>
      <c r="C2799" s="1" t="str">
        <f t="shared" si="180"/>
        <v>370-75</v>
      </c>
      <c r="D2799" t="s">
        <v>2783</v>
      </c>
      <c r="E2799" t="b">
        <f>IF(COUNTIF(D2799,"*"&amp;'Keyword Search'!$C$5&amp;"*"),TRUE,FALSE)</f>
        <v>1</v>
      </c>
      <c r="G2799" t="str">
        <f t="shared" si="181"/>
        <v>370-75: Washing Machine, Fruit and Vegetable</v>
      </c>
    </row>
    <row r="2800" spans="1:7" x14ac:dyDescent="0.25">
      <c r="A2800" s="1" t="str">
        <f t="shared" si="182"/>
        <v>370</v>
      </c>
      <c r="B2800" s="1" t="str">
        <f>TEXT(76,"00")</f>
        <v>76</v>
      </c>
      <c r="C2800" s="1" t="str">
        <f t="shared" si="180"/>
        <v>370-76</v>
      </c>
      <c r="D2800" t="s">
        <v>2784</v>
      </c>
      <c r="E2800" t="b">
        <f>IF(COUNTIF(D2800,"*"&amp;'Keyword Search'!$C$5&amp;"*"),TRUE,FALSE)</f>
        <v>1</v>
      </c>
      <c r="G2800" t="str">
        <f t="shared" si="181"/>
        <v>370-76: Washer, Can and Tins</v>
      </c>
    </row>
    <row r="2801" spans="1:7" x14ac:dyDescent="0.25">
      <c r="A2801" s="5" t="str">
        <f t="shared" ref="A2801:A2808" si="183">TEXT(375,"000")</f>
        <v>375</v>
      </c>
      <c r="B2801" s="5" t="str">
        <f>TEXT(0,"00")</f>
        <v>00</v>
      </c>
      <c r="C2801" s="1"/>
      <c r="D2801" s="2" t="s">
        <v>2785</v>
      </c>
    </row>
    <row r="2802" spans="1:7" x14ac:dyDescent="0.25">
      <c r="A2802" s="1" t="str">
        <f t="shared" si="183"/>
        <v>375</v>
      </c>
      <c r="B2802" s="1" t="str">
        <f>TEXT(15,"00")</f>
        <v>15</v>
      </c>
      <c r="C2802" s="1" t="str">
        <f t="shared" si="180"/>
        <v>375-15</v>
      </c>
      <c r="D2802" t="s">
        <v>2786</v>
      </c>
      <c r="E2802" t="b">
        <f>IF(COUNTIF(D2802,"*"&amp;'Keyword Search'!$C$5&amp;"*"),TRUE,FALSE)</f>
        <v>1</v>
      </c>
      <c r="G2802" t="str">
        <f t="shared" si="181"/>
        <v>375-15: Bread, Rolls, etc., Including Brown and Serve Items</v>
      </c>
    </row>
    <row r="2803" spans="1:7" x14ac:dyDescent="0.25">
      <c r="A2803" s="1" t="str">
        <f t="shared" si="183"/>
        <v>375</v>
      </c>
      <c r="B2803" s="1" t="str">
        <f>TEXT(30,"00")</f>
        <v>30</v>
      </c>
      <c r="C2803" s="1" t="str">
        <f t="shared" si="180"/>
        <v>375-30</v>
      </c>
      <c r="D2803" t="s">
        <v>2787</v>
      </c>
      <c r="E2803" t="b">
        <f>IF(COUNTIF(D2803,"*"&amp;'Keyword Search'!$C$5&amp;"*"),TRUE,FALSE)</f>
        <v>1</v>
      </c>
      <c r="G2803" t="str">
        <f t="shared" si="181"/>
        <v>375-30: Cakes, Cookies, and Pastries</v>
      </c>
    </row>
    <row r="2804" spans="1:7" x14ac:dyDescent="0.25">
      <c r="A2804" s="1" t="str">
        <f t="shared" si="183"/>
        <v>375</v>
      </c>
      <c r="B2804" s="1" t="str">
        <f>TEXT(45,"00")</f>
        <v>45</v>
      </c>
      <c r="C2804" s="1" t="str">
        <f t="shared" si="180"/>
        <v>375-45</v>
      </c>
      <c r="D2804" t="s">
        <v>2788</v>
      </c>
      <c r="E2804" t="b">
        <f>IF(COUNTIF(D2804,"*"&amp;'Keyword Search'!$C$5&amp;"*"),TRUE,FALSE)</f>
        <v>1</v>
      </c>
      <c r="G2804" t="str">
        <f t="shared" si="181"/>
        <v>375-45: Doughnuts, Fried Pies, Bagels, etc.</v>
      </c>
    </row>
    <row r="2805" spans="1:7" x14ac:dyDescent="0.25">
      <c r="A2805" s="1" t="str">
        <f t="shared" si="183"/>
        <v>375</v>
      </c>
      <c r="B2805" s="1" t="str">
        <f>TEXT(50,"00")</f>
        <v>50</v>
      </c>
      <c r="C2805" s="1" t="str">
        <f t="shared" si="180"/>
        <v>375-50</v>
      </c>
      <c r="D2805" t="s">
        <v>2789</v>
      </c>
      <c r="E2805" t="b">
        <f>IF(COUNTIF(D2805,"*"&amp;'Keyword Search'!$C$5&amp;"*"),TRUE,FALSE)</f>
        <v>1</v>
      </c>
      <c r="G2805" t="str">
        <f t="shared" si="181"/>
        <v>375-50: Pastry Shells</v>
      </c>
    </row>
    <row r="2806" spans="1:7" x14ac:dyDescent="0.25">
      <c r="A2806" s="1" t="str">
        <f t="shared" si="183"/>
        <v>375</v>
      </c>
      <c r="B2806" s="1" t="str">
        <f>TEXT(52,"00")</f>
        <v>52</v>
      </c>
      <c r="C2806" s="1" t="str">
        <f t="shared" si="180"/>
        <v>375-52</v>
      </c>
      <c r="D2806" t="s">
        <v>2790</v>
      </c>
      <c r="E2806" t="b">
        <f>IF(COUNTIF(D2806,"*"&amp;'Keyword Search'!$C$5&amp;"*"),TRUE,FALSE)</f>
        <v>1</v>
      </c>
      <c r="G2806" t="str">
        <f t="shared" si="181"/>
        <v>375-52: Pies</v>
      </c>
    </row>
    <row r="2807" spans="1:7" x14ac:dyDescent="0.25">
      <c r="A2807" s="1" t="str">
        <f t="shared" si="183"/>
        <v>375</v>
      </c>
      <c r="B2807" s="1" t="str">
        <f>TEXT(54,"00")</f>
        <v>54</v>
      </c>
      <c r="C2807" s="1" t="str">
        <f t="shared" si="180"/>
        <v>375-54</v>
      </c>
      <c r="D2807" t="s">
        <v>2791</v>
      </c>
      <c r="E2807" t="b">
        <f>IF(COUNTIF(D2807,"*"&amp;'Keyword Search'!$C$5&amp;"*"),TRUE,FALSE)</f>
        <v>1</v>
      </c>
      <c r="G2807" t="str">
        <f t="shared" si="181"/>
        <v>375-54: Pizzas</v>
      </c>
    </row>
    <row r="2808" spans="1:7" x14ac:dyDescent="0.25">
      <c r="A2808" s="1" t="str">
        <f t="shared" si="183"/>
        <v>375</v>
      </c>
      <c r="B2808" s="1" t="str">
        <f>TEXT(60,"00")</f>
        <v>60</v>
      </c>
      <c r="C2808" s="1" t="str">
        <f t="shared" si="180"/>
        <v>375-60</v>
      </c>
      <c r="D2808" t="s">
        <v>2792</v>
      </c>
      <c r="E2808" t="b">
        <f>IF(COUNTIF(D2808,"*"&amp;'Keyword Search'!$C$5&amp;"*"),TRUE,FALSE)</f>
        <v>1</v>
      </c>
      <c r="G2808" t="str">
        <f t="shared" si="181"/>
        <v>375-60: Taco Shells and Tortillas</v>
      </c>
    </row>
    <row r="2809" spans="1:7" x14ac:dyDescent="0.25">
      <c r="A2809" s="5" t="str">
        <f t="shared" ref="A2809:A2821" si="184">TEXT(380,"000")</f>
        <v>380</v>
      </c>
      <c r="B2809" s="5" t="str">
        <f>TEXT(0,"00")</f>
        <v>00</v>
      </c>
      <c r="C2809" s="1"/>
      <c r="D2809" s="2" t="s">
        <v>2793</v>
      </c>
    </row>
    <row r="2810" spans="1:7" x14ac:dyDescent="0.25">
      <c r="A2810" s="1" t="str">
        <f t="shared" si="184"/>
        <v>380</v>
      </c>
      <c r="B2810" s="1" t="str">
        <f>TEXT(10,"00")</f>
        <v>10</v>
      </c>
      <c r="C2810" s="1" t="str">
        <f t="shared" si="180"/>
        <v>380-10</v>
      </c>
      <c r="D2810" t="s">
        <v>2794</v>
      </c>
      <c r="E2810" t="b">
        <f>IF(COUNTIF(D2810,"*"&amp;'Keyword Search'!$C$5&amp;"*"),TRUE,FALSE)</f>
        <v>1</v>
      </c>
      <c r="G2810" t="str">
        <f t="shared" si="181"/>
        <v>380-10: Butter, (See 390-56 for Margarine)</v>
      </c>
    </row>
    <row r="2811" spans="1:7" x14ac:dyDescent="0.25">
      <c r="A2811" s="1" t="str">
        <f t="shared" si="184"/>
        <v>380</v>
      </c>
      <c r="B2811" s="1" t="str">
        <f>TEXT(15,"00")</f>
        <v>15</v>
      </c>
      <c r="C2811" s="1" t="str">
        <f t="shared" si="180"/>
        <v>380-15</v>
      </c>
      <c r="D2811" t="s">
        <v>2795</v>
      </c>
      <c r="E2811" t="b">
        <f>IF(COUNTIF(D2811,"*"&amp;'Keyword Search'!$C$5&amp;"*"),TRUE,FALSE)</f>
        <v>1</v>
      </c>
      <c r="G2811" t="str">
        <f t="shared" si="181"/>
        <v>380-15: Cottage Cheese</v>
      </c>
    </row>
    <row r="2812" spans="1:7" x14ac:dyDescent="0.25">
      <c r="A2812" s="1" t="str">
        <f t="shared" si="184"/>
        <v>380</v>
      </c>
      <c r="B2812" s="1" t="str">
        <f>TEXT(30,"00")</f>
        <v>30</v>
      </c>
      <c r="C2812" s="1" t="str">
        <f t="shared" si="180"/>
        <v>380-30</v>
      </c>
      <c r="D2812" t="s">
        <v>2796</v>
      </c>
      <c r="E2812" t="b">
        <f>IF(COUNTIF(D2812,"*"&amp;'Keyword Search'!$C$5&amp;"*"),TRUE,FALSE)</f>
        <v>1</v>
      </c>
      <c r="G2812" t="str">
        <f t="shared" si="181"/>
        <v>380-30: Cream, All Types (Including Sour Cream)</v>
      </c>
    </row>
    <row r="2813" spans="1:7" x14ac:dyDescent="0.25">
      <c r="A2813" s="1" t="str">
        <f t="shared" si="184"/>
        <v>380</v>
      </c>
      <c r="B2813" s="1" t="str">
        <f>TEXT(33,"00")</f>
        <v>33</v>
      </c>
      <c r="C2813" s="1" t="str">
        <f t="shared" si="180"/>
        <v>380-33</v>
      </c>
      <c r="D2813" t="s">
        <v>2797</v>
      </c>
      <c r="E2813" t="b">
        <f>IF(COUNTIF(D2813,"*"&amp;'Keyword Search'!$C$5&amp;"*"),TRUE,FALSE)</f>
        <v>1</v>
      </c>
      <c r="G2813" t="str">
        <f t="shared" si="181"/>
        <v>380-33: Desserts, Milk Based (Not Otherwise Classified)</v>
      </c>
    </row>
    <row r="2814" spans="1:7" x14ac:dyDescent="0.25">
      <c r="A2814" s="1" t="str">
        <f t="shared" si="184"/>
        <v>380</v>
      </c>
      <c r="B2814" s="1" t="str">
        <f>TEXT(35,"00")</f>
        <v>35</v>
      </c>
      <c r="C2814" s="1" t="str">
        <f t="shared" si="180"/>
        <v>380-35</v>
      </c>
      <c r="D2814" t="s">
        <v>2798</v>
      </c>
      <c r="E2814" t="b">
        <f>IF(COUNTIF(D2814,"*"&amp;'Keyword Search'!$C$5&amp;"*"),TRUE,FALSE)</f>
        <v>1</v>
      </c>
      <c r="G2814" t="str">
        <f t="shared" si="181"/>
        <v>380-35: Eggnog and Mix</v>
      </c>
    </row>
    <row r="2815" spans="1:7" x14ac:dyDescent="0.25">
      <c r="A2815" s="1" t="str">
        <f t="shared" si="184"/>
        <v>380</v>
      </c>
      <c r="B2815" s="1" t="str">
        <f>TEXT(45,"00")</f>
        <v>45</v>
      </c>
      <c r="C2815" s="1" t="str">
        <f t="shared" si="180"/>
        <v>380-45</v>
      </c>
      <c r="D2815" t="s">
        <v>2799</v>
      </c>
      <c r="E2815" t="b">
        <f>IF(COUNTIF(D2815,"*"&amp;'Keyword Search'!$C$5&amp;"*"),TRUE,FALSE)</f>
        <v>1</v>
      </c>
      <c r="G2815" t="str">
        <f t="shared" si="181"/>
        <v>380-45: Ice Cream</v>
      </c>
    </row>
    <row r="2816" spans="1:7" x14ac:dyDescent="0.25">
      <c r="A2816" s="1" t="str">
        <f t="shared" si="184"/>
        <v>380</v>
      </c>
      <c r="B2816" s="1" t="str">
        <f>TEXT(50,"00")</f>
        <v>50</v>
      </c>
      <c r="C2816" s="1" t="str">
        <f t="shared" si="180"/>
        <v>380-50</v>
      </c>
      <c r="D2816" t="s">
        <v>2800</v>
      </c>
      <c r="E2816" t="b">
        <f>IF(COUNTIF(D2816,"*"&amp;'Keyword Search'!$C$5&amp;"*"),TRUE,FALSE)</f>
        <v>1</v>
      </c>
      <c r="G2816" t="str">
        <f t="shared" si="181"/>
        <v>380-50: Ice Milk and Mellorine</v>
      </c>
    </row>
    <row r="2817" spans="1:7" x14ac:dyDescent="0.25">
      <c r="A2817" s="1" t="str">
        <f t="shared" si="184"/>
        <v>380</v>
      </c>
      <c r="B2817" s="1" t="str">
        <f>TEXT(60,"00")</f>
        <v>60</v>
      </c>
      <c r="C2817" s="1" t="str">
        <f t="shared" si="180"/>
        <v>380-60</v>
      </c>
      <c r="D2817" t="s">
        <v>2801</v>
      </c>
      <c r="E2817" t="b">
        <f>IF(COUNTIF(D2817,"*"&amp;'Keyword Search'!$C$5&amp;"*"),TRUE,FALSE)</f>
        <v>1</v>
      </c>
      <c r="G2817" t="str">
        <f t="shared" si="181"/>
        <v>380-60: Mellorine</v>
      </c>
    </row>
    <row r="2818" spans="1:7" x14ac:dyDescent="0.25">
      <c r="A2818" s="1" t="str">
        <f t="shared" si="184"/>
        <v>380</v>
      </c>
      <c r="B2818" s="1" t="str">
        <f>TEXT(75,"00")</f>
        <v>75</v>
      </c>
      <c r="C2818" s="1" t="str">
        <f t="shared" si="180"/>
        <v>380-75</v>
      </c>
      <c r="D2818" t="s">
        <v>2802</v>
      </c>
      <c r="E2818" t="b">
        <f>IF(COUNTIF(D2818,"*"&amp;'Keyword Search'!$C$5&amp;"*"),TRUE,FALSE)</f>
        <v>1</v>
      </c>
      <c r="G2818" t="str">
        <f t="shared" si="181"/>
        <v>380-75: Milk, All Types</v>
      </c>
    </row>
    <row r="2819" spans="1:7" x14ac:dyDescent="0.25">
      <c r="A2819" s="1" t="str">
        <f t="shared" si="184"/>
        <v>380</v>
      </c>
      <c r="B2819" s="1" t="str">
        <f>TEXT(80,"00")</f>
        <v>80</v>
      </c>
      <c r="C2819" s="1" t="str">
        <f t="shared" ref="C2819:C2882" si="185">CONCATENATE(A2819,"-",B2819)</f>
        <v>380-80</v>
      </c>
      <c r="D2819" t="s">
        <v>2803</v>
      </c>
      <c r="E2819" t="b">
        <f>IF(COUNTIF(D2819,"*"&amp;'Keyword Search'!$C$5&amp;"*"),TRUE,FALSE)</f>
        <v>1</v>
      </c>
      <c r="G2819" t="str">
        <f t="shared" si="181"/>
        <v>380-80: Sherbet</v>
      </c>
    </row>
    <row r="2820" spans="1:7" x14ac:dyDescent="0.25">
      <c r="A2820" s="1" t="str">
        <f t="shared" si="184"/>
        <v>380</v>
      </c>
      <c r="B2820" s="1" t="str">
        <f>TEXT(85,"00")</f>
        <v>85</v>
      </c>
      <c r="C2820" s="1" t="str">
        <f t="shared" si="185"/>
        <v>380-85</v>
      </c>
      <c r="D2820" t="s">
        <v>2804</v>
      </c>
      <c r="E2820" t="b">
        <f>IF(COUNTIF(D2820,"*"&amp;'Keyword Search'!$C$5&amp;"*"),TRUE,FALSE)</f>
        <v>1</v>
      </c>
      <c r="G2820" t="str">
        <f t="shared" ref="G2820:G2883" si="186">CONCATENATE(C2820,": ",D2820)</f>
        <v>380-85: Toppings, Whipped, Refrigerated</v>
      </c>
    </row>
    <row r="2821" spans="1:7" x14ac:dyDescent="0.25">
      <c r="A2821" s="1" t="str">
        <f t="shared" si="184"/>
        <v>380</v>
      </c>
      <c r="B2821" s="1" t="str">
        <f>TEXT(90,"00")</f>
        <v>90</v>
      </c>
      <c r="C2821" s="1" t="str">
        <f t="shared" si="185"/>
        <v>380-90</v>
      </c>
      <c r="D2821" t="s">
        <v>2805</v>
      </c>
      <c r="E2821" t="b">
        <f>IF(COUNTIF(D2821,"*"&amp;'Keyword Search'!$C$5&amp;"*"),TRUE,FALSE)</f>
        <v>1</v>
      </c>
      <c r="G2821" t="str">
        <f t="shared" si="186"/>
        <v>380-90: Yogurt</v>
      </c>
    </row>
    <row r="2822" spans="1:7" x14ac:dyDescent="0.25">
      <c r="A2822" s="5" t="str">
        <f t="shared" ref="A2822:A2852" si="187">TEXT(385,"000")</f>
        <v>385</v>
      </c>
      <c r="B2822" s="5" t="str">
        <f>TEXT(0,"00")</f>
        <v>00</v>
      </c>
      <c r="C2822" s="1"/>
      <c r="D2822" s="2" t="s">
        <v>2806</v>
      </c>
    </row>
    <row r="2823" spans="1:7" x14ac:dyDescent="0.25">
      <c r="A2823" s="1" t="str">
        <f t="shared" si="187"/>
        <v>385</v>
      </c>
      <c r="B2823" s="1" t="str">
        <f>TEXT(6,"00")</f>
        <v>06</v>
      </c>
      <c r="C2823" s="1" t="str">
        <f t="shared" si="185"/>
        <v>385-06</v>
      </c>
      <c r="D2823" t="s">
        <v>2807</v>
      </c>
      <c r="E2823" t="b">
        <f>IF(COUNTIF(D2823,"*"&amp;'Keyword Search'!$C$5&amp;"*"),TRUE,FALSE)</f>
        <v>1</v>
      </c>
      <c r="G2823" t="str">
        <f t="shared" si="186"/>
        <v>385-06: Bread, Biscuits, Bagels, etc.</v>
      </c>
    </row>
    <row r="2824" spans="1:7" x14ac:dyDescent="0.25">
      <c r="A2824" s="1" t="str">
        <f t="shared" si="187"/>
        <v>385</v>
      </c>
      <c r="B2824" s="1" t="str">
        <f>TEXT(12,"00")</f>
        <v>12</v>
      </c>
      <c r="C2824" s="1" t="str">
        <f t="shared" si="185"/>
        <v>385-12</v>
      </c>
      <c r="D2824" t="s">
        <v>2808</v>
      </c>
      <c r="E2824" t="b">
        <f>IF(COUNTIF(D2824,"*"&amp;'Keyword Search'!$C$5&amp;"*"),TRUE,FALSE)</f>
        <v>1</v>
      </c>
      <c r="G2824" t="str">
        <f t="shared" si="186"/>
        <v>385-12: Cakes, Cookies, Dough, Pastries, etc.</v>
      </c>
    </row>
    <row r="2825" spans="1:7" x14ac:dyDescent="0.25">
      <c r="A2825" s="1" t="str">
        <f t="shared" si="187"/>
        <v>385</v>
      </c>
      <c r="B2825" s="1" t="str">
        <f>TEXT(14,"00")</f>
        <v>14</v>
      </c>
      <c r="C2825" s="1" t="str">
        <f t="shared" si="185"/>
        <v>385-14</v>
      </c>
      <c r="D2825" t="s">
        <v>2809</v>
      </c>
      <c r="E2825" t="b">
        <f>IF(COUNTIF(D2825,"*"&amp;'Keyword Search'!$C$5&amp;"*"),TRUE,FALSE)</f>
        <v>1</v>
      </c>
      <c r="G2825" t="str">
        <f t="shared" si="186"/>
        <v>385-14: Coffee</v>
      </c>
    </row>
    <row r="2826" spans="1:7" x14ac:dyDescent="0.25">
      <c r="A2826" s="1" t="str">
        <f t="shared" si="187"/>
        <v>385</v>
      </c>
      <c r="B2826" s="1" t="str">
        <f>TEXT(17,"00")</f>
        <v>17</v>
      </c>
      <c r="C2826" s="1" t="str">
        <f t="shared" si="185"/>
        <v>385-17</v>
      </c>
      <c r="D2826" t="s">
        <v>2810</v>
      </c>
      <c r="E2826" t="b">
        <f>IF(COUNTIF(D2826,"*"&amp;'Keyword Search'!$C$5&amp;"*"),TRUE,FALSE)</f>
        <v>1</v>
      </c>
      <c r="G2826" t="str">
        <f t="shared" si="186"/>
        <v>385-17: Dairy Products, Frozen (Not Otherwise Classified)</v>
      </c>
    </row>
    <row r="2827" spans="1:7" x14ac:dyDescent="0.25">
      <c r="A2827" s="1" t="str">
        <f t="shared" si="187"/>
        <v>385</v>
      </c>
      <c r="B2827" s="1" t="str">
        <f>TEXT(18,"00")</f>
        <v>18</v>
      </c>
      <c r="C2827" s="1" t="str">
        <f t="shared" si="185"/>
        <v>385-18</v>
      </c>
      <c r="D2827" t="s">
        <v>2811</v>
      </c>
      <c r="E2827" t="b">
        <f>IF(COUNTIF(D2827,"*"&amp;'Keyword Search'!$C$5&amp;"*"),TRUE,FALSE)</f>
        <v>1</v>
      </c>
      <c r="G2827" t="str">
        <f t="shared" si="186"/>
        <v>385-18: Desserts, Except Cake and Pastry</v>
      </c>
    </row>
    <row r="2828" spans="1:7" x14ac:dyDescent="0.25">
      <c r="A2828" s="1" t="str">
        <f t="shared" si="187"/>
        <v>385</v>
      </c>
      <c r="B2828" s="1" t="str">
        <f>TEXT(30,"00")</f>
        <v>30</v>
      </c>
      <c r="C2828" s="1" t="str">
        <f t="shared" si="185"/>
        <v>385-30</v>
      </c>
      <c r="D2828" t="s">
        <v>2812</v>
      </c>
      <c r="E2828" t="b">
        <f>IF(COUNTIF(D2828,"*"&amp;'Keyword Search'!$C$5&amp;"*"),TRUE,FALSE)</f>
        <v>1</v>
      </c>
      <c r="G2828" t="str">
        <f t="shared" si="186"/>
        <v>385-30: Eggs and Egg Mixes</v>
      </c>
    </row>
    <row r="2829" spans="1:7" x14ac:dyDescent="0.25">
      <c r="A2829" s="1" t="str">
        <f t="shared" si="187"/>
        <v>385</v>
      </c>
      <c r="B2829" s="1" t="str">
        <f>TEXT(31,"00")</f>
        <v>31</v>
      </c>
      <c r="C2829" s="1" t="str">
        <f t="shared" si="185"/>
        <v>385-31</v>
      </c>
      <c r="D2829" t="s">
        <v>2813</v>
      </c>
      <c r="E2829" t="b">
        <f>IF(COUNTIF(D2829,"*"&amp;'Keyword Search'!$C$5&amp;"*"),TRUE,FALSE)</f>
        <v>1</v>
      </c>
      <c r="G2829" t="str">
        <f t="shared" si="186"/>
        <v>385-31: Eggs and Egg Mixes, Freeze Dried</v>
      </c>
    </row>
    <row r="2830" spans="1:7" x14ac:dyDescent="0.25">
      <c r="A2830" s="1" t="str">
        <f t="shared" si="187"/>
        <v>385</v>
      </c>
      <c r="B2830" s="1" t="str">
        <f>TEXT(41,"00")</f>
        <v>41</v>
      </c>
      <c r="C2830" s="1" t="str">
        <f t="shared" si="185"/>
        <v>385-41</v>
      </c>
      <c r="D2830" t="s">
        <v>2814</v>
      </c>
      <c r="E2830" t="b">
        <f>IF(COUNTIF(D2830,"*"&amp;'Keyword Search'!$C$5&amp;"*"),TRUE,FALSE)</f>
        <v>1</v>
      </c>
      <c r="G2830" t="str">
        <f t="shared" si="186"/>
        <v>385-41: Entrees, Freeze Dried: Meat, Poultry and Seafood</v>
      </c>
    </row>
    <row r="2831" spans="1:7" x14ac:dyDescent="0.25">
      <c r="A2831" s="1" t="str">
        <f t="shared" si="187"/>
        <v>385</v>
      </c>
      <c r="B2831" s="1" t="str">
        <f>TEXT(42,"00")</f>
        <v>42</v>
      </c>
      <c r="C2831" s="1" t="str">
        <f t="shared" si="185"/>
        <v>385-42</v>
      </c>
      <c r="D2831" t="s">
        <v>2815</v>
      </c>
      <c r="E2831" t="b">
        <f>IF(COUNTIF(D2831,"*"&amp;'Keyword Search'!$C$5&amp;"*"),TRUE,FALSE)</f>
        <v>1</v>
      </c>
      <c r="G2831" t="str">
        <f t="shared" si="186"/>
        <v>385-42: Entrees, Meat, Including Beef and Pork</v>
      </c>
    </row>
    <row r="2832" spans="1:7" x14ac:dyDescent="0.25">
      <c r="A2832" s="1" t="str">
        <f t="shared" si="187"/>
        <v>385</v>
      </c>
      <c r="B2832" s="1" t="str">
        <f>TEXT(44,"00")</f>
        <v>44</v>
      </c>
      <c r="C2832" s="1" t="str">
        <f t="shared" si="185"/>
        <v>385-44</v>
      </c>
      <c r="D2832" t="s">
        <v>2816</v>
      </c>
      <c r="E2832" t="b">
        <f>IF(COUNTIF(D2832,"*"&amp;'Keyword Search'!$C$5&amp;"*"),TRUE,FALSE)</f>
        <v>1</v>
      </c>
      <c r="G2832" t="str">
        <f t="shared" si="186"/>
        <v>385-44: Entrees, Poultry</v>
      </c>
    </row>
    <row r="2833" spans="1:7" x14ac:dyDescent="0.25">
      <c r="A2833" s="1" t="str">
        <f t="shared" si="187"/>
        <v>385</v>
      </c>
      <c r="B2833" s="1" t="str">
        <f>TEXT(46,"00")</f>
        <v>46</v>
      </c>
      <c r="C2833" s="1" t="str">
        <f t="shared" si="185"/>
        <v>385-46</v>
      </c>
      <c r="D2833" t="s">
        <v>2817</v>
      </c>
      <c r="E2833" t="b">
        <f>IF(COUNTIF(D2833,"*"&amp;'Keyword Search'!$C$5&amp;"*"),TRUE,FALSE)</f>
        <v>1</v>
      </c>
      <c r="G2833" t="str">
        <f t="shared" si="186"/>
        <v>385-46: Entrees, Seafood</v>
      </c>
    </row>
    <row r="2834" spans="1:7" x14ac:dyDescent="0.25">
      <c r="A2834" s="1" t="str">
        <f t="shared" si="187"/>
        <v>385</v>
      </c>
      <c r="B2834" s="1" t="str">
        <f>TEXT(47,"00")</f>
        <v>47</v>
      </c>
      <c r="C2834" s="1" t="str">
        <f t="shared" si="185"/>
        <v>385-47</v>
      </c>
      <c r="D2834" t="s">
        <v>2818</v>
      </c>
      <c r="E2834" t="b">
        <f>IF(COUNTIF(D2834,"*"&amp;'Keyword Search'!$C$5&amp;"*"),TRUE,FALSE)</f>
        <v>1</v>
      </c>
      <c r="G2834" t="str">
        <f t="shared" si="186"/>
        <v>385-47: Entrees, Specialty, Including Corn Dogs, Lasagna, Macaroni/Cheese, Mexican Food, Pasta, etc.</v>
      </c>
    </row>
    <row r="2835" spans="1:7" x14ac:dyDescent="0.25">
      <c r="A2835" s="1" t="str">
        <f t="shared" si="187"/>
        <v>385</v>
      </c>
      <c r="B2835" s="1" t="str">
        <f>TEXT(48,"00")</f>
        <v>48</v>
      </c>
      <c r="C2835" s="1" t="str">
        <f t="shared" si="185"/>
        <v>385-48</v>
      </c>
      <c r="D2835" t="s">
        <v>2819</v>
      </c>
      <c r="E2835" t="b">
        <f>IF(COUNTIF(D2835,"*"&amp;'Keyword Search'!$C$5&amp;"*"),TRUE,FALSE)</f>
        <v>1</v>
      </c>
      <c r="G2835" t="str">
        <f t="shared" si="186"/>
        <v>385-48: Fruits, Frozen</v>
      </c>
    </row>
    <row r="2836" spans="1:7" x14ac:dyDescent="0.25">
      <c r="A2836" s="1" t="str">
        <f t="shared" si="187"/>
        <v>385</v>
      </c>
      <c r="B2836" s="1" t="str">
        <f>TEXT(49,"00")</f>
        <v>49</v>
      </c>
      <c r="C2836" s="1" t="str">
        <f t="shared" si="185"/>
        <v>385-49</v>
      </c>
      <c r="D2836" t="s">
        <v>2820</v>
      </c>
      <c r="E2836" t="b">
        <f>IF(COUNTIF(D2836,"*"&amp;'Keyword Search'!$C$5&amp;"*"),TRUE,FALSE)</f>
        <v>1</v>
      </c>
      <c r="G2836" t="str">
        <f t="shared" si="186"/>
        <v>385-49: Fruits, Frozen: Organic and Non GMO (Genetically Modified Organism)</v>
      </c>
    </row>
    <row r="2837" spans="1:7" x14ac:dyDescent="0.25">
      <c r="A2837" s="1" t="str">
        <f t="shared" si="187"/>
        <v>385</v>
      </c>
      <c r="B2837" s="1" t="str">
        <f>TEXT(54,"00")</f>
        <v>54</v>
      </c>
      <c r="C2837" s="1" t="str">
        <f t="shared" si="185"/>
        <v>385-54</v>
      </c>
      <c r="D2837" t="s">
        <v>2821</v>
      </c>
      <c r="E2837" t="b">
        <f>IF(COUNTIF(D2837,"*"&amp;'Keyword Search'!$C$5&amp;"*"),TRUE,FALSE)</f>
        <v>1</v>
      </c>
      <c r="G2837" t="str">
        <f t="shared" si="186"/>
        <v>385-54: Juices</v>
      </c>
    </row>
    <row r="2838" spans="1:7" x14ac:dyDescent="0.25">
      <c r="A2838" s="1" t="str">
        <f t="shared" si="187"/>
        <v>385</v>
      </c>
      <c r="B2838" s="1" t="str">
        <f>TEXT(55,"00")</f>
        <v>55</v>
      </c>
      <c r="C2838" s="1" t="str">
        <f t="shared" si="185"/>
        <v>385-55</v>
      </c>
      <c r="D2838" t="s">
        <v>2822</v>
      </c>
      <c r="E2838" t="b">
        <f>IF(COUNTIF(D2838,"*"&amp;'Keyword Search'!$C$5&amp;"*"),TRUE,FALSE)</f>
        <v>1</v>
      </c>
      <c r="G2838" t="str">
        <f t="shared" si="186"/>
        <v>385-55: Meat and Poultry Products, Processed and Minimally Processed, Organic and Non GMO</v>
      </c>
    </row>
    <row r="2839" spans="1:7" x14ac:dyDescent="0.25">
      <c r="A2839" s="1" t="str">
        <f t="shared" si="187"/>
        <v>385</v>
      </c>
      <c r="B2839" s="1" t="str">
        <f>TEXT(56,"00")</f>
        <v>56</v>
      </c>
      <c r="C2839" s="1" t="str">
        <f t="shared" si="185"/>
        <v>385-56</v>
      </c>
      <c r="D2839" t="s">
        <v>2823</v>
      </c>
      <c r="E2839" t="b">
        <f>IF(COUNTIF(D2839,"*"&amp;'Keyword Search'!$C$5&amp;"*"),TRUE,FALSE)</f>
        <v>1</v>
      </c>
      <c r="G2839" t="str">
        <f t="shared" si="186"/>
        <v>385-56: Pancakes, Waffles and French Toast</v>
      </c>
    </row>
    <row r="2840" spans="1:7" x14ac:dyDescent="0.25">
      <c r="A2840" s="1" t="str">
        <f t="shared" si="187"/>
        <v>385</v>
      </c>
      <c r="B2840" s="1" t="str">
        <f>TEXT(57,"00")</f>
        <v>57</v>
      </c>
      <c r="C2840" s="1" t="str">
        <f t="shared" si="185"/>
        <v>385-57</v>
      </c>
      <c r="D2840" t="s">
        <v>2791</v>
      </c>
      <c r="E2840" t="b">
        <f>IF(COUNTIF(D2840,"*"&amp;'Keyword Search'!$C$5&amp;"*"),TRUE,FALSE)</f>
        <v>1</v>
      </c>
      <c r="G2840" t="str">
        <f t="shared" si="186"/>
        <v>385-57: Pizzas</v>
      </c>
    </row>
    <row r="2841" spans="1:7" x14ac:dyDescent="0.25">
      <c r="A2841" s="1" t="str">
        <f t="shared" si="187"/>
        <v>385</v>
      </c>
      <c r="B2841" s="1" t="str">
        <f>TEXT(58,"00")</f>
        <v>58</v>
      </c>
      <c r="C2841" s="1" t="str">
        <f t="shared" si="185"/>
        <v>385-58</v>
      </c>
      <c r="D2841" t="s">
        <v>2824</v>
      </c>
      <c r="E2841" t="b">
        <f>IF(COUNTIF(D2841,"*"&amp;'Keyword Search'!$C$5&amp;"*"),TRUE,FALSE)</f>
        <v>1</v>
      </c>
      <c r="G2841" t="str">
        <f t="shared" si="186"/>
        <v>385-58: Pretzels, Soft Frozen</v>
      </c>
    </row>
    <row r="2842" spans="1:7" x14ac:dyDescent="0.25">
      <c r="A2842" s="1" t="str">
        <f t="shared" si="187"/>
        <v>385</v>
      </c>
      <c r="B2842" s="1" t="str">
        <f>TEXT(64,"00")</f>
        <v>64</v>
      </c>
      <c r="C2842" s="1" t="str">
        <f t="shared" si="185"/>
        <v>385-64</v>
      </c>
      <c r="D2842" t="s">
        <v>2825</v>
      </c>
      <c r="E2842" t="b">
        <f>IF(COUNTIF(D2842,"*"&amp;'Keyword Search'!$C$5&amp;"*"),TRUE,FALSE)</f>
        <v>1</v>
      </c>
      <c r="G2842" t="str">
        <f t="shared" si="186"/>
        <v>385-64: Salad Mixes, Frozen</v>
      </c>
    </row>
    <row r="2843" spans="1:7" x14ac:dyDescent="0.25">
      <c r="A2843" s="1" t="str">
        <f t="shared" si="187"/>
        <v>385</v>
      </c>
      <c r="B2843" s="1" t="str">
        <f>TEXT(65,"00")</f>
        <v>65</v>
      </c>
      <c r="C2843" s="1" t="str">
        <f t="shared" si="185"/>
        <v>385-65</v>
      </c>
      <c r="D2843" t="s">
        <v>2826</v>
      </c>
      <c r="E2843" t="b">
        <f>IF(COUNTIF(D2843,"*"&amp;'Keyword Search'!$C$5&amp;"*"),TRUE,FALSE)</f>
        <v>1</v>
      </c>
      <c r="G2843" t="str">
        <f t="shared" si="186"/>
        <v>385-65: Sandwiches, Ready-Made</v>
      </c>
    </row>
    <row r="2844" spans="1:7" x14ac:dyDescent="0.25">
      <c r="A2844" s="1" t="str">
        <f t="shared" si="187"/>
        <v>385</v>
      </c>
      <c r="B2844" s="1" t="str">
        <f>TEXT(66,"00")</f>
        <v>66</v>
      </c>
      <c r="C2844" s="1" t="str">
        <f t="shared" si="185"/>
        <v>385-66</v>
      </c>
      <c r="D2844" t="s">
        <v>2827</v>
      </c>
      <c r="E2844" t="b">
        <f>IF(COUNTIF(D2844,"*"&amp;'Keyword Search'!$C$5&amp;"*"),TRUE,FALSE)</f>
        <v>1</v>
      </c>
      <c r="G2844" t="str">
        <f t="shared" si="186"/>
        <v>385-66: Seafood, Freeze Dried, Not Entrees)</v>
      </c>
    </row>
    <row r="2845" spans="1:7" x14ac:dyDescent="0.25">
      <c r="A2845" s="1" t="str">
        <f t="shared" si="187"/>
        <v>385</v>
      </c>
      <c r="B2845" s="1" t="str">
        <f>TEXT(67,"00")</f>
        <v>67</v>
      </c>
      <c r="C2845" s="1" t="str">
        <f t="shared" si="185"/>
        <v>385-67</v>
      </c>
      <c r="D2845" t="s">
        <v>2828</v>
      </c>
      <c r="E2845" t="b">
        <f>IF(COUNTIF(D2845,"*"&amp;'Keyword Search'!$C$5&amp;"*"),TRUE,FALSE)</f>
        <v>1</v>
      </c>
      <c r="G2845" t="str">
        <f t="shared" si="186"/>
        <v>385-67: Seafood, Frozen, Not Entrees</v>
      </c>
    </row>
    <row r="2846" spans="1:7" x14ac:dyDescent="0.25">
      <c r="A2846" s="1" t="str">
        <f t="shared" si="187"/>
        <v>385</v>
      </c>
      <c r="B2846" s="1" t="str">
        <f>TEXT(68,"00")</f>
        <v>68</v>
      </c>
      <c r="C2846" s="1" t="str">
        <f t="shared" si="185"/>
        <v>385-68</v>
      </c>
      <c r="D2846" t="s">
        <v>2829</v>
      </c>
      <c r="E2846" t="b">
        <f>IF(COUNTIF(D2846,"*"&amp;'Keyword Search'!$C$5&amp;"*"),TRUE,FALSE)</f>
        <v>1</v>
      </c>
      <c r="G2846" t="str">
        <f t="shared" si="186"/>
        <v>385-68: Seafood, Wild and Farm Raised, Fish and Shellfish</v>
      </c>
    </row>
    <row r="2847" spans="1:7" x14ac:dyDescent="0.25">
      <c r="A2847" s="1" t="str">
        <f t="shared" si="187"/>
        <v>385</v>
      </c>
      <c r="B2847" s="1" t="str">
        <f>TEXT(80,"00")</f>
        <v>80</v>
      </c>
      <c r="C2847" s="1" t="str">
        <f t="shared" si="185"/>
        <v>385-80</v>
      </c>
      <c r="D2847" t="s">
        <v>2830</v>
      </c>
      <c r="E2847" t="b">
        <f>IF(COUNTIF(D2847,"*"&amp;'Keyword Search'!$C$5&amp;"*"),TRUE,FALSE)</f>
        <v>1</v>
      </c>
      <c r="G2847" t="str">
        <f t="shared" si="186"/>
        <v>385-80: Shakes, Frozen</v>
      </c>
    </row>
    <row r="2848" spans="1:7" x14ac:dyDescent="0.25">
      <c r="A2848" s="1" t="str">
        <f t="shared" si="187"/>
        <v>385</v>
      </c>
      <c r="B2848" s="1" t="str">
        <f>TEXT(84,"00")</f>
        <v>84</v>
      </c>
      <c r="C2848" s="1" t="str">
        <f t="shared" si="185"/>
        <v>385-84</v>
      </c>
      <c r="D2848" t="s">
        <v>2831</v>
      </c>
      <c r="E2848" t="b">
        <f>IF(COUNTIF(D2848,"*"&amp;'Keyword Search'!$C$5&amp;"*"),TRUE,FALSE)</f>
        <v>1</v>
      </c>
      <c r="G2848" t="str">
        <f t="shared" si="186"/>
        <v>385-84: Soups and Sauces, Frozen</v>
      </c>
    </row>
    <row r="2849" spans="1:7" x14ac:dyDescent="0.25">
      <c r="A2849" s="1" t="str">
        <f t="shared" si="187"/>
        <v>385</v>
      </c>
      <c r="B2849" s="1" t="str">
        <f>TEXT(85,"00")</f>
        <v>85</v>
      </c>
      <c r="C2849" s="1" t="str">
        <f t="shared" si="185"/>
        <v>385-85</v>
      </c>
      <c r="D2849" t="s">
        <v>2832</v>
      </c>
      <c r="E2849" t="b">
        <f>IF(COUNTIF(D2849,"*"&amp;'Keyword Search'!$C$5&amp;"*"),TRUE,FALSE)</f>
        <v>1</v>
      </c>
      <c r="G2849" t="str">
        <f t="shared" si="186"/>
        <v>385-85: Spices, Herbs, Seasonings, Starches, Including Seasoned Salt and Pepper, Frozen</v>
      </c>
    </row>
    <row r="2850" spans="1:7" x14ac:dyDescent="0.25">
      <c r="A2850" s="1" t="str">
        <f t="shared" si="187"/>
        <v>385</v>
      </c>
      <c r="B2850" s="1" t="str">
        <f>TEXT(95,"00")</f>
        <v>95</v>
      </c>
      <c r="C2850" s="1" t="str">
        <f t="shared" si="185"/>
        <v>385-95</v>
      </c>
      <c r="D2850" t="s">
        <v>2833</v>
      </c>
      <c r="E2850" t="b">
        <f>IF(COUNTIF(D2850,"*"&amp;'Keyword Search'!$C$5&amp;"*"),TRUE,FALSE)</f>
        <v>1</v>
      </c>
      <c r="G2850" t="str">
        <f t="shared" si="186"/>
        <v>385-95: Vegetables, Freeze Dried</v>
      </c>
    </row>
    <row r="2851" spans="1:7" x14ac:dyDescent="0.25">
      <c r="A2851" s="1" t="str">
        <f t="shared" si="187"/>
        <v>385</v>
      </c>
      <c r="B2851" s="1" t="str">
        <f>TEXT(96,"00")</f>
        <v>96</v>
      </c>
      <c r="C2851" s="1" t="str">
        <f t="shared" si="185"/>
        <v>385-96</v>
      </c>
      <c r="D2851" t="s">
        <v>2834</v>
      </c>
      <c r="E2851" t="b">
        <f>IF(COUNTIF(D2851,"*"&amp;'Keyword Search'!$C$5&amp;"*"),TRUE,FALSE)</f>
        <v>1</v>
      </c>
      <c r="G2851" t="str">
        <f t="shared" si="186"/>
        <v>385-96: Vegetables, Frozen</v>
      </c>
    </row>
    <row r="2852" spans="1:7" x14ac:dyDescent="0.25">
      <c r="A2852" s="1" t="str">
        <f t="shared" si="187"/>
        <v>385</v>
      </c>
      <c r="B2852" s="1" t="str">
        <f>TEXT(97,"00")</f>
        <v>97</v>
      </c>
      <c r="C2852" s="1" t="str">
        <f t="shared" si="185"/>
        <v>385-97</v>
      </c>
      <c r="D2852" t="s">
        <v>2835</v>
      </c>
      <c r="E2852" t="b">
        <f>IF(COUNTIF(D2852,"*"&amp;'Keyword Search'!$C$5&amp;"*"),TRUE,FALSE)</f>
        <v>1</v>
      </c>
      <c r="G2852" t="str">
        <f t="shared" si="186"/>
        <v>385-97: Vegetables, Frozen: Organic and Non GMO (Genetically Modified Organism)</v>
      </c>
    </row>
    <row r="2853" spans="1:7" x14ac:dyDescent="0.25">
      <c r="A2853" s="5" t="str">
        <f t="shared" ref="A2853:A2877" si="188">TEXT(390,"000")</f>
        <v>390</v>
      </c>
      <c r="B2853" s="5" t="str">
        <f>TEXT(0,"00")</f>
        <v>00</v>
      </c>
      <c r="C2853" s="1"/>
      <c r="D2853" s="2" t="s">
        <v>2836</v>
      </c>
    </row>
    <row r="2854" spans="1:7" x14ac:dyDescent="0.25">
      <c r="A2854" s="1" t="str">
        <f t="shared" si="188"/>
        <v>390</v>
      </c>
      <c r="B2854" s="1" t="str">
        <f>TEXT(2,"00")</f>
        <v>02</v>
      </c>
      <c r="C2854" s="1" t="str">
        <f t="shared" si="185"/>
        <v>390-02</v>
      </c>
      <c r="D2854" t="s">
        <v>2837</v>
      </c>
      <c r="E2854" t="b">
        <f>IF(COUNTIF(D2854,"*"&amp;'Keyword Search'!$C$5&amp;"*"),TRUE,FALSE)</f>
        <v>1</v>
      </c>
      <c r="G2854" t="str">
        <f t="shared" si="186"/>
        <v>390-02: Aquatic Invertebrates, Octopus, Squid, Anemones, Sea Cucumbers</v>
      </c>
    </row>
    <row r="2855" spans="1:7" x14ac:dyDescent="0.25">
      <c r="A2855" s="1" t="str">
        <f t="shared" si="188"/>
        <v>390</v>
      </c>
      <c r="B2855" s="1" t="str">
        <f>TEXT(3,"00")</f>
        <v>03</v>
      </c>
      <c r="C2855" s="1" t="str">
        <f t="shared" si="185"/>
        <v>390-03</v>
      </c>
      <c r="D2855" t="s">
        <v>2838</v>
      </c>
      <c r="E2855" t="b">
        <f>IF(COUNTIF(D2855,"*"&amp;'Keyword Search'!$C$5&amp;"*"),TRUE,FALSE)</f>
        <v>1</v>
      </c>
      <c r="G2855" t="str">
        <f t="shared" si="186"/>
        <v>390-03: Bread, Refrigerated Dough</v>
      </c>
    </row>
    <row r="2856" spans="1:7" x14ac:dyDescent="0.25">
      <c r="A2856" s="1" t="str">
        <f t="shared" si="188"/>
        <v>390</v>
      </c>
      <c r="B2856" s="1" t="str">
        <f>TEXT(5,"00")</f>
        <v>05</v>
      </c>
      <c r="C2856" s="1" t="str">
        <f t="shared" si="185"/>
        <v>390-05</v>
      </c>
      <c r="D2856" t="s">
        <v>2839</v>
      </c>
      <c r="E2856" t="b">
        <f>IF(COUNTIF(D2856,"*"&amp;'Keyword Search'!$C$5&amp;"*"),TRUE,FALSE)</f>
        <v>1</v>
      </c>
      <c r="G2856" t="str">
        <f t="shared" si="186"/>
        <v>390-05: Casings, Meat, All Types</v>
      </c>
    </row>
    <row r="2857" spans="1:7" x14ac:dyDescent="0.25">
      <c r="A2857" s="1" t="str">
        <f t="shared" si="188"/>
        <v>390</v>
      </c>
      <c r="B2857" s="1" t="str">
        <f>TEXT(7,"00")</f>
        <v>07</v>
      </c>
      <c r="C2857" s="1" t="str">
        <f t="shared" si="185"/>
        <v>390-07</v>
      </c>
      <c r="D2857" t="s">
        <v>2840</v>
      </c>
      <c r="E2857" t="b">
        <f>IF(COUNTIF(D2857,"*"&amp;'Keyword Search'!$C$5&amp;"*"),TRUE,FALSE)</f>
        <v>1</v>
      </c>
      <c r="G2857" t="str">
        <f t="shared" si="186"/>
        <v>390-07: Cheese</v>
      </c>
    </row>
    <row r="2858" spans="1:7" x14ac:dyDescent="0.25">
      <c r="A2858" s="1" t="str">
        <f t="shared" si="188"/>
        <v>390</v>
      </c>
      <c r="B2858" s="1" t="str">
        <f>TEXT(15,"00")</f>
        <v>15</v>
      </c>
      <c r="C2858" s="1" t="str">
        <f t="shared" si="185"/>
        <v>390-15</v>
      </c>
      <c r="D2858" t="s">
        <v>2841</v>
      </c>
      <c r="E2858" t="b">
        <f>IF(COUNTIF(D2858,"*"&amp;'Keyword Search'!$C$5&amp;"*"),TRUE,FALSE)</f>
        <v>1</v>
      </c>
      <c r="G2858" t="str">
        <f t="shared" si="186"/>
        <v>390-15: Dips, Food</v>
      </c>
    </row>
    <row r="2859" spans="1:7" x14ac:dyDescent="0.25">
      <c r="A2859" s="1" t="str">
        <f t="shared" si="188"/>
        <v>390</v>
      </c>
      <c r="B2859" s="1" t="str">
        <f>TEXT(21,"00")</f>
        <v>21</v>
      </c>
      <c r="C2859" s="1" t="str">
        <f t="shared" si="185"/>
        <v>390-21</v>
      </c>
      <c r="D2859" t="s">
        <v>2842</v>
      </c>
      <c r="E2859" t="b">
        <f>IF(COUNTIF(D2859,"*"&amp;'Keyword Search'!$C$5&amp;"*"),TRUE,FALSE)</f>
        <v>1</v>
      </c>
      <c r="G2859" t="str">
        <f t="shared" si="186"/>
        <v>390-21: Eggs, Fresh</v>
      </c>
    </row>
    <row r="2860" spans="1:7" x14ac:dyDescent="0.25">
      <c r="A2860" s="1" t="str">
        <f t="shared" si="188"/>
        <v>390</v>
      </c>
      <c r="B2860" s="1" t="str">
        <f>TEXT(28,"00")</f>
        <v>28</v>
      </c>
      <c r="C2860" s="1" t="str">
        <f t="shared" si="185"/>
        <v>390-28</v>
      </c>
      <c r="D2860" t="s">
        <v>2843</v>
      </c>
      <c r="E2860" t="b">
        <f>IF(COUNTIF(D2860,"*"&amp;'Keyword Search'!$C$5&amp;"*"),TRUE,FALSE)</f>
        <v>1</v>
      </c>
      <c r="G2860" t="str">
        <f t="shared" si="186"/>
        <v>390-28: Fruits, Fresh</v>
      </c>
    </row>
    <row r="2861" spans="1:7" x14ac:dyDescent="0.25">
      <c r="A2861" s="1" t="str">
        <f t="shared" si="188"/>
        <v>390</v>
      </c>
      <c r="B2861" s="1" t="str">
        <f>TEXT(29,"00")</f>
        <v>29</v>
      </c>
      <c r="C2861" s="1" t="str">
        <f t="shared" si="185"/>
        <v>390-29</v>
      </c>
      <c r="D2861" t="s">
        <v>2844</v>
      </c>
      <c r="E2861" t="b">
        <f>IF(COUNTIF(D2861,"*"&amp;'Keyword Search'!$C$5&amp;"*"),TRUE,FALSE)</f>
        <v>1</v>
      </c>
      <c r="G2861" t="str">
        <f t="shared" si="186"/>
        <v>390-29: Fruits, Fresh, Organic and Non GMO (Genetically Modified Organism)</v>
      </c>
    </row>
    <row r="2862" spans="1:7" x14ac:dyDescent="0.25">
      <c r="A2862" s="1" t="str">
        <f t="shared" si="188"/>
        <v>390</v>
      </c>
      <c r="B2862" s="1" t="str">
        <f>TEXT(33,"00")</f>
        <v>33</v>
      </c>
      <c r="C2862" s="1" t="str">
        <f t="shared" si="185"/>
        <v>390-33</v>
      </c>
      <c r="D2862" t="s">
        <v>2845</v>
      </c>
      <c r="E2862" t="b">
        <f>IF(COUNTIF(D2862,"*"&amp;'Keyword Search'!$C$5&amp;"*"),TRUE,FALSE)</f>
        <v>1</v>
      </c>
      <c r="G2862" t="str">
        <f t="shared" si="186"/>
        <v>390-33: Hors d'oeuvres, Meat Trays, Vegetable Trays, Dessert Trays, etc. For Meetings and Parties</v>
      </c>
    </row>
    <row r="2863" spans="1:7" x14ac:dyDescent="0.25">
      <c r="A2863" s="1" t="str">
        <f t="shared" si="188"/>
        <v>390</v>
      </c>
      <c r="B2863" s="1" t="str">
        <f>TEXT(35,"00")</f>
        <v>35</v>
      </c>
      <c r="C2863" s="1" t="str">
        <f t="shared" si="185"/>
        <v>390-35</v>
      </c>
      <c r="D2863" t="s">
        <v>2846</v>
      </c>
      <c r="E2863" t="b">
        <f>IF(COUNTIF(D2863,"*"&amp;'Keyword Search'!$C$5&amp;"*"),TRUE,FALSE)</f>
        <v>1</v>
      </c>
      <c r="G2863" t="str">
        <f t="shared" si="186"/>
        <v>390-35: Ice</v>
      </c>
    </row>
    <row r="2864" spans="1:7" x14ac:dyDescent="0.25">
      <c r="A2864" s="1" t="str">
        <f t="shared" si="188"/>
        <v>390</v>
      </c>
      <c r="B2864" s="1" t="str">
        <f>TEXT(42,"00")</f>
        <v>42</v>
      </c>
      <c r="C2864" s="1" t="str">
        <f t="shared" si="185"/>
        <v>390-42</v>
      </c>
      <c r="D2864" t="s">
        <v>2847</v>
      </c>
      <c r="E2864" t="b">
        <f>IF(COUNTIF(D2864,"*"&amp;'Keyword Search'!$C$5&amp;"*"),TRUE,FALSE)</f>
        <v>1</v>
      </c>
      <c r="G2864" t="str">
        <f t="shared" si="186"/>
        <v>390-42: Ice, Dry</v>
      </c>
    </row>
    <row r="2865" spans="1:7" x14ac:dyDescent="0.25">
      <c r="A2865" s="1" t="str">
        <f t="shared" si="188"/>
        <v>390</v>
      </c>
      <c r="B2865" s="1" t="str">
        <f>TEXT(49,"00")</f>
        <v>49</v>
      </c>
      <c r="C2865" s="1" t="str">
        <f t="shared" si="185"/>
        <v>390-49</v>
      </c>
      <c r="D2865" t="s">
        <v>2848</v>
      </c>
      <c r="E2865" t="b">
        <f>IF(COUNTIF(D2865,"*"&amp;'Keyword Search'!$C$5&amp;"*"),TRUE,FALSE)</f>
        <v>1</v>
      </c>
      <c r="G2865" t="str">
        <f t="shared" si="186"/>
        <v>390-49: Meat: Cured, Fresh, and Frozen</v>
      </c>
    </row>
    <row r="2866" spans="1:7" x14ac:dyDescent="0.25">
      <c r="A2866" s="1" t="str">
        <f t="shared" si="188"/>
        <v>390</v>
      </c>
      <c r="B2866" s="1" t="str">
        <f>TEXT(56,"00")</f>
        <v>56</v>
      </c>
      <c r="C2866" s="1" t="str">
        <f t="shared" si="185"/>
        <v>390-56</v>
      </c>
      <c r="D2866" t="s">
        <v>2849</v>
      </c>
      <c r="E2866" t="b">
        <f>IF(COUNTIF(D2866,"*"&amp;'Keyword Search'!$C$5&amp;"*"),TRUE,FALSE)</f>
        <v>1</v>
      </c>
      <c r="G2866" t="str">
        <f t="shared" si="186"/>
        <v>390-56: Margarine (See 380-10 for Butter)</v>
      </c>
    </row>
    <row r="2867" spans="1:7" x14ac:dyDescent="0.25">
      <c r="A2867" s="1" t="str">
        <f t="shared" si="188"/>
        <v>390</v>
      </c>
      <c r="B2867" s="1" t="str">
        <f>TEXT(63,"00")</f>
        <v>63</v>
      </c>
      <c r="C2867" s="1" t="str">
        <f t="shared" si="185"/>
        <v>390-63</v>
      </c>
      <c r="D2867" t="s">
        <v>2850</v>
      </c>
      <c r="E2867" t="b">
        <f>IF(COUNTIF(D2867,"*"&amp;'Keyword Search'!$C$5&amp;"*"),TRUE,FALSE)</f>
        <v>1</v>
      </c>
      <c r="G2867" t="str">
        <f t="shared" si="186"/>
        <v>390-63: Poultry, Dressed</v>
      </c>
    </row>
    <row r="2868" spans="1:7" x14ac:dyDescent="0.25">
      <c r="A2868" s="1" t="str">
        <f t="shared" si="188"/>
        <v>390</v>
      </c>
      <c r="B2868" s="1" t="str">
        <f>TEXT(68,"00")</f>
        <v>68</v>
      </c>
      <c r="C2868" s="1" t="str">
        <f t="shared" si="185"/>
        <v>390-68</v>
      </c>
      <c r="D2868" t="s">
        <v>2851</v>
      </c>
      <c r="E2868" t="b">
        <f>IF(COUNTIF(D2868,"*"&amp;'Keyword Search'!$C$5&amp;"*"),TRUE,FALSE)</f>
        <v>1</v>
      </c>
      <c r="G2868" t="str">
        <f t="shared" si="186"/>
        <v>390-68: Salad Mix, Fresh</v>
      </c>
    </row>
    <row r="2869" spans="1:7" x14ac:dyDescent="0.25">
      <c r="A2869" s="1" t="str">
        <f t="shared" si="188"/>
        <v>390</v>
      </c>
      <c r="B2869" s="1" t="str">
        <f>TEXT(69,"00")</f>
        <v>69</v>
      </c>
      <c r="C2869" s="1" t="str">
        <f t="shared" si="185"/>
        <v>390-69</v>
      </c>
      <c r="D2869" t="s">
        <v>2852</v>
      </c>
      <c r="E2869" t="b">
        <f>IF(COUNTIF(D2869,"*"&amp;'Keyword Search'!$C$5&amp;"*"),TRUE,FALSE)</f>
        <v>1</v>
      </c>
      <c r="G2869" t="str">
        <f t="shared" si="186"/>
        <v>390-69: Salted or Smoked Foods, Fruit, Meat, Seafood, Nuts, etc.</v>
      </c>
    </row>
    <row r="2870" spans="1:7" x14ac:dyDescent="0.25">
      <c r="A2870" s="1" t="str">
        <f t="shared" si="188"/>
        <v>390</v>
      </c>
      <c r="B2870" s="1" t="str">
        <f>TEXT(70,"00")</f>
        <v>70</v>
      </c>
      <c r="C2870" s="1" t="str">
        <f t="shared" si="185"/>
        <v>390-70</v>
      </c>
      <c r="D2870" t="s">
        <v>2853</v>
      </c>
      <c r="E2870" t="b">
        <f>IF(COUNTIF(D2870,"*"&amp;'Keyword Search'!$C$5&amp;"*"),TRUE,FALSE)</f>
        <v>1</v>
      </c>
      <c r="G2870" t="str">
        <f t="shared" si="186"/>
        <v>390-70: Seafood, Fresh</v>
      </c>
    </row>
    <row r="2871" spans="1:7" x14ac:dyDescent="0.25">
      <c r="A2871" s="1" t="str">
        <f t="shared" si="188"/>
        <v>390</v>
      </c>
      <c r="B2871" s="1" t="str">
        <f>TEXT(71,"00")</f>
        <v>71</v>
      </c>
      <c r="C2871" s="1" t="str">
        <f t="shared" si="185"/>
        <v>390-71</v>
      </c>
      <c r="D2871" t="s">
        <v>2854</v>
      </c>
      <c r="E2871" t="b">
        <f>IF(COUNTIF(D2871,"*"&amp;'Keyword Search'!$C$5&amp;"*"),TRUE,FALSE)</f>
        <v>1</v>
      </c>
      <c r="G2871" t="str">
        <f t="shared" si="186"/>
        <v>390-71: Sandwiches, Ready Made, Deli, Fresh</v>
      </c>
    </row>
    <row r="2872" spans="1:7" x14ac:dyDescent="0.25">
      <c r="A2872" s="1" t="str">
        <f t="shared" si="188"/>
        <v>390</v>
      </c>
      <c r="B2872" s="1" t="str">
        <f>TEXT(72,"00")</f>
        <v>72</v>
      </c>
      <c r="C2872" s="1" t="str">
        <f t="shared" si="185"/>
        <v>390-72</v>
      </c>
      <c r="D2872" t="s">
        <v>2855</v>
      </c>
      <c r="E2872" t="b">
        <f>IF(COUNTIF(D2872,"*"&amp;'Keyword Search'!$C$5&amp;"*"),TRUE,FALSE)</f>
        <v>1</v>
      </c>
      <c r="G2872" t="str">
        <f t="shared" si="186"/>
        <v>390-72: Shellfish, Fresh</v>
      </c>
    </row>
    <row r="2873" spans="1:7" x14ac:dyDescent="0.25">
      <c r="A2873" s="1" t="str">
        <f t="shared" si="188"/>
        <v>390</v>
      </c>
      <c r="B2873" s="1" t="str">
        <f>TEXT(75,"00")</f>
        <v>75</v>
      </c>
      <c r="C2873" s="1" t="str">
        <f t="shared" si="185"/>
        <v>390-75</v>
      </c>
      <c r="D2873" t="s">
        <v>2856</v>
      </c>
      <c r="E2873" t="b">
        <f>IF(COUNTIF(D2873,"*"&amp;'Keyword Search'!$C$5&amp;"*"),TRUE,FALSE)</f>
        <v>1</v>
      </c>
      <c r="G2873" t="str">
        <f t="shared" si="186"/>
        <v>390-75: Shortening, Except Vegetable and Lard</v>
      </c>
    </row>
    <row r="2874" spans="1:7" x14ac:dyDescent="0.25">
      <c r="A2874" s="1" t="str">
        <f t="shared" si="188"/>
        <v>390</v>
      </c>
      <c r="B2874" s="1" t="str">
        <f>TEXT(77,"00")</f>
        <v>77</v>
      </c>
      <c r="C2874" s="1" t="str">
        <f t="shared" si="185"/>
        <v>390-77</v>
      </c>
      <c r="D2874" t="s">
        <v>2857</v>
      </c>
      <c r="E2874" t="b">
        <f>IF(COUNTIF(D2874,"*"&amp;'Keyword Search'!$C$5&amp;"*"),TRUE,FALSE)</f>
        <v>1</v>
      </c>
      <c r="G2874" t="str">
        <f t="shared" si="186"/>
        <v>390-77: Tamales, Fresh</v>
      </c>
    </row>
    <row r="2875" spans="1:7" x14ac:dyDescent="0.25">
      <c r="A2875" s="1" t="str">
        <f t="shared" si="188"/>
        <v>390</v>
      </c>
      <c r="B2875" s="1" t="str">
        <f>TEXT(84,"00")</f>
        <v>84</v>
      </c>
      <c r="C2875" s="1" t="str">
        <f t="shared" si="185"/>
        <v>390-84</v>
      </c>
      <c r="D2875" t="s">
        <v>2858</v>
      </c>
      <c r="E2875" t="b">
        <f>IF(COUNTIF(D2875,"*"&amp;'Keyword Search'!$C$5&amp;"*"),TRUE,FALSE)</f>
        <v>1</v>
      </c>
      <c r="G2875" t="str">
        <f t="shared" si="186"/>
        <v>390-84: Vegetables, Fresh</v>
      </c>
    </row>
    <row r="2876" spans="1:7" x14ac:dyDescent="0.25">
      <c r="A2876" s="1" t="str">
        <f t="shared" si="188"/>
        <v>390</v>
      </c>
      <c r="B2876" s="1" t="str">
        <f>TEXT(85,"00")</f>
        <v>85</v>
      </c>
      <c r="C2876" s="1" t="str">
        <f t="shared" si="185"/>
        <v>390-85</v>
      </c>
      <c r="D2876" t="s">
        <v>2859</v>
      </c>
      <c r="E2876" t="b">
        <f>IF(COUNTIF(D2876,"*"&amp;'Keyword Search'!$C$5&amp;"*"),TRUE,FALSE)</f>
        <v>1</v>
      </c>
      <c r="G2876" t="str">
        <f t="shared" si="186"/>
        <v>390-85: Vegetables, Fresh, Organic and Non GMO (Genetically Modified Organism)</v>
      </c>
    </row>
    <row r="2877" spans="1:7" x14ac:dyDescent="0.25">
      <c r="A2877" s="1" t="str">
        <f t="shared" si="188"/>
        <v>390</v>
      </c>
      <c r="B2877" s="1" t="str">
        <f>TEXT(91,"00")</f>
        <v>91</v>
      </c>
      <c r="C2877" s="1" t="str">
        <f t="shared" si="185"/>
        <v>390-91</v>
      </c>
      <c r="D2877" t="s">
        <v>2860</v>
      </c>
      <c r="E2877" t="b">
        <f>IF(COUNTIF(D2877,"*"&amp;'Keyword Search'!$C$5&amp;"*"),TRUE,FALSE)</f>
        <v>1</v>
      </c>
      <c r="G2877" t="str">
        <f t="shared" si="186"/>
        <v>390-91: Water, Bottled, Drinking, Including  Distilled, Mineral, Sparkling and Spring</v>
      </c>
    </row>
    <row r="2878" spans="1:7" x14ac:dyDescent="0.25">
      <c r="A2878" s="5" t="str">
        <f t="shared" ref="A2878:A2941" si="189">TEXT(393,"000")</f>
        <v>393</v>
      </c>
      <c r="B2878" s="5" t="str">
        <f>TEXT(0,"00")</f>
        <v>00</v>
      </c>
      <c r="C2878" s="1"/>
      <c r="D2878" s="2" t="s">
        <v>2861</v>
      </c>
    </row>
    <row r="2879" spans="1:7" x14ac:dyDescent="0.25">
      <c r="A2879" s="1" t="str">
        <f t="shared" si="189"/>
        <v>393</v>
      </c>
      <c r="B2879" s="1" t="str">
        <f>TEXT(3,"00")</f>
        <v>03</v>
      </c>
      <c r="C2879" s="1" t="str">
        <f t="shared" si="185"/>
        <v>393-03</v>
      </c>
      <c r="D2879" t="s">
        <v>2862</v>
      </c>
      <c r="E2879" t="b">
        <f>IF(COUNTIF(D2879,"*"&amp;'Keyword Search'!$C$5&amp;"*"),TRUE,FALSE)</f>
        <v>1</v>
      </c>
      <c r="G2879" t="str">
        <f t="shared" si="186"/>
        <v>393-03: Breading</v>
      </c>
    </row>
    <row r="2880" spans="1:7" x14ac:dyDescent="0.25">
      <c r="A2880" s="1" t="str">
        <f t="shared" si="189"/>
        <v>393</v>
      </c>
      <c r="B2880" s="1" t="str">
        <f>TEXT(4,"00")</f>
        <v>04</v>
      </c>
      <c r="C2880" s="1" t="str">
        <f t="shared" si="185"/>
        <v>393-04</v>
      </c>
      <c r="D2880" t="s">
        <v>2863</v>
      </c>
      <c r="E2880" t="b">
        <f>IF(COUNTIF(D2880,"*"&amp;'Keyword Search'!$C$5&amp;"*"),TRUE,FALSE)</f>
        <v>1</v>
      </c>
      <c r="G2880" t="str">
        <f t="shared" si="186"/>
        <v>393-04: Bread Mixes, All Types</v>
      </c>
    </row>
    <row r="2881" spans="1:7" x14ac:dyDescent="0.25">
      <c r="A2881" s="1" t="str">
        <f t="shared" si="189"/>
        <v>393</v>
      </c>
      <c r="B2881" s="1" t="str">
        <f>TEXT(5,"00")</f>
        <v>05</v>
      </c>
      <c r="C2881" s="1" t="str">
        <f t="shared" si="185"/>
        <v>393-05</v>
      </c>
      <c r="D2881" t="s">
        <v>2864</v>
      </c>
      <c r="E2881" t="b">
        <f>IF(COUNTIF(D2881,"*"&amp;'Keyword Search'!$C$5&amp;"*"),TRUE,FALSE)</f>
        <v>1</v>
      </c>
      <c r="G2881" t="str">
        <f t="shared" si="186"/>
        <v>393-05: Cones, Ice Cream</v>
      </c>
    </row>
    <row r="2882" spans="1:7" x14ac:dyDescent="0.25">
      <c r="A2882" s="1" t="str">
        <f t="shared" si="189"/>
        <v>393</v>
      </c>
      <c r="B2882" s="1" t="str">
        <f>TEXT(6,"00")</f>
        <v>06</v>
      </c>
      <c r="C2882" s="1" t="str">
        <f t="shared" si="185"/>
        <v>393-06</v>
      </c>
      <c r="D2882" t="s">
        <v>2865</v>
      </c>
      <c r="E2882" t="b">
        <f>IF(COUNTIF(D2882,"*"&amp;'Keyword Search'!$C$5&amp;"*"),TRUE,FALSE)</f>
        <v>1</v>
      </c>
      <c r="G2882" t="str">
        <f t="shared" si="186"/>
        <v>393-06: Combination Meals and Entrees, Shelf Stable, Including Ready to Eat Prepared Meals (MRE)</v>
      </c>
    </row>
    <row r="2883" spans="1:7" x14ac:dyDescent="0.25">
      <c r="A2883" s="1" t="str">
        <f t="shared" si="189"/>
        <v>393</v>
      </c>
      <c r="B2883" s="1" t="str">
        <f>TEXT(7,"00")</f>
        <v>07</v>
      </c>
      <c r="C2883" s="1" t="str">
        <f t="shared" ref="C2883:C2946" si="190">CONCATENATE(A2883,"-",B2883)</f>
        <v>393-07</v>
      </c>
      <c r="D2883" t="s">
        <v>2866</v>
      </c>
      <c r="E2883" t="b">
        <f>IF(COUNTIF(D2883,"*"&amp;'Keyword Search'!$C$5&amp;"*"),TRUE,FALSE)</f>
        <v>1</v>
      </c>
      <c r="G2883" t="str">
        <f t="shared" si="186"/>
        <v>393-07: Combination Food Gift Packs</v>
      </c>
    </row>
    <row r="2884" spans="1:7" x14ac:dyDescent="0.25">
      <c r="A2884" s="1" t="str">
        <f t="shared" si="189"/>
        <v>393</v>
      </c>
      <c r="B2884" s="1" t="str">
        <f>TEXT(10,"00")</f>
        <v>10</v>
      </c>
      <c r="C2884" s="1" t="str">
        <f t="shared" si="190"/>
        <v>393-10</v>
      </c>
      <c r="D2884" t="s">
        <v>2867</v>
      </c>
      <c r="E2884" t="b">
        <f>IF(COUNTIF(D2884,"*"&amp;'Keyword Search'!$C$5&amp;"*"),TRUE,FALSE)</f>
        <v>1</v>
      </c>
      <c r="G2884" t="str">
        <f t="shared" ref="G2884:G2947" si="191">CONCATENATE(C2884,": ",D2884)</f>
        <v>393-10: Chips, All Types</v>
      </c>
    </row>
    <row r="2885" spans="1:7" x14ac:dyDescent="0.25">
      <c r="A2885" s="1" t="str">
        <f t="shared" si="189"/>
        <v>393</v>
      </c>
      <c r="B2885" s="1" t="str">
        <f>TEXT(30,"00")</f>
        <v>30</v>
      </c>
      <c r="C2885" s="1" t="str">
        <f t="shared" si="190"/>
        <v>393-30</v>
      </c>
      <c r="D2885" t="s">
        <v>2868</v>
      </c>
      <c r="E2885" t="b">
        <f>IF(COUNTIF(D2885,"*"&amp;'Keyword Search'!$C$5&amp;"*"),TRUE,FALSE)</f>
        <v>1</v>
      </c>
      <c r="G2885" t="str">
        <f t="shared" si="191"/>
        <v>393-30: Beverages, Thirst Quenching, With Electrolyte</v>
      </c>
    </row>
    <row r="2886" spans="1:7" x14ac:dyDescent="0.25">
      <c r="A2886" s="1" t="str">
        <f t="shared" si="189"/>
        <v>393</v>
      </c>
      <c r="B2886" s="1" t="str">
        <f>TEXT(31,"00")</f>
        <v>31</v>
      </c>
      <c r="C2886" s="1" t="str">
        <f t="shared" si="190"/>
        <v>393-31</v>
      </c>
      <c r="D2886" t="s">
        <v>2869</v>
      </c>
      <c r="E2886" t="b">
        <f>IF(COUNTIF(D2886,"*"&amp;'Keyword Search'!$C$5&amp;"*"),TRUE,FALSE)</f>
        <v>1</v>
      </c>
      <c r="G2886" t="str">
        <f t="shared" si="191"/>
        <v>393-31: Baby Food</v>
      </c>
    </row>
    <row r="2887" spans="1:7" x14ac:dyDescent="0.25">
      <c r="A2887" s="1" t="str">
        <f t="shared" si="189"/>
        <v>393</v>
      </c>
      <c r="B2887" s="1" t="str">
        <f>TEXT(32,"00")</f>
        <v>32</v>
      </c>
      <c r="C2887" s="1" t="str">
        <f t="shared" si="190"/>
        <v>393-32</v>
      </c>
      <c r="D2887" t="s">
        <v>2870</v>
      </c>
      <c r="E2887" t="b">
        <f>IF(COUNTIF(D2887,"*"&amp;'Keyword Search'!$C$5&amp;"*"),TRUE,FALSE)</f>
        <v>1</v>
      </c>
      <c r="G2887" t="str">
        <f t="shared" si="191"/>
        <v>393-32: Baking Powder and Baking Soda</v>
      </c>
    </row>
    <row r="2888" spans="1:7" x14ac:dyDescent="0.25">
      <c r="A2888" s="1" t="str">
        <f t="shared" si="189"/>
        <v>393</v>
      </c>
      <c r="B2888" s="1" t="str">
        <f>TEXT(33,"00")</f>
        <v>33</v>
      </c>
      <c r="C2888" s="1" t="str">
        <f t="shared" si="190"/>
        <v>393-33</v>
      </c>
      <c r="D2888" t="s">
        <v>2871</v>
      </c>
      <c r="E2888" t="b">
        <f>IF(COUNTIF(D2888,"*"&amp;'Keyword Search'!$C$5&amp;"*"),TRUE,FALSE)</f>
        <v>1</v>
      </c>
      <c r="G2888" t="str">
        <f t="shared" si="191"/>
        <v>393-33: Beverage Base, Not Fountain</v>
      </c>
    </row>
    <row r="2889" spans="1:7" x14ac:dyDescent="0.25">
      <c r="A2889" s="1" t="str">
        <f t="shared" si="189"/>
        <v>393</v>
      </c>
      <c r="B2889" s="1" t="str">
        <f>TEXT(34,"00")</f>
        <v>34</v>
      </c>
      <c r="C2889" s="1" t="str">
        <f t="shared" si="190"/>
        <v>393-34</v>
      </c>
      <c r="D2889" t="s">
        <v>2872</v>
      </c>
      <c r="E2889" t="b">
        <f>IF(COUNTIF(D2889,"*"&amp;'Keyword Search'!$C$5&amp;"*"),TRUE,FALSE)</f>
        <v>1</v>
      </c>
      <c r="G2889" t="str">
        <f t="shared" si="191"/>
        <v>393-34: Candy, Confectionery and Marshmallows, Including After Dinner Mints or Savories</v>
      </c>
    </row>
    <row r="2890" spans="1:7" x14ac:dyDescent="0.25">
      <c r="A2890" s="1" t="str">
        <f t="shared" si="189"/>
        <v>393</v>
      </c>
      <c r="B2890" s="1" t="str">
        <f>TEXT(35,"00")</f>
        <v>35</v>
      </c>
      <c r="C2890" s="1" t="str">
        <f t="shared" si="190"/>
        <v>393-35</v>
      </c>
      <c r="D2890" t="s">
        <v>2873</v>
      </c>
      <c r="E2890" t="b">
        <f>IF(COUNTIF(D2890,"*"&amp;'Keyword Search'!$C$5&amp;"*"),TRUE,FALSE)</f>
        <v>1</v>
      </c>
      <c r="G2890" t="str">
        <f t="shared" si="191"/>
        <v>393-35: Cereals, Ready-to-Eat</v>
      </c>
    </row>
    <row r="2891" spans="1:7" x14ac:dyDescent="0.25">
      <c r="A2891" s="1" t="str">
        <f t="shared" si="189"/>
        <v>393</v>
      </c>
      <c r="B2891" s="1" t="str">
        <f>TEXT(36,"00")</f>
        <v>36</v>
      </c>
      <c r="C2891" s="1" t="str">
        <f t="shared" si="190"/>
        <v>393-36</v>
      </c>
      <c r="D2891" t="s">
        <v>2874</v>
      </c>
      <c r="E2891" t="b">
        <f>IF(COUNTIF(D2891,"*"&amp;'Keyword Search'!$C$5&amp;"*"),TRUE,FALSE)</f>
        <v>1</v>
      </c>
      <c r="G2891" t="str">
        <f t="shared" si="191"/>
        <v>393-36: Cereals, Uncooked</v>
      </c>
    </row>
    <row r="2892" spans="1:7" x14ac:dyDescent="0.25">
      <c r="A2892" s="1" t="str">
        <f t="shared" si="189"/>
        <v>393</v>
      </c>
      <c r="B2892" s="1" t="str">
        <f>TEXT(37,"00")</f>
        <v>37</v>
      </c>
      <c r="C2892" s="1" t="str">
        <f t="shared" si="190"/>
        <v>393-37</v>
      </c>
      <c r="D2892" t="s">
        <v>2875</v>
      </c>
      <c r="E2892" t="b">
        <f>IF(COUNTIF(D2892,"*"&amp;'Keyword Search'!$C$5&amp;"*"),TRUE,FALSE)</f>
        <v>1</v>
      </c>
      <c r="G2892" t="str">
        <f t="shared" si="191"/>
        <v>393-37: Cocoa and Chocolate</v>
      </c>
    </row>
    <row r="2893" spans="1:7" x14ac:dyDescent="0.25">
      <c r="A2893" s="1" t="str">
        <f t="shared" si="189"/>
        <v>393</v>
      </c>
      <c r="B2893" s="1" t="str">
        <f>TEXT(38,"00")</f>
        <v>38</v>
      </c>
      <c r="C2893" s="1" t="str">
        <f t="shared" si="190"/>
        <v>393-38</v>
      </c>
      <c r="D2893" t="s">
        <v>2876</v>
      </c>
      <c r="E2893" t="b">
        <f>IF(COUNTIF(D2893,"*"&amp;'Keyword Search'!$C$5&amp;"*"),TRUE,FALSE)</f>
        <v>1</v>
      </c>
      <c r="G2893" t="str">
        <f t="shared" si="191"/>
        <v>393-38: Coconut</v>
      </c>
    </row>
    <row r="2894" spans="1:7" x14ac:dyDescent="0.25">
      <c r="A2894" s="1" t="str">
        <f t="shared" si="189"/>
        <v>393</v>
      </c>
      <c r="B2894" s="1" t="str">
        <f>TEXT(39,"00")</f>
        <v>39</v>
      </c>
      <c r="C2894" s="1" t="str">
        <f t="shared" si="190"/>
        <v>393-39</v>
      </c>
      <c r="D2894" t="s">
        <v>2877</v>
      </c>
      <c r="E2894" t="b">
        <f>IF(COUNTIF(D2894,"*"&amp;'Keyword Search'!$C$5&amp;"*"),TRUE,FALSE)</f>
        <v>1</v>
      </c>
      <c r="G2894" t="str">
        <f t="shared" si="191"/>
        <v>393-39: Coffee Extender</v>
      </c>
    </row>
    <row r="2895" spans="1:7" x14ac:dyDescent="0.25">
      <c r="A2895" s="1" t="str">
        <f t="shared" si="189"/>
        <v>393</v>
      </c>
      <c r="B2895" s="1" t="str">
        <f>TEXT(40,"00")</f>
        <v>40</v>
      </c>
      <c r="C2895" s="1" t="str">
        <f t="shared" si="190"/>
        <v>393-40</v>
      </c>
      <c r="D2895" t="s">
        <v>2878</v>
      </c>
      <c r="E2895" t="b">
        <f>IF(COUNTIF(D2895,"*"&amp;'Keyword Search'!$C$5&amp;"*"),TRUE,FALSE)</f>
        <v>1</v>
      </c>
      <c r="G2895" t="str">
        <f t="shared" si="191"/>
        <v>393-40: Coffee, Instant, Regular and Decaffeinated</v>
      </c>
    </row>
    <row r="2896" spans="1:7" x14ac:dyDescent="0.25">
      <c r="A2896" s="1" t="str">
        <f t="shared" si="189"/>
        <v>393</v>
      </c>
      <c r="B2896" s="1" t="str">
        <f>TEXT(41,"00")</f>
        <v>41</v>
      </c>
      <c r="C2896" s="1" t="str">
        <f t="shared" si="190"/>
        <v>393-41</v>
      </c>
      <c r="D2896" t="s">
        <v>2879</v>
      </c>
      <c r="E2896" t="b">
        <f>IF(COUNTIF(D2896,"*"&amp;'Keyword Search'!$C$5&amp;"*"),TRUE,FALSE)</f>
        <v>1</v>
      </c>
      <c r="G2896" t="str">
        <f t="shared" si="191"/>
        <v>393-41: Coffee, Whole Bean and Ground</v>
      </c>
    </row>
    <row r="2897" spans="1:7" x14ac:dyDescent="0.25">
      <c r="A2897" s="1" t="str">
        <f t="shared" si="189"/>
        <v>393</v>
      </c>
      <c r="B2897" s="1" t="str">
        <f>TEXT(42,"00")</f>
        <v>42</v>
      </c>
      <c r="C2897" s="1" t="str">
        <f t="shared" si="190"/>
        <v>393-42</v>
      </c>
      <c r="D2897" t="s">
        <v>2880</v>
      </c>
      <c r="E2897" t="b">
        <f>IF(COUNTIF(D2897,"*"&amp;'Keyword Search'!$C$5&amp;"*"),TRUE,FALSE)</f>
        <v>1</v>
      </c>
      <c r="G2897" t="str">
        <f t="shared" si="191"/>
        <v>393-42: Cornstarch, Cooking</v>
      </c>
    </row>
    <row r="2898" spans="1:7" x14ac:dyDescent="0.25">
      <c r="A2898" s="1" t="str">
        <f t="shared" si="189"/>
        <v>393</v>
      </c>
      <c r="B2898" s="1" t="str">
        <f>TEXT(43,"00")</f>
        <v>43</v>
      </c>
      <c r="C2898" s="1" t="str">
        <f t="shared" si="190"/>
        <v>393-43</v>
      </c>
      <c r="D2898" t="s">
        <v>2881</v>
      </c>
      <c r="E2898" t="b">
        <f>IF(COUNTIF(D2898,"*"&amp;'Keyword Search'!$C$5&amp;"*"),TRUE,FALSE)</f>
        <v>1</v>
      </c>
      <c r="G2898" t="str">
        <f t="shared" si="191"/>
        <v>393-43: Crackers and Cookies, Packaged</v>
      </c>
    </row>
    <row r="2899" spans="1:7" x14ac:dyDescent="0.25">
      <c r="A2899" s="1" t="str">
        <f t="shared" si="189"/>
        <v>393</v>
      </c>
      <c r="B2899" s="1" t="str">
        <f>TEXT(44,"00")</f>
        <v>44</v>
      </c>
      <c r="C2899" s="1" t="str">
        <f t="shared" si="190"/>
        <v>393-44</v>
      </c>
      <c r="D2899" t="s">
        <v>2882</v>
      </c>
      <c r="E2899" t="b">
        <f>IF(COUNTIF(D2899,"*"&amp;'Keyword Search'!$C$5&amp;"*"),TRUE,FALSE)</f>
        <v>1</v>
      </c>
      <c r="G2899" t="str">
        <f t="shared" si="191"/>
        <v>393-44: Creamer, Cream Substitutes and Other Non-Dairy Items</v>
      </c>
    </row>
    <row r="2900" spans="1:7" x14ac:dyDescent="0.25">
      <c r="A2900" s="1" t="str">
        <f t="shared" si="189"/>
        <v>393</v>
      </c>
      <c r="B2900" s="1" t="str">
        <f>TEXT(45,"00")</f>
        <v>45</v>
      </c>
      <c r="C2900" s="1" t="str">
        <f t="shared" si="190"/>
        <v>393-45</v>
      </c>
      <c r="D2900" t="s">
        <v>2883</v>
      </c>
      <c r="E2900" t="b">
        <f>IF(COUNTIF(D2900,"*"&amp;'Keyword Search'!$C$5&amp;"*"),TRUE,FALSE)</f>
        <v>1</v>
      </c>
      <c r="G2900" t="str">
        <f t="shared" si="191"/>
        <v>393-45: Curing Compounds, Meat</v>
      </c>
    </row>
    <row r="2901" spans="1:7" x14ac:dyDescent="0.25">
      <c r="A2901" s="1" t="str">
        <f t="shared" si="189"/>
        <v>393</v>
      </c>
      <c r="B2901" s="1" t="str">
        <f>TEXT(46,"00")</f>
        <v>46</v>
      </c>
      <c r="C2901" s="1" t="str">
        <f t="shared" si="190"/>
        <v>393-46</v>
      </c>
      <c r="D2901" t="s">
        <v>2884</v>
      </c>
      <c r="E2901" t="b">
        <f>IF(COUNTIF(D2901,"*"&amp;'Keyword Search'!$C$5&amp;"*"),TRUE,FALSE)</f>
        <v>1</v>
      </c>
      <c r="G2901" t="str">
        <f t="shared" si="191"/>
        <v>393-46: Desserts: Packaged, Canned, and Mixes, Including Cake Mixes, Gelatins, Icings, Pie Fillings, etc.)</v>
      </c>
    </row>
    <row r="2902" spans="1:7" x14ac:dyDescent="0.25">
      <c r="A2902" s="1" t="str">
        <f t="shared" si="189"/>
        <v>393</v>
      </c>
      <c r="B2902" s="1" t="str">
        <f>TEXT(47,"00")</f>
        <v>47</v>
      </c>
      <c r="C2902" s="1" t="str">
        <f t="shared" si="190"/>
        <v>393-47</v>
      </c>
      <c r="D2902" t="s">
        <v>2885</v>
      </c>
      <c r="E2902" t="b">
        <f>IF(COUNTIF(D2902,"*"&amp;'Keyword Search'!$C$5&amp;"*"),TRUE,FALSE)</f>
        <v>1</v>
      </c>
      <c r="G2902" t="str">
        <f t="shared" si="191"/>
        <v>393-47: Diet Foods, All Types (See Class 271-28)</v>
      </c>
    </row>
    <row r="2903" spans="1:7" x14ac:dyDescent="0.25">
      <c r="A2903" s="1" t="str">
        <f t="shared" si="189"/>
        <v>393</v>
      </c>
      <c r="B2903" s="1" t="str">
        <f>TEXT(48,"00")</f>
        <v>48</v>
      </c>
      <c r="C2903" s="1" t="str">
        <f t="shared" si="190"/>
        <v>393-48</v>
      </c>
      <c r="D2903" t="s">
        <v>2886</v>
      </c>
      <c r="E2903" t="b">
        <f>IF(COUNTIF(D2903,"*"&amp;'Keyword Search'!$C$5&amp;"*"),TRUE,FALSE)</f>
        <v>1</v>
      </c>
      <c r="G2903" t="str">
        <f t="shared" si="191"/>
        <v>393-48: Dressings, Condiments, Sauces, and Gravies</v>
      </c>
    </row>
    <row r="2904" spans="1:7" x14ac:dyDescent="0.25">
      <c r="A2904" s="1" t="str">
        <f t="shared" si="189"/>
        <v>393</v>
      </c>
      <c r="B2904" s="1" t="str">
        <f>TEXT(49,"00")</f>
        <v>49</v>
      </c>
      <c r="C2904" s="1" t="str">
        <f t="shared" si="190"/>
        <v>393-49</v>
      </c>
      <c r="D2904" t="s">
        <v>2887</v>
      </c>
      <c r="E2904" t="b">
        <f>IF(COUNTIF(D2904,"*"&amp;'Keyword Search'!$C$5&amp;"*"),TRUE,FALSE)</f>
        <v>1</v>
      </c>
      <c r="G2904" t="str">
        <f t="shared" si="191"/>
        <v>393-49: Eggs and Meringue, Powdered</v>
      </c>
    </row>
    <row r="2905" spans="1:7" x14ac:dyDescent="0.25">
      <c r="A2905" s="1" t="str">
        <f t="shared" si="189"/>
        <v>393</v>
      </c>
      <c r="B2905" s="1" t="str">
        <f>TEXT(50,"00")</f>
        <v>50</v>
      </c>
      <c r="C2905" s="1" t="str">
        <f t="shared" si="190"/>
        <v>393-50</v>
      </c>
      <c r="D2905" t="s">
        <v>2888</v>
      </c>
      <c r="E2905" t="b">
        <f>IF(COUNTIF(D2905,"*"&amp;'Keyword Search'!$C$5&amp;"*"),TRUE,FALSE)</f>
        <v>1</v>
      </c>
      <c r="G2905" t="str">
        <f t="shared" si="191"/>
        <v>393-50: Extracts, Flavoring, and Food Coloring</v>
      </c>
    </row>
    <row r="2906" spans="1:7" x14ac:dyDescent="0.25">
      <c r="A2906" s="1" t="str">
        <f t="shared" si="189"/>
        <v>393</v>
      </c>
      <c r="B2906" s="1" t="str">
        <f>TEXT(51,"00")</f>
        <v>51</v>
      </c>
      <c r="C2906" s="1" t="str">
        <f t="shared" si="190"/>
        <v>393-51</v>
      </c>
      <c r="D2906" t="s">
        <v>2889</v>
      </c>
      <c r="E2906" t="b">
        <f>IF(COUNTIF(D2906,"*"&amp;'Keyword Search'!$C$5&amp;"*"),TRUE,FALSE)</f>
        <v>1</v>
      </c>
      <c r="G2906" t="str">
        <f t="shared" si="191"/>
        <v>393-51: Flour and Flour Binder</v>
      </c>
    </row>
    <row r="2907" spans="1:7" x14ac:dyDescent="0.25">
      <c r="A2907" s="1" t="str">
        <f t="shared" si="189"/>
        <v>393</v>
      </c>
      <c r="B2907" s="1" t="str">
        <f>TEXT(52,"00")</f>
        <v>52</v>
      </c>
      <c r="C2907" s="1" t="str">
        <f t="shared" si="190"/>
        <v>393-52</v>
      </c>
      <c r="D2907" t="s">
        <v>2890</v>
      </c>
      <c r="E2907" t="b">
        <f>IF(COUNTIF(D2907,"*"&amp;'Keyword Search'!$C$5&amp;"*"),TRUE,FALSE)</f>
        <v>1</v>
      </c>
      <c r="G2907" t="str">
        <f t="shared" si="191"/>
        <v>393-52: Flour, Binder</v>
      </c>
    </row>
    <row r="2908" spans="1:7" x14ac:dyDescent="0.25">
      <c r="A2908" s="1" t="str">
        <f t="shared" si="189"/>
        <v>393</v>
      </c>
      <c r="B2908" s="1" t="str">
        <f>TEXT(53,"00")</f>
        <v>53</v>
      </c>
      <c r="C2908" s="1" t="str">
        <f t="shared" si="190"/>
        <v>393-53</v>
      </c>
      <c r="D2908" t="s">
        <v>2891</v>
      </c>
      <c r="E2908" t="b">
        <f>IF(COUNTIF(D2908,"*"&amp;'Keyword Search'!$C$5&amp;"*"),TRUE,FALSE)</f>
        <v>1</v>
      </c>
      <c r="G2908" t="str">
        <f t="shared" si="191"/>
        <v>393-53: Fruits, Vegetables, and Full Meal Entrees, Dehydrated</v>
      </c>
    </row>
    <row r="2909" spans="1:7" x14ac:dyDescent="0.25">
      <c r="A2909" s="1" t="str">
        <f t="shared" si="189"/>
        <v>393</v>
      </c>
      <c r="B2909" s="1" t="str">
        <f>TEXT(54,"00")</f>
        <v>54</v>
      </c>
      <c r="C2909" s="1" t="str">
        <f t="shared" si="190"/>
        <v>393-54</v>
      </c>
      <c r="D2909" t="s">
        <v>2892</v>
      </c>
      <c r="E2909" t="b">
        <f>IF(COUNTIF(D2909,"*"&amp;'Keyword Search'!$C$5&amp;"*"),TRUE,FALSE)</f>
        <v>1</v>
      </c>
      <c r="G2909" t="str">
        <f t="shared" si="191"/>
        <v>393-54: Fruits, Canned, Processed and Preserved, Including Fruit Sauces and Puree and Non GMO</v>
      </c>
    </row>
    <row r="2910" spans="1:7" x14ac:dyDescent="0.25">
      <c r="A2910" s="1" t="str">
        <f t="shared" si="189"/>
        <v>393</v>
      </c>
      <c r="B2910" s="1" t="str">
        <f>TEXT(55,"00")</f>
        <v>55</v>
      </c>
      <c r="C2910" s="1" t="str">
        <f t="shared" si="190"/>
        <v>393-55</v>
      </c>
      <c r="D2910" t="s">
        <v>2893</v>
      </c>
      <c r="E2910" t="b">
        <f>IF(COUNTIF(D2910,"*"&amp;'Keyword Search'!$C$5&amp;"*"),TRUE,FALSE)</f>
        <v>1</v>
      </c>
      <c r="G2910" t="str">
        <f t="shared" si="191"/>
        <v>393-55: Fruits, Dried</v>
      </c>
    </row>
    <row r="2911" spans="1:7" x14ac:dyDescent="0.25">
      <c r="A2911" s="1" t="str">
        <f t="shared" si="189"/>
        <v>393</v>
      </c>
      <c r="B2911" s="1" t="str">
        <f>TEXT(56,"00")</f>
        <v>56</v>
      </c>
      <c r="C2911" s="1" t="str">
        <f t="shared" si="190"/>
        <v>393-56</v>
      </c>
      <c r="D2911" t="s">
        <v>2894</v>
      </c>
      <c r="E2911" t="b">
        <f>IF(COUNTIF(D2911,"*"&amp;'Keyword Search'!$C$5&amp;"*"),TRUE,FALSE)</f>
        <v>1</v>
      </c>
      <c r="G2911" t="str">
        <f t="shared" si="191"/>
        <v>393-56: Grocers' Items: Cake Decorations, Candles, Canned Fuel, Food Preservatives, Matches, Meal Kits, Toothpicks, Meal Preparation Items, etc.</v>
      </c>
    </row>
    <row r="2912" spans="1:7" x14ac:dyDescent="0.25">
      <c r="A2912" s="1" t="str">
        <f t="shared" si="189"/>
        <v>393</v>
      </c>
      <c r="B2912" s="1" t="str">
        <f>TEXT(57,"00")</f>
        <v>57</v>
      </c>
      <c r="C2912" s="1" t="str">
        <f t="shared" si="190"/>
        <v>393-57</v>
      </c>
      <c r="D2912" t="s">
        <v>2895</v>
      </c>
      <c r="E2912" t="b">
        <f>IF(COUNTIF(D2912,"*"&amp;'Keyword Search'!$C$5&amp;"*"),TRUE,FALSE)</f>
        <v>1</v>
      </c>
      <c r="G2912" t="str">
        <f t="shared" si="191"/>
        <v>393-57: Honey</v>
      </c>
    </row>
    <row r="2913" spans="1:7" x14ac:dyDescent="0.25">
      <c r="A2913" s="1" t="str">
        <f t="shared" si="189"/>
        <v>393</v>
      </c>
      <c r="B2913" s="1" t="str">
        <f>TEXT(58,"00")</f>
        <v>58</v>
      </c>
      <c r="C2913" s="1" t="str">
        <f t="shared" si="190"/>
        <v>393-58</v>
      </c>
      <c r="D2913" t="s">
        <v>2896</v>
      </c>
      <c r="E2913" t="b">
        <f>IF(COUNTIF(D2913,"*"&amp;'Keyword Search'!$C$5&amp;"*"),TRUE,FALSE)</f>
        <v>1</v>
      </c>
      <c r="G2913" t="str">
        <f t="shared" si="191"/>
        <v>393-58: Ice Cream Mix, Emulsifiers, Stabilizers, and Toppings</v>
      </c>
    </row>
    <row r="2914" spans="1:7" x14ac:dyDescent="0.25">
      <c r="A2914" s="1" t="str">
        <f t="shared" si="189"/>
        <v>393</v>
      </c>
      <c r="B2914" s="1" t="str">
        <f>TEXT(59,"00")</f>
        <v>59</v>
      </c>
      <c r="C2914" s="1" t="str">
        <f t="shared" si="190"/>
        <v>393-59</v>
      </c>
      <c r="D2914" t="s">
        <v>2897</v>
      </c>
      <c r="E2914" t="b">
        <f>IF(COUNTIF(D2914,"*"&amp;'Keyword Search'!$C$5&amp;"*"),TRUE,FALSE)</f>
        <v>1</v>
      </c>
      <c r="G2914" t="str">
        <f t="shared" si="191"/>
        <v>393-59: Jams, Jellies, and Preserves</v>
      </c>
    </row>
    <row r="2915" spans="1:7" x14ac:dyDescent="0.25">
      <c r="A2915" s="1" t="str">
        <f t="shared" si="189"/>
        <v>393</v>
      </c>
      <c r="B2915" s="1" t="str">
        <f>TEXT(60,"00")</f>
        <v>60</v>
      </c>
      <c r="C2915" s="1" t="str">
        <f t="shared" si="190"/>
        <v>393-60</v>
      </c>
      <c r="D2915" t="s">
        <v>2898</v>
      </c>
      <c r="E2915" t="b">
        <f>IF(COUNTIF(D2915,"*"&amp;'Keyword Search'!$C$5&amp;"*"),TRUE,FALSE)</f>
        <v>1</v>
      </c>
      <c r="G2915" t="str">
        <f t="shared" si="191"/>
        <v>393-60: Juices, Fruit and Vegetable, Not Frozen</v>
      </c>
    </row>
    <row r="2916" spans="1:7" x14ac:dyDescent="0.25">
      <c r="A2916" s="1" t="str">
        <f t="shared" si="189"/>
        <v>393</v>
      </c>
      <c r="B2916" s="1" t="str">
        <f>TEXT(61,"00")</f>
        <v>61</v>
      </c>
      <c r="C2916" s="1" t="str">
        <f t="shared" si="190"/>
        <v>393-61</v>
      </c>
      <c r="D2916" t="s">
        <v>2899</v>
      </c>
      <c r="E2916" t="b">
        <f>IF(COUNTIF(D2916,"*"&amp;'Keyword Search'!$C$5&amp;"*"),TRUE,FALSE)</f>
        <v>1</v>
      </c>
      <c r="G2916" t="str">
        <f t="shared" si="191"/>
        <v>393-61: Pasta, Including Macaroni, Noodles, and Spaghetti</v>
      </c>
    </row>
    <row r="2917" spans="1:7" x14ac:dyDescent="0.25">
      <c r="A2917" s="1" t="str">
        <f t="shared" si="189"/>
        <v>393</v>
      </c>
      <c r="B2917" s="1" t="str">
        <f>TEXT(62,"00")</f>
        <v>62</v>
      </c>
      <c r="C2917" s="1" t="str">
        <f t="shared" si="190"/>
        <v>393-62</v>
      </c>
      <c r="D2917" t="s">
        <v>2900</v>
      </c>
      <c r="E2917" t="b">
        <f>IF(COUNTIF(D2917,"*"&amp;'Keyword Search'!$C$5&amp;"*"),TRUE,FALSE)</f>
        <v>1</v>
      </c>
      <c r="G2917" t="str">
        <f t="shared" si="191"/>
        <v>393-62: Meal, Corn</v>
      </c>
    </row>
    <row r="2918" spans="1:7" x14ac:dyDescent="0.25">
      <c r="A2918" s="1" t="str">
        <f t="shared" si="189"/>
        <v>393</v>
      </c>
      <c r="B2918" s="1" t="str">
        <f>TEXT(63,"00")</f>
        <v>63</v>
      </c>
      <c r="C2918" s="1" t="str">
        <f t="shared" si="190"/>
        <v>393-63</v>
      </c>
      <c r="D2918" t="s">
        <v>2901</v>
      </c>
      <c r="E2918" t="b">
        <f>IF(COUNTIF(D2918,"*"&amp;'Keyword Search'!$C$5&amp;"*"),TRUE,FALSE)</f>
        <v>1</v>
      </c>
      <c r="G2918" t="str">
        <f t="shared" si="191"/>
        <v>393-63: Meat and Meat Products, Canned, Including Meat Substitutes</v>
      </c>
    </row>
    <row r="2919" spans="1:7" x14ac:dyDescent="0.25">
      <c r="A2919" s="1" t="str">
        <f t="shared" si="189"/>
        <v>393</v>
      </c>
      <c r="B2919" s="1" t="str">
        <f>TEXT(64,"00")</f>
        <v>64</v>
      </c>
      <c r="C2919" s="1" t="str">
        <f t="shared" si="190"/>
        <v>393-64</v>
      </c>
      <c r="D2919" t="s">
        <v>2902</v>
      </c>
      <c r="E2919" t="b">
        <f>IF(COUNTIF(D2919,"*"&amp;'Keyword Search'!$C$5&amp;"*"),TRUE,FALSE)</f>
        <v>1</v>
      </c>
      <c r="G2919" t="str">
        <f t="shared" si="191"/>
        <v>393-64: Milk, Evaporated and Condensed</v>
      </c>
    </row>
    <row r="2920" spans="1:7" x14ac:dyDescent="0.25">
      <c r="A2920" s="1" t="str">
        <f t="shared" si="189"/>
        <v>393</v>
      </c>
      <c r="B2920" s="1" t="str">
        <f>TEXT(65,"00")</f>
        <v>65</v>
      </c>
      <c r="C2920" s="1" t="str">
        <f t="shared" si="190"/>
        <v>393-65</v>
      </c>
      <c r="D2920" t="s">
        <v>2903</v>
      </c>
      <c r="E2920" t="b">
        <f>IF(COUNTIF(D2920,"*"&amp;'Keyword Search'!$C$5&amp;"*"),TRUE,FALSE)</f>
        <v>1</v>
      </c>
      <c r="G2920" t="str">
        <f t="shared" si="191"/>
        <v>393-65: Milk, Powdered</v>
      </c>
    </row>
    <row r="2921" spans="1:7" x14ac:dyDescent="0.25">
      <c r="A2921" s="1" t="str">
        <f t="shared" si="189"/>
        <v>393</v>
      </c>
      <c r="B2921" s="1" t="str">
        <f>TEXT(66,"00")</f>
        <v>66</v>
      </c>
      <c r="C2921" s="1" t="str">
        <f t="shared" si="190"/>
        <v>393-66</v>
      </c>
      <c r="D2921" t="s">
        <v>2904</v>
      </c>
      <c r="E2921" t="b">
        <f>IF(COUNTIF(D2921,"*"&amp;'Keyword Search'!$C$5&amp;"*"),TRUE,FALSE)</f>
        <v>1</v>
      </c>
      <c r="G2921" t="str">
        <f t="shared" si="191"/>
        <v>393-66: Mincemeat</v>
      </c>
    </row>
    <row r="2922" spans="1:7" x14ac:dyDescent="0.25">
      <c r="A2922" s="1" t="str">
        <f t="shared" si="189"/>
        <v>393</v>
      </c>
      <c r="B2922" s="1" t="str">
        <f>TEXT(67,"00")</f>
        <v>67</v>
      </c>
      <c r="C2922" s="1" t="str">
        <f t="shared" si="190"/>
        <v>393-67</v>
      </c>
      <c r="D2922" t="s">
        <v>2905</v>
      </c>
      <c r="E2922" t="b">
        <f>IF(COUNTIF(D2922,"*"&amp;'Keyword Search'!$C$5&amp;"*"),TRUE,FALSE)</f>
        <v>1</v>
      </c>
      <c r="G2922" t="str">
        <f t="shared" si="191"/>
        <v>393-67: Nuts, Edible, Including Sunflower Seeds</v>
      </c>
    </row>
    <row r="2923" spans="1:7" x14ac:dyDescent="0.25">
      <c r="A2923" s="1" t="str">
        <f t="shared" si="189"/>
        <v>393</v>
      </c>
      <c r="B2923" s="1" t="str">
        <f>TEXT(68,"00")</f>
        <v>68</v>
      </c>
      <c r="C2923" s="1" t="str">
        <f t="shared" si="190"/>
        <v>393-68</v>
      </c>
      <c r="D2923" t="s">
        <v>2906</v>
      </c>
      <c r="E2923" t="b">
        <f>IF(COUNTIF(D2923,"*"&amp;'Keyword Search'!$C$5&amp;"*"),TRUE,FALSE)</f>
        <v>1</v>
      </c>
      <c r="G2923" t="str">
        <f t="shared" si="191"/>
        <v>393-68: Peanut Butter and Other Nut Butter</v>
      </c>
    </row>
    <row r="2924" spans="1:7" x14ac:dyDescent="0.25">
      <c r="A2924" s="1" t="str">
        <f t="shared" si="189"/>
        <v>393</v>
      </c>
      <c r="B2924" s="1" t="str">
        <f>TEXT(69,"00")</f>
        <v>69</v>
      </c>
      <c r="C2924" s="1" t="str">
        <f t="shared" si="190"/>
        <v>393-69</v>
      </c>
      <c r="D2924" t="s">
        <v>2907</v>
      </c>
      <c r="E2924" t="b">
        <f>IF(COUNTIF(D2924,"*"&amp;'Keyword Search'!$C$5&amp;"*"),TRUE,FALSE)</f>
        <v>1</v>
      </c>
      <c r="G2924" t="str">
        <f t="shared" si="191"/>
        <v>393-69: Pickles, Relishes, and Olives, Including Pickled Foods</v>
      </c>
    </row>
    <row r="2925" spans="1:7" x14ac:dyDescent="0.25">
      <c r="A2925" s="1" t="str">
        <f t="shared" si="189"/>
        <v>393</v>
      </c>
      <c r="B2925" s="1" t="str">
        <f>TEXT(70,"00")</f>
        <v>70</v>
      </c>
      <c r="C2925" s="1" t="str">
        <f t="shared" si="190"/>
        <v>393-70</v>
      </c>
      <c r="D2925" t="s">
        <v>2908</v>
      </c>
      <c r="E2925" t="b">
        <f>IF(COUNTIF(D2925,"*"&amp;'Keyword Search'!$C$5&amp;"*"),TRUE,FALSE)</f>
        <v>1</v>
      </c>
      <c r="G2925" t="str">
        <f t="shared" si="191"/>
        <v>393-70: Protein Food Supplement</v>
      </c>
    </row>
    <row r="2926" spans="1:7" x14ac:dyDescent="0.25">
      <c r="A2926" s="1" t="str">
        <f t="shared" si="189"/>
        <v>393</v>
      </c>
      <c r="B2926" s="1" t="str">
        <f>TEXT(71,"00")</f>
        <v>71</v>
      </c>
      <c r="C2926" s="1" t="str">
        <f t="shared" si="190"/>
        <v>393-71</v>
      </c>
      <c r="D2926" t="s">
        <v>2909</v>
      </c>
      <c r="E2926" t="b">
        <f>IF(COUNTIF(D2926,"*"&amp;'Keyword Search'!$C$5&amp;"*"),TRUE,FALSE)</f>
        <v>1</v>
      </c>
      <c r="G2926" t="str">
        <f t="shared" si="191"/>
        <v>393-71: Popcorn</v>
      </c>
    </row>
    <row r="2927" spans="1:7" x14ac:dyDescent="0.25">
      <c r="A2927" s="1" t="str">
        <f t="shared" si="189"/>
        <v>393</v>
      </c>
      <c r="B2927" s="1" t="str">
        <f>TEXT(72,"00")</f>
        <v>72</v>
      </c>
      <c r="C2927" s="1" t="str">
        <f t="shared" si="190"/>
        <v>393-72</v>
      </c>
      <c r="D2927" t="s">
        <v>71</v>
      </c>
      <c r="E2927" t="b">
        <f>IF(COUNTIF(D2927,"*"&amp;'Keyword Search'!$C$5&amp;"*"),TRUE,FALSE)</f>
        <v>1</v>
      </c>
      <c r="G2927" t="str">
        <f t="shared" si="191"/>
        <v>393-72: Rice</v>
      </c>
    </row>
    <row r="2928" spans="1:7" x14ac:dyDescent="0.25">
      <c r="A2928" s="1" t="str">
        <f t="shared" si="189"/>
        <v>393</v>
      </c>
      <c r="B2928" s="1" t="str">
        <f>TEXT(73,"00")</f>
        <v>73</v>
      </c>
      <c r="C2928" s="1" t="str">
        <f t="shared" si="190"/>
        <v>393-73</v>
      </c>
      <c r="D2928" t="s">
        <v>2910</v>
      </c>
      <c r="E2928" t="b">
        <f>IF(COUNTIF(D2928,"*"&amp;'Keyword Search'!$C$5&amp;"*"),TRUE,FALSE)</f>
        <v>1</v>
      </c>
      <c r="G2928" t="str">
        <f t="shared" si="191"/>
        <v>393-73: Salt, Table</v>
      </c>
    </row>
    <row r="2929" spans="1:7" x14ac:dyDescent="0.25">
      <c r="A2929" s="1" t="str">
        <f t="shared" si="189"/>
        <v>393</v>
      </c>
      <c r="B2929" s="1" t="str">
        <f>TEXT(74,"00")</f>
        <v>74</v>
      </c>
      <c r="C2929" s="1" t="str">
        <f t="shared" si="190"/>
        <v>393-74</v>
      </c>
      <c r="D2929" t="s">
        <v>2911</v>
      </c>
      <c r="E2929" t="b">
        <f>IF(COUNTIF(D2929,"*"&amp;'Keyword Search'!$C$5&amp;"*"),TRUE,FALSE)</f>
        <v>1</v>
      </c>
      <c r="G2929" t="str">
        <f t="shared" si="191"/>
        <v>393-74: Seafood, Canned</v>
      </c>
    </row>
    <row r="2930" spans="1:7" x14ac:dyDescent="0.25">
      <c r="A2930" s="1" t="str">
        <f t="shared" si="189"/>
        <v>393</v>
      </c>
      <c r="B2930" s="1" t="str">
        <f>TEXT(75,"00")</f>
        <v>75</v>
      </c>
      <c r="C2930" s="1" t="str">
        <f t="shared" si="190"/>
        <v>393-75</v>
      </c>
      <c r="D2930" t="s">
        <v>2912</v>
      </c>
      <c r="E2930" t="b">
        <f>IF(COUNTIF(D2930,"*"&amp;'Keyword Search'!$C$5&amp;"*"),TRUE,FALSE)</f>
        <v>1</v>
      </c>
      <c r="G2930" t="str">
        <f t="shared" si="191"/>
        <v>393-75: Shortening and Oil, Vegetable, Cooking Oil, Including Shortening Filter Powder</v>
      </c>
    </row>
    <row r="2931" spans="1:7" x14ac:dyDescent="0.25">
      <c r="A2931" s="1" t="str">
        <f t="shared" si="189"/>
        <v>393</v>
      </c>
      <c r="B2931" s="1" t="str">
        <f>TEXT(76,"00")</f>
        <v>76</v>
      </c>
      <c r="C2931" s="1" t="str">
        <f t="shared" si="190"/>
        <v>393-76</v>
      </c>
      <c r="D2931" t="s">
        <v>2913</v>
      </c>
      <c r="E2931" t="b">
        <f>IF(COUNTIF(D2931,"*"&amp;'Keyword Search'!$C$5&amp;"*"),TRUE,FALSE)</f>
        <v>1</v>
      </c>
      <c r="G2931" t="str">
        <f t="shared" si="191"/>
        <v>393-76: Soda, Baking</v>
      </c>
    </row>
    <row r="2932" spans="1:7" x14ac:dyDescent="0.25">
      <c r="A2932" s="1" t="str">
        <f t="shared" si="189"/>
        <v>393</v>
      </c>
      <c r="B2932" s="1" t="str">
        <f>TEXT(77,"00")</f>
        <v>77</v>
      </c>
      <c r="C2932" s="1" t="str">
        <f t="shared" si="190"/>
        <v>393-77</v>
      </c>
      <c r="D2932" t="s">
        <v>2914</v>
      </c>
      <c r="E2932" t="b">
        <f>IF(COUNTIF(D2932,"*"&amp;'Keyword Search'!$C$5&amp;"*"),TRUE,FALSE)</f>
        <v>1</v>
      </c>
      <c r="G2932" t="str">
        <f t="shared" si="191"/>
        <v>393-77: Soft Drinks</v>
      </c>
    </row>
    <row r="2933" spans="1:7" x14ac:dyDescent="0.25">
      <c r="A2933" s="1" t="str">
        <f t="shared" si="189"/>
        <v>393</v>
      </c>
      <c r="B2933" s="1" t="str">
        <f>TEXT(78,"00")</f>
        <v>78</v>
      </c>
      <c r="C2933" s="1" t="str">
        <f t="shared" si="190"/>
        <v>393-78</v>
      </c>
      <c r="D2933" t="s">
        <v>2915</v>
      </c>
      <c r="E2933" t="b">
        <f>IF(COUNTIF(D2933,"*"&amp;'Keyword Search'!$C$5&amp;"*"),TRUE,FALSE)</f>
        <v>1</v>
      </c>
      <c r="G2933" t="str">
        <f t="shared" si="191"/>
        <v>393-78: Soup, Soup Base, and Entree Mixes, Canned and Dehydrated  (Incl. Bouillon)</v>
      </c>
    </row>
    <row r="2934" spans="1:7" x14ac:dyDescent="0.25">
      <c r="A2934" s="1" t="str">
        <f t="shared" si="189"/>
        <v>393</v>
      </c>
      <c r="B2934" s="1" t="str">
        <f>TEXT(79,"00")</f>
        <v>79</v>
      </c>
      <c r="C2934" s="1" t="str">
        <f t="shared" si="190"/>
        <v>393-79</v>
      </c>
      <c r="D2934" t="s">
        <v>2916</v>
      </c>
      <c r="E2934" t="b">
        <f>IF(COUNTIF(D2934,"*"&amp;'Keyword Search'!$C$5&amp;"*"),TRUE,FALSE)</f>
        <v>1</v>
      </c>
      <c r="G2934" t="str">
        <f t="shared" si="191"/>
        <v>393-79: Soy Products: Extender, Flour, Grits, Meatless Products, Milk, etc.</v>
      </c>
    </row>
    <row r="2935" spans="1:7" x14ac:dyDescent="0.25">
      <c r="A2935" s="1" t="str">
        <f t="shared" si="189"/>
        <v>393</v>
      </c>
      <c r="B2935" s="1" t="str">
        <f>TEXT(80,"00")</f>
        <v>80</v>
      </c>
      <c r="C2935" s="1" t="str">
        <f t="shared" si="190"/>
        <v>393-80</v>
      </c>
      <c r="D2935" t="s">
        <v>2917</v>
      </c>
      <c r="E2935" t="b">
        <f>IF(COUNTIF(D2935,"*"&amp;'Keyword Search'!$C$5&amp;"*"),TRUE,FALSE)</f>
        <v>1</v>
      </c>
      <c r="G2935" t="str">
        <f t="shared" si="191"/>
        <v>393-80: Spices, Herbs, Seasonings, Starches, Including Seasoned Salt and Pepper</v>
      </c>
    </row>
    <row r="2936" spans="1:7" x14ac:dyDescent="0.25">
      <c r="A2936" s="1" t="str">
        <f t="shared" si="189"/>
        <v>393</v>
      </c>
      <c r="B2936" s="1" t="str">
        <f>TEXT(81,"00")</f>
        <v>81</v>
      </c>
      <c r="C2936" s="1" t="str">
        <f t="shared" si="190"/>
        <v>393-81</v>
      </c>
      <c r="D2936" t="s">
        <v>2918</v>
      </c>
      <c r="E2936" t="b">
        <f>IF(COUNTIF(D2936,"*"&amp;'Keyword Search'!$C$5&amp;"*"),TRUE,FALSE)</f>
        <v>1</v>
      </c>
      <c r="G2936" t="str">
        <f t="shared" si="191"/>
        <v>393-81: Sugar and Sweeteners</v>
      </c>
    </row>
    <row r="2937" spans="1:7" x14ac:dyDescent="0.25">
      <c r="A2937" s="1" t="str">
        <f t="shared" si="189"/>
        <v>393</v>
      </c>
      <c r="B2937" s="1" t="str">
        <f>TEXT(82,"00")</f>
        <v>82</v>
      </c>
      <c r="C2937" s="1" t="str">
        <f t="shared" si="190"/>
        <v>393-82</v>
      </c>
      <c r="D2937" t="s">
        <v>2919</v>
      </c>
      <c r="E2937" t="b">
        <f>IF(COUNTIF(D2937,"*"&amp;'Keyword Search'!$C$5&amp;"*"),TRUE,FALSE)</f>
        <v>1</v>
      </c>
      <c r="G2937" t="str">
        <f t="shared" si="191"/>
        <v>393-82: Syrups and Molasses, Except Fountain</v>
      </c>
    </row>
    <row r="2938" spans="1:7" x14ac:dyDescent="0.25">
      <c r="A2938" s="1" t="str">
        <f t="shared" si="189"/>
        <v>393</v>
      </c>
      <c r="B2938" s="1" t="str">
        <f>TEXT(83,"00")</f>
        <v>83</v>
      </c>
      <c r="C2938" s="1" t="str">
        <f t="shared" si="190"/>
        <v>393-83</v>
      </c>
      <c r="D2938" t="s">
        <v>2920</v>
      </c>
      <c r="E2938" t="b">
        <f>IF(COUNTIF(D2938,"*"&amp;'Keyword Search'!$C$5&amp;"*"),TRUE,FALSE)</f>
        <v>1</v>
      </c>
      <c r="G2938" t="str">
        <f t="shared" si="191"/>
        <v>393-83: Syrups, Fountain</v>
      </c>
    </row>
    <row r="2939" spans="1:7" x14ac:dyDescent="0.25">
      <c r="A2939" s="1" t="str">
        <f t="shared" si="189"/>
        <v>393</v>
      </c>
      <c r="B2939" s="1" t="str">
        <f>TEXT(84,"00")</f>
        <v>84</v>
      </c>
      <c r="C2939" s="1" t="str">
        <f t="shared" si="190"/>
        <v>393-84</v>
      </c>
      <c r="D2939" t="s">
        <v>2921</v>
      </c>
      <c r="E2939" t="b">
        <f>IF(COUNTIF(D2939,"*"&amp;'Keyword Search'!$C$5&amp;"*"),TRUE,FALSE)</f>
        <v>1</v>
      </c>
      <c r="G2939" t="str">
        <f t="shared" si="191"/>
        <v>393-84: Tea (Not Instant)</v>
      </c>
    </row>
    <row r="2940" spans="1:7" x14ac:dyDescent="0.25">
      <c r="A2940" s="1" t="str">
        <f t="shared" si="189"/>
        <v>393</v>
      </c>
      <c r="B2940" s="1" t="str">
        <f>TEXT(85,"00")</f>
        <v>85</v>
      </c>
      <c r="C2940" s="1" t="str">
        <f t="shared" si="190"/>
        <v>393-85</v>
      </c>
      <c r="D2940" t="s">
        <v>2922</v>
      </c>
      <c r="E2940" t="b">
        <f>IF(COUNTIF(D2940,"*"&amp;'Keyword Search'!$C$5&amp;"*"),TRUE,FALSE)</f>
        <v>1</v>
      </c>
      <c r="G2940" t="str">
        <f t="shared" si="191"/>
        <v>393-85: Tea, Instant</v>
      </c>
    </row>
    <row r="2941" spans="1:7" x14ac:dyDescent="0.25">
      <c r="A2941" s="1" t="str">
        <f t="shared" si="189"/>
        <v>393</v>
      </c>
      <c r="B2941" s="1" t="str">
        <f>TEXT(86,"00")</f>
        <v>86</v>
      </c>
      <c r="C2941" s="1" t="str">
        <f t="shared" si="190"/>
        <v>393-86</v>
      </c>
      <c r="D2941" t="s">
        <v>2923</v>
      </c>
      <c r="E2941" t="b">
        <f>IF(COUNTIF(D2941,"*"&amp;'Keyword Search'!$C$5&amp;"*"),TRUE,FALSE)</f>
        <v>1</v>
      </c>
      <c r="G2941" t="str">
        <f t="shared" si="191"/>
        <v>393-86: Vegetables, Canned, Processed and Preserved, Including Canned Salads, Sauces and Puree</v>
      </c>
    </row>
    <row r="2942" spans="1:7" x14ac:dyDescent="0.25">
      <c r="A2942" s="1" t="str">
        <f t="shared" ref="A2942:A2948" si="192">TEXT(393,"000")</f>
        <v>393</v>
      </c>
      <c r="B2942" s="1" t="str">
        <f>TEXT(87,"00")</f>
        <v>87</v>
      </c>
      <c r="C2942" s="1" t="str">
        <f t="shared" si="190"/>
        <v>393-87</v>
      </c>
      <c r="D2942" t="s">
        <v>2924</v>
      </c>
      <c r="E2942" t="b">
        <f>IF(COUNTIF(D2942,"*"&amp;'Keyword Search'!$C$5&amp;"*"),TRUE,FALSE)</f>
        <v>1</v>
      </c>
      <c r="G2942" t="str">
        <f t="shared" si="191"/>
        <v>393-87: Vegetables, Dried, Beans, Peas, etc.</v>
      </c>
    </row>
    <row r="2943" spans="1:7" x14ac:dyDescent="0.25">
      <c r="A2943" s="1" t="str">
        <f t="shared" si="192"/>
        <v>393</v>
      </c>
      <c r="B2943" s="1" t="str">
        <f>TEXT(88,"00")</f>
        <v>88</v>
      </c>
      <c r="C2943" s="1" t="str">
        <f t="shared" si="190"/>
        <v>393-88</v>
      </c>
      <c r="D2943" t="s">
        <v>2925</v>
      </c>
      <c r="E2943" t="b">
        <f>IF(COUNTIF(D2943,"*"&amp;'Keyword Search'!$C$5&amp;"*"),TRUE,FALSE)</f>
        <v>1</v>
      </c>
      <c r="G2943" t="str">
        <f t="shared" si="191"/>
        <v>393-88: Vinegar</v>
      </c>
    </row>
    <row r="2944" spans="1:7" x14ac:dyDescent="0.25">
      <c r="A2944" s="1" t="str">
        <f t="shared" si="192"/>
        <v>393</v>
      </c>
      <c r="B2944" s="1" t="str">
        <f>TEXT(89,"00")</f>
        <v>89</v>
      </c>
      <c r="C2944" s="1" t="str">
        <f t="shared" si="190"/>
        <v>393-89</v>
      </c>
      <c r="D2944" t="s">
        <v>2926</v>
      </c>
      <c r="E2944" t="b">
        <f>IF(COUNTIF(D2944,"*"&amp;'Keyword Search'!$C$5&amp;"*"),TRUE,FALSE)</f>
        <v>1</v>
      </c>
      <c r="G2944" t="str">
        <f t="shared" si="191"/>
        <v>393-89: Wheat Germ</v>
      </c>
    </row>
    <row r="2945" spans="1:7" x14ac:dyDescent="0.25">
      <c r="A2945" s="1" t="str">
        <f t="shared" si="192"/>
        <v>393</v>
      </c>
      <c r="B2945" s="1" t="str">
        <f>TEXT(90,"00")</f>
        <v>90</v>
      </c>
      <c r="C2945" s="1" t="str">
        <f t="shared" si="190"/>
        <v>393-90</v>
      </c>
      <c r="D2945" t="s">
        <v>2927</v>
      </c>
      <c r="E2945" t="b">
        <f>IF(COUNTIF(D2945,"*"&amp;'Keyword Search'!$C$5&amp;"*"),TRUE,FALSE)</f>
        <v>1</v>
      </c>
      <c r="G2945" t="str">
        <f t="shared" si="191"/>
        <v>393-90: Yeast</v>
      </c>
    </row>
    <row r="2946" spans="1:7" x14ac:dyDescent="0.25">
      <c r="A2946" s="1" t="str">
        <f t="shared" si="192"/>
        <v>393</v>
      </c>
      <c r="B2946" s="1" t="str">
        <f>TEXT(93,"00")</f>
        <v>93</v>
      </c>
      <c r="C2946" s="1" t="str">
        <f t="shared" si="190"/>
        <v>393-93</v>
      </c>
      <c r="D2946" t="s">
        <v>2928</v>
      </c>
      <c r="E2946" t="b">
        <f>IF(COUNTIF(D2946,"*"&amp;'Keyword Search'!$C$5&amp;"*"),TRUE,FALSE)</f>
        <v>1</v>
      </c>
      <c r="G2946" t="str">
        <f t="shared" si="191"/>
        <v>393-93: Sanitizer, Liquid, (For Elimination of Bacteria, Viruses and Fungi Caused by Contact With Food</v>
      </c>
    </row>
    <row r="2947" spans="1:7" x14ac:dyDescent="0.25">
      <c r="A2947" s="1" t="str">
        <f t="shared" si="192"/>
        <v>393</v>
      </c>
      <c r="B2947" s="1" t="str">
        <f>TEXT(95,"00")</f>
        <v>95</v>
      </c>
      <c r="C2947" s="1" t="str">
        <f t="shared" ref="C2947:C3010" si="193">CONCATENATE(A2947,"-",B2947)</f>
        <v>393-95</v>
      </c>
      <c r="D2947" t="s">
        <v>2929</v>
      </c>
      <c r="E2947" t="b">
        <f>IF(COUNTIF(D2947,"*"&amp;'Keyword Search'!$C$5&amp;"*"),TRUE,FALSE)</f>
        <v>1</v>
      </c>
      <c r="G2947" t="str">
        <f t="shared" si="191"/>
        <v>393-95: Recycled Grocer's Miscellaneous Products</v>
      </c>
    </row>
    <row r="2948" spans="1:7" x14ac:dyDescent="0.25">
      <c r="A2948" s="1" t="str">
        <f t="shared" si="192"/>
        <v>393</v>
      </c>
      <c r="B2948" s="1" t="str">
        <f>TEXT(97,"00")</f>
        <v>97</v>
      </c>
      <c r="C2948" s="1" t="str">
        <f t="shared" si="193"/>
        <v>393-97</v>
      </c>
      <c r="D2948" t="s">
        <v>2930</v>
      </c>
      <c r="E2948" t="b">
        <f>IF(COUNTIF(D2948,"*"&amp;'Keyword Search'!$C$5&amp;"*"),TRUE,FALSE)</f>
        <v>1</v>
      </c>
      <c r="G2948" t="str">
        <f t="shared" ref="G2948:G3011" si="194">CONCATENATE(C2948,": ",D2948)</f>
        <v>393-97: Food Products, Scrap or Waste</v>
      </c>
    </row>
    <row r="2949" spans="1:7" x14ac:dyDescent="0.25">
      <c r="A2949" s="5" t="str">
        <f t="shared" ref="A2949:A2960" si="195">TEXT(395,"000")</f>
        <v>395</v>
      </c>
      <c r="B2949" s="5" t="str">
        <f>TEXT(0,"00")</f>
        <v>00</v>
      </c>
      <c r="C2949" s="1"/>
      <c r="D2949" s="2" t="s">
        <v>2931</v>
      </c>
    </row>
    <row r="2950" spans="1:7" x14ac:dyDescent="0.25">
      <c r="A2950" s="1" t="str">
        <f t="shared" si="195"/>
        <v>395</v>
      </c>
      <c r="B2950" s="1" t="str">
        <f>TEXT(15,"00")</f>
        <v>15</v>
      </c>
      <c r="C2950" s="1" t="str">
        <f t="shared" si="193"/>
        <v>395-15</v>
      </c>
      <c r="D2950" t="s">
        <v>2932</v>
      </c>
      <c r="E2950" t="b">
        <f>IF(COUNTIF(D2950,"*"&amp;'Keyword Search'!$C$5&amp;"*"),TRUE,FALSE)</f>
        <v>1</v>
      </c>
      <c r="G2950" t="str">
        <f t="shared" si="194"/>
        <v>395-15: Binders and Documentation Folders For Continuous Forms, Including Self-Mailers</v>
      </c>
    </row>
    <row r="2951" spans="1:7" x14ac:dyDescent="0.25">
      <c r="A2951" s="1" t="str">
        <f t="shared" si="195"/>
        <v>395</v>
      </c>
      <c r="B2951" s="1" t="str">
        <f>TEXT(25,"00")</f>
        <v>25</v>
      </c>
      <c r="C2951" s="1" t="str">
        <f t="shared" si="193"/>
        <v>395-25</v>
      </c>
      <c r="D2951" t="s">
        <v>2933</v>
      </c>
      <c r="E2951" t="b">
        <f>IF(COUNTIF(D2951,"*"&amp;'Keyword Search'!$C$5&amp;"*"),TRUE,FALSE)</f>
        <v>1</v>
      </c>
      <c r="G2951" t="str">
        <f t="shared" si="194"/>
        <v>395-25: Continuous Form Labels, Pressure Sensitive, Custom</v>
      </c>
    </row>
    <row r="2952" spans="1:7" x14ac:dyDescent="0.25">
      <c r="A2952" s="1" t="str">
        <f t="shared" si="195"/>
        <v>395</v>
      </c>
      <c r="B2952" s="1" t="str">
        <f>TEXT(27,"00")</f>
        <v>27</v>
      </c>
      <c r="C2952" s="1" t="str">
        <f t="shared" si="193"/>
        <v>395-27</v>
      </c>
      <c r="D2952" t="s">
        <v>2934</v>
      </c>
      <c r="E2952" t="b">
        <f>IF(COUNTIF(D2952,"*"&amp;'Keyword Search'!$C$5&amp;"*"),TRUE,FALSE)</f>
        <v>1</v>
      </c>
      <c r="G2952" t="str">
        <f t="shared" si="194"/>
        <v>395-27: Continuous Form Labels, Pressure Sensitive, Stock</v>
      </c>
    </row>
    <row r="2953" spans="1:7" x14ac:dyDescent="0.25">
      <c r="A2953" s="1" t="str">
        <f t="shared" si="195"/>
        <v>395</v>
      </c>
      <c r="B2953" s="1" t="str">
        <f>TEXT(29,"00")</f>
        <v>29</v>
      </c>
      <c r="C2953" s="1" t="str">
        <f t="shared" si="193"/>
        <v>395-29</v>
      </c>
      <c r="D2953" t="s">
        <v>2935</v>
      </c>
      <c r="E2953" t="b">
        <f>IF(COUNTIF(D2953,"*"&amp;'Keyword Search'!$C$5&amp;"*"),TRUE,FALSE)</f>
        <v>1</v>
      </c>
      <c r="G2953" t="str">
        <f t="shared" si="194"/>
        <v>395-29: Continuous Forms, Carbon Interleaved</v>
      </c>
    </row>
    <row r="2954" spans="1:7" x14ac:dyDescent="0.25">
      <c r="A2954" s="1" t="str">
        <f t="shared" si="195"/>
        <v>395</v>
      </c>
      <c r="B2954" s="1" t="str">
        <f>TEXT(30,"00")</f>
        <v>30</v>
      </c>
      <c r="C2954" s="1" t="str">
        <f t="shared" si="193"/>
        <v>395-30</v>
      </c>
      <c r="D2954" t="s">
        <v>2936</v>
      </c>
      <c r="E2954" t="b">
        <f>IF(COUNTIF(D2954,"*"&amp;'Keyword Search'!$C$5&amp;"*"),TRUE,FALSE)</f>
        <v>1</v>
      </c>
      <c r="G2954" t="str">
        <f t="shared" si="194"/>
        <v>395-30: Continuous Forms, Custom</v>
      </c>
    </row>
    <row r="2955" spans="1:7" x14ac:dyDescent="0.25">
      <c r="A2955" s="1" t="str">
        <f t="shared" si="195"/>
        <v>395</v>
      </c>
      <c r="B2955" s="1" t="str">
        <f>TEXT(40,"00")</f>
        <v>40</v>
      </c>
      <c r="C2955" s="1" t="str">
        <f t="shared" si="193"/>
        <v>395-40</v>
      </c>
      <c r="D2955" t="s">
        <v>2937</v>
      </c>
      <c r="E2955" t="b">
        <f>IF(COUNTIF(D2955,"*"&amp;'Keyword Search'!$C$5&amp;"*"),TRUE,FALSE)</f>
        <v>1</v>
      </c>
      <c r="G2955" t="str">
        <f t="shared" si="194"/>
        <v>395-40: Continuous Forms, Carbonless Paper, Chemical Transfer</v>
      </c>
    </row>
    <row r="2956" spans="1:7" x14ac:dyDescent="0.25">
      <c r="A2956" s="1" t="str">
        <f t="shared" si="195"/>
        <v>395</v>
      </c>
      <c r="B2956" s="1" t="str">
        <f>TEXT(50,"00")</f>
        <v>50</v>
      </c>
      <c r="C2956" s="1" t="str">
        <f t="shared" si="193"/>
        <v>395-50</v>
      </c>
      <c r="D2956" t="s">
        <v>2938</v>
      </c>
      <c r="E2956" t="b">
        <f>IF(COUNTIF(D2956,"*"&amp;'Keyword Search'!$C$5&amp;"*"),TRUE,FALSE)</f>
        <v>1</v>
      </c>
      <c r="G2956" t="str">
        <f t="shared" si="194"/>
        <v>395-50: Continuous Forms (Computer Paper), Stock (Including Blank, Ruled, and Tinted Types -See Class 525 for Library Stock Continuous Forms)</v>
      </c>
    </row>
    <row r="2957" spans="1:7" x14ac:dyDescent="0.25">
      <c r="A2957" s="1" t="str">
        <f t="shared" si="195"/>
        <v>395</v>
      </c>
      <c r="B2957" s="1" t="str">
        <f>TEXT(51,"00")</f>
        <v>51</v>
      </c>
      <c r="C2957" s="1" t="str">
        <f t="shared" si="193"/>
        <v>395-51</v>
      </c>
      <c r="D2957" t="s">
        <v>2939</v>
      </c>
      <c r="E2957" t="b">
        <f>IF(COUNTIF(D2957,"*"&amp;'Keyword Search'!$C$5&amp;"*"),TRUE,FALSE)</f>
        <v>1</v>
      </c>
      <c r="G2957" t="str">
        <f t="shared" si="194"/>
        <v>395-51: Recycled Computer Paper, Continuous Forms, Form Labels, Snap-Out Forms, Binders, Folders, etc.</v>
      </c>
    </row>
    <row r="2958" spans="1:7" x14ac:dyDescent="0.25">
      <c r="A2958" s="1" t="str">
        <f t="shared" si="195"/>
        <v>395</v>
      </c>
      <c r="B2958" s="1" t="str">
        <f>TEXT(70,"00")</f>
        <v>70</v>
      </c>
      <c r="C2958" s="1" t="str">
        <f t="shared" si="193"/>
        <v>395-70</v>
      </c>
      <c r="D2958" t="s">
        <v>2940</v>
      </c>
      <c r="E2958" t="b">
        <f>IF(COUNTIF(D2958,"*"&amp;'Keyword Search'!$C$5&amp;"*"),TRUE,FALSE)</f>
        <v>1</v>
      </c>
      <c r="G2958" t="str">
        <f t="shared" si="194"/>
        <v>395-70: Snap-Out Forms, Carbon Interleaved</v>
      </c>
    </row>
    <row r="2959" spans="1:7" x14ac:dyDescent="0.25">
      <c r="A2959" s="1" t="str">
        <f t="shared" si="195"/>
        <v>395</v>
      </c>
      <c r="B2959" s="1" t="str">
        <f>TEXT(80,"00")</f>
        <v>80</v>
      </c>
      <c r="C2959" s="1" t="str">
        <f t="shared" si="193"/>
        <v>395-80</v>
      </c>
      <c r="D2959" t="s">
        <v>2941</v>
      </c>
      <c r="E2959" t="b">
        <f>IF(COUNTIF(D2959,"*"&amp;'Keyword Search'!$C$5&amp;"*"),TRUE,FALSE)</f>
        <v>1</v>
      </c>
      <c r="G2959" t="str">
        <f t="shared" si="194"/>
        <v>395-80: Snap-Out Forms, Carbonless Paper (Chemical Transfer)</v>
      </c>
    </row>
    <row r="2960" spans="1:7" x14ac:dyDescent="0.25">
      <c r="A2960" s="1" t="str">
        <f t="shared" si="195"/>
        <v>395</v>
      </c>
      <c r="B2960" s="1" t="str">
        <f>TEXT(81,"00")</f>
        <v>81</v>
      </c>
      <c r="C2960" s="1" t="str">
        <f t="shared" si="193"/>
        <v>395-81</v>
      </c>
      <c r="D2960" t="s">
        <v>2942</v>
      </c>
      <c r="E2960" t="b">
        <f>IF(COUNTIF(D2960,"*"&amp;'Keyword Search'!$C$5&amp;"*"),TRUE,FALSE)</f>
        <v>1</v>
      </c>
      <c r="G2960" t="str">
        <f t="shared" si="194"/>
        <v>395-81: Snap-Out Forms, Tab Card Set</v>
      </c>
    </row>
    <row r="2961" spans="1:7" x14ac:dyDescent="0.25">
      <c r="A2961" s="5" t="str">
        <f t="shared" ref="A2961:A2983" si="196">TEXT(400,"000")</f>
        <v>400</v>
      </c>
      <c r="B2961" s="5" t="str">
        <f>TEXT(0,"00")</f>
        <v>00</v>
      </c>
      <c r="C2961" s="1"/>
      <c r="D2961" s="2" t="s">
        <v>2943</v>
      </c>
    </row>
    <row r="2962" spans="1:7" x14ac:dyDescent="0.25">
      <c r="A2962" s="1" t="str">
        <f t="shared" si="196"/>
        <v>400</v>
      </c>
      <c r="B2962" s="1" t="str">
        <f>TEXT(15,"00")</f>
        <v>15</v>
      </c>
      <c r="C2962" s="1" t="str">
        <f t="shared" si="193"/>
        <v>400-15</v>
      </c>
      <c r="D2962" t="s">
        <v>2944</v>
      </c>
      <c r="E2962" t="b">
        <f>IF(COUNTIF(D2962,"*"&amp;'Keyword Search'!$C$5&amp;"*"),TRUE,FALSE)</f>
        <v>1</v>
      </c>
      <c r="G2962" t="str">
        <f t="shared" si="194"/>
        <v>400-15: Castings, Aluminum</v>
      </c>
    </row>
    <row r="2963" spans="1:7" x14ac:dyDescent="0.25">
      <c r="A2963" s="1" t="str">
        <f t="shared" si="196"/>
        <v>400</v>
      </c>
      <c r="B2963" s="1" t="str">
        <f>TEXT(23,"00")</f>
        <v>23</v>
      </c>
      <c r="C2963" s="1" t="str">
        <f t="shared" si="193"/>
        <v>400-23</v>
      </c>
      <c r="D2963" t="s">
        <v>2945</v>
      </c>
      <c r="E2963" t="b">
        <f>IF(COUNTIF(D2963,"*"&amp;'Keyword Search'!$C$5&amp;"*"),TRUE,FALSE)</f>
        <v>1</v>
      </c>
      <c r="G2963" t="str">
        <f t="shared" si="194"/>
        <v>400-23: Castings, Beryllium</v>
      </c>
    </row>
    <row r="2964" spans="1:7" x14ac:dyDescent="0.25">
      <c r="A2964" s="1" t="str">
        <f t="shared" si="196"/>
        <v>400</v>
      </c>
      <c r="B2964" s="1" t="str">
        <f>TEXT(25,"00")</f>
        <v>25</v>
      </c>
      <c r="C2964" s="1" t="str">
        <f t="shared" si="193"/>
        <v>400-25</v>
      </c>
      <c r="D2964" t="s">
        <v>2946</v>
      </c>
      <c r="E2964" t="b">
        <f>IF(COUNTIF(D2964,"*"&amp;'Keyword Search'!$C$5&amp;"*"),TRUE,FALSE)</f>
        <v>1</v>
      </c>
      <c r="G2964" t="str">
        <f t="shared" si="194"/>
        <v>400-25: Castings, Brass and Bronze</v>
      </c>
    </row>
    <row r="2965" spans="1:7" x14ac:dyDescent="0.25">
      <c r="A2965" s="1" t="str">
        <f t="shared" si="196"/>
        <v>400</v>
      </c>
      <c r="B2965" s="1" t="str">
        <f>TEXT(28,"00")</f>
        <v>28</v>
      </c>
      <c r="C2965" s="1" t="str">
        <f t="shared" si="193"/>
        <v>400-28</v>
      </c>
      <c r="D2965" t="s">
        <v>2947</v>
      </c>
      <c r="E2965" t="b">
        <f>IF(COUNTIF(D2965,"*"&amp;'Keyword Search'!$C$5&amp;"*"),TRUE,FALSE)</f>
        <v>1</v>
      </c>
      <c r="G2965" t="str">
        <f t="shared" si="194"/>
        <v>400-28: Castings, Copper</v>
      </c>
    </row>
    <row r="2966" spans="1:7" x14ac:dyDescent="0.25">
      <c r="A2966" s="1" t="str">
        <f t="shared" si="196"/>
        <v>400</v>
      </c>
      <c r="B2966" s="1" t="str">
        <f>TEXT(33,"00")</f>
        <v>33</v>
      </c>
      <c r="C2966" s="1" t="str">
        <f t="shared" si="193"/>
        <v>400-33</v>
      </c>
      <c r="D2966" t="s">
        <v>2948</v>
      </c>
      <c r="E2966" t="b">
        <f>IF(COUNTIF(D2966,"*"&amp;'Keyword Search'!$C$5&amp;"*"),TRUE,FALSE)</f>
        <v>1</v>
      </c>
      <c r="G2966" t="str">
        <f t="shared" si="194"/>
        <v>400-33: Castings, Ductile Iron</v>
      </c>
    </row>
    <row r="2967" spans="1:7" x14ac:dyDescent="0.25">
      <c r="A2967" s="1" t="str">
        <f t="shared" si="196"/>
        <v>400</v>
      </c>
      <c r="B2967" s="1" t="str">
        <f>TEXT(34,"00")</f>
        <v>34</v>
      </c>
      <c r="C2967" s="1" t="str">
        <f t="shared" si="193"/>
        <v>400-34</v>
      </c>
      <c r="D2967" t="s">
        <v>2949</v>
      </c>
      <c r="E2967" t="b">
        <f>IF(COUNTIF(D2967,"*"&amp;'Keyword Search'!$C$5&amp;"*"),TRUE,FALSE)</f>
        <v>1</v>
      </c>
      <c r="G2967" t="str">
        <f t="shared" si="194"/>
        <v>400-34: Castings, Ferrous and Non-Ferrous Alloy</v>
      </c>
    </row>
    <row r="2968" spans="1:7" x14ac:dyDescent="0.25">
      <c r="A2968" s="1" t="str">
        <f t="shared" si="196"/>
        <v>400</v>
      </c>
      <c r="B2968" s="1" t="str">
        <f>TEXT(35,"00")</f>
        <v>35</v>
      </c>
      <c r="C2968" s="1" t="str">
        <f t="shared" si="193"/>
        <v>400-35</v>
      </c>
      <c r="D2968" t="s">
        <v>2950</v>
      </c>
      <c r="E2968" t="b">
        <f>IF(COUNTIF(D2968,"*"&amp;'Keyword Search'!$C$5&amp;"*"),TRUE,FALSE)</f>
        <v>1</v>
      </c>
      <c r="G2968" t="str">
        <f t="shared" si="194"/>
        <v>400-35: Castings, Gray Iron</v>
      </c>
    </row>
    <row r="2969" spans="1:7" x14ac:dyDescent="0.25">
      <c r="A2969" s="1" t="str">
        <f t="shared" si="196"/>
        <v>400</v>
      </c>
      <c r="B2969" s="1" t="str">
        <f>TEXT(37,"00")</f>
        <v>37</v>
      </c>
      <c r="C2969" s="1" t="str">
        <f t="shared" si="193"/>
        <v>400-37</v>
      </c>
      <c r="D2969" t="s">
        <v>2951</v>
      </c>
      <c r="E2969" t="b">
        <f>IF(COUNTIF(D2969,"*"&amp;'Keyword Search'!$C$5&amp;"*"),TRUE,FALSE)</f>
        <v>1</v>
      </c>
      <c r="G2969" t="str">
        <f t="shared" si="194"/>
        <v>400-37: Castings, Lead</v>
      </c>
    </row>
    <row r="2970" spans="1:7" x14ac:dyDescent="0.25">
      <c r="A2970" s="1" t="str">
        <f t="shared" si="196"/>
        <v>400</v>
      </c>
      <c r="B2970" s="1" t="str">
        <f>TEXT(44,"00")</f>
        <v>44</v>
      </c>
      <c r="C2970" s="1" t="str">
        <f t="shared" si="193"/>
        <v>400-44</v>
      </c>
      <c r="D2970" t="s">
        <v>2952</v>
      </c>
      <c r="E2970" t="b">
        <f>IF(COUNTIF(D2970,"*"&amp;'Keyword Search'!$C$5&amp;"*"),TRUE,FALSE)</f>
        <v>1</v>
      </c>
      <c r="G2970" t="str">
        <f t="shared" si="194"/>
        <v>400-44: Castings, Magnesium</v>
      </c>
    </row>
    <row r="2971" spans="1:7" x14ac:dyDescent="0.25">
      <c r="A2971" s="1" t="str">
        <f t="shared" si="196"/>
        <v>400</v>
      </c>
      <c r="B2971" s="1" t="str">
        <f>TEXT(45,"00")</f>
        <v>45</v>
      </c>
      <c r="C2971" s="1" t="str">
        <f t="shared" si="193"/>
        <v>400-45</v>
      </c>
      <c r="D2971" t="s">
        <v>2953</v>
      </c>
      <c r="E2971" t="b">
        <f>IF(COUNTIF(D2971,"*"&amp;'Keyword Search'!$C$5&amp;"*"),TRUE,FALSE)</f>
        <v>1</v>
      </c>
      <c r="G2971" t="str">
        <f t="shared" si="194"/>
        <v>400-45: Castings, Malleable Iron</v>
      </c>
    </row>
    <row r="2972" spans="1:7" x14ac:dyDescent="0.25">
      <c r="A2972" s="1" t="str">
        <f t="shared" si="196"/>
        <v>400</v>
      </c>
      <c r="B2972" s="1" t="str">
        <f>TEXT(46,"00")</f>
        <v>46</v>
      </c>
      <c r="C2972" s="1" t="str">
        <f t="shared" si="193"/>
        <v>400-46</v>
      </c>
      <c r="D2972" t="s">
        <v>2954</v>
      </c>
      <c r="E2972" t="b">
        <f>IF(COUNTIF(D2972,"*"&amp;'Keyword Search'!$C$5&amp;"*"),TRUE,FALSE)</f>
        <v>1</v>
      </c>
      <c r="G2972" t="str">
        <f t="shared" si="194"/>
        <v>400-46: Castings, Mold: Permanent, Shell, Investment, Centrifugal, Ceramic, Graphite, Plaster, V-Process</v>
      </c>
    </row>
    <row r="2973" spans="1:7" x14ac:dyDescent="0.25">
      <c r="A2973" s="1" t="str">
        <f t="shared" si="196"/>
        <v>400</v>
      </c>
      <c r="B2973" s="1" t="str">
        <f>TEXT(47,"00")</f>
        <v>47</v>
      </c>
      <c r="C2973" s="1" t="str">
        <f t="shared" si="193"/>
        <v>400-47</v>
      </c>
      <c r="D2973" t="s">
        <v>2955</v>
      </c>
      <c r="E2973" t="b">
        <f>IF(COUNTIF(D2973,"*"&amp;'Keyword Search'!$C$5&amp;"*"),TRUE,FALSE)</f>
        <v>1</v>
      </c>
      <c r="G2973" t="str">
        <f t="shared" si="194"/>
        <v>400-47: Castings, Steel</v>
      </c>
    </row>
    <row r="2974" spans="1:7" x14ac:dyDescent="0.25">
      <c r="A2974" s="1" t="str">
        <f t="shared" si="196"/>
        <v>400</v>
      </c>
      <c r="B2974" s="1" t="str">
        <f>TEXT(48,"00")</f>
        <v>48</v>
      </c>
      <c r="C2974" s="1" t="str">
        <f t="shared" si="193"/>
        <v>400-48</v>
      </c>
      <c r="D2974" t="s">
        <v>2956</v>
      </c>
      <c r="E2974" t="b">
        <f>IF(COUNTIF(D2974,"*"&amp;'Keyword Search'!$C$5&amp;"*"),TRUE,FALSE)</f>
        <v>1</v>
      </c>
      <c r="G2974" t="str">
        <f t="shared" si="194"/>
        <v>400-48: Castings, Stainless Steel</v>
      </c>
    </row>
    <row r="2975" spans="1:7" x14ac:dyDescent="0.25">
      <c r="A2975" s="1" t="str">
        <f t="shared" si="196"/>
        <v>400</v>
      </c>
      <c r="B2975" s="1" t="str">
        <f>TEXT(49,"00")</f>
        <v>49</v>
      </c>
      <c r="C2975" s="1" t="str">
        <f t="shared" si="193"/>
        <v>400-49</v>
      </c>
      <c r="D2975" t="s">
        <v>2957</v>
      </c>
      <c r="E2975" t="b">
        <f>IF(COUNTIF(D2975,"*"&amp;'Keyword Search'!$C$5&amp;"*"),TRUE,FALSE)</f>
        <v>1</v>
      </c>
      <c r="G2975" t="str">
        <f t="shared" si="194"/>
        <v>400-49: Castings, Stone and Mortar, etc.</v>
      </c>
    </row>
    <row r="2976" spans="1:7" x14ac:dyDescent="0.25">
      <c r="A2976" s="1" t="str">
        <f t="shared" si="196"/>
        <v>400</v>
      </c>
      <c r="B2976" s="1" t="str">
        <f>TEXT(50,"00")</f>
        <v>50</v>
      </c>
      <c r="C2976" s="1" t="str">
        <f t="shared" si="193"/>
        <v>400-50</v>
      </c>
      <c r="D2976" t="s">
        <v>2958</v>
      </c>
      <c r="E2976" t="b">
        <f>IF(COUNTIF(D2976,"*"&amp;'Keyword Search'!$C$5&amp;"*"),TRUE,FALSE)</f>
        <v>1</v>
      </c>
      <c r="G2976" t="str">
        <f t="shared" si="194"/>
        <v>400-50: Castings, Tin</v>
      </c>
    </row>
    <row r="2977" spans="1:7" x14ac:dyDescent="0.25">
      <c r="A2977" s="1" t="str">
        <f t="shared" si="196"/>
        <v>400</v>
      </c>
      <c r="B2977" s="1" t="str">
        <f>TEXT(51,"00")</f>
        <v>51</v>
      </c>
      <c r="C2977" s="1" t="str">
        <f t="shared" si="193"/>
        <v>400-51</v>
      </c>
      <c r="D2977" t="s">
        <v>2959</v>
      </c>
      <c r="E2977" t="b">
        <f>IF(COUNTIF(D2977,"*"&amp;'Keyword Search'!$C$5&amp;"*"),TRUE,FALSE)</f>
        <v>1</v>
      </c>
      <c r="G2977" t="str">
        <f t="shared" si="194"/>
        <v>400-51: Castings, Titanium</v>
      </c>
    </row>
    <row r="2978" spans="1:7" x14ac:dyDescent="0.25">
      <c r="A2978" s="1" t="str">
        <f t="shared" si="196"/>
        <v>400</v>
      </c>
      <c r="B2978" s="1" t="str">
        <f>TEXT(52,"00")</f>
        <v>52</v>
      </c>
      <c r="C2978" s="1" t="str">
        <f t="shared" si="193"/>
        <v>400-52</v>
      </c>
      <c r="D2978" t="s">
        <v>2960</v>
      </c>
      <c r="E2978" t="b">
        <f>IF(COUNTIF(D2978,"*"&amp;'Keyword Search'!$C$5&amp;"*"),TRUE,FALSE)</f>
        <v>1</v>
      </c>
      <c r="G2978" t="str">
        <f t="shared" si="194"/>
        <v>400-52: Castings, Precious Metal</v>
      </c>
    </row>
    <row r="2979" spans="1:7" x14ac:dyDescent="0.25">
      <c r="A2979" s="1" t="str">
        <f t="shared" si="196"/>
        <v>400</v>
      </c>
      <c r="B2979" s="1" t="str">
        <f>TEXT(53,"00")</f>
        <v>53</v>
      </c>
      <c r="C2979" s="1" t="str">
        <f t="shared" si="193"/>
        <v>400-53</v>
      </c>
      <c r="D2979" t="s">
        <v>2961</v>
      </c>
      <c r="E2979" t="b">
        <f>IF(COUNTIF(D2979,"*"&amp;'Keyword Search'!$C$5&amp;"*"),TRUE,FALSE)</f>
        <v>1</v>
      </c>
      <c r="G2979" t="str">
        <f t="shared" si="194"/>
        <v>400-53: Castings, Zinc</v>
      </c>
    </row>
    <row r="2980" spans="1:7" x14ac:dyDescent="0.25">
      <c r="A2980" s="1" t="str">
        <f t="shared" si="196"/>
        <v>400</v>
      </c>
      <c r="B2980" s="1" t="str">
        <f>TEXT(55,"00")</f>
        <v>55</v>
      </c>
      <c r="C2980" s="1" t="str">
        <f t="shared" si="193"/>
        <v>400-55</v>
      </c>
      <c r="D2980" t="s">
        <v>2962</v>
      </c>
      <c r="E2980" t="b">
        <f>IF(COUNTIF(D2980,"*"&amp;'Keyword Search'!$C$5&amp;"*"),TRUE,FALSE)</f>
        <v>1</v>
      </c>
      <c r="G2980" t="str">
        <f t="shared" si="194"/>
        <v>400-55: Foundry Equipment and Supplies: Anvils, Bellows, Clays, Flasks, Fluxes, Ladles, Molds, Sand, Shovels, etc.</v>
      </c>
    </row>
    <row r="2981" spans="1:7" x14ac:dyDescent="0.25">
      <c r="A2981" s="1" t="str">
        <f t="shared" si="196"/>
        <v>400</v>
      </c>
      <c r="B2981" s="1" t="str">
        <f>TEXT(60,"00")</f>
        <v>60</v>
      </c>
      <c r="C2981" s="1" t="str">
        <f t="shared" si="193"/>
        <v>400-60</v>
      </c>
      <c r="D2981" t="s">
        <v>2963</v>
      </c>
      <c r="E2981" t="b">
        <f>IF(COUNTIF(D2981,"*"&amp;'Keyword Search'!$C$5&amp;"*"),TRUE,FALSE)</f>
        <v>1</v>
      </c>
      <c r="G2981" t="str">
        <f t="shared" si="194"/>
        <v>400-60: Forgings</v>
      </c>
    </row>
    <row r="2982" spans="1:7" x14ac:dyDescent="0.25">
      <c r="A2982" s="1" t="str">
        <f t="shared" si="196"/>
        <v>400</v>
      </c>
      <c r="B2982" s="1" t="str">
        <f>TEXT(75,"00")</f>
        <v>75</v>
      </c>
      <c r="C2982" s="1" t="str">
        <f t="shared" si="193"/>
        <v>400-75</v>
      </c>
      <c r="D2982" t="s">
        <v>2964</v>
      </c>
      <c r="E2982" t="b">
        <f>IF(COUNTIF(D2982,"*"&amp;'Keyword Search'!$C$5&amp;"*"),TRUE,FALSE)</f>
        <v>1</v>
      </c>
      <c r="G2982" t="str">
        <f t="shared" si="194"/>
        <v>400-75: Ovens, Annealing</v>
      </c>
    </row>
    <row r="2983" spans="1:7" x14ac:dyDescent="0.25">
      <c r="A2983" s="1" t="str">
        <f t="shared" si="196"/>
        <v>400</v>
      </c>
      <c r="B2983" s="1" t="str">
        <f>TEXT(80,"00")</f>
        <v>80</v>
      </c>
      <c r="C2983" s="1" t="str">
        <f t="shared" si="193"/>
        <v>400-80</v>
      </c>
      <c r="D2983" t="s">
        <v>2965</v>
      </c>
      <c r="E2983" t="b">
        <f>IF(COUNTIF(D2983,"*"&amp;'Keyword Search'!$C$5&amp;"*"),TRUE,FALSE)</f>
        <v>1</v>
      </c>
      <c r="G2983" t="str">
        <f t="shared" si="194"/>
        <v>400-80: Recycled Foundry Castings and Supplies</v>
      </c>
    </row>
    <row r="2984" spans="1:7" x14ac:dyDescent="0.25">
      <c r="A2984" s="5" t="str">
        <f t="shared" ref="A2984:A3034" si="197">TEXT(405,"000")</f>
        <v>405</v>
      </c>
      <c r="B2984" s="5" t="str">
        <f>TEXT(0,"00")</f>
        <v>00</v>
      </c>
      <c r="C2984" s="1"/>
      <c r="D2984" s="2" t="s">
        <v>2966</v>
      </c>
    </row>
    <row r="2985" spans="1:7" x14ac:dyDescent="0.25">
      <c r="A2985" s="1" t="str">
        <f t="shared" si="197"/>
        <v>405</v>
      </c>
      <c r="B2985" s="1" t="str">
        <f>TEXT(2,"00")</f>
        <v>02</v>
      </c>
      <c r="C2985" s="1" t="str">
        <f t="shared" si="193"/>
        <v>405-02</v>
      </c>
      <c r="D2985" t="s">
        <v>2967</v>
      </c>
      <c r="E2985" t="b">
        <f>IF(COUNTIF(D2985,"*"&amp;'Keyword Search'!$C$5&amp;"*"),TRUE,FALSE)</f>
        <v>1</v>
      </c>
      <c r="G2985" t="str">
        <f t="shared" si="194"/>
        <v>405-02: Alternative Fuels (Not Otherwise Classified)</v>
      </c>
    </row>
    <row r="2986" spans="1:7" x14ac:dyDescent="0.25">
      <c r="A2986" s="1" t="str">
        <f t="shared" si="197"/>
        <v>405</v>
      </c>
      <c r="B2986" s="1" t="str">
        <f>TEXT(3,"00")</f>
        <v>03</v>
      </c>
      <c r="C2986" s="1" t="str">
        <f t="shared" si="193"/>
        <v>405-03</v>
      </c>
      <c r="D2986" t="s">
        <v>2968</v>
      </c>
      <c r="E2986" t="b">
        <f>IF(COUNTIF(D2986,"*"&amp;'Keyword Search'!$C$5&amp;"*"),TRUE,FALSE)</f>
        <v>1</v>
      </c>
      <c r="G2986" t="str">
        <f t="shared" si="194"/>
        <v>405-03: Butane and Propane, Including Liquefied Petroleum Gas</v>
      </c>
    </row>
    <row r="2987" spans="1:7" x14ac:dyDescent="0.25">
      <c r="A2987" s="1" t="str">
        <f t="shared" si="197"/>
        <v>405</v>
      </c>
      <c r="B2987" s="1" t="str">
        <f>TEXT(5,"00")</f>
        <v>05</v>
      </c>
      <c r="C2987" s="1" t="str">
        <f t="shared" si="193"/>
        <v>405-05</v>
      </c>
      <c r="D2987" t="s">
        <v>2969</v>
      </c>
      <c r="E2987" t="b">
        <f>IF(COUNTIF(D2987,"*"&amp;'Keyword Search'!$C$5&amp;"*"),TRUE,FALSE)</f>
        <v>1</v>
      </c>
      <c r="G2987" t="str">
        <f t="shared" si="194"/>
        <v>405-05: Charcoal  (Inactive, please see commodity code 405-06 effective January 1, 2016)</v>
      </c>
    </row>
    <row r="2988" spans="1:7" x14ac:dyDescent="0.25">
      <c r="A2988" s="1" t="str">
        <f t="shared" si="197"/>
        <v>405</v>
      </c>
      <c r="B2988" s="1" t="str">
        <f>TEXT(6,"00")</f>
        <v>06</v>
      </c>
      <c r="C2988" s="1" t="str">
        <f t="shared" si="193"/>
        <v>405-06</v>
      </c>
      <c r="D2988" t="s">
        <v>2970</v>
      </c>
      <c r="E2988" t="b">
        <f>IF(COUNTIF(D2988,"*"&amp;'Keyword Search'!$C$5&amp;"*"),TRUE,FALSE)</f>
        <v>1</v>
      </c>
      <c r="G2988" t="str">
        <f t="shared" si="194"/>
        <v>405-06: Coal, Coke, Lignite, Peat and Charcoal</v>
      </c>
    </row>
    <row r="2989" spans="1:7" x14ac:dyDescent="0.25">
      <c r="A2989" s="1" t="str">
        <f t="shared" si="197"/>
        <v>405</v>
      </c>
      <c r="B2989" s="1" t="str">
        <f>TEXT(7,"00")</f>
        <v>07</v>
      </c>
      <c r="C2989" s="1" t="str">
        <f t="shared" si="193"/>
        <v>405-07</v>
      </c>
      <c r="D2989" t="s">
        <v>2971</v>
      </c>
      <c r="E2989" t="b">
        <f>IF(COUNTIF(D2989,"*"&amp;'Keyword Search'!$C$5&amp;"*"),TRUE,FALSE)</f>
        <v>1</v>
      </c>
      <c r="G2989" t="str">
        <f t="shared" si="194"/>
        <v>405-07: Fuel Additives, Extenders, Octane Enhancers, etc.</v>
      </c>
    </row>
    <row r="2990" spans="1:7" x14ac:dyDescent="0.25">
      <c r="A2990" s="1" t="str">
        <f t="shared" si="197"/>
        <v>405</v>
      </c>
      <c r="B2990" s="1" t="str">
        <f>TEXT(8,"00")</f>
        <v>08</v>
      </c>
      <c r="C2990" s="1" t="str">
        <f t="shared" si="193"/>
        <v>405-08</v>
      </c>
      <c r="D2990" t="s">
        <v>2972</v>
      </c>
      <c r="E2990" t="b">
        <f>IF(COUNTIF(D2990,"*"&amp;'Keyword Search'!$C$5&amp;"*"),TRUE,FALSE)</f>
        <v>1</v>
      </c>
      <c r="G2990" t="str">
        <f t="shared" si="194"/>
        <v>405-08: Distillates, Petroleum (Not Otherwise Classified)</v>
      </c>
    </row>
    <row r="2991" spans="1:7" x14ac:dyDescent="0.25">
      <c r="A2991" s="1" t="str">
        <f t="shared" si="197"/>
        <v>405</v>
      </c>
      <c r="B2991" s="1" t="str">
        <f>TEXT(9,"00")</f>
        <v>09</v>
      </c>
      <c r="C2991" s="1" t="str">
        <f t="shared" si="193"/>
        <v>405-09</v>
      </c>
      <c r="D2991" t="s">
        <v>2973</v>
      </c>
      <c r="E2991" t="b">
        <f>IF(COUNTIF(D2991,"*"&amp;'Keyword Search'!$C$5&amp;"*"),TRUE,FALSE)</f>
        <v>1</v>
      </c>
      <c r="G2991" t="str">
        <f t="shared" si="194"/>
        <v>405-09: Fuel Oil, Diesel (Use 405-02 for Biodiesel)</v>
      </c>
    </row>
    <row r="2992" spans="1:7" x14ac:dyDescent="0.25">
      <c r="A2992" s="1" t="str">
        <f t="shared" si="197"/>
        <v>405</v>
      </c>
      <c r="B2992" s="1" t="str">
        <f>TEXT(12,"00")</f>
        <v>12</v>
      </c>
      <c r="C2992" s="1" t="str">
        <f t="shared" si="193"/>
        <v>405-12</v>
      </c>
      <c r="D2992" t="s">
        <v>2974</v>
      </c>
      <c r="E2992" t="b">
        <f>IF(COUNTIF(D2992,"*"&amp;'Keyword Search'!$C$5&amp;"*"),TRUE,FALSE)</f>
        <v>1</v>
      </c>
      <c r="G2992" t="str">
        <f t="shared" si="194"/>
        <v>405-12: Fuel Oil, Heating (Use 405-02 for Biodiesel)</v>
      </c>
    </row>
    <row r="2993" spans="1:7" x14ac:dyDescent="0.25">
      <c r="A2993" s="1" t="str">
        <f t="shared" si="197"/>
        <v>405</v>
      </c>
      <c r="B2993" s="1" t="str">
        <f>TEXT(13,"00")</f>
        <v>13</v>
      </c>
      <c r="C2993" s="1" t="str">
        <f t="shared" si="193"/>
        <v>405-13</v>
      </c>
      <c r="D2993" t="s">
        <v>2975</v>
      </c>
      <c r="E2993" t="b">
        <f>IF(COUNTIF(D2993,"*"&amp;'Keyword Search'!$C$5&amp;"*"),TRUE,FALSE)</f>
        <v>1</v>
      </c>
      <c r="G2993" t="str">
        <f t="shared" si="194"/>
        <v>405-13: Gas, Natural, Including Compressed Natural Gas (CNG)</v>
      </c>
    </row>
    <row r="2994" spans="1:7" x14ac:dyDescent="0.25">
      <c r="A2994" s="1" t="str">
        <f t="shared" si="197"/>
        <v>405</v>
      </c>
      <c r="B2994" s="1" t="str">
        <f>TEXT(14,"00")</f>
        <v>14</v>
      </c>
      <c r="C2994" s="1" t="str">
        <f t="shared" si="193"/>
        <v>405-14</v>
      </c>
      <c r="D2994" t="s">
        <v>2976</v>
      </c>
      <c r="E2994" t="b">
        <f>IF(COUNTIF(D2994,"*"&amp;'Keyword Search'!$C$5&amp;"*"),TRUE,FALSE)</f>
        <v>1</v>
      </c>
      <c r="G2994" t="str">
        <f t="shared" si="194"/>
        <v>405-14: Gasohol</v>
      </c>
    </row>
    <row r="2995" spans="1:7" x14ac:dyDescent="0.25">
      <c r="A2995" s="1" t="str">
        <f t="shared" si="197"/>
        <v>405</v>
      </c>
      <c r="B2995" s="1" t="str">
        <f>TEXT(15,"00")</f>
        <v>15</v>
      </c>
      <c r="C2995" s="1" t="str">
        <f t="shared" si="193"/>
        <v>405-15</v>
      </c>
      <c r="D2995" t="s">
        <v>2977</v>
      </c>
      <c r="E2995" t="b">
        <f>IF(COUNTIF(D2995,"*"&amp;'Keyword Search'!$C$5&amp;"*"),TRUE,FALSE)</f>
        <v>1</v>
      </c>
      <c r="G2995" t="str">
        <f t="shared" si="194"/>
        <v>405-15: Gasoline, Automotive</v>
      </c>
    </row>
    <row r="2996" spans="1:7" x14ac:dyDescent="0.25">
      <c r="A2996" s="1" t="str">
        <f t="shared" si="197"/>
        <v>405</v>
      </c>
      <c r="B2996" s="1" t="str">
        <f>TEXT(18,"00")</f>
        <v>18</v>
      </c>
      <c r="C2996" s="1" t="str">
        <f t="shared" si="193"/>
        <v>405-18</v>
      </c>
      <c r="D2996" t="s">
        <v>2978</v>
      </c>
      <c r="E2996" t="b">
        <f>IF(COUNTIF(D2996,"*"&amp;'Keyword Search'!$C$5&amp;"*"),TRUE,FALSE)</f>
        <v>1</v>
      </c>
      <c r="G2996" t="str">
        <f t="shared" si="194"/>
        <v>405-18: Gasoline, Aviation, Including Jet Fuel</v>
      </c>
    </row>
    <row r="2997" spans="1:7" x14ac:dyDescent="0.25">
      <c r="A2997" s="1" t="str">
        <f t="shared" si="197"/>
        <v>405</v>
      </c>
      <c r="B2997" s="1" t="str">
        <f>TEXT(21,"00")</f>
        <v>21</v>
      </c>
      <c r="C2997" s="1" t="str">
        <f t="shared" si="193"/>
        <v>405-21</v>
      </c>
      <c r="D2997" t="s">
        <v>2979</v>
      </c>
      <c r="E2997" t="b">
        <f>IF(COUNTIF(D2997,"*"&amp;'Keyword Search'!$C$5&amp;"*"),TRUE,FALSE)</f>
        <v>1</v>
      </c>
      <c r="G2997" t="str">
        <f t="shared" si="194"/>
        <v>405-21: Gasoline, Marine White</v>
      </c>
    </row>
    <row r="2998" spans="1:7" x14ac:dyDescent="0.25">
      <c r="A2998" s="1" t="str">
        <f t="shared" si="197"/>
        <v>405</v>
      </c>
      <c r="B2998" s="1" t="str">
        <f>TEXT(23,"00")</f>
        <v>23</v>
      </c>
      <c r="C2998" s="1" t="str">
        <f t="shared" si="193"/>
        <v>405-23</v>
      </c>
      <c r="D2998" t="s">
        <v>2980</v>
      </c>
      <c r="E2998" t="b">
        <f>IF(COUNTIF(D2998,"*"&amp;'Keyword Search'!$C$5&amp;"*"),TRUE,FALSE)</f>
        <v>1</v>
      </c>
      <c r="G2998" t="str">
        <f t="shared" si="194"/>
        <v>405-23: Graphite Lubricant  (Inactive, please see commodity code 405-31 effective January 1, 2016)</v>
      </c>
    </row>
    <row r="2999" spans="1:7" x14ac:dyDescent="0.25">
      <c r="A2999" s="1" t="str">
        <f t="shared" si="197"/>
        <v>405</v>
      </c>
      <c r="B2999" s="1" t="str">
        <f>TEXT(24,"00")</f>
        <v>24</v>
      </c>
      <c r="C2999" s="1" t="str">
        <f t="shared" si="193"/>
        <v>405-24</v>
      </c>
      <c r="D2999" t="s">
        <v>2981</v>
      </c>
      <c r="E2999" t="b">
        <f>IF(COUNTIF(D2999,"*"&amp;'Keyword Search'!$C$5&amp;"*"),TRUE,FALSE)</f>
        <v>1</v>
      </c>
      <c r="G2999" t="str">
        <f t="shared" si="194"/>
        <v>405-24: Grease, Lubrication Type</v>
      </c>
    </row>
    <row r="3000" spans="1:7" x14ac:dyDescent="0.25">
      <c r="A3000" s="1" t="str">
        <f t="shared" si="197"/>
        <v>405</v>
      </c>
      <c r="B3000" s="1" t="str">
        <f>TEXT(27,"00")</f>
        <v>27</v>
      </c>
      <c r="C3000" s="1" t="str">
        <f t="shared" si="193"/>
        <v>405-27</v>
      </c>
      <c r="D3000" t="s">
        <v>2982</v>
      </c>
      <c r="E3000" t="b">
        <f>IF(COUNTIF(D3000,"*"&amp;'Keyword Search'!$C$5&amp;"*"),TRUE,FALSE)</f>
        <v>1</v>
      </c>
      <c r="G3000" t="str">
        <f t="shared" si="194"/>
        <v>405-27: Grease, Protective Coating Type</v>
      </c>
    </row>
    <row r="3001" spans="1:7" x14ac:dyDescent="0.25">
      <c r="A3001" s="1" t="str">
        <f t="shared" si="197"/>
        <v>405</v>
      </c>
      <c r="B3001" s="1" t="str">
        <f>TEXT(30,"00")</f>
        <v>30</v>
      </c>
      <c r="C3001" s="1" t="str">
        <f t="shared" si="193"/>
        <v>405-30</v>
      </c>
      <c r="D3001" t="s">
        <v>2983</v>
      </c>
      <c r="E3001" t="b">
        <f>IF(COUNTIF(D3001,"*"&amp;'Keyword Search'!$C$5&amp;"*"),TRUE,FALSE)</f>
        <v>1</v>
      </c>
      <c r="G3001" t="str">
        <f t="shared" si="194"/>
        <v>405-30: Kerosene</v>
      </c>
    </row>
    <row r="3002" spans="1:7" x14ac:dyDescent="0.25">
      <c r="A3002" s="1" t="str">
        <f t="shared" si="197"/>
        <v>405</v>
      </c>
      <c r="B3002" s="1" t="str">
        <f>TEXT(31,"00")</f>
        <v>31</v>
      </c>
      <c r="C3002" s="1" t="str">
        <f t="shared" si="193"/>
        <v>405-31</v>
      </c>
      <c r="D3002" t="s">
        <v>2984</v>
      </c>
      <c r="E3002" t="b">
        <f>IF(COUNTIF(D3002,"*"&amp;'Keyword Search'!$C$5&amp;"*"),TRUE,FALSE)</f>
        <v>1</v>
      </c>
      <c r="G3002" t="str">
        <f t="shared" si="194"/>
        <v>405-31: Lubricants, Industrial Type, Including Biodegradable Type and Graphite</v>
      </c>
    </row>
    <row r="3003" spans="1:7" x14ac:dyDescent="0.25">
      <c r="A3003" s="1" t="str">
        <f t="shared" si="197"/>
        <v>405</v>
      </c>
      <c r="B3003" s="1" t="str">
        <f>TEXT(32,"00")</f>
        <v>32</v>
      </c>
      <c r="C3003" s="1" t="str">
        <f t="shared" si="193"/>
        <v>405-32</v>
      </c>
      <c r="D3003" t="s">
        <v>2985</v>
      </c>
      <c r="E3003" t="b">
        <f>IF(COUNTIF(D3003,"*"&amp;'Keyword Search'!$C$5&amp;"*"),TRUE,FALSE)</f>
        <v>1</v>
      </c>
      <c r="G3003" t="str">
        <f t="shared" si="194"/>
        <v>405-32: Methanol, Fuel</v>
      </c>
    </row>
    <row r="3004" spans="1:7" x14ac:dyDescent="0.25">
      <c r="A3004" s="1" t="str">
        <f t="shared" si="197"/>
        <v>405</v>
      </c>
      <c r="B3004" s="1" t="str">
        <f>TEXT(33,"00")</f>
        <v>33</v>
      </c>
      <c r="C3004" s="1" t="str">
        <f t="shared" si="193"/>
        <v>405-33</v>
      </c>
      <c r="D3004" t="s">
        <v>2986</v>
      </c>
      <c r="E3004" t="b">
        <f>IF(COUNTIF(D3004,"*"&amp;'Keyword Search'!$C$5&amp;"*"),TRUE,FALSE)</f>
        <v>1</v>
      </c>
      <c r="G3004" t="str">
        <f t="shared" si="194"/>
        <v>405-33: Naphtha</v>
      </c>
    </row>
    <row r="3005" spans="1:7" x14ac:dyDescent="0.25">
      <c r="A3005" s="1" t="str">
        <f t="shared" si="197"/>
        <v>405</v>
      </c>
      <c r="B3005" s="1" t="str">
        <f>TEXT(36,"00")</f>
        <v>36</v>
      </c>
      <c r="C3005" s="1" t="str">
        <f t="shared" si="193"/>
        <v>405-36</v>
      </c>
      <c r="D3005" t="s">
        <v>2987</v>
      </c>
      <c r="E3005" t="b">
        <f>IF(COUNTIF(D3005,"*"&amp;'Keyword Search'!$C$5&amp;"*"),TRUE,FALSE)</f>
        <v>1</v>
      </c>
      <c r="G3005" t="str">
        <f t="shared" si="194"/>
        <v>405-36: Oil, Automotive Transmission</v>
      </c>
    </row>
    <row r="3006" spans="1:7" x14ac:dyDescent="0.25">
      <c r="A3006" s="1" t="str">
        <f t="shared" si="197"/>
        <v>405</v>
      </c>
      <c r="B3006" s="1" t="str">
        <f>TEXT(37,"00")</f>
        <v>37</v>
      </c>
      <c r="C3006" s="1" t="str">
        <f t="shared" si="193"/>
        <v>405-37</v>
      </c>
      <c r="D3006" t="s">
        <v>2988</v>
      </c>
      <c r="E3006" t="b">
        <f>IF(COUNTIF(D3006,"*"&amp;'Keyword Search'!$C$5&amp;"*"),TRUE,FALSE)</f>
        <v>1</v>
      </c>
      <c r="G3006" t="str">
        <f t="shared" si="194"/>
        <v>405-37: Oil, Crude</v>
      </c>
    </row>
    <row r="3007" spans="1:7" x14ac:dyDescent="0.25">
      <c r="A3007" s="1" t="str">
        <f t="shared" si="197"/>
        <v>405</v>
      </c>
      <c r="B3007" s="1" t="str">
        <f>TEXT(38,"00")</f>
        <v>38</v>
      </c>
      <c r="C3007" s="1" t="str">
        <f t="shared" si="193"/>
        <v>405-38</v>
      </c>
      <c r="D3007" t="s">
        <v>2989</v>
      </c>
      <c r="E3007" t="b">
        <f>IF(COUNTIF(D3007,"*"&amp;'Keyword Search'!$C$5&amp;"*"),TRUE,FALSE)</f>
        <v>1</v>
      </c>
      <c r="G3007" t="str">
        <f t="shared" si="194"/>
        <v>405-38: Oil and Grease Additives</v>
      </c>
    </row>
    <row r="3008" spans="1:7" x14ac:dyDescent="0.25">
      <c r="A3008" s="1" t="str">
        <f t="shared" si="197"/>
        <v>405</v>
      </c>
      <c r="B3008" s="1" t="str">
        <f>TEXT(39,"00")</f>
        <v>39</v>
      </c>
      <c r="C3008" s="1" t="str">
        <f t="shared" si="193"/>
        <v>405-39</v>
      </c>
      <c r="D3008" t="s">
        <v>2990</v>
      </c>
      <c r="E3008" t="b">
        <f>IF(COUNTIF(D3008,"*"&amp;'Keyword Search'!$C$5&amp;"*"),TRUE,FALSE)</f>
        <v>1</v>
      </c>
      <c r="G3008" t="str">
        <f t="shared" si="194"/>
        <v>405-39: Oil, Automotive Engine</v>
      </c>
    </row>
    <row r="3009" spans="1:7" x14ac:dyDescent="0.25">
      <c r="A3009" s="1" t="str">
        <f t="shared" si="197"/>
        <v>405</v>
      </c>
      <c r="B3009" s="1" t="str">
        <f>TEXT(42,"00")</f>
        <v>42</v>
      </c>
      <c r="C3009" s="1" t="str">
        <f t="shared" si="193"/>
        <v>405-42</v>
      </c>
      <c r="D3009" t="s">
        <v>2991</v>
      </c>
      <c r="E3009" t="b">
        <f>IF(COUNTIF(D3009,"*"&amp;'Keyword Search'!$C$5&amp;"*"),TRUE,FALSE)</f>
        <v>1</v>
      </c>
      <c r="G3009" t="str">
        <f t="shared" si="194"/>
        <v>405-42: Oil, Aviation Engine</v>
      </c>
    </row>
    <row r="3010" spans="1:7" x14ac:dyDescent="0.25">
      <c r="A3010" s="1" t="str">
        <f t="shared" si="197"/>
        <v>405</v>
      </c>
      <c r="B3010" s="1" t="str">
        <f>TEXT(45,"00")</f>
        <v>45</v>
      </c>
      <c r="C3010" s="1" t="str">
        <f t="shared" si="193"/>
        <v>405-45</v>
      </c>
      <c r="D3010" t="s">
        <v>2992</v>
      </c>
      <c r="E3010" t="b">
        <f>IF(COUNTIF(D3010,"*"&amp;'Keyword Search'!$C$5&amp;"*"),TRUE,FALSE)</f>
        <v>1</v>
      </c>
      <c r="G3010" t="str">
        <f t="shared" si="194"/>
        <v>405-45: Oil, Chain Saw</v>
      </c>
    </row>
    <row r="3011" spans="1:7" x14ac:dyDescent="0.25">
      <c r="A3011" s="1" t="str">
        <f t="shared" si="197"/>
        <v>405</v>
      </c>
      <c r="B3011" s="1" t="str">
        <f>TEXT(47,"00")</f>
        <v>47</v>
      </c>
      <c r="C3011" s="1" t="str">
        <f t="shared" ref="C3011:C3074" si="198">CONCATENATE(A3011,"-",B3011)</f>
        <v>405-47</v>
      </c>
      <c r="D3011" t="s">
        <v>2993</v>
      </c>
      <c r="E3011" t="b">
        <f>IF(COUNTIF(D3011,"*"&amp;'Keyword Search'!$C$5&amp;"*"),TRUE,FALSE)</f>
        <v>1</v>
      </c>
      <c r="G3011" t="str">
        <f t="shared" si="194"/>
        <v>405-47: Oil, Compressor</v>
      </c>
    </row>
    <row r="3012" spans="1:7" x14ac:dyDescent="0.25">
      <c r="A3012" s="1" t="str">
        <f t="shared" si="197"/>
        <v>405</v>
      </c>
      <c r="B3012" s="1" t="str">
        <f>TEXT(48,"00")</f>
        <v>48</v>
      </c>
      <c r="C3012" s="1" t="str">
        <f t="shared" si="198"/>
        <v>405-48</v>
      </c>
      <c r="D3012" t="s">
        <v>2994</v>
      </c>
      <c r="E3012" t="b">
        <f>IF(COUNTIF(D3012,"*"&amp;'Keyword Search'!$C$5&amp;"*"),TRUE,FALSE)</f>
        <v>1</v>
      </c>
      <c r="G3012" t="str">
        <f t="shared" ref="G3012:G3075" si="199">CONCATENATE(C3012,": ",D3012)</f>
        <v>405-48: Oil, Cutting</v>
      </c>
    </row>
    <row r="3013" spans="1:7" x14ac:dyDescent="0.25">
      <c r="A3013" s="1" t="str">
        <f t="shared" si="197"/>
        <v>405</v>
      </c>
      <c r="B3013" s="1" t="str">
        <f>TEXT(49,"00")</f>
        <v>49</v>
      </c>
      <c r="C3013" s="1" t="str">
        <f t="shared" si="198"/>
        <v>405-49</v>
      </c>
      <c r="D3013" t="s">
        <v>2995</v>
      </c>
      <c r="E3013" t="b">
        <f>IF(COUNTIF(D3013,"*"&amp;'Keyword Search'!$C$5&amp;"*"),TRUE,FALSE)</f>
        <v>1</v>
      </c>
      <c r="G3013" t="str">
        <f t="shared" si="199"/>
        <v>405-49: Oil, Gear</v>
      </c>
    </row>
    <row r="3014" spans="1:7" x14ac:dyDescent="0.25">
      <c r="A3014" s="1" t="str">
        <f t="shared" si="197"/>
        <v>405</v>
      </c>
      <c r="B3014" s="1" t="str">
        <f>TEXT(50,"00")</f>
        <v>50</v>
      </c>
      <c r="C3014" s="1" t="str">
        <f t="shared" si="198"/>
        <v>405-50</v>
      </c>
      <c r="D3014" t="s">
        <v>2996</v>
      </c>
      <c r="E3014" t="b">
        <f>IF(COUNTIF(D3014,"*"&amp;'Keyword Search'!$C$5&amp;"*"),TRUE,FALSE)</f>
        <v>1</v>
      </c>
      <c r="G3014" t="str">
        <f t="shared" si="199"/>
        <v>405-50: Oil, Heat Transfer Fluid, Fire-Resistant</v>
      </c>
    </row>
    <row r="3015" spans="1:7" x14ac:dyDescent="0.25">
      <c r="A3015" s="1" t="str">
        <f t="shared" si="197"/>
        <v>405</v>
      </c>
      <c r="B3015" s="1" t="str">
        <f>TEXT(51,"00")</f>
        <v>51</v>
      </c>
      <c r="C3015" s="1" t="str">
        <f t="shared" si="198"/>
        <v>405-51</v>
      </c>
      <c r="D3015" t="s">
        <v>2997</v>
      </c>
      <c r="E3015" t="b">
        <f>IF(COUNTIF(D3015,"*"&amp;'Keyword Search'!$C$5&amp;"*"),TRUE,FALSE)</f>
        <v>1</v>
      </c>
      <c r="G3015" t="str">
        <f t="shared" si="199"/>
        <v>405-51: Oil and Fluid, Hydraulic</v>
      </c>
    </row>
    <row r="3016" spans="1:7" x14ac:dyDescent="0.25">
      <c r="A3016" s="1" t="str">
        <f t="shared" si="197"/>
        <v>405</v>
      </c>
      <c r="B3016" s="1" t="str">
        <f>TEXT(52,"00")</f>
        <v>52</v>
      </c>
      <c r="C3016" s="1" t="str">
        <f t="shared" si="198"/>
        <v>405-52</v>
      </c>
      <c r="D3016" t="s">
        <v>2998</v>
      </c>
      <c r="E3016" t="b">
        <f>IF(COUNTIF(D3016,"*"&amp;'Keyword Search'!$C$5&amp;"*"),TRUE,FALSE)</f>
        <v>1</v>
      </c>
      <c r="G3016" t="str">
        <f t="shared" si="199"/>
        <v>405-52: Oil, Instrument</v>
      </c>
    </row>
    <row r="3017" spans="1:7" x14ac:dyDescent="0.25">
      <c r="A3017" s="1" t="str">
        <f t="shared" si="197"/>
        <v>405</v>
      </c>
      <c r="B3017" s="1" t="str">
        <f>TEXT(54,"00")</f>
        <v>54</v>
      </c>
      <c r="C3017" s="1" t="str">
        <f t="shared" si="198"/>
        <v>405-54</v>
      </c>
      <c r="D3017" t="s">
        <v>2999</v>
      </c>
      <c r="E3017" t="b">
        <f>IF(COUNTIF(D3017,"*"&amp;'Keyword Search'!$C$5&amp;"*"),TRUE,FALSE)</f>
        <v>1</v>
      </c>
      <c r="G3017" t="str">
        <f t="shared" si="199"/>
        <v>405-54: Oil, Lubricating: Household, General Purpose, etc.</v>
      </c>
    </row>
    <row r="3018" spans="1:7" x14ac:dyDescent="0.25">
      <c r="A3018" s="1" t="str">
        <f t="shared" si="197"/>
        <v>405</v>
      </c>
      <c r="B3018" s="1" t="str">
        <f>TEXT(57,"00")</f>
        <v>57</v>
      </c>
      <c r="C3018" s="1" t="str">
        <f t="shared" si="198"/>
        <v>405-57</v>
      </c>
      <c r="D3018" t="s">
        <v>3000</v>
      </c>
      <c r="E3018" t="b">
        <f>IF(COUNTIF(D3018,"*"&amp;'Keyword Search'!$C$5&amp;"*"),TRUE,FALSE)</f>
        <v>1</v>
      </c>
      <c r="G3018" t="str">
        <f t="shared" si="199"/>
        <v>405-57: Oil, Lubricating: Differential and Gear Lubricant</v>
      </c>
    </row>
    <row r="3019" spans="1:7" x14ac:dyDescent="0.25">
      <c r="A3019" s="1" t="str">
        <f t="shared" si="197"/>
        <v>405</v>
      </c>
      <c r="B3019" s="1" t="str">
        <f>TEXT(60,"00")</f>
        <v>60</v>
      </c>
      <c r="C3019" s="1" t="str">
        <f t="shared" si="198"/>
        <v>405-60</v>
      </c>
      <c r="D3019" t="s">
        <v>3001</v>
      </c>
      <c r="E3019" t="b">
        <f>IF(COUNTIF(D3019,"*"&amp;'Keyword Search'!$C$5&amp;"*"),TRUE,FALSE)</f>
        <v>1</v>
      </c>
      <c r="G3019" t="str">
        <f t="shared" si="199"/>
        <v>405-60: Oil, Marine Engine</v>
      </c>
    </row>
    <row r="3020" spans="1:7" x14ac:dyDescent="0.25">
      <c r="A3020" s="1" t="str">
        <f t="shared" si="197"/>
        <v>405</v>
      </c>
      <c r="B3020" s="1" t="str">
        <f>TEXT(63,"00")</f>
        <v>63</v>
      </c>
      <c r="C3020" s="1" t="str">
        <f t="shared" si="198"/>
        <v>405-63</v>
      </c>
      <c r="D3020" t="s">
        <v>3002</v>
      </c>
      <c r="E3020" t="b">
        <f>IF(COUNTIF(D3020,"*"&amp;'Keyword Search'!$C$5&amp;"*"),TRUE,FALSE)</f>
        <v>1</v>
      </c>
      <c r="G3020" t="str">
        <f t="shared" si="199"/>
        <v>405-63: Oil, Outboard Motor</v>
      </c>
    </row>
    <row r="3021" spans="1:7" x14ac:dyDescent="0.25">
      <c r="A3021" s="1" t="str">
        <f t="shared" si="197"/>
        <v>405</v>
      </c>
      <c r="B3021" s="1" t="str">
        <f>TEXT(66,"00")</f>
        <v>66</v>
      </c>
      <c r="C3021" s="1" t="str">
        <f t="shared" si="198"/>
        <v>405-66</v>
      </c>
      <c r="D3021" t="s">
        <v>3003</v>
      </c>
      <c r="E3021" t="b">
        <f>IF(COUNTIF(D3021,"*"&amp;'Keyword Search'!$C$5&amp;"*"),TRUE,FALSE)</f>
        <v>1</v>
      </c>
      <c r="G3021" t="str">
        <f t="shared" si="199"/>
        <v>405-66: Oil, Penetrating, Special Use, May Contain Graphite</v>
      </c>
    </row>
    <row r="3022" spans="1:7" x14ac:dyDescent="0.25">
      <c r="A3022" s="1" t="str">
        <f t="shared" si="197"/>
        <v>405</v>
      </c>
      <c r="B3022" s="1" t="str">
        <f>TEXT(69,"00")</f>
        <v>69</v>
      </c>
      <c r="C3022" s="1" t="str">
        <f t="shared" si="198"/>
        <v>405-69</v>
      </c>
      <c r="D3022" t="s">
        <v>3004</v>
      </c>
      <c r="E3022" t="b">
        <f>IF(COUNTIF(D3022,"*"&amp;'Keyword Search'!$C$5&amp;"*"),TRUE,FALSE)</f>
        <v>1</v>
      </c>
      <c r="G3022" t="str">
        <f t="shared" si="199"/>
        <v>405-69: Oil, Pump, Vacuum</v>
      </c>
    </row>
    <row r="3023" spans="1:7" x14ac:dyDescent="0.25">
      <c r="A3023" s="1" t="str">
        <f t="shared" si="197"/>
        <v>405</v>
      </c>
      <c r="B3023" s="1" t="str">
        <f>TEXT(72,"00")</f>
        <v>72</v>
      </c>
      <c r="C3023" s="1" t="str">
        <f t="shared" si="198"/>
        <v>405-72</v>
      </c>
      <c r="D3023" t="s">
        <v>3005</v>
      </c>
      <c r="E3023" t="b">
        <f>IF(COUNTIF(D3023,"*"&amp;'Keyword Search'!$C$5&amp;"*"),TRUE,FALSE)</f>
        <v>1</v>
      </c>
      <c r="G3023" t="str">
        <f t="shared" si="199"/>
        <v>405-72: Oil, Refrigeration</v>
      </c>
    </row>
    <row r="3024" spans="1:7" x14ac:dyDescent="0.25">
      <c r="A3024" s="1" t="str">
        <f t="shared" si="197"/>
        <v>405</v>
      </c>
      <c r="B3024" s="1" t="str">
        <f>TEXT(73,"00")</f>
        <v>73</v>
      </c>
      <c r="C3024" s="1" t="str">
        <f t="shared" si="198"/>
        <v>405-73</v>
      </c>
      <c r="D3024" t="s">
        <v>3006</v>
      </c>
      <c r="E3024" t="b">
        <f>IF(COUNTIF(D3024,"*"&amp;'Keyword Search'!$C$5&amp;"*"),TRUE,FALSE)</f>
        <v>1</v>
      </c>
      <c r="G3024" t="str">
        <f t="shared" si="199"/>
        <v>405-73: Oils and Lubricants for Special/Severe Service</v>
      </c>
    </row>
    <row r="3025" spans="1:7" x14ac:dyDescent="0.25">
      <c r="A3025" s="1" t="str">
        <f t="shared" si="197"/>
        <v>405</v>
      </c>
      <c r="B3025" s="1" t="str">
        <f>TEXT(74,"00")</f>
        <v>74</v>
      </c>
      <c r="C3025" s="1" t="str">
        <f t="shared" si="198"/>
        <v>405-74</v>
      </c>
      <c r="D3025" t="s">
        <v>3007</v>
      </c>
      <c r="E3025" t="b">
        <f>IF(COUNTIF(D3025,"*"&amp;'Keyword Search'!$C$5&amp;"*"),TRUE,FALSE)</f>
        <v>1</v>
      </c>
      <c r="G3025" t="str">
        <f t="shared" si="199"/>
        <v>405-74: Oil, Steam Cylinder</v>
      </c>
    </row>
    <row r="3026" spans="1:7" x14ac:dyDescent="0.25">
      <c r="A3026" s="1" t="str">
        <f t="shared" si="197"/>
        <v>405</v>
      </c>
      <c r="B3026" s="1" t="str">
        <f>TEXT(75,"00")</f>
        <v>75</v>
      </c>
      <c r="C3026" s="1" t="str">
        <f t="shared" si="198"/>
        <v>405-75</v>
      </c>
      <c r="D3026" t="s">
        <v>3008</v>
      </c>
      <c r="E3026" t="b">
        <f>IF(COUNTIF(D3026,"*"&amp;'Keyword Search'!$C$5&amp;"*"),TRUE,FALSE)</f>
        <v>1</v>
      </c>
      <c r="G3026" t="str">
        <f t="shared" si="199"/>
        <v>405-75: Oil, Transformer</v>
      </c>
    </row>
    <row r="3027" spans="1:7" x14ac:dyDescent="0.25">
      <c r="A3027" s="1" t="str">
        <f t="shared" si="197"/>
        <v>405</v>
      </c>
      <c r="B3027" s="1" t="str">
        <f>TEXT(81,"00")</f>
        <v>81</v>
      </c>
      <c r="C3027" s="1" t="str">
        <f t="shared" si="198"/>
        <v>405-81</v>
      </c>
      <c r="D3027" t="s">
        <v>3009</v>
      </c>
      <c r="E3027" t="b">
        <f>IF(COUNTIF(D3027,"*"&amp;'Keyword Search'!$C$5&amp;"*"),TRUE,FALSE)</f>
        <v>1</v>
      </c>
      <c r="G3027" t="str">
        <f t="shared" si="199"/>
        <v>405-81: Oil, Turbine</v>
      </c>
    </row>
    <row r="3028" spans="1:7" x14ac:dyDescent="0.25">
      <c r="A3028" s="1" t="str">
        <f t="shared" si="197"/>
        <v>405</v>
      </c>
      <c r="B3028" s="1" t="str">
        <f>TEXT(82,"00")</f>
        <v>82</v>
      </c>
      <c r="C3028" s="1" t="str">
        <f t="shared" si="198"/>
        <v>405-82</v>
      </c>
      <c r="D3028" t="s">
        <v>3010</v>
      </c>
      <c r="E3028" t="b">
        <f>IF(COUNTIF(D3028,"*"&amp;'Keyword Search'!$C$5&amp;"*"),TRUE,FALSE)</f>
        <v>1</v>
      </c>
      <c r="G3028" t="str">
        <f t="shared" si="199"/>
        <v>405-82: Oil, Two-Cycle Engine</v>
      </c>
    </row>
    <row r="3029" spans="1:7" x14ac:dyDescent="0.25">
      <c r="A3029" s="1" t="str">
        <f t="shared" si="197"/>
        <v>405</v>
      </c>
      <c r="B3029" s="1" t="str">
        <f>TEXT(84,"00")</f>
        <v>84</v>
      </c>
      <c r="C3029" s="1" t="str">
        <f t="shared" si="198"/>
        <v>405-84</v>
      </c>
      <c r="D3029" t="s">
        <v>3011</v>
      </c>
      <c r="E3029" t="b">
        <f>IF(COUNTIF(D3029,"*"&amp;'Keyword Search'!$C$5&amp;"*"),TRUE,FALSE)</f>
        <v>1</v>
      </c>
      <c r="G3029" t="str">
        <f t="shared" si="199"/>
        <v>405-84: Oil, Wax, Paraffin</v>
      </c>
    </row>
    <row r="3030" spans="1:7" x14ac:dyDescent="0.25">
      <c r="A3030" s="1" t="str">
        <f t="shared" si="197"/>
        <v>405</v>
      </c>
      <c r="B3030" s="1" t="str">
        <f>TEXT(85,"00")</f>
        <v>85</v>
      </c>
      <c r="C3030" s="1" t="str">
        <f t="shared" si="198"/>
        <v>405-85</v>
      </c>
      <c r="D3030" t="s">
        <v>3012</v>
      </c>
      <c r="E3030" t="b">
        <f>IF(COUNTIF(D3030,"*"&amp;'Keyword Search'!$C$5&amp;"*"),TRUE,FALSE)</f>
        <v>1</v>
      </c>
      <c r="G3030" t="str">
        <f t="shared" si="199"/>
        <v>405-85: Power Steering Fluid</v>
      </c>
    </row>
    <row r="3031" spans="1:7" x14ac:dyDescent="0.25">
      <c r="A3031" s="1" t="str">
        <f t="shared" si="197"/>
        <v>405</v>
      </c>
      <c r="B3031" s="1" t="str">
        <f>TEXT(86,"00")</f>
        <v>86</v>
      </c>
      <c r="C3031" s="1" t="str">
        <f t="shared" si="198"/>
        <v>405-86</v>
      </c>
      <c r="D3031" t="s">
        <v>3013</v>
      </c>
      <c r="E3031" t="b">
        <f>IF(COUNTIF(D3031,"*"&amp;'Keyword Search'!$C$5&amp;"*"),TRUE,FALSE)</f>
        <v>1</v>
      </c>
      <c r="G3031" t="str">
        <f t="shared" si="199"/>
        <v>405-86: Propellant Fuels and Oxidizers, Chemical and Petroleum Based</v>
      </c>
    </row>
    <row r="3032" spans="1:7" x14ac:dyDescent="0.25">
      <c r="A3032" s="1" t="str">
        <f t="shared" si="197"/>
        <v>405</v>
      </c>
      <c r="B3032" s="1" t="str">
        <f>TEXT(87,"00")</f>
        <v>87</v>
      </c>
      <c r="C3032" s="1" t="str">
        <f t="shared" si="198"/>
        <v>405-87</v>
      </c>
      <c r="D3032" t="s">
        <v>3014</v>
      </c>
      <c r="E3032" t="b">
        <f>IF(COUNTIF(D3032,"*"&amp;'Keyword Search'!$C$5&amp;"*"),TRUE,FALSE)</f>
        <v>1</v>
      </c>
      <c r="G3032" t="str">
        <f t="shared" si="199"/>
        <v>405-87: Recycled Petroleum Products</v>
      </c>
    </row>
    <row r="3033" spans="1:7" x14ac:dyDescent="0.25">
      <c r="A3033" s="1" t="str">
        <f t="shared" si="197"/>
        <v>405</v>
      </c>
      <c r="B3033" s="1" t="str">
        <f>TEXT(90,"00")</f>
        <v>90</v>
      </c>
      <c r="C3033" s="1" t="str">
        <f t="shared" si="198"/>
        <v>405-90</v>
      </c>
      <c r="D3033" t="s">
        <v>3015</v>
      </c>
      <c r="E3033" t="b">
        <f>IF(COUNTIF(D3033,"*"&amp;'Keyword Search'!$C$5&amp;"*"),TRUE,FALSE)</f>
        <v>1</v>
      </c>
      <c r="G3033" t="str">
        <f t="shared" si="199"/>
        <v>405-90: Synthetic Petroleum Products</v>
      </c>
    </row>
    <row r="3034" spans="1:7" x14ac:dyDescent="0.25">
      <c r="A3034" s="1" t="str">
        <f t="shared" si="197"/>
        <v>405</v>
      </c>
      <c r="B3034" s="1" t="str">
        <f>TEXT(95,"00")</f>
        <v>95</v>
      </c>
      <c r="C3034" s="1" t="str">
        <f t="shared" si="198"/>
        <v>405-95</v>
      </c>
      <c r="D3034" t="s">
        <v>3016</v>
      </c>
      <c r="E3034" t="b">
        <f>IF(COUNTIF(D3034,"*"&amp;'Keyword Search'!$C$5&amp;"*"),TRUE,FALSE)</f>
        <v>1</v>
      </c>
      <c r="G3034" t="str">
        <f t="shared" si="199"/>
        <v>405-95: Petroleum Products, Scrap or Waste</v>
      </c>
    </row>
    <row r="3035" spans="1:7" x14ac:dyDescent="0.25">
      <c r="A3035" s="5" t="str">
        <f t="shared" ref="A3035:A3056" si="200">TEXT(410,"000")</f>
        <v>410</v>
      </c>
      <c r="B3035" s="5" t="str">
        <f>TEXT(0,"00")</f>
        <v>00</v>
      </c>
      <c r="C3035" s="1"/>
      <c r="D3035" s="2" t="s">
        <v>3017</v>
      </c>
    </row>
    <row r="3036" spans="1:7" x14ac:dyDescent="0.25">
      <c r="A3036" s="1" t="str">
        <f t="shared" si="200"/>
        <v>410</v>
      </c>
      <c r="B3036" s="1" t="str">
        <f>TEXT(3,"00")</f>
        <v>03</v>
      </c>
      <c r="C3036" s="1" t="str">
        <f t="shared" si="198"/>
        <v>410-03</v>
      </c>
      <c r="D3036" t="s">
        <v>3018</v>
      </c>
      <c r="E3036" t="b">
        <f>IF(COUNTIF(D3036,"*"&amp;'Keyword Search'!$C$5&amp;"*"),TRUE,FALSE)</f>
        <v>1</v>
      </c>
      <c r="G3036" t="str">
        <f t="shared" si="199"/>
        <v>410-03: Beds and Mattresses, Hospital Specialized: Air Beds, Intensive Care, Orthopedic, Waterbeds, etc.</v>
      </c>
    </row>
    <row r="3037" spans="1:7" x14ac:dyDescent="0.25">
      <c r="A3037" s="1" t="str">
        <f t="shared" si="200"/>
        <v>410</v>
      </c>
      <c r="B3037" s="1" t="str">
        <f>TEXT(6,"00")</f>
        <v>06</v>
      </c>
      <c r="C3037" s="1" t="str">
        <f t="shared" si="198"/>
        <v>410-06</v>
      </c>
      <c r="D3037" t="s">
        <v>3019</v>
      </c>
      <c r="E3037" t="b">
        <f>IF(COUNTIF(D3037,"*"&amp;'Keyword Search'!$C$5&amp;"*"),TRUE,FALSE)</f>
        <v>1</v>
      </c>
      <c r="G3037" t="str">
        <f t="shared" si="199"/>
        <v>410-06: Cabinets, Instrument and Treatment</v>
      </c>
    </row>
    <row r="3038" spans="1:7" x14ac:dyDescent="0.25">
      <c r="A3038" s="1" t="str">
        <f t="shared" si="200"/>
        <v>410</v>
      </c>
      <c r="B3038" s="1" t="str">
        <f>TEXT(9,"00")</f>
        <v>09</v>
      </c>
      <c r="C3038" s="1" t="str">
        <f t="shared" si="198"/>
        <v>410-09</v>
      </c>
      <c r="D3038" t="s">
        <v>3020</v>
      </c>
      <c r="E3038" t="b">
        <f>IF(COUNTIF(D3038,"*"&amp;'Keyword Search'!$C$5&amp;"*"),TRUE,FALSE)</f>
        <v>1</v>
      </c>
      <c r="G3038" t="str">
        <f t="shared" si="199"/>
        <v>410-09: Cabinets, Narcotics</v>
      </c>
    </row>
    <row r="3039" spans="1:7" x14ac:dyDescent="0.25">
      <c r="A3039" s="1" t="str">
        <f t="shared" si="200"/>
        <v>410</v>
      </c>
      <c r="B3039" s="1" t="str">
        <f>TEXT(12,"00")</f>
        <v>12</v>
      </c>
      <c r="C3039" s="1" t="str">
        <f t="shared" si="198"/>
        <v>410-12</v>
      </c>
      <c r="D3039" t="s">
        <v>3021</v>
      </c>
      <c r="E3039" t="b">
        <f>IF(COUNTIF(D3039,"*"&amp;'Keyword Search'!$C$5&amp;"*"),TRUE,FALSE)</f>
        <v>1</v>
      </c>
      <c r="G3039" t="str">
        <f t="shared" si="199"/>
        <v>410-12: Carts: Dressing, Laboratory, Medication, Patient Tray, Resuscitation and Utility</v>
      </c>
    </row>
    <row r="3040" spans="1:7" x14ac:dyDescent="0.25">
      <c r="A3040" s="1" t="str">
        <f t="shared" si="200"/>
        <v>410</v>
      </c>
      <c r="B3040" s="1" t="str">
        <f>TEXT(15,"00")</f>
        <v>15</v>
      </c>
      <c r="C3040" s="1" t="str">
        <f t="shared" si="198"/>
        <v>410-15</v>
      </c>
      <c r="D3040" t="s">
        <v>3022</v>
      </c>
      <c r="E3040" t="b">
        <f>IF(COUNTIF(D3040,"*"&amp;'Keyword Search'!$C$5&amp;"*"),TRUE,FALSE)</f>
        <v>1</v>
      </c>
      <c r="G3040" t="str">
        <f t="shared" si="199"/>
        <v>410-15: Chairs and Modules, Blood Collecting</v>
      </c>
    </row>
    <row r="3041" spans="1:7" x14ac:dyDescent="0.25">
      <c r="A3041" s="1" t="str">
        <f t="shared" si="200"/>
        <v>410</v>
      </c>
      <c r="B3041" s="1" t="str">
        <f>TEXT(18,"00")</f>
        <v>18</v>
      </c>
      <c r="C3041" s="1" t="str">
        <f t="shared" si="198"/>
        <v>410-18</v>
      </c>
      <c r="D3041" t="s">
        <v>3023</v>
      </c>
      <c r="E3041" t="b">
        <f>IF(COUNTIF(D3041,"*"&amp;'Keyword Search'!$C$5&amp;"*"),TRUE,FALSE)</f>
        <v>1</v>
      </c>
      <c r="G3041" t="str">
        <f t="shared" si="199"/>
        <v>410-18: Chart Cabinets, Carts, and Holders</v>
      </c>
    </row>
    <row r="3042" spans="1:7" x14ac:dyDescent="0.25">
      <c r="A3042" s="1" t="str">
        <f t="shared" si="200"/>
        <v>410</v>
      </c>
      <c r="B3042" s="1" t="str">
        <f>TEXT(24,"00")</f>
        <v>24</v>
      </c>
      <c r="C3042" s="1" t="str">
        <f t="shared" si="198"/>
        <v>410-24</v>
      </c>
      <c r="D3042" t="s">
        <v>3024</v>
      </c>
      <c r="E3042" t="b">
        <f>IF(COUNTIF(D3042,"*"&amp;'Keyword Search'!$C$5&amp;"*"),TRUE,FALSE)</f>
        <v>1</v>
      </c>
      <c r="G3042" t="str">
        <f t="shared" si="199"/>
        <v>410-24: Cubicle Curtains and Privacy Screens</v>
      </c>
    </row>
    <row r="3043" spans="1:7" x14ac:dyDescent="0.25">
      <c r="A3043" s="1" t="str">
        <f t="shared" si="200"/>
        <v>410</v>
      </c>
      <c r="B3043" s="1" t="str">
        <f>TEXT(30,"00")</f>
        <v>30</v>
      </c>
      <c r="C3043" s="1" t="str">
        <f t="shared" si="198"/>
        <v>410-30</v>
      </c>
      <c r="D3043" t="s">
        <v>3025</v>
      </c>
      <c r="E3043" t="b">
        <f>IF(COUNTIF(D3043,"*"&amp;'Keyword Search'!$C$5&amp;"*"),TRUE,FALSE)</f>
        <v>1</v>
      </c>
      <c r="G3043" t="str">
        <f t="shared" si="199"/>
        <v>410-30: Examining Room Suites, Not Optical or Auditory</v>
      </c>
    </row>
    <row r="3044" spans="1:7" x14ac:dyDescent="0.25">
      <c r="A3044" s="1" t="str">
        <f t="shared" si="200"/>
        <v>410</v>
      </c>
      <c r="B3044" s="1" t="str">
        <f>TEXT(33,"00")</f>
        <v>33</v>
      </c>
      <c r="C3044" s="1" t="str">
        <f t="shared" si="198"/>
        <v>410-33</v>
      </c>
      <c r="D3044" t="s">
        <v>3026</v>
      </c>
      <c r="E3044" t="b">
        <f>IF(COUNTIF(D3044,"*"&amp;'Keyword Search'!$C$5&amp;"*"),TRUE,FALSE)</f>
        <v>1</v>
      </c>
      <c r="G3044" t="str">
        <f t="shared" si="199"/>
        <v>410-33: Furniture, Health Care, Custom Made</v>
      </c>
    </row>
    <row r="3045" spans="1:7" x14ac:dyDescent="0.25">
      <c r="A3045" s="1" t="str">
        <f t="shared" si="200"/>
        <v>410</v>
      </c>
      <c r="B3045" s="1" t="str">
        <f>TEXT(34,"00")</f>
        <v>34</v>
      </c>
      <c r="C3045" s="1" t="str">
        <f t="shared" si="198"/>
        <v>410-34</v>
      </c>
      <c r="D3045" t="s">
        <v>3027</v>
      </c>
      <c r="E3045" t="b">
        <f>IF(COUNTIF(D3045,"*"&amp;'Keyword Search'!$C$5&amp;"*"),TRUE,FALSE)</f>
        <v>1</v>
      </c>
      <c r="G3045" t="str">
        <f t="shared" si="199"/>
        <v>410-34: Furniture, Hospital, Not Specialized</v>
      </c>
    </row>
    <row r="3046" spans="1:7" x14ac:dyDescent="0.25">
      <c r="A3046" s="1" t="str">
        <f t="shared" si="200"/>
        <v>410</v>
      </c>
      <c r="B3046" s="1" t="str">
        <f>TEXT(36,"00")</f>
        <v>36</v>
      </c>
      <c r="C3046" s="1" t="str">
        <f t="shared" si="198"/>
        <v>410-36</v>
      </c>
      <c r="D3046" t="s">
        <v>3028</v>
      </c>
      <c r="E3046" t="b">
        <f>IF(COUNTIF(D3046,"*"&amp;'Keyword Search'!$C$5&amp;"*"),TRUE,FALSE)</f>
        <v>1</v>
      </c>
      <c r="G3046" t="str">
        <f t="shared" si="199"/>
        <v>410-36: Incubators, Infant</v>
      </c>
    </row>
    <row r="3047" spans="1:7" x14ac:dyDescent="0.25">
      <c r="A3047" s="1" t="str">
        <f t="shared" si="200"/>
        <v>410</v>
      </c>
      <c r="B3047" s="1" t="str">
        <f>TEXT(42,"00")</f>
        <v>42</v>
      </c>
      <c r="C3047" s="1" t="str">
        <f t="shared" si="198"/>
        <v>410-42</v>
      </c>
      <c r="D3047" t="s">
        <v>3029</v>
      </c>
      <c r="E3047" t="b">
        <f>IF(COUNTIF(D3047,"*"&amp;'Keyword Search'!$C$5&amp;"*"),TRUE,FALSE)</f>
        <v>1</v>
      </c>
      <c r="G3047" t="str">
        <f t="shared" si="199"/>
        <v>410-42: Mortuary Furniture: Autopsy Tables, Cadaver Tables, Refrigerators, etc.</v>
      </c>
    </row>
    <row r="3048" spans="1:7" x14ac:dyDescent="0.25">
      <c r="A3048" s="1" t="str">
        <f t="shared" si="200"/>
        <v>410</v>
      </c>
      <c r="B3048" s="1" t="str">
        <f>TEXT(48,"00")</f>
        <v>48</v>
      </c>
      <c r="C3048" s="1" t="str">
        <f t="shared" si="198"/>
        <v>410-48</v>
      </c>
      <c r="D3048" t="s">
        <v>3030</v>
      </c>
      <c r="E3048" t="b">
        <f>IF(COUNTIF(D3048,"*"&amp;'Keyword Search'!$C$5&amp;"*"),TRUE,FALSE)</f>
        <v>1</v>
      </c>
      <c r="G3048" t="str">
        <f t="shared" si="199"/>
        <v>410-48: Nurses' Desks and Accessories</v>
      </c>
    </row>
    <row r="3049" spans="1:7" x14ac:dyDescent="0.25">
      <c r="A3049" s="1" t="str">
        <f t="shared" si="200"/>
        <v>410</v>
      </c>
      <c r="B3049" s="1" t="str">
        <f>TEXT(54,"00")</f>
        <v>54</v>
      </c>
      <c r="C3049" s="1" t="str">
        <f t="shared" si="198"/>
        <v>410-54</v>
      </c>
      <c r="D3049" t="s">
        <v>3031</v>
      </c>
      <c r="E3049" t="b">
        <f>IF(COUNTIF(D3049,"*"&amp;'Keyword Search'!$C$5&amp;"*"),TRUE,FALSE)</f>
        <v>1</v>
      </c>
      <c r="G3049" t="str">
        <f t="shared" si="199"/>
        <v>410-54: Nursery Equipment and Furniture, Infant (See 420-13 for Household Types)</v>
      </c>
    </row>
    <row r="3050" spans="1:7" x14ac:dyDescent="0.25">
      <c r="A3050" s="1" t="str">
        <f t="shared" si="200"/>
        <v>410</v>
      </c>
      <c r="B3050" s="1" t="str">
        <f>TEXT(60,"00")</f>
        <v>60</v>
      </c>
      <c r="C3050" s="1" t="str">
        <f t="shared" si="198"/>
        <v>410-60</v>
      </c>
      <c r="D3050" t="s">
        <v>3032</v>
      </c>
      <c r="E3050" t="b">
        <f>IF(COUNTIF(D3050,"*"&amp;'Keyword Search'!$C$5&amp;"*"),TRUE,FALSE)</f>
        <v>1</v>
      </c>
      <c r="G3050" t="str">
        <f t="shared" si="199"/>
        <v>410-60: Operating and Examination Room Furniture: Instrument Tables and Stands, IV Stands, Stools, Work Tables, etc.</v>
      </c>
    </row>
    <row r="3051" spans="1:7" x14ac:dyDescent="0.25">
      <c r="A3051" s="1" t="str">
        <f t="shared" si="200"/>
        <v>410</v>
      </c>
      <c r="B3051" s="1" t="str">
        <f>TEXT(66,"00")</f>
        <v>66</v>
      </c>
      <c r="C3051" s="1" t="str">
        <f t="shared" si="198"/>
        <v>410-66</v>
      </c>
      <c r="D3051" t="s">
        <v>3033</v>
      </c>
      <c r="E3051" t="b">
        <f>IF(COUNTIF(D3051,"*"&amp;'Keyword Search'!$C$5&amp;"*"),TRUE,FALSE)</f>
        <v>1</v>
      </c>
      <c r="G3051" t="str">
        <f t="shared" si="199"/>
        <v>410-66: Recovery and Treatment Room Furniture: Reclining Chairs, etc.</v>
      </c>
    </row>
    <row r="3052" spans="1:7" x14ac:dyDescent="0.25">
      <c r="A3052" s="1" t="str">
        <f t="shared" si="200"/>
        <v>410</v>
      </c>
      <c r="B3052" s="1" t="str">
        <f>TEXT(68,"00")</f>
        <v>68</v>
      </c>
      <c r="C3052" s="1" t="str">
        <f t="shared" si="198"/>
        <v>410-68</v>
      </c>
      <c r="D3052" t="s">
        <v>3034</v>
      </c>
      <c r="E3052" t="b">
        <f>IF(COUNTIF(D3052,"*"&amp;'Keyword Search'!$C$5&amp;"*"),TRUE,FALSE)</f>
        <v>1</v>
      </c>
      <c r="G3052" t="str">
        <f t="shared" si="199"/>
        <v>410-68: Recycled Health Care and Hospital Furniture</v>
      </c>
    </row>
    <row r="3053" spans="1:7" x14ac:dyDescent="0.25">
      <c r="A3053" s="1" t="str">
        <f t="shared" si="200"/>
        <v>410</v>
      </c>
      <c r="B3053" s="1" t="str">
        <f>TEXT(72,"00")</f>
        <v>72</v>
      </c>
      <c r="C3053" s="1" t="str">
        <f t="shared" si="198"/>
        <v>410-72</v>
      </c>
      <c r="D3053" t="s">
        <v>3035</v>
      </c>
      <c r="E3053" t="b">
        <f>IF(COUNTIF(D3053,"*"&amp;'Keyword Search'!$C$5&amp;"*"),TRUE,FALSE)</f>
        <v>1</v>
      </c>
      <c r="G3053" t="str">
        <f t="shared" si="199"/>
        <v>410-72: Tables, Examination, Including Parts and Accessories</v>
      </c>
    </row>
    <row r="3054" spans="1:7" x14ac:dyDescent="0.25">
      <c r="A3054" s="1" t="str">
        <f t="shared" si="200"/>
        <v>410</v>
      </c>
      <c r="B3054" s="1" t="str">
        <f>TEXT(78,"00")</f>
        <v>78</v>
      </c>
      <c r="C3054" s="1" t="str">
        <f t="shared" si="198"/>
        <v>410-78</v>
      </c>
      <c r="D3054" t="s">
        <v>3036</v>
      </c>
      <c r="E3054" t="b">
        <f>IF(COUNTIF(D3054,"*"&amp;'Keyword Search'!$C$5&amp;"*"),TRUE,FALSE)</f>
        <v>1</v>
      </c>
      <c r="G3054" t="str">
        <f t="shared" si="199"/>
        <v>410-78: Tables, Operating, Including Parts and Accessories</v>
      </c>
    </row>
    <row r="3055" spans="1:7" x14ac:dyDescent="0.25">
      <c r="A3055" s="1" t="str">
        <f t="shared" si="200"/>
        <v>410</v>
      </c>
      <c r="B3055" s="1" t="str">
        <f>TEXT(84,"00")</f>
        <v>84</v>
      </c>
      <c r="C3055" s="1" t="str">
        <f t="shared" si="198"/>
        <v>410-84</v>
      </c>
      <c r="D3055" t="s">
        <v>3037</v>
      </c>
      <c r="E3055" t="b">
        <f>IF(COUNTIF(D3055,"*"&amp;'Keyword Search'!$C$5&amp;"*"),TRUE,FALSE)</f>
        <v>1</v>
      </c>
      <c r="G3055" t="str">
        <f t="shared" si="199"/>
        <v>410-84: Tables, Treatment, Including Parts and Accessories</v>
      </c>
    </row>
    <row r="3056" spans="1:7" x14ac:dyDescent="0.25">
      <c r="A3056" s="1" t="str">
        <f t="shared" si="200"/>
        <v>410</v>
      </c>
      <c r="B3056" s="1" t="str">
        <f>TEXT(98,"00")</f>
        <v>98</v>
      </c>
      <c r="C3056" s="1" t="str">
        <f t="shared" si="198"/>
        <v>410-98</v>
      </c>
      <c r="D3056" t="s">
        <v>3038</v>
      </c>
      <c r="E3056" t="b">
        <f>IF(COUNTIF(D3056,"*"&amp;'Keyword Search'!$C$5&amp;"*"),TRUE,FALSE)</f>
        <v>1</v>
      </c>
      <c r="G3056" t="str">
        <f t="shared" si="199"/>
        <v>410-98: (CTE) Health Science Equipment &gt; $750 &amp; &lt; $5000</v>
      </c>
    </row>
    <row r="3057" spans="1:7" x14ac:dyDescent="0.25">
      <c r="A3057" s="5" t="str">
        <f t="shared" ref="A3057:A3069" si="201">TEXT(415,"000")</f>
        <v>415</v>
      </c>
      <c r="B3057" s="5" t="str">
        <f>TEXT(0,"00")</f>
        <v>00</v>
      </c>
      <c r="C3057" s="1"/>
      <c r="D3057" s="2" t="s">
        <v>3039</v>
      </c>
    </row>
    <row r="3058" spans="1:7" x14ac:dyDescent="0.25">
      <c r="A3058" s="1" t="str">
        <f t="shared" si="201"/>
        <v>415</v>
      </c>
      <c r="B3058" s="1" t="str">
        <f>TEXT(13,"00")</f>
        <v>13</v>
      </c>
      <c r="C3058" s="1" t="str">
        <f t="shared" si="198"/>
        <v>415-13</v>
      </c>
      <c r="D3058" t="s">
        <v>3040</v>
      </c>
      <c r="E3058" t="b">
        <f>IF(COUNTIF(D3058,"*"&amp;'Keyword Search'!$C$5&amp;"*"),TRUE,FALSE)</f>
        <v>1</v>
      </c>
      <c r="G3058" t="str">
        <f t="shared" si="199"/>
        <v>415-13: Cabinets, Storage, Floor and Wall</v>
      </c>
    </row>
    <row r="3059" spans="1:7" x14ac:dyDescent="0.25">
      <c r="A3059" s="1" t="str">
        <f t="shared" si="201"/>
        <v>415</v>
      </c>
      <c r="B3059" s="1" t="str">
        <f>TEXT(26,"00")</f>
        <v>26</v>
      </c>
      <c r="C3059" s="1" t="str">
        <f t="shared" si="198"/>
        <v>415-26</v>
      </c>
      <c r="D3059" t="s">
        <v>3041</v>
      </c>
      <c r="E3059" t="b">
        <f>IF(COUNTIF(D3059,"*"&amp;'Keyword Search'!$C$5&amp;"*"),TRUE,FALSE)</f>
        <v>1</v>
      </c>
      <c r="G3059" t="str">
        <f t="shared" si="199"/>
        <v>415-26: Cases: Laboratory, Specimen Storage, etc.</v>
      </c>
    </row>
    <row r="3060" spans="1:7" x14ac:dyDescent="0.25">
      <c r="A3060" s="1" t="str">
        <f t="shared" si="201"/>
        <v>415</v>
      </c>
      <c r="B3060" s="1" t="str">
        <f>TEXT(39,"00")</f>
        <v>39</v>
      </c>
      <c r="C3060" s="1" t="str">
        <f t="shared" si="198"/>
        <v>415-39</v>
      </c>
      <c r="D3060" t="s">
        <v>3042</v>
      </c>
      <c r="E3060" t="b">
        <f>IF(COUNTIF(D3060,"*"&amp;'Keyword Search'!$C$5&amp;"*"),TRUE,FALSE)</f>
        <v>1</v>
      </c>
      <c r="G3060" t="str">
        <f t="shared" si="199"/>
        <v>415-39: Casework, Metal</v>
      </c>
    </row>
    <row r="3061" spans="1:7" x14ac:dyDescent="0.25">
      <c r="A3061" s="1" t="str">
        <f t="shared" si="201"/>
        <v>415</v>
      </c>
      <c r="B3061" s="1" t="str">
        <f>TEXT(40,"00")</f>
        <v>40</v>
      </c>
      <c r="C3061" s="1" t="str">
        <f t="shared" si="198"/>
        <v>415-40</v>
      </c>
      <c r="D3061" t="s">
        <v>3043</v>
      </c>
      <c r="E3061" t="b">
        <f>IF(COUNTIF(D3061,"*"&amp;'Keyword Search'!$C$5&amp;"*"),TRUE,FALSE)</f>
        <v>1</v>
      </c>
      <c r="G3061" t="str">
        <f t="shared" si="199"/>
        <v>415-40: Casework, Wood</v>
      </c>
    </row>
    <row r="3062" spans="1:7" x14ac:dyDescent="0.25">
      <c r="A3062" s="1" t="str">
        <f t="shared" si="201"/>
        <v>415</v>
      </c>
      <c r="B3062" s="1" t="str">
        <f>TEXT(52,"00")</f>
        <v>52</v>
      </c>
      <c r="C3062" s="1" t="str">
        <f t="shared" si="198"/>
        <v>415-52</v>
      </c>
      <c r="D3062" t="s">
        <v>3044</v>
      </c>
      <c r="E3062" t="b">
        <f>IF(COUNTIF(D3062,"*"&amp;'Keyword Search'!$C$5&amp;"*"),TRUE,FALSE)</f>
        <v>1</v>
      </c>
      <c r="G3062" t="str">
        <f t="shared" si="199"/>
        <v>415-52: Fume Hoods, Laminar Flow Hoods, Biological Cabinets and Isolators, etc.</v>
      </c>
    </row>
    <row r="3063" spans="1:7" x14ac:dyDescent="0.25">
      <c r="A3063" s="1" t="str">
        <f t="shared" si="201"/>
        <v>415</v>
      </c>
      <c r="B3063" s="1" t="str">
        <f>TEXT(55,"00")</f>
        <v>55</v>
      </c>
      <c r="C3063" s="1" t="str">
        <f t="shared" si="198"/>
        <v>415-55</v>
      </c>
      <c r="D3063" t="s">
        <v>3045</v>
      </c>
      <c r="E3063" t="b">
        <f>IF(COUNTIF(D3063,"*"&amp;'Keyword Search'!$C$5&amp;"*"),TRUE,FALSE)</f>
        <v>1</v>
      </c>
      <c r="G3063" t="str">
        <f t="shared" si="199"/>
        <v>415-55: Furniture, Laboratory, Custom Made</v>
      </c>
    </row>
    <row r="3064" spans="1:7" x14ac:dyDescent="0.25">
      <c r="A3064" s="1" t="str">
        <f t="shared" si="201"/>
        <v>415</v>
      </c>
      <c r="B3064" s="1" t="str">
        <f>TEXT(57,"00")</f>
        <v>57</v>
      </c>
      <c r="C3064" s="1" t="str">
        <f t="shared" si="198"/>
        <v>415-57</v>
      </c>
      <c r="D3064" t="s">
        <v>3046</v>
      </c>
      <c r="E3064" t="b">
        <f>IF(COUNTIF(D3064,"*"&amp;'Keyword Search'!$C$5&amp;"*"),TRUE,FALSE)</f>
        <v>1</v>
      </c>
      <c r="G3064" t="str">
        <f t="shared" si="199"/>
        <v>415-57: Recycled Laboratory Furniture, All Types</v>
      </c>
    </row>
    <row r="3065" spans="1:7" x14ac:dyDescent="0.25">
      <c r="A3065" s="1" t="str">
        <f t="shared" si="201"/>
        <v>415</v>
      </c>
      <c r="B3065" s="1" t="str">
        <f>TEXT(58,"00")</f>
        <v>58</v>
      </c>
      <c r="C3065" s="1" t="str">
        <f t="shared" si="198"/>
        <v>415-58</v>
      </c>
      <c r="D3065" t="s">
        <v>3047</v>
      </c>
      <c r="E3065" t="b">
        <f>IF(COUNTIF(D3065,"*"&amp;'Keyword Search'!$C$5&amp;"*"),TRUE,FALSE)</f>
        <v>1</v>
      </c>
      <c r="G3065" t="str">
        <f t="shared" si="199"/>
        <v>415-58: Refrigerators and Cooling Equipment, Laboratory, Specialized: Explosion-Proof, Ultra-Low Temperature, etc.</v>
      </c>
    </row>
    <row r="3066" spans="1:7" x14ac:dyDescent="0.25">
      <c r="A3066" s="1" t="str">
        <f t="shared" si="201"/>
        <v>415</v>
      </c>
      <c r="B3066" s="1" t="str">
        <f>TEXT(65,"00")</f>
        <v>65</v>
      </c>
      <c r="C3066" s="1" t="str">
        <f t="shared" si="198"/>
        <v>415-65</v>
      </c>
      <c r="D3066" t="s">
        <v>3048</v>
      </c>
      <c r="E3066" t="b">
        <f>IF(COUNTIF(D3066,"*"&amp;'Keyword Search'!$C$5&amp;"*"),TRUE,FALSE)</f>
        <v>1</v>
      </c>
      <c r="G3066" t="str">
        <f t="shared" si="199"/>
        <v>415-65: Service Fixtures: Cocks, Connectors, Sink Traps, Valves, etc.</v>
      </c>
    </row>
    <row r="3067" spans="1:7" x14ac:dyDescent="0.25">
      <c r="A3067" s="1" t="str">
        <f t="shared" si="201"/>
        <v>415</v>
      </c>
      <c r="B3067" s="1" t="str">
        <f>TEXT(78,"00")</f>
        <v>78</v>
      </c>
      <c r="C3067" s="1" t="str">
        <f t="shared" si="198"/>
        <v>415-78</v>
      </c>
      <c r="D3067" t="s">
        <v>3049</v>
      </c>
      <c r="E3067" t="b">
        <f>IF(COUNTIF(D3067,"*"&amp;'Keyword Search'!$C$5&amp;"*"),TRUE,FALSE)</f>
        <v>1</v>
      </c>
      <c r="G3067" t="str">
        <f t="shared" si="199"/>
        <v>415-78: Sinks, Laboratory Type</v>
      </c>
    </row>
    <row r="3068" spans="1:7" x14ac:dyDescent="0.25">
      <c r="A3068" s="1" t="str">
        <f t="shared" si="201"/>
        <v>415</v>
      </c>
      <c r="B3068" s="1" t="str">
        <f>TEXT(85,"00")</f>
        <v>85</v>
      </c>
      <c r="C3068" s="1" t="str">
        <f t="shared" si="198"/>
        <v>415-85</v>
      </c>
      <c r="D3068" t="s">
        <v>3050</v>
      </c>
      <c r="E3068" t="b">
        <f>IF(COUNTIF(D3068,"*"&amp;'Keyword Search'!$C$5&amp;"*"),TRUE,FALSE)</f>
        <v>1</v>
      </c>
      <c r="G3068" t="str">
        <f t="shared" si="199"/>
        <v>415-85: Stools, Laboratory</v>
      </c>
    </row>
    <row r="3069" spans="1:7" x14ac:dyDescent="0.25">
      <c r="A3069" s="1" t="str">
        <f t="shared" si="201"/>
        <v>415</v>
      </c>
      <c r="B3069" s="1" t="str">
        <f>TEXT(91,"00")</f>
        <v>91</v>
      </c>
      <c r="C3069" s="1" t="str">
        <f t="shared" si="198"/>
        <v>415-91</v>
      </c>
      <c r="D3069" t="s">
        <v>3051</v>
      </c>
      <c r="E3069" t="b">
        <f>IF(COUNTIF(D3069,"*"&amp;'Keyword Search'!$C$5&amp;"*"),TRUE,FALSE)</f>
        <v>1</v>
      </c>
      <c r="G3069" t="str">
        <f t="shared" si="199"/>
        <v>415-91: Tables, Laboratory Type</v>
      </c>
    </row>
    <row r="3070" spans="1:7" x14ac:dyDescent="0.25">
      <c r="A3070" s="5" t="str">
        <f t="shared" ref="A3070:A3111" si="202">TEXT(420,"000")</f>
        <v>420</v>
      </c>
      <c r="B3070" s="5" t="str">
        <f>TEXT(0,"00")</f>
        <v>00</v>
      </c>
      <c r="C3070" s="1"/>
      <c r="D3070" s="2" t="s">
        <v>3052</v>
      </c>
    </row>
    <row r="3071" spans="1:7" x14ac:dyDescent="0.25">
      <c r="A3071" s="1" t="str">
        <f t="shared" si="202"/>
        <v>420</v>
      </c>
      <c r="B3071" s="1" t="str">
        <f>TEXT(3,"00")</f>
        <v>03</v>
      </c>
      <c r="C3071" s="1" t="str">
        <f t="shared" si="198"/>
        <v>420-03</v>
      </c>
      <c r="D3071" t="s">
        <v>3053</v>
      </c>
      <c r="E3071" t="b">
        <f>IF(COUNTIF(D3071,"*"&amp;'Keyword Search'!$C$5&amp;"*"),TRUE,FALSE)</f>
        <v>1</v>
      </c>
      <c r="G3071" t="str">
        <f t="shared" si="199"/>
        <v>420-03: Arts and Crafts Furniture, Tables, etc.</v>
      </c>
    </row>
    <row r="3072" spans="1:7" x14ac:dyDescent="0.25">
      <c r="A3072" s="1" t="str">
        <f t="shared" si="202"/>
        <v>420</v>
      </c>
      <c r="B3072" s="1" t="str">
        <f>TEXT(4,"00")</f>
        <v>04</v>
      </c>
      <c r="C3072" s="1" t="str">
        <f t="shared" si="198"/>
        <v>420-04</v>
      </c>
      <c r="D3072" t="s">
        <v>3054</v>
      </c>
      <c r="E3072" t="b">
        <f>IF(COUNTIF(D3072,"*"&amp;'Keyword Search'!$C$5&amp;"*"),TRUE,FALSE)</f>
        <v>1</v>
      </c>
      <c r="G3072" t="str">
        <f t="shared" si="199"/>
        <v>420-04: Auditorium, Stadium, Team Seating Furniture and Bleachers</v>
      </c>
    </row>
    <row r="3073" spans="1:7" x14ac:dyDescent="0.25">
      <c r="A3073" s="1" t="str">
        <f t="shared" si="202"/>
        <v>420</v>
      </c>
      <c r="B3073" s="1" t="str">
        <f>TEXT(8,"00")</f>
        <v>08</v>
      </c>
      <c r="C3073" s="1" t="str">
        <f t="shared" si="198"/>
        <v>420-08</v>
      </c>
      <c r="D3073" t="s">
        <v>3055</v>
      </c>
      <c r="E3073" t="b">
        <f>IF(COUNTIF(D3073,"*"&amp;'Keyword Search'!$C$5&amp;"*"),TRUE,FALSE)</f>
        <v>1</v>
      </c>
      <c r="G3073" t="str">
        <f t="shared" si="199"/>
        <v>420-08: Cafeteria Furniture: Chairs and Tables, Including Stacking Types</v>
      </c>
    </row>
    <row r="3074" spans="1:7" x14ac:dyDescent="0.25">
      <c r="A3074" s="1" t="str">
        <f t="shared" si="202"/>
        <v>420</v>
      </c>
      <c r="B3074" s="1" t="str">
        <f>TEXT(9,"00")</f>
        <v>09</v>
      </c>
      <c r="C3074" s="1" t="str">
        <f t="shared" si="198"/>
        <v>420-09</v>
      </c>
      <c r="D3074" t="s">
        <v>3056</v>
      </c>
      <c r="E3074" t="b">
        <f>IF(COUNTIF(D3074,"*"&amp;'Keyword Search'!$C$5&amp;"*"),TRUE,FALSE)</f>
        <v>1</v>
      </c>
      <c r="G3074" t="str">
        <f t="shared" si="199"/>
        <v>420-09: Cafeteria Furniture, Booths</v>
      </c>
    </row>
    <row r="3075" spans="1:7" x14ac:dyDescent="0.25">
      <c r="A3075" s="1" t="str">
        <f t="shared" si="202"/>
        <v>420</v>
      </c>
      <c r="B3075" s="1" t="str">
        <f>TEXT(11,"00")</f>
        <v>11</v>
      </c>
      <c r="C3075" s="1" t="str">
        <f t="shared" ref="C3075:C3138" si="203">CONCATENATE(A3075,"-",B3075)</f>
        <v>420-11</v>
      </c>
      <c r="D3075" t="s">
        <v>3057</v>
      </c>
      <c r="E3075" t="b">
        <f>IF(COUNTIF(D3075,"*"&amp;'Keyword Search'!$C$5&amp;"*"),TRUE,FALSE)</f>
        <v>1</v>
      </c>
      <c r="G3075" t="str">
        <f t="shared" si="199"/>
        <v>420-11: Casework and Cabinets, Custom, All Types</v>
      </c>
    </row>
    <row r="3076" spans="1:7" x14ac:dyDescent="0.25">
      <c r="A3076" s="1" t="str">
        <f t="shared" si="202"/>
        <v>420</v>
      </c>
      <c r="B3076" s="1" t="str">
        <f>TEXT(12,"00")</f>
        <v>12</v>
      </c>
      <c r="C3076" s="1" t="str">
        <f t="shared" si="203"/>
        <v>420-12</v>
      </c>
      <c r="D3076" t="s">
        <v>3058</v>
      </c>
      <c r="E3076" t="b">
        <f>IF(COUNTIF(D3076,"*"&amp;'Keyword Search'!$C$5&amp;"*"),TRUE,FALSE)</f>
        <v>1</v>
      </c>
      <c r="G3076" t="str">
        <f t="shared" ref="G3076:G3139" si="204">CONCATENATE(C3076,": ",D3076)</f>
        <v>420-12: Chapel Furnishings: Pews, Pulpits, etc.</v>
      </c>
    </row>
    <row r="3077" spans="1:7" x14ac:dyDescent="0.25">
      <c r="A3077" s="1" t="str">
        <f t="shared" si="202"/>
        <v>420</v>
      </c>
      <c r="B3077" s="1" t="str">
        <f>TEXT(13,"00")</f>
        <v>13</v>
      </c>
      <c r="C3077" s="1" t="str">
        <f t="shared" si="203"/>
        <v>420-13</v>
      </c>
      <c r="D3077" t="s">
        <v>3059</v>
      </c>
      <c r="E3077" t="b">
        <f>IF(COUNTIF(D3077,"*"&amp;'Keyword Search'!$C$5&amp;"*"),TRUE,FALSE)</f>
        <v>1</v>
      </c>
      <c r="G3077" t="str">
        <f t="shared" si="204"/>
        <v>420-13: Children's Furniture, Including Stackable Types, (See 41054 for Hospital Types)</v>
      </c>
    </row>
    <row r="3078" spans="1:7" x14ac:dyDescent="0.25">
      <c r="A3078" s="1" t="str">
        <f t="shared" si="202"/>
        <v>420</v>
      </c>
      <c r="B3078" s="1" t="str">
        <f>TEXT(14,"00")</f>
        <v>14</v>
      </c>
      <c r="C3078" s="1" t="str">
        <f t="shared" si="203"/>
        <v>420-14</v>
      </c>
      <c r="D3078" t="s">
        <v>3060</v>
      </c>
      <c r="E3078" t="b">
        <f>IF(COUNTIF(D3078,"*"&amp;'Keyword Search'!$C$5&amp;"*"),TRUE,FALSE)</f>
        <v>1</v>
      </c>
      <c r="G3078" t="str">
        <f t="shared" si="204"/>
        <v>420-14: Counters, Sales and Store</v>
      </c>
    </row>
    <row r="3079" spans="1:7" x14ac:dyDescent="0.25">
      <c r="A3079" s="1" t="str">
        <f t="shared" si="202"/>
        <v>420</v>
      </c>
      <c r="B3079" s="1" t="str">
        <f>TEXT(15,"00")</f>
        <v>15</v>
      </c>
      <c r="C3079" s="1" t="str">
        <f t="shared" si="203"/>
        <v>420-15</v>
      </c>
      <c r="D3079" t="s">
        <v>3061</v>
      </c>
      <c r="E3079" t="b">
        <f>IF(COUNTIF(D3079,"*"&amp;'Keyword Search'!$C$5&amp;"*"),TRUE,FALSE)</f>
        <v>1</v>
      </c>
      <c r="G3079" t="str">
        <f t="shared" si="204"/>
        <v>420-15: Courtroom Furniture: Chairs, Tables, etc.</v>
      </c>
    </row>
    <row r="3080" spans="1:7" x14ac:dyDescent="0.25">
      <c r="A3080" s="1" t="str">
        <f t="shared" si="202"/>
        <v>420</v>
      </c>
      <c r="B3080" s="1" t="str">
        <f>TEXT(16,"00")</f>
        <v>16</v>
      </c>
      <c r="C3080" s="1" t="str">
        <f t="shared" si="203"/>
        <v>420-16</v>
      </c>
      <c r="D3080" t="s">
        <v>3062</v>
      </c>
      <c r="E3080" t="b">
        <f>IF(COUNTIF(D3080,"*"&amp;'Keyword Search'!$C$5&amp;"*"),TRUE,FALSE)</f>
        <v>1</v>
      </c>
      <c r="G3080" t="str">
        <f t="shared" si="204"/>
        <v>420-16: Dormitory Furniture, Metal: Wardrobes, Beds, Bunkbeds, Desks, etc.</v>
      </c>
    </row>
    <row r="3081" spans="1:7" x14ac:dyDescent="0.25">
      <c r="A3081" s="1" t="str">
        <f t="shared" si="202"/>
        <v>420</v>
      </c>
      <c r="B3081" s="1" t="str">
        <f>TEXT(18,"00")</f>
        <v>18</v>
      </c>
      <c r="C3081" s="1" t="str">
        <f t="shared" si="203"/>
        <v>420-18</v>
      </c>
      <c r="D3081" t="s">
        <v>3063</v>
      </c>
      <c r="E3081" t="b">
        <f>IF(COUNTIF(D3081,"*"&amp;'Keyword Search'!$C$5&amp;"*"),TRUE,FALSE)</f>
        <v>1</v>
      </c>
      <c r="G3081" t="str">
        <f t="shared" si="204"/>
        <v>420-18: Dormitory Furniture, Plastic: Wardrobes, Beds, Bunkbeds, Desks, etc.</v>
      </c>
    </row>
    <row r="3082" spans="1:7" x14ac:dyDescent="0.25">
      <c r="A3082" s="1" t="str">
        <f t="shared" si="202"/>
        <v>420</v>
      </c>
      <c r="B3082" s="1" t="str">
        <f>TEXT(20,"00")</f>
        <v>20</v>
      </c>
      <c r="C3082" s="1" t="str">
        <f t="shared" si="203"/>
        <v>420-20</v>
      </c>
      <c r="D3082" t="s">
        <v>3064</v>
      </c>
      <c r="E3082" t="b">
        <f>IF(COUNTIF(D3082,"*"&amp;'Keyword Search'!$C$5&amp;"*"),TRUE,FALSE)</f>
        <v>1</v>
      </c>
      <c r="G3082" t="str">
        <f t="shared" si="204"/>
        <v>420-20: Dormitory Furniture, Wood: Wardrobes, Beds, Bunkbeds, Desks, etc.</v>
      </c>
    </row>
    <row r="3083" spans="1:7" x14ac:dyDescent="0.25">
      <c r="A3083" s="1" t="str">
        <f t="shared" si="202"/>
        <v>420</v>
      </c>
      <c r="B3083" s="1" t="str">
        <f>TEXT(24,"00")</f>
        <v>24</v>
      </c>
      <c r="C3083" s="1" t="str">
        <f t="shared" si="203"/>
        <v>420-24</v>
      </c>
      <c r="D3083" t="s">
        <v>3065</v>
      </c>
      <c r="E3083" t="b">
        <f>IF(COUNTIF(D3083,"*"&amp;'Keyword Search'!$C$5&amp;"*"),TRUE,FALSE)</f>
        <v>1</v>
      </c>
      <c r="G3083" t="str">
        <f t="shared" si="204"/>
        <v>420-24: Folding Chairs, Tables, and Chair Trucks, Metal</v>
      </c>
    </row>
    <row r="3084" spans="1:7" x14ac:dyDescent="0.25">
      <c r="A3084" s="1" t="str">
        <f t="shared" si="202"/>
        <v>420</v>
      </c>
      <c r="B3084" s="1" t="str">
        <f>TEXT(25,"00")</f>
        <v>25</v>
      </c>
      <c r="C3084" s="1" t="str">
        <f t="shared" si="203"/>
        <v>420-25</v>
      </c>
      <c r="D3084" t="s">
        <v>3066</v>
      </c>
      <c r="E3084" t="b">
        <f>IF(COUNTIF(D3084,"*"&amp;'Keyword Search'!$C$5&amp;"*"),TRUE,FALSE)</f>
        <v>1</v>
      </c>
      <c r="G3084" t="str">
        <f t="shared" si="204"/>
        <v>420-25: Folding Chairs and Tables, Plastic or Resin</v>
      </c>
    </row>
    <row r="3085" spans="1:7" x14ac:dyDescent="0.25">
      <c r="A3085" s="1" t="str">
        <f t="shared" si="202"/>
        <v>420</v>
      </c>
      <c r="B3085" s="1" t="str">
        <f>TEXT(28,"00")</f>
        <v>28</v>
      </c>
      <c r="C3085" s="1" t="str">
        <f t="shared" si="203"/>
        <v>420-28</v>
      </c>
      <c r="D3085" t="s">
        <v>3067</v>
      </c>
      <c r="E3085" t="b">
        <f>IF(COUNTIF(D3085,"*"&amp;'Keyword Search'!$C$5&amp;"*"),TRUE,FALSE)</f>
        <v>1</v>
      </c>
      <c r="G3085" t="str">
        <f t="shared" si="204"/>
        <v>420-28: Folding Chairs and Tables, Wood</v>
      </c>
    </row>
    <row r="3086" spans="1:7" x14ac:dyDescent="0.25">
      <c r="A3086" s="1" t="str">
        <f t="shared" si="202"/>
        <v>420</v>
      </c>
      <c r="B3086" s="1" t="str">
        <f>TEXT(30,"00")</f>
        <v>30</v>
      </c>
      <c r="C3086" s="1" t="str">
        <f t="shared" si="203"/>
        <v>420-30</v>
      </c>
      <c r="D3086" t="s">
        <v>3068</v>
      </c>
      <c r="E3086" t="b">
        <f>IF(COUNTIF(D3086,"*"&amp;'Keyword Search'!$C$5&amp;"*"),TRUE,FALSE)</f>
        <v>1</v>
      </c>
      <c r="G3086" t="str">
        <f t="shared" si="204"/>
        <v>420-30: Furniture, General, Custom Made</v>
      </c>
    </row>
    <row r="3087" spans="1:7" x14ac:dyDescent="0.25">
      <c r="A3087" s="1" t="str">
        <f t="shared" si="202"/>
        <v>420</v>
      </c>
      <c r="B3087" s="1" t="str">
        <f>TEXT(34,"00")</f>
        <v>34</v>
      </c>
      <c r="C3087" s="1" t="str">
        <f t="shared" si="203"/>
        <v>420-34</v>
      </c>
      <c r="D3087" t="s">
        <v>3069</v>
      </c>
      <c r="E3087" t="b">
        <f>IF(COUNTIF(D3087,"*"&amp;'Keyword Search'!$C$5&amp;"*"),TRUE,FALSE)</f>
        <v>1</v>
      </c>
      <c r="G3087" t="str">
        <f t="shared" si="204"/>
        <v>420-34: Furnishings (Not Otherwise Classified)</v>
      </c>
    </row>
    <row r="3088" spans="1:7" x14ac:dyDescent="0.25">
      <c r="A3088" s="1" t="str">
        <f t="shared" si="202"/>
        <v>420</v>
      </c>
      <c r="B3088" s="1" t="str">
        <f>TEXT(40,"00")</f>
        <v>40</v>
      </c>
      <c r="C3088" s="1" t="str">
        <f t="shared" si="203"/>
        <v>420-40</v>
      </c>
      <c r="D3088" t="s">
        <v>3070</v>
      </c>
      <c r="E3088" t="b">
        <f>IF(COUNTIF(D3088,"*"&amp;'Keyword Search'!$C$5&amp;"*"),TRUE,FALSE)</f>
        <v>1</v>
      </c>
      <c r="G3088" t="str">
        <f t="shared" si="204"/>
        <v>420-40: Household Furniture, General Line</v>
      </c>
    </row>
    <row r="3089" spans="1:7" x14ac:dyDescent="0.25">
      <c r="A3089" s="1" t="str">
        <f t="shared" si="202"/>
        <v>420</v>
      </c>
      <c r="B3089" s="1" t="str">
        <f>TEXT(44,"00")</f>
        <v>44</v>
      </c>
      <c r="C3089" s="1" t="str">
        <f t="shared" si="203"/>
        <v>420-44</v>
      </c>
      <c r="D3089" t="s">
        <v>3071</v>
      </c>
      <c r="E3089" t="b">
        <f>IF(COUNTIF(D3089,"*"&amp;'Keyword Search'!$C$5&amp;"*"),TRUE,FALSE)</f>
        <v>1</v>
      </c>
      <c r="G3089" t="str">
        <f t="shared" si="204"/>
        <v>420-44: Institutional Furniture, All Types</v>
      </c>
    </row>
    <row r="3090" spans="1:7" x14ac:dyDescent="0.25">
      <c r="A3090" s="1" t="str">
        <f t="shared" si="202"/>
        <v>420</v>
      </c>
      <c r="B3090" s="1" t="str">
        <f>TEXT(48,"00")</f>
        <v>48</v>
      </c>
      <c r="C3090" s="1" t="str">
        <f t="shared" si="203"/>
        <v>420-48</v>
      </c>
      <c r="D3090" t="s">
        <v>3072</v>
      </c>
      <c r="E3090" t="b">
        <f>IF(COUNTIF(D3090,"*"&amp;'Keyword Search'!$C$5&amp;"*"),TRUE,FALSE)</f>
        <v>1</v>
      </c>
      <c r="G3090" t="str">
        <f t="shared" si="204"/>
        <v>420-48: Library Shelving, Metal</v>
      </c>
    </row>
    <row r="3091" spans="1:7" x14ac:dyDescent="0.25">
      <c r="A3091" s="1" t="str">
        <f t="shared" si="202"/>
        <v>420</v>
      </c>
      <c r="B3091" s="1" t="str">
        <f>TEXT(52,"00")</f>
        <v>52</v>
      </c>
      <c r="C3091" s="1" t="str">
        <f t="shared" si="203"/>
        <v>420-52</v>
      </c>
      <c r="D3091" t="s">
        <v>3073</v>
      </c>
      <c r="E3091" t="b">
        <f>IF(COUNTIF(D3091,"*"&amp;'Keyword Search'!$C$5&amp;"*"),TRUE,FALSE)</f>
        <v>1</v>
      </c>
      <c r="G3091" t="str">
        <f t="shared" si="204"/>
        <v>420-52: Library Shelving, Wood</v>
      </c>
    </row>
    <row r="3092" spans="1:7" x14ac:dyDescent="0.25">
      <c r="A3092" s="1" t="str">
        <f t="shared" si="202"/>
        <v>420</v>
      </c>
      <c r="B3092" s="1" t="str">
        <f>TEXT(56,"00")</f>
        <v>56</v>
      </c>
      <c r="C3092" s="1" t="str">
        <f t="shared" si="203"/>
        <v>420-56</v>
      </c>
      <c r="D3092" t="s">
        <v>3074</v>
      </c>
      <c r="E3092" t="b">
        <f>IF(COUNTIF(D3092,"*"&amp;'Keyword Search'!$C$5&amp;"*"),TRUE,FALSE)</f>
        <v>1</v>
      </c>
      <c r="G3092" t="str">
        <f t="shared" si="204"/>
        <v>420-56: Library Furniture: Book Trucks, Card Cabinets, Carrels, Chairs, Curb-Side Book Returns, Dictionary Stands, Step Stools, Tables, etc.</v>
      </c>
    </row>
    <row r="3093" spans="1:7" x14ac:dyDescent="0.25">
      <c r="A3093" s="1" t="str">
        <f t="shared" si="202"/>
        <v>420</v>
      </c>
      <c r="B3093" s="1" t="str">
        <f>TEXT(59,"00")</f>
        <v>59</v>
      </c>
      <c r="C3093" s="1" t="str">
        <f t="shared" si="203"/>
        <v>420-59</v>
      </c>
      <c r="D3093" t="s">
        <v>3075</v>
      </c>
      <c r="E3093" t="b">
        <f>IF(COUNTIF(D3093,"*"&amp;'Keyword Search'!$C$5&amp;"*"),TRUE,FALSE)</f>
        <v>1</v>
      </c>
      <c r="G3093" t="str">
        <f t="shared" si="204"/>
        <v>420-59: Lounge Furniture, Upholstered</v>
      </c>
    </row>
    <row r="3094" spans="1:7" x14ac:dyDescent="0.25">
      <c r="A3094" s="1" t="str">
        <f t="shared" si="202"/>
        <v>420</v>
      </c>
      <c r="B3094" s="1" t="str">
        <f>TEXT(60,"00")</f>
        <v>60</v>
      </c>
      <c r="C3094" s="1" t="str">
        <f t="shared" si="203"/>
        <v>420-60</v>
      </c>
      <c r="D3094" t="s">
        <v>3076</v>
      </c>
      <c r="E3094" t="b">
        <f>IF(COUNTIF(D3094,"*"&amp;'Keyword Search'!$C$5&amp;"*"),TRUE,FALSE)</f>
        <v>1</v>
      </c>
      <c r="G3094" t="str">
        <f t="shared" si="204"/>
        <v>420-60: Lounge Furniture, Steel, Indoor</v>
      </c>
    </row>
    <row r="3095" spans="1:7" x14ac:dyDescent="0.25">
      <c r="A3095" s="1" t="str">
        <f t="shared" si="202"/>
        <v>420</v>
      </c>
      <c r="B3095" s="1" t="str">
        <f>TEXT(61,"00")</f>
        <v>61</v>
      </c>
      <c r="C3095" s="1" t="str">
        <f t="shared" si="203"/>
        <v>420-61</v>
      </c>
      <c r="D3095" t="s">
        <v>3077</v>
      </c>
      <c r="E3095" t="b">
        <f>IF(COUNTIF(D3095,"*"&amp;'Keyword Search'!$C$5&amp;"*"),TRUE,FALSE)</f>
        <v>1</v>
      </c>
      <c r="G3095" t="str">
        <f t="shared" si="204"/>
        <v>420-61: Lounge Furniture, Steel, Outdoor</v>
      </c>
    </row>
    <row r="3096" spans="1:7" x14ac:dyDescent="0.25">
      <c r="A3096" s="1" t="str">
        <f t="shared" si="202"/>
        <v>420</v>
      </c>
      <c r="B3096" s="1" t="str">
        <f>TEXT(62,"00")</f>
        <v>62</v>
      </c>
      <c r="C3096" s="1" t="str">
        <f t="shared" si="203"/>
        <v>420-62</v>
      </c>
      <c r="D3096" t="s">
        <v>3078</v>
      </c>
      <c r="E3096" t="b">
        <f>IF(COUNTIF(D3096,"*"&amp;'Keyword Search'!$C$5&amp;"*"),TRUE,FALSE)</f>
        <v>1</v>
      </c>
      <c r="G3096" t="str">
        <f t="shared" si="204"/>
        <v>420-62: Lounge Furniture, Indoor: Fiberglass, Plastic, etc., Including Stacking Types</v>
      </c>
    </row>
    <row r="3097" spans="1:7" x14ac:dyDescent="0.25">
      <c r="A3097" s="1" t="str">
        <f t="shared" si="202"/>
        <v>420</v>
      </c>
      <c r="B3097" s="1" t="str">
        <f>TEXT(63,"00")</f>
        <v>63</v>
      </c>
      <c r="C3097" s="1" t="str">
        <f t="shared" si="203"/>
        <v>420-63</v>
      </c>
      <c r="D3097" t="s">
        <v>3079</v>
      </c>
      <c r="E3097" t="b">
        <f>IF(COUNTIF(D3097,"*"&amp;'Keyword Search'!$C$5&amp;"*"),TRUE,FALSE)</f>
        <v>1</v>
      </c>
      <c r="G3097" t="str">
        <f t="shared" si="204"/>
        <v>420-63: Lounge Furniture, Outdoor: Fiberglass, Plastic, Aluminum, etc., Including Stacking Types</v>
      </c>
    </row>
    <row r="3098" spans="1:7" x14ac:dyDescent="0.25">
      <c r="A3098" s="1" t="str">
        <f t="shared" si="202"/>
        <v>420</v>
      </c>
      <c r="B3098" s="1" t="str">
        <f>TEXT(64,"00")</f>
        <v>64</v>
      </c>
      <c r="C3098" s="1" t="str">
        <f t="shared" si="203"/>
        <v>420-64</v>
      </c>
      <c r="D3098" t="s">
        <v>3080</v>
      </c>
      <c r="E3098" t="b">
        <f>IF(COUNTIF(D3098,"*"&amp;'Keyword Search'!$C$5&amp;"*"),TRUE,FALSE)</f>
        <v>1</v>
      </c>
      <c r="G3098" t="str">
        <f t="shared" si="204"/>
        <v>420-64: Lounge Furniture, Indoor, Wood</v>
      </c>
    </row>
    <row r="3099" spans="1:7" x14ac:dyDescent="0.25">
      <c r="A3099" s="1" t="str">
        <f t="shared" si="202"/>
        <v>420</v>
      </c>
      <c r="B3099" s="1" t="str">
        <f>TEXT(65,"00")</f>
        <v>65</v>
      </c>
      <c r="C3099" s="1" t="str">
        <f t="shared" si="203"/>
        <v>420-65</v>
      </c>
      <c r="D3099" t="s">
        <v>3081</v>
      </c>
      <c r="E3099" t="b">
        <f>IF(COUNTIF(D3099,"*"&amp;'Keyword Search'!$C$5&amp;"*"),TRUE,FALSE)</f>
        <v>1</v>
      </c>
      <c r="G3099" t="str">
        <f t="shared" si="204"/>
        <v>420-65: Lounge Furniture, Outdoor, Wood, Including Outdoor Household Swings</v>
      </c>
    </row>
    <row r="3100" spans="1:7" x14ac:dyDescent="0.25">
      <c r="A3100" s="1" t="str">
        <f t="shared" si="202"/>
        <v>420</v>
      </c>
      <c r="B3100" s="1" t="str">
        <f>TEXT(66,"00")</f>
        <v>66</v>
      </c>
      <c r="C3100" s="1" t="str">
        <f t="shared" si="203"/>
        <v>420-66</v>
      </c>
      <c r="D3100" t="s">
        <v>3082</v>
      </c>
      <c r="E3100" t="b">
        <f>IF(COUNTIF(D3100,"*"&amp;'Keyword Search'!$C$5&amp;"*"),TRUE,FALSE)</f>
        <v>1</v>
      </c>
      <c r="G3100" t="str">
        <f t="shared" si="204"/>
        <v>420-66: Mailroom Furniture: Bins, Boxes, Carts, Consoles, Including Wrapping Consoles, Mail Systems, Sorters, Tables, etc.</v>
      </c>
    </row>
    <row r="3101" spans="1:7" x14ac:dyDescent="0.25">
      <c r="A3101" s="1" t="str">
        <f t="shared" si="202"/>
        <v>420</v>
      </c>
      <c r="B3101" s="1" t="str">
        <f>TEXT(68,"00")</f>
        <v>68</v>
      </c>
      <c r="C3101" s="1" t="str">
        <f t="shared" si="203"/>
        <v>420-68</v>
      </c>
      <c r="D3101" t="s">
        <v>3083</v>
      </c>
      <c r="E3101" t="b">
        <f>IF(COUNTIF(D3101,"*"&amp;'Keyword Search'!$C$5&amp;"*"),TRUE,FALSE)</f>
        <v>1</v>
      </c>
      <c r="G3101" t="str">
        <f t="shared" si="204"/>
        <v>420-68: Mattresses and Bedsprings, Including Fillers, (See Class 410 for Hospital Type)</v>
      </c>
    </row>
    <row r="3102" spans="1:7" x14ac:dyDescent="0.25">
      <c r="A3102" s="1" t="str">
        <f t="shared" si="202"/>
        <v>420</v>
      </c>
      <c r="B3102" s="1" t="str">
        <f>TEXT(72,"00")</f>
        <v>72</v>
      </c>
      <c r="C3102" s="1" t="str">
        <f t="shared" si="203"/>
        <v>420-72</v>
      </c>
      <c r="D3102" t="s">
        <v>3084</v>
      </c>
      <c r="E3102" t="b">
        <f>IF(COUNTIF(D3102,"*"&amp;'Keyword Search'!$C$5&amp;"*"),TRUE,FALSE)</f>
        <v>1</v>
      </c>
      <c r="G3102" t="str">
        <f t="shared" si="204"/>
        <v>420-72: Mirrors, Glass, Not Auto, Barber, Safety, Security, or Telescope, Including Parts and Accessories</v>
      </c>
    </row>
    <row r="3103" spans="1:7" x14ac:dyDescent="0.25">
      <c r="A3103" s="1" t="str">
        <f t="shared" si="202"/>
        <v>420</v>
      </c>
      <c r="B3103" s="1" t="str">
        <f>TEXT(73,"00")</f>
        <v>73</v>
      </c>
      <c r="C3103" s="1" t="str">
        <f t="shared" si="203"/>
        <v>420-73</v>
      </c>
      <c r="D3103" t="s">
        <v>3085</v>
      </c>
      <c r="E3103" t="b">
        <f>IF(COUNTIF(D3103,"*"&amp;'Keyword Search'!$C$5&amp;"*"),TRUE,FALSE)</f>
        <v>1</v>
      </c>
      <c r="G3103" t="str">
        <f t="shared" si="204"/>
        <v>420-73: Mirrors, Safety and Security, Non-Glass, Flat Type, Correctional Facilities or High Risk Areas, Including Parts and Accessories</v>
      </c>
    </row>
    <row r="3104" spans="1:7" x14ac:dyDescent="0.25">
      <c r="A3104" s="1" t="str">
        <f t="shared" si="202"/>
        <v>420</v>
      </c>
      <c r="B3104" s="1" t="str">
        <f>TEXT(74,"00")</f>
        <v>74</v>
      </c>
      <c r="C3104" s="1" t="str">
        <f t="shared" si="203"/>
        <v>420-74</v>
      </c>
      <c r="D3104" t="s">
        <v>3086</v>
      </c>
      <c r="E3104" t="b">
        <f>IF(COUNTIF(D3104,"*"&amp;'Keyword Search'!$C$5&amp;"*"),TRUE,FALSE)</f>
        <v>1</v>
      </c>
      <c r="G3104" t="str">
        <f t="shared" si="204"/>
        <v>420-74: Mirrors, Safety and Security, For Blind Corners in Hallways, etc.: Parabolic, Convex, Hemispherical, etc., Including Parts and Accessories</v>
      </c>
    </row>
    <row r="3105" spans="1:7" x14ac:dyDescent="0.25">
      <c r="A3105" s="1" t="str">
        <f t="shared" si="202"/>
        <v>420</v>
      </c>
      <c r="B3105" s="1" t="str">
        <f>TEXT(81,"00")</f>
        <v>81</v>
      </c>
      <c r="C3105" s="1" t="str">
        <f t="shared" si="203"/>
        <v>420-81</v>
      </c>
      <c r="D3105" t="s">
        <v>3087</v>
      </c>
      <c r="E3105" t="b">
        <f>IF(COUNTIF(D3105,"*"&amp;'Keyword Search'!$C$5&amp;"*"),TRUE,FALSE)</f>
        <v>1</v>
      </c>
      <c r="G3105" t="str">
        <f t="shared" si="204"/>
        <v>420-81: Recycled Furniture: Cafeteria, Chapel, Dormitory, Household, Library, Lounge and School, All Types</v>
      </c>
    </row>
    <row r="3106" spans="1:7" x14ac:dyDescent="0.25">
      <c r="A3106" s="1" t="str">
        <f t="shared" si="202"/>
        <v>420</v>
      </c>
      <c r="B3106" s="1" t="str">
        <f>TEXT(84,"00")</f>
        <v>84</v>
      </c>
      <c r="C3106" s="1" t="str">
        <f t="shared" si="203"/>
        <v>420-84</v>
      </c>
      <c r="D3106" t="s">
        <v>3088</v>
      </c>
      <c r="E3106" t="b">
        <f>IF(COUNTIF(D3106,"*"&amp;'Keyword Search'!$C$5&amp;"*"),TRUE,FALSE)</f>
        <v>1</v>
      </c>
      <c r="G3106" t="str">
        <f t="shared" si="204"/>
        <v>420-84: Schoolroom Furniture, Metal: Cabinets, Chairs, Desks, etc.</v>
      </c>
    </row>
    <row r="3107" spans="1:7" x14ac:dyDescent="0.25">
      <c r="A3107" s="1" t="str">
        <f t="shared" si="202"/>
        <v>420</v>
      </c>
      <c r="B3107" s="1" t="str">
        <f>TEXT(86,"00")</f>
        <v>86</v>
      </c>
      <c r="C3107" s="1" t="str">
        <f t="shared" si="203"/>
        <v>420-86</v>
      </c>
      <c r="D3107" t="s">
        <v>3089</v>
      </c>
      <c r="E3107" t="b">
        <f>IF(COUNTIF(D3107,"*"&amp;'Keyword Search'!$C$5&amp;"*"),TRUE,FALSE)</f>
        <v>1</v>
      </c>
      <c r="G3107" t="str">
        <f t="shared" si="204"/>
        <v>420-86: Schoolroom Furniture; Plastic, Polypropylene, Fiberglass Type: Cabinets, Chairs, Desks, etc., Including Stacking Types</v>
      </c>
    </row>
    <row r="3108" spans="1:7" x14ac:dyDescent="0.25">
      <c r="A3108" s="1" t="str">
        <f t="shared" si="202"/>
        <v>420</v>
      </c>
      <c r="B3108" s="1" t="str">
        <f>TEXT(88,"00")</f>
        <v>88</v>
      </c>
      <c r="C3108" s="1" t="str">
        <f t="shared" si="203"/>
        <v>420-88</v>
      </c>
      <c r="D3108" t="s">
        <v>3090</v>
      </c>
      <c r="E3108" t="b">
        <f>IF(COUNTIF(D3108,"*"&amp;'Keyword Search'!$C$5&amp;"*"),TRUE,FALSE)</f>
        <v>1</v>
      </c>
      <c r="G3108" t="str">
        <f t="shared" si="204"/>
        <v>420-88: Schoolroom Furniture, Wood: Cabinets, Chairs, Desks, etc.</v>
      </c>
    </row>
    <row r="3109" spans="1:7" x14ac:dyDescent="0.25">
      <c r="A3109" s="1" t="str">
        <f t="shared" si="202"/>
        <v>420</v>
      </c>
      <c r="B3109" s="1" t="str">
        <f>TEXT(92,"00")</f>
        <v>92</v>
      </c>
      <c r="C3109" s="1" t="str">
        <f t="shared" si="203"/>
        <v>420-92</v>
      </c>
      <c r="D3109" t="s">
        <v>3091</v>
      </c>
      <c r="E3109" t="b">
        <f>IF(COUNTIF(D3109,"*"&amp;'Keyword Search'!$C$5&amp;"*"),TRUE,FALSE)</f>
        <v>1</v>
      </c>
      <c r="G3109" t="str">
        <f t="shared" si="204"/>
        <v>420-92: Showcase, Trophy Cases and Exhibit Cases</v>
      </c>
    </row>
    <row r="3110" spans="1:7" x14ac:dyDescent="0.25">
      <c r="A3110" s="1" t="str">
        <f t="shared" si="202"/>
        <v>420</v>
      </c>
      <c r="B3110" s="1" t="str">
        <f>TEXT(93,"00")</f>
        <v>93</v>
      </c>
      <c r="C3110" s="1" t="str">
        <f t="shared" si="203"/>
        <v>420-93</v>
      </c>
      <c r="D3110" t="s">
        <v>3092</v>
      </c>
      <c r="E3110" t="b">
        <f>IF(COUNTIF(D3110,"*"&amp;'Keyword Search'!$C$5&amp;"*"),TRUE,FALSE)</f>
        <v>1</v>
      </c>
      <c r="G3110" t="str">
        <f t="shared" si="204"/>
        <v>420-93: Stools, Household</v>
      </c>
    </row>
    <row r="3111" spans="1:7" x14ac:dyDescent="0.25">
      <c r="A3111" s="1" t="str">
        <f t="shared" si="202"/>
        <v>420</v>
      </c>
      <c r="B3111" s="1" t="str">
        <f>TEXT(96,"00")</f>
        <v>96</v>
      </c>
      <c r="C3111" s="1" t="str">
        <f t="shared" si="203"/>
        <v>420-96</v>
      </c>
      <c r="D3111" t="s">
        <v>3093</v>
      </c>
      <c r="E3111" t="b">
        <f>IF(COUNTIF(D3111,"*"&amp;'Keyword Search'!$C$5&amp;"*"),TRUE,FALSE)</f>
        <v>1</v>
      </c>
      <c r="G3111" t="str">
        <f t="shared" si="204"/>
        <v>420-96: Work Benches, Shop Desks and Tables</v>
      </c>
    </row>
    <row r="3112" spans="1:7" x14ac:dyDescent="0.25">
      <c r="A3112" s="5" t="str">
        <f t="shared" ref="A3112:A3160" si="205">TEXT(425,"000")</f>
        <v>425</v>
      </c>
      <c r="B3112" s="5" t="str">
        <f>TEXT(0,"00")</f>
        <v>00</v>
      </c>
      <c r="C3112" s="1"/>
      <c r="D3112" s="2" t="s">
        <v>3094</v>
      </c>
    </row>
    <row r="3113" spans="1:7" x14ac:dyDescent="0.25">
      <c r="A3113" s="1" t="str">
        <f t="shared" si="205"/>
        <v>425</v>
      </c>
      <c r="B3113" s="1" t="str">
        <f>TEXT(3,"00")</f>
        <v>03</v>
      </c>
      <c r="C3113" s="1" t="str">
        <f t="shared" si="203"/>
        <v>425-03</v>
      </c>
      <c r="D3113" t="s">
        <v>3095</v>
      </c>
      <c r="E3113" t="b">
        <f>IF(COUNTIF(D3113,"*"&amp;'Keyword Search'!$C$5&amp;"*"),TRUE,FALSE)</f>
        <v>1</v>
      </c>
      <c r="G3113" t="str">
        <f t="shared" si="204"/>
        <v>425-03: Bookcases and Bookshelves, Metal and Wood</v>
      </c>
    </row>
    <row r="3114" spans="1:7" x14ac:dyDescent="0.25">
      <c r="A3114" s="1" t="str">
        <f t="shared" si="205"/>
        <v>425</v>
      </c>
      <c r="B3114" s="1" t="str">
        <f>TEXT(6,"00")</f>
        <v>06</v>
      </c>
      <c r="C3114" s="1" t="str">
        <f t="shared" si="203"/>
        <v>425-06</v>
      </c>
      <c r="D3114" t="s">
        <v>3096</v>
      </c>
      <c r="E3114" t="b">
        <f>IF(COUNTIF(D3114,"*"&amp;'Keyword Search'!$C$5&amp;"*"),TRUE,FALSE)</f>
        <v>1</v>
      </c>
      <c r="G3114" t="str">
        <f t="shared" si="204"/>
        <v>425-06: Chairs, Metal</v>
      </c>
    </row>
    <row r="3115" spans="1:7" x14ac:dyDescent="0.25">
      <c r="A3115" s="1" t="str">
        <f t="shared" si="205"/>
        <v>425</v>
      </c>
      <c r="B3115" s="1" t="str">
        <f>TEXT(7,"00")</f>
        <v>07</v>
      </c>
      <c r="C3115" s="1" t="str">
        <f t="shared" si="203"/>
        <v>425-07</v>
      </c>
      <c r="D3115" t="s">
        <v>3097</v>
      </c>
      <c r="E3115" t="b">
        <f>IF(COUNTIF(D3115,"*"&amp;'Keyword Search'!$C$5&amp;"*"),TRUE,FALSE)</f>
        <v>1</v>
      </c>
      <c r="G3115" t="str">
        <f t="shared" si="204"/>
        <v>425-07: Chairs, Wood</v>
      </c>
    </row>
    <row r="3116" spans="1:7" x14ac:dyDescent="0.25">
      <c r="A3116" s="1" t="str">
        <f t="shared" si="205"/>
        <v>425</v>
      </c>
      <c r="B3116" s="1" t="str">
        <f>TEXT(10,"00")</f>
        <v>10</v>
      </c>
      <c r="C3116" s="1" t="str">
        <f t="shared" si="203"/>
        <v>425-10</v>
      </c>
      <c r="D3116" t="s">
        <v>3098</v>
      </c>
      <c r="E3116" t="b">
        <f>IF(COUNTIF(D3116,"*"&amp;'Keyword Search'!$C$5&amp;"*"),TRUE,FALSE)</f>
        <v>1</v>
      </c>
      <c r="G3116" t="str">
        <f t="shared" si="204"/>
        <v>425-10: Costumers, Racks, Stands and Trees: Clothes, Coat, Hat, etc.</v>
      </c>
    </row>
    <row r="3117" spans="1:7" x14ac:dyDescent="0.25">
      <c r="A3117" s="1" t="str">
        <f t="shared" si="205"/>
        <v>425</v>
      </c>
      <c r="B3117" s="1" t="str">
        <f>TEXT(11,"00")</f>
        <v>11</v>
      </c>
      <c r="C3117" s="1" t="str">
        <f t="shared" si="203"/>
        <v>425-11</v>
      </c>
      <c r="D3117" t="s">
        <v>3099</v>
      </c>
      <c r="E3117" t="b">
        <f>IF(COUNTIF(D3117,"*"&amp;'Keyword Search'!$C$5&amp;"*"),TRUE,FALSE)</f>
        <v>1</v>
      </c>
      <c r="G3117" t="str">
        <f t="shared" si="204"/>
        <v>425-11: Counter, Work</v>
      </c>
    </row>
    <row r="3118" spans="1:7" x14ac:dyDescent="0.25">
      <c r="A3118" s="1" t="str">
        <f t="shared" si="205"/>
        <v>425</v>
      </c>
      <c r="B3118" s="1" t="str">
        <f>TEXT(13,"00")</f>
        <v>13</v>
      </c>
      <c r="C3118" s="1" t="str">
        <f t="shared" si="203"/>
        <v>425-13</v>
      </c>
      <c r="D3118" t="s">
        <v>3100</v>
      </c>
      <c r="E3118" t="b">
        <f>IF(COUNTIF(D3118,"*"&amp;'Keyword Search'!$C$5&amp;"*"),TRUE,FALSE)</f>
        <v>1</v>
      </c>
      <c r="G3118" t="str">
        <f t="shared" si="204"/>
        <v>425-13: Credenza Unit, Metal</v>
      </c>
    </row>
    <row r="3119" spans="1:7" x14ac:dyDescent="0.25">
      <c r="A3119" s="1" t="str">
        <f t="shared" si="205"/>
        <v>425</v>
      </c>
      <c r="B3119" s="1" t="str">
        <f>TEXT(14,"00")</f>
        <v>14</v>
      </c>
      <c r="C3119" s="1" t="str">
        <f t="shared" si="203"/>
        <v>425-14</v>
      </c>
      <c r="D3119" t="s">
        <v>3101</v>
      </c>
      <c r="E3119" t="b">
        <f>IF(COUNTIF(D3119,"*"&amp;'Keyword Search'!$C$5&amp;"*"),TRUE,FALSE)</f>
        <v>1</v>
      </c>
      <c r="G3119" t="str">
        <f t="shared" si="204"/>
        <v>425-14: Credenza Unit, Wood</v>
      </c>
    </row>
    <row r="3120" spans="1:7" x14ac:dyDescent="0.25">
      <c r="A3120" s="1" t="str">
        <f t="shared" si="205"/>
        <v>425</v>
      </c>
      <c r="B3120" s="1" t="str">
        <f>TEXT(17,"00")</f>
        <v>17</v>
      </c>
      <c r="C3120" s="1" t="str">
        <f t="shared" si="203"/>
        <v>425-17</v>
      </c>
      <c r="D3120" t="s">
        <v>3102</v>
      </c>
      <c r="E3120" t="b">
        <f>IF(COUNTIF(D3120,"*"&amp;'Keyword Search'!$C$5&amp;"*"),TRUE,FALSE)</f>
        <v>1</v>
      </c>
      <c r="G3120" t="str">
        <f t="shared" si="204"/>
        <v>425-17: Data Processing Furniture, Metal and Plastic (See 425-87 For Storage Cabinets)</v>
      </c>
    </row>
    <row r="3121" spans="1:7" x14ac:dyDescent="0.25">
      <c r="A3121" s="1" t="str">
        <f t="shared" si="205"/>
        <v>425</v>
      </c>
      <c r="B3121" s="1" t="str">
        <f>TEXT(18,"00")</f>
        <v>18</v>
      </c>
      <c r="C3121" s="1" t="str">
        <f t="shared" si="203"/>
        <v>425-18</v>
      </c>
      <c r="D3121" t="s">
        <v>3103</v>
      </c>
      <c r="E3121" t="b">
        <f>IF(COUNTIF(D3121,"*"&amp;'Keyword Search'!$C$5&amp;"*"),TRUE,FALSE)</f>
        <v>1</v>
      </c>
      <c r="G3121" t="str">
        <f t="shared" si="204"/>
        <v>425-18: Data Processing Office Furniture, Wood, (See Item 87 For Not Storage Cabinets)</v>
      </c>
    </row>
    <row r="3122" spans="1:7" x14ac:dyDescent="0.25">
      <c r="A3122" s="1" t="str">
        <f t="shared" si="205"/>
        <v>425</v>
      </c>
      <c r="B3122" s="1" t="str">
        <f>TEXT(20,"00")</f>
        <v>20</v>
      </c>
      <c r="C3122" s="1" t="str">
        <f t="shared" si="203"/>
        <v>425-20</v>
      </c>
      <c r="D3122" t="s">
        <v>3104</v>
      </c>
      <c r="E3122" t="b">
        <f>IF(COUNTIF(D3122,"*"&amp;'Keyword Search'!$C$5&amp;"*"),TRUE,FALSE)</f>
        <v>1</v>
      </c>
      <c r="G3122" t="str">
        <f t="shared" si="204"/>
        <v>425-20: Desks and Tables, Metal</v>
      </c>
    </row>
    <row r="3123" spans="1:7" x14ac:dyDescent="0.25">
      <c r="A3123" s="1" t="str">
        <f t="shared" si="205"/>
        <v>425</v>
      </c>
      <c r="B3123" s="1" t="str">
        <f>TEXT(21,"00")</f>
        <v>21</v>
      </c>
      <c r="C3123" s="1" t="str">
        <f t="shared" si="203"/>
        <v>425-21</v>
      </c>
      <c r="D3123" t="s">
        <v>3105</v>
      </c>
      <c r="E3123" t="b">
        <f>IF(COUNTIF(D3123,"*"&amp;'Keyword Search'!$C$5&amp;"*"),TRUE,FALSE)</f>
        <v>1</v>
      </c>
      <c r="G3123" t="str">
        <f t="shared" si="204"/>
        <v>425-21: Desks and Tables, Wood</v>
      </c>
    </row>
    <row r="3124" spans="1:7" x14ac:dyDescent="0.25">
      <c r="A3124" s="1" t="str">
        <f t="shared" si="205"/>
        <v>425</v>
      </c>
      <c r="B3124" s="1" t="str">
        <f>TEXT(30,"00")</f>
        <v>30</v>
      </c>
      <c r="C3124" s="1" t="str">
        <f t="shared" si="203"/>
        <v>425-30</v>
      </c>
      <c r="D3124" t="s">
        <v>3106</v>
      </c>
      <c r="E3124" t="b">
        <f>IF(COUNTIF(D3124,"*"&amp;'Keyword Search'!$C$5&amp;"*"),TRUE,FALSE)</f>
        <v>1</v>
      </c>
      <c r="G3124" t="str">
        <f t="shared" si="204"/>
        <v>425-30: Drafting Chairs and Stools, Metal and Wood</v>
      </c>
    </row>
    <row r="3125" spans="1:7" x14ac:dyDescent="0.25">
      <c r="A3125" s="1" t="str">
        <f t="shared" si="205"/>
        <v>425</v>
      </c>
      <c r="B3125" s="1" t="str">
        <f>TEXT(33,"00")</f>
        <v>33</v>
      </c>
      <c r="C3125" s="1" t="str">
        <f t="shared" si="203"/>
        <v>425-33</v>
      </c>
      <c r="D3125" t="s">
        <v>3107</v>
      </c>
      <c r="E3125" t="b">
        <f>IF(COUNTIF(D3125,"*"&amp;'Keyword Search'!$C$5&amp;"*"),TRUE,FALSE)</f>
        <v>1</v>
      </c>
      <c r="G3125" t="str">
        <f t="shared" si="204"/>
        <v>425-33: Drafting Plan and Map Files, Metal</v>
      </c>
    </row>
    <row r="3126" spans="1:7" x14ac:dyDescent="0.25">
      <c r="A3126" s="1" t="str">
        <f t="shared" si="205"/>
        <v>425</v>
      </c>
      <c r="B3126" s="1" t="str">
        <f>TEXT(34,"00")</f>
        <v>34</v>
      </c>
      <c r="C3126" s="1" t="str">
        <f t="shared" si="203"/>
        <v>425-34</v>
      </c>
      <c r="D3126" t="s">
        <v>3108</v>
      </c>
      <c r="E3126" t="b">
        <f>IF(COUNTIF(D3126,"*"&amp;'Keyword Search'!$C$5&amp;"*"),TRUE,FALSE)</f>
        <v>1</v>
      </c>
      <c r="G3126" t="str">
        <f t="shared" si="204"/>
        <v>425-34: Drafting Plan and Map Files, Wood</v>
      </c>
    </row>
    <row r="3127" spans="1:7" x14ac:dyDescent="0.25">
      <c r="A3127" s="1" t="str">
        <f t="shared" si="205"/>
        <v>425</v>
      </c>
      <c r="B3127" s="1" t="str">
        <f>TEXT(37,"00")</f>
        <v>37</v>
      </c>
      <c r="C3127" s="1" t="str">
        <f t="shared" si="203"/>
        <v>425-37</v>
      </c>
      <c r="D3127" t="s">
        <v>3109</v>
      </c>
      <c r="E3127" t="b">
        <f>IF(COUNTIF(D3127,"*"&amp;'Keyword Search'!$C$5&amp;"*"),TRUE,FALSE)</f>
        <v>1</v>
      </c>
      <c r="G3127" t="str">
        <f t="shared" si="204"/>
        <v>425-37: Drafting Tables, Metal and Wood</v>
      </c>
    </row>
    <row r="3128" spans="1:7" x14ac:dyDescent="0.25">
      <c r="A3128" s="1" t="str">
        <f t="shared" si="205"/>
        <v>425</v>
      </c>
      <c r="B3128" s="1" t="str">
        <f>TEXT(40,"00")</f>
        <v>40</v>
      </c>
      <c r="C3128" s="1" t="str">
        <f t="shared" si="203"/>
        <v>425-40</v>
      </c>
      <c r="D3128" t="s">
        <v>3110</v>
      </c>
      <c r="E3128" t="b">
        <f>IF(COUNTIF(D3128,"*"&amp;'Keyword Search'!$C$5&amp;"*"),TRUE,FALSE)</f>
        <v>1</v>
      </c>
      <c r="G3128" t="str">
        <f t="shared" si="204"/>
        <v>425-40: Filing Cabinets, Metal: Card, Jumbo, Lateral, Legal, and Letter</v>
      </c>
    </row>
    <row r="3129" spans="1:7" x14ac:dyDescent="0.25">
      <c r="A3129" s="1" t="str">
        <f t="shared" si="205"/>
        <v>425</v>
      </c>
      <c r="B3129" s="1" t="str">
        <f>TEXT(41,"00")</f>
        <v>41</v>
      </c>
      <c r="C3129" s="1" t="str">
        <f t="shared" si="203"/>
        <v>425-41</v>
      </c>
      <c r="D3129" t="s">
        <v>3111</v>
      </c>
      <c r="E3129" t="b">
        <f>IF(COUNTIF(D3129,"*"&amp;'Keyword Search'!$C$5&amp;"*"),TRUE,FALSE)</f>
        <v>1</v>
      </c>
      <c r="G3129" t="str">
        <f t="shared" si="204"/>
        <v>425-41: Filing Cabinets, Wood: Card, Lateral, Legal, and Letter</v>
      </c>
    </row>
    <row r="3130" spans="1:7" x14ac:dyDescent="0.25">
      <c r="A3130" s="1" t="str">
        <f t="shared" si="205"/>
        <v>425</v>
      </c>
      <c r="B3130" s="1" t="str">
        <f>TEXT(42,"00")</f>
        <v>42</v>
      </c>
      <c r="C3130" s="1" t="str">
        <f t="shared" si="203"/>
        <v>425-42</v>
      </c>
      <c r="D3130" t="s">
        <v>3112</v>
      </c>
      <c r="E3130" t="b">
        <f>IF(COUNTIF(D3130,"*"&amp;'Keyword Search'!$C$5&amp;"*"),TRUE,FALSE)</f>
        <v>1</v>
      </c>
      <c r="G3130" t="str">
        <f t="shared" si="204"/>
        <v>425-42: Filing Systems, Mobile, High Density, Electrical and Mechanical</v>
      </c>
    </row>
    <row r="3131" spans="1:7" x14ac:dyDescent="0.25">
      <c r="A3131" s="1" t="str">
        <f t="shared" si="205"/>
        <v>425</v>
      </c>
      <c r="B3131" s="1" t="str">
        <f>TEXT(44,"00")</f>
        <v>44</v>
      </c>
      <c r="C3131" s="1" t="str">
        <f t="shared" si="203"/>
        <v>425-44</v>
      </c>
      <c r="D3131" t="s">
        <v>3113</v>
      </c>
      <c r="E3131" t="b">
        <f>IF(COUNTIF(D3131,"*"&amp;'Keyword Search'!$C$5&amp;"*"),TRUE,FALSE)</f>
        <v>1</v>
      </c>
      <c r="G3131" t="str">
        <f t="shared" si="204"/>
        <v>425-44: Fire Files</v>
      </c>
    </row>
    <row r="3132" spans="1:7" x14ac:dyDescent="0.25">
      <c r="A3132" s="1" t="str">
        <f t="shared" si="205"/>
        <v>425</v>
      </c>
      <c r="B3132" s="1" t="str">
        <f>TEXT(47,"00")</f>
        <v>47</v>
      </c>
      <c r="C3132" s="1" t="str">
        <f t="shared" si="203"/>
        <v>425-47</v>
      </c>
      <c r="D3132" t="s">
        <v>3114</v>
      </c>
      <c r="E3132" t="b">
        <f>IF(COUNTIF(D3132,"*"&amp;'Keyword Search'!$C$5&amp;"*"),TRUE,FALSE)</f>
        <v>1</v>
      </c>
      <c r="G3132" t="str">
        <f t="shared" si="204"/>
        <v>425-47: Floors, Raised Access Type, For Data Processing Equipment</v>
      </c>
    </row>
    <row r="3133" spans="1:7" x14ac:dyDescent="0.25">
      <c r="A3133" s="1" t="str">
        <f t="shared" si="205"/>
        <v>425</v>
      </c>
      <c r="B3133" s="1" t="str">
        <f>TEXT(48,"00")</f>
        <v>48</v>
      </c>
      <c r="C3133" s="1" t="str">
        <f t="shared" si="203"/>
        <v>425-48</v>
      </c>
      <c r="D3133" t="s">
        <v>3115</v>
      </c>
      <c r="E3133" t="b">
        <f>IF(COUNTIF(D3133,"*"&amp;'Keyword Search'!$C$5&amp;"*"),TRUE,FALSE)</f>
        <v>1</v>
      </c>
      <c r="G3133" t="str">
        <f t="shared" si="204"/>
        <v>425-48: Furniture, Office, Custom Made</v>
      </c>
    </row>
    <row r="3134" spans="1:7" x14ac:dyDescent="0.25">
      <c r="A3134" s="1" t="str">
        <f t="shared" si="205"/>
        <v>425</v>
      </c>
      <c r="B3134" s="1" t="str">
        <f>TEXT(49,"00")</f>
        <v>49</v>
      </c>
      <c r="C3134" s="1" t="str">
        <f t="shared" si="203"/>
        <v>425-49</v>
      </c>
      <c r="D3134" t="s">
        <v>3116</v>
      </c>
      <c r="E3134" t="b">
        <f>IF(COUNTIF(D3134,"*"&amp;'Keyword Search'!$C$5&amp;"*"),TRUE,FALSE)</f>
        <v>1</v>
      </c>
      <c r="G3134" t="str">
        <f t="shared" si="204"/>
        <v>425-49: Hutches for Desks, Credenzas, etc.</v>
      </c>
    </row>
    <row r="3135" spans="1:7" x14ac:dyDescent="0.25">
      <c r="A3135" s="1" t="str">
        <f t="shared" si="205"/>
        <v>425</v>
      </c>
      <c r="B3135" s="1" t="str">
        <f>TEXT(50,"00")</f>
        <v>50</v>
      </c>
      <c r="C3135" s="1" t="str">
        <f t="shared" si="203"/>
        <v>425-50</v>
      </c>
      <c r="D3135" t="s">
        <v>3117</v>
      </c>
      <c r="E3135" t="b">
        <f>IF(COUNTIF(D3135,"*"&amp;'Keyword Search'!$C$5&amp;"*"),TRUE,FALSE)</f>
        <v>1</v>
      </c>
      <c r="G3135" t="str">
        <f t="shared" si="204"/>
        <v>425-50: Key Storage Cabinets and Files</v>
      </c>
    </row>
    <row r="3136" spans="1:7" x14ac:dyDescent="0.25">
      <c r="A3136" s="1" t="str">
        <f t="shared" si="205"/>
        <v>425</v>
      </c>
      <c r="B3136" s="1" t="str">
        <f>TEXT(53,"00")</f>
        <v>53</v>
      </c>
      <c r="C3136" s="1" t="str">
        <f t="shared" si="203"/>
        <v>425-53</v>
      </c>
      <c r="D3136" t="s">
        <v>3118</v>
      </c>
      <c r="E3136" t="b">
        <f>IF(COUNTIF(D3136,"*"&amp;'Keyword Search'!$C$5&amp;"*"),TRUE,FALSE)</f>
        <v>1</v>
      </c>
      <c r="G3136" t="str">
        <f t="shared" si="204"/>
        <v>425-53: Lockers, Storage: Coats, Hats and Baggage (Includes Foot Locker Type)</v>
      </c>
    </row>
    <row r="3137" spans="1:7" x14ac:dyDescent="0.25">
      <c r="A3137" s="1" t="str">
        <f t="shared" si="205"/>
        <v>425</v>
      </c>
      <c r="B3137" s="1" t="str">
        <f>TEXT(54,"00")</f>
        <v>54</v>
      </c>
      <c r="C3137" s="1" t="str">
        <f t="shared" si="203"/>
        <v>425-54</v>
      </c>
      <c r="D3137" t="s">
        <v>3119</v>
      </c>
      <c r="E3137" t="b">
        <f>IF(COUNTIF(D3137,"*"&amp;'Keyword Search'!$C$5&amp;"*"),TRUE,FALSE)</f>
        <v>1</v>
      </c>
      <c r="G3137" t="str">
        <f t="shared" si="204"/>
        <v>425-54: Modular Panel Systems, With Metal Connecting Mechanism</v>
      </c>
    </row>
    <row r="3138" spans="1:7" x14ac:dyDescent="0.25">
      <c r="A3138" s="1" t="str">
        <f t="shared" si="205"/>
        <v>425</v>
      </c>
      <c r="B3138" s="1" t="str">
        <f>TEXT(55,"00")</f>
        <v>55</v>
      </c>
      <c r="C3138" s="1" t="str">
        <f t="shared" si="203"/>
        <v>425-55</v>
      </c>
      <c r="D3138" t="s">
        <v>3120</v>
      </c>
      <c r="E3138" t="b">
        <f>IF(COUNTIF(D3138,"*"&amp;'Keyword Search'!$C$5&amp;"*"),TRUE,FALSE)</f>
        <v>1</v>
      </c>
      <c r="G3138" t="str">
        <f t="shared" si="204"/>
        <v>425-55: Modular Panel Systems, With Synthetic Connecting Mechanism</v>
      </c>
    </row>
    <row r="3139" spans="1:7" x14ac:dyDescent="0.25">
      <c r="A3139" s="1" t="str">
        <f t="shared" si="205"/>
        <v>425</v>
      </c>
      <c r="B3139" s="1" t="str">
        <f>TEXT(56,"00")</f>
        <v>56</v>
      </c>
      <c r="C3139" s="1" t="str">
        <f t="shared" ref="C3139:C3202" si="206">CONCATENATE(A3139,"-",B3139)</f>
        <v>425-56</v>
      </c>
      <c r="D3139" t="s">
        <v>3121</v>
      </c>
      <c r="E3139" t="b">
        <f>IF(COUNTIF(D3139,"*"&amp;'Keyword Search'!$C$5&amp;"*"),TRUE,FALSE)</f>
        <v>1</v>
      </c>
      <c r="G3139" t="str">
        <f t="shared" si="204"/>
        <v>425-56: Partitions, Free Standing, All Types, Custom and Stock Sizes</v>
      </c>
    </row>
    <row r="3140" spans="1:7" x14ac:dyDescent="0.25">
      <c r="A3140" s="1" t="str">
        <f t="shared" si="205"/>
        <v>425</v>
      </c>
      <c r="B3140" s="1" t="str">
        <f>TEXT(57,"00")</f>
        <v>57</v>
      </c>
      <c r="C3140" s="1" t="str">
        <f t="shared" si="206"/>
        <v>425-57</v>
      </c>
      <c r="D3140" t="s">
        <v>3122</v>
      </c>
      <c r="E3140" t="b">
        <f>IF(COUNTIF(D3140,"*"&amp;'Keyword Search'!$C$5&amp;"*"),TRUE,FALSE)</f>
        <v>1</v>
      </c>
      <c r="G3140" t="str">
        <f t="shared" ref="G3140:G3203" si="207">CONCATENATE(C3140,": ",D3140)</f>
        <v>425-57: Partitions, Hardware</v>
      </c>
    </row>
    <row r="3141" spans="1:7" x14ac:dyDescent="0.25">
      <c r="A3141" s="1" t="str">
        <f t="shared" si="205"/>
        <v>425</v>
      </c>
      <c r="B3141" s="1" t="str">
        <f>TEXT(58,"00")</f>
        <v>58</v>
      </c>
      <c r="C3141" s="1" t="str">
        <f t="shared" si="206"/>
        <v>425-58</v>
      </c>
      <c r="D3141" t="s">
        <v>3123</v>
      </c>
      <c r="E3141" t="b">
        <f>IF(COUNTIF(D3141,"*"&amp;'Keyword Search'!$C$5&amp;"*"),TRUE,FALSE)</f>
        <v>1</v>
      </c>
      <c r="G3141" t="str">
        <f t="shared" si="207"/>
        <v>425-58: Plastic, Polypropylene, Fiberglass Office Furniture: Chairs, Desks, Tables, etc.</v>
      </c>
    </row>
    <row r="3142" spans="1:7" x14ac:dyDescent="0.25">
      <c r="A3142" s="1" t="str">
        <f t="shared" si="205"/>
        <v>425</v>
      </c>
      <c r="B3142" s="1" t="str">
        <f>TEXT(59,"00")</f>
        <v>59</v>
      </c>
      <c r="C3142" s="1" t="str">
        <f t="shared" si="206"/>
        <v>425-59</v>
      </c>
      <c r="D3142" t="s">
        <v>3124</v>
      </c>
      <c r="E3142" t="b">
        <f>IF(COUNTIF(D3142,"*"&amp;'Keyword Search'!$C$5&amp;"*"),TRUE,FALSE)</f>
        <v>1</v>
      </c>
      <c r="G3142" t="str">
        <f t="shared" si="207"/>
        <v>425-59: Posting Stands and Trays</v>
      </c>
    </row>
    <row r="3143" spans="1:7" x14ac:dyDescent="0.25">
      <c r="A3143" s="1" t="str">
        <f t="shared" si="205"/>
        <v>425</v>
      </c>
      <c r="B3143" s="1" t="str">
        <f>TEXT(60,"00")</f>
        <v>60</v>
      </c>
      <c r="C3143" s="1" t="str">
        <f t="shared" si="206"/>
        <v>425-60</v>
      </c>
      <c r="D3143" t="s">
        <v>3125</v>
      </c>
      <c r="E3143" t="b">
        <f>IF(COUNTIF(D3143,"*"&amp;'Keyword Search'!$C$5&amp;"*"),TRUE,FALSE)</f>
        <v>1</v>
      </c>
      <c r="G3143" t="str">
        <f t="shared" si="207"/>
        <v>425-60: Posture Chairs, Ergonomic</v>
      </c>
    </row>
    <row r="3144" spans="1:7" x14ac:dyDescent="0.25">
      <c r="A3144" s="1" t="str">
        <f t="shared" si="205"/>
        <v>425</v>
      </c>
      <c r="B3144" s="1" t="str">
        <f>TEXT(62,"00")</f>
        <v>62</v>
      </c>
      <c r="C3144" s="1" t="str">
        <f t="shared" si="206"/>
        <v>425-62</v>
      </c>
      <c r="D3144" t="s">
        <v>3126</v>
      </c>
      <c r="E3144" t="b">
        <f>IF(COUNTIF(D3144,"*"&amp;'Keyword Search'!$C$5&amp;"*"),TRUE,FALSE)</f>
        <v>1</v>
      </c>
      <c r="G3144" t="str">
        <f t="shared" si="207"/>
        <v>425-62: Racks, Metal, Stationary and Mobile</v>
      </c>
    </row>
    <row r="3145" spans="1:7" x14ac:dyDescent="0.25">
      <c r="A3145" s="1" t="str">
        <f t="shared" si="205"/>
        <v>425</v>
      </c>
      <c r="B3145" s="1" t="str">
        <f>TEXT(64,"00")</f>
        <v>64</v>
      </c>
      <c r="C3145" s="1" t="str">
        <f t="shared" si="206"/>
        <v>425-64</v>
      </c>
      <c r="D3145" t="s">
        <v>3127</v>
      </c>
      <c r="E3145" t="b">
        <f>IF(COUNTIF(D3145,"*"&amp;'Keyword Search'!$C$5&amp;"*"),TRUE,FALSE)</f>
        <v>1</v>
      </c>
      <c r="G3145" t="str">
        <f t="shared" si="207"/>
        <v>425-64: Recycled Office Furniture: Bookshelves, Chairs, Credenzas, Computer Furniture, Desks, Tables, Hutches, Workstations</v>
      </c>
    </row>
    <row r="3146" spans="1:7" x14ac:dyDescent="0.25">
      <c r="A3146" s="1" t="str">
        <f t="shared" si="205"/>
        <v>425</v>
      </c>
      <c r="B3146" s="1" t="str">
        <f>TEXT(65,"00")</f>
        <v>65</v>
      </c>
      <c r="C3146" s="1" t="str">
        <f t="shared" si="206"/>
        <v>425-65</v>
      </c>
      <c r="D3146" t="s">
        <v>3128</v>
      </c>
      <c r="E3146" t="b">
        <f>IF(COUNTIF(D3146,"*"&amp;'Keyword Search'!$C$5&amp;"*"),TRUE,FALSE)</f>
        <v>1</v>
      </c>
      <c r="G3146" t="str">
        <f t="shared" si="207"/>
        <v>425-65: Recycled Office Furniture: File Cabinets, Storage Cabinets and Lockers, Partitions, Modular Furniture, Racks, Shelving</v>
      </c>
    </row>
    <row r="3147" spans="1:7" x14ac:dyDescent="0.25">
      <c r="A3147" s="1" t="str">
        <f t="shared" si="205"/>
        <v>425</v>
      </c>
      <c r="B3147" s="1" t="str">
        <f>TEXT(68,"00")</f>
        <v>68</v>
      </c>
      <c r="C3147" s="1" t="str">
        <f t="shared" si="206"/>
        <v>425-68</v>
      </c>
      <c r="D3147" t="s">
        <v>3129</v>
      </c>
      <c r="E3147" t="b">
        <f>IF(COUNTIF(D3147,"*"&amp;'Keyword Search'!$C$5&amp;"*"),TRUE,FALSE)</f>
        <v>1</v>
      </c>
      <c r="G3147" t="str">
        <f t="shared" si="207"/>
        <v>425-68: Filing Systems, Rotary</v>
      </c>
    </row>
    <row r="3148" spans="1:7" x14ac:dyDescent="0.25">
      <c r="A3148" s="1" t="str">
        <f t="shared" si="205"/>
        <v>425</v>
      </c>
      <c r="B3148" s="1" t="str">
        <f>TEXT(71,"00")</f>
        <v>71</v>
      </c>
      <c r="C3148" s="1" t="str">
        <f t="shared" si="206"/>
        <v>425-71</v>
      </c>
      <c r="D3148" t="s">
        <v>3130</v>
      </c>
      <c r="E3148" t="b">
        <f>IF(COUNTIF(D3148,"*"&amp;'Keyword Search'!$C$5&amp;"*"),TRUE,FALSE)</f>
        <v>1</v>
      </c>
      <c r="G3148" t="str">
        <f t="shared" si="207"/>
        <v>425-71: Safe Files (Inactive, please see commodity code 425-74 effective January 1, 2016)</v>
      </c>
    </row>
    <row r="3149" spans="1:7" x14ac:dyDescent="0.25">
      <c r="A3149" s="1" t="str">
        <f t="shared" si="205"/>
        <v>425</v>
      </c>
      <c r="B3149" s="1" t="str">
        <f>TEXT(74,"00")</f>
        <v>74</v>
      </c>
      <c r="C3149" s="1" t="str">
        <f t="shared" si="206"/>
        <v>425-74</v>
      </c>
      <c r="D3149" t="s">
        <v>3131</v>
      </c>
      <c r="E3149" t="b">
        <f>IF(COUNTIF(D3149,"*"&amp;'Keyword Search'!$C$5&amp;"*"),TRUE,FALSE)</f>
        <v>1</v>
      </c>
      <c r="G3149" t="str">
        <f t="shared" si="207"/>
        <v>425-74: Safes, Safe Files, Vaults, and Night Depository Boxes, Including Parts and Accessories</v>
      </c>
    </row>
    <row r="3150" spans="1:7" x14ac:dyDescent="0.25">
      <c r="A3150" s="1" t="str">
        <f t="shared" si="205"/>
        <v>425</v>
      </c>
      <c r="B3150" s="1" t="str">
        <f>TEXT(77,"00")</f>
        <v>77</v>
      </c>
      <c r="C3150" s="1" t="str">
        <f t="shared" si="206"/>
        <v>425-77</v>
      </c>
      <c r="D3150" t="s">
        <v>3132</v>
      </c>
      <c r="E3150" t="b">
        <f>IF(COUNTIF(D3150,"*"&amp;'Keyword Search'!$C$5&amp;"*"),TRUE,FALSE)</f>
        <v>1</v>
      </c>
      <c r="G3150" t="str">
        <f t="shared" si="207"/>
        <v>425-77: Stepladders, Safety, Office Use</v>
      </c>
    </row>
    <row r="3151" spans="1:7" x14ac:dyDescent="0.25">
      <c r="A3151" s="1" t="str">
        <f t="shared" si="205"/>
        <v>425</v>
      </c>
      <c r="B3151" s="1" t="str">
        <f>TEXT(79,"00")</f>
        <v>79</v>
      </c>
      <c r="C3151" s="1" t="str">
        <f t="shared" si="206"/>
        <v>425-79</v>
      </c>
      <c r="D3151" t="s">
        <v>3133</v>
      </c>
      <c r="E3151" t="b">
        <f>IF(COUNTIF(D3151,"*"&amp;'Keyword Search'!$C$5&amp;"*"),TRUE,FALSE)</f>
        <v>1</v>
      </c>
      <c r="G3151" t="str">
        <f t="shared" si="207"/>
        <v>425-79: Shelving, Wood, Not Library or Shop</v>
      </c>
    </row>
    <row r="3152" spans="1:7" x14ac:dyDescent="0.25">
      <c r="A3152" s="1" t="str">
        <f t="shared" si="205"/>
        <v>425</v>
      </c>
      <c r="B3152" s="1" t="str">
        <f>TEXT(80,"00")</f>
        <v>80</v>
      </c>
      <c r="C3152" s="1" t="str">
        <f t="shared" si="206"/>
        <v>425-80</v>
      </c>
      <c r="D3152" t="s">
        <v>3134</v>
      </c>
      <c r="E3152" t="b">
        <f>IF(COUNTIF(D3152,"*"&amp;'Keyword Search'!$C$5&amp;"*"),TRUE,FALSE)</f>
        <v>1</v>
      </c>
      <c r="G3152" t="str">
        <f t="shared" si="207"/>
        <v>425-80: Shelving, Metal, Not Library or Shop</v>
      </c>
    </row>
    <row r="3153" spans="1:7" x14ac:dyDescent="0.25">
      <c r="A3153" s="1" t="str">
        <f t="shared" si="205"/>
        <v>425</v>
      </c>
      <c r="B3153" s="1" t="str">
        <f>TEXT(81,"00")</f>
        <v>81</v>
      </c>
      <c r="C3153" s="1" t="str">
        <f t="shared" si="206"/>
        <v>425-81</v>
      </c>
      <c r="D3153" t="s">
        <v>3135</v>
      </c>
      <c r="E3153" t="b">
        <f>IF(COUNTIF(D3153,"*"&amp;'Keyword Search'!$C$5&amp;"*"),TRUE,FALSE)</f>
        <v>1</v>
      </c>
      <c r="G3153" t="str">
        <f t="shared" si="207"/>
        <v>425-81: Shelving, Mobile, Track or Trackless Type</v>
      </c>
    </row>
    <row r="3154" spans="1:7" x14ac:dyDescent="0.25">
      <c r="A3154" s="1" t="str">
        <f t="shared" si="205"/>
        <v>425</v>
      </c>
      <c r="B3154" s="1" t="str">
        <f>TEXT(82,"00")</f>
        <v>82</v>
      </c>
      <c r="C3154" s="1" t="str">
        <f t="shared" si="206"/>
        <v>425-82</v>
      </c>
      <c r="D3154" t="s">
        <v>3136</v>
      </c>
      <c r="E3154" t="b">
        <f>IF(COUNTIF(D3154,"*"&amp;'Keyword Search'!$C$5&amp;"*"),TRUE,FALSE)</f>
        <v>1</v>
      </c>
      <c r="G3154" t="str">
        <f t="shared" si="207"/>
        <v>425-82: Shims, Leveling, For Furniture</v>
      </c>
    </row>
    <row r="3155" spans="1:7" x14ac:dyDescent="0.25">
      <c r="A3155" s="1" t="str">
        <f t="shared" si="205"/>
        <v>425</v>
      </c>
      <c r="B3155" s="1" t="str">
        <f>TEXT(83,"00")</f>
        <v>83</v>
      </c>
      <c r="C3155" s="1" t="str">
        <f t="shared" si="206"/>
        <v>425-83</v>
      </c>
      <c r="D3155" t="s">
        <v>3137</v>
      </c>
      <c r="E3155" t="b">
        <f>IF(COUNTIF(D3155,"*"&amp;'Keyword Search'!$C$5&amp;"*"),TRUE,FALSE)</f>
        <v>1</v>
      </c>
      <c r="G3155" t="str">
        <f t="shared" si="207"/>
        <v>425-83: Stands, Office Equipment and Machines</v>
      </c>
    </row>
    <row r="3156" spans="1:7" x14ac:dyDescent="0.25">
      <c r="A3156" s="1" t="str">
        <f t="shared" si="205"/>
        <v>425</v>
      </c>
      <c r="B3156" s="1" t="str">
        <f>TEXT(87,"00")</f>
        <v>87</v>
      </c>
      <c r="C3156" s="1" t="str">
        <f t="shared" si="206"/>
        <v>425-87</v>
      </c>
      <c r="D3156" t="s">
        <v>3138</v>
      </c>
      <c r="E3156" t="b">
        <f>IF(COUNTIF(D3156,"*"&amp;'Keyword Search'!$C$5&amp;"*"),TRUE,FALSE)</f>
        <v>1</v>
      </c>
      <c r="G3156" t="str">
        <f t="shared" si="207"/>
        <v>425-87: Storage Cabinets, Data Processing</v>
      </c>
    </row>
    <row r="3157" spans="1:7" x14ac:dyDescent="0.25">
      <c r="A3157" s="1" t="str">
        <f t="shared" si="205"/>
        <v>425</v>
      </c>
      <c r="B3157" s="1" t="str">
        <f>TEXT(89,"00")</f>
        <v>89</v>
      </c>
      <c r="C3157" s="1" t="str">
        <f t="shared" si="206"/>
        <v>425-89</v>
      </c>
      <c r="D3157" t="s">
        <v>3139</v>
      </c>
      <c r="E3157" t="b">
        <f>IF(COUNTIF(D3157,"*"&amp;'Keyword Search'!$C$5&amp;"*"),TRUE,FALSE)</f>
        <v>1</v>
      </c>
      <c r="G3157" t="str">
        <f t="shared" si="207"/>
        <v>425-89: Storage Cabinets, Metal</v>
      </c>
    </row>
    <row r="3158" spans="1:7" x14ac:dyDescent="0.25">
      <c r="A3158" s="1" t="str">
        <f t="shared" si="205"/>
        <v>425</v>
      </c>
      <c r="B3158" s="1" t="str">
        <f>TEXT(90,"00")</f>
        <v>90</v>
      </c>
      <c r="C3158" s="1" t="str">
        <f t="shared" si="206"/>
        <v>425-90</v>
      </c>
      <c r="D3158" t="s">
        <v>3140</v>
      </c>
      <c r="E3158" t="b">
        <f>IF(COUNTIF(D3158,"*"&amp;'Keyword Search'!$C$5&amp;"*"),TRUE,FALSE)</f>
        <v>1</v>
      </c>
      <c r="G3158" t="str">
        <f t="shared" si="207"/>
        <v>425-90: Storage Cabinets, Non-Metal</v>
      </c>
    </row>
    <row r="3159" spans="1:7" x14ac:dyDescent="0.25">
      <c r="A3159" s="1" t="str">
        <f t="shared" si="205"/>
        <v>425</v>
      </c>
      <c r="B3159" s="1" t="str">
        <f>TEXT(92,"00")</f>
        <v>92</v>
      </c>
      <c r="C3159" s="1" t="str">
        <f t="shared" si="206"/>
        <v>425-92</v>
      </c>
      <c r="D3159" t="s">
        <v>3141</v>
      </c>
      <c r="E3159" t="b">
        <f>IF(COUNTIF(D3159,"*"&amp;'Keyword Search'!$C$5&amp;"*"),TRUE,FALSE)</f>
        <v>1</v>
      </c>
      <c r="G3159" t="str">
        <f t="shared" si="207"/>
        <v>425-92: Filing Systems, Visual</v>
      </c>
    </row>
    <row r="3160" spans="1:7" x14ac:dyDescent="0.25">
      <c r="A3160" s="1" t="str">
        <f t="shared" si="205"/>
        <v>425</v>
      </c>
      <c r="B3160" s="1" t="str">
        <f>TEXT(94,"00")</f>
        <v>94</v>
      </c>
      <c r="C3160" s="1" t="str">
        <f t="shared" si="206"/>
        <v>425-94</v>
      </c>
      <c r="D3160" t="s">
        <v>3142</v>
      </c>
      <c r="E3160" t="b">
        <f>IF(COUNTIF(D3160,"*"&amp;'Keyword Search'!$C$5&amp;"*"),TRUE,FALSE)</f>
        <v>1</v>
      </c>
      <c r="G3160" t="str">
        <f t="shared" si="207"/>
        <v>425-94: Work Stations, Modular, Systems Furniture</v>
      </c>
    </row>
    <row r="3161" spans="1:7" x14ac:dyDescent="0.25">
      <c r="A3161" s="5" t="str">
        <f t="shared" ref="A3161:A3178" si="208">TEXT(430,"000")</f>
        <v>430</v>
      </c>
      <c r="B3161" s="5" t="str">
        <f>TEXT(0,"00")</f>
        <v>00</v>
      </c>
      <c r="C3161" s="1"/>
      <c r="D3161" s="2" t="s">
        <v>3143</v>
      </c>
    </row>
    <row r="3162" spans="1:7" x14ac:dyDescent="0.25">
      <c r="A3162" s="1" t="str">
        <f t="shared" si="208"/>
        <v>430</v>
      </c>
      <c r="B3162" s="1" t="str">
        <f>TEXT(12,"00")</f>
        <v>12</v>
      </c>
      <c r="C3162" s="1" t="str">
        <f t="shared" si="206"/>
        <v>430-12</v>
      </c>
      <c r="D3162" t="s">
        <v>3144</v>
      </c>
      <c r="E3162" t="b">
        <f>IF(COUNTIF(D3162,"*"&amp;'Keyword Search'!$C$5&amp;"*"),TRUE,FALSE)</f>
        <v>1</v>
      </c>
      <c r="G3162" t="str">
        <f t="shared" si="207"/>
        <v>430-12: Containers, Liquefied Gases, Large Dewars (See Class 175 For Laboratory Sizes)</v>
      </c>
    </row>
    <row r="3163" spans="1:7" x14ac:dyDescent="0.25">
      <c r="A3163" s="1" t="str">
        <f t="shared" si="208"/>
        <v>430</v>
      </c>
      <c r="B3163" s="1" t="str">
        <f>TEXT(20,"00")</f>
        <v>20</v>
      </c>
      <c r="C3163" s="1" t="str">
        <f t="shared" si="206"/>
        <v>430-20</v>
      </c>
      <c r="D3163" t="s">
        <v>3145</v>
      </c>
      <c r="E3163" t="b">
        <f>IF(COUNTIF(D3163,"*"&amp;'Keyword Search'!$C$5&amp;"*"),TRUE,FALSE)</f>
        <v>1</v>
      </c>
      <c r="G3163" t="str">
        <f t="shared" si="207"/>
        <v>430-20: Filters, Natural and LPG Gas</v>
      </c>
    </row>
    <row r="3164" spans="1:7" x14ac:dyDescent="0.25">
      <c r="A3164" s="1" t="str">
        <f t="shared" si="208"/>
        <v>430</v>
      </c>
      <c r="B3164" s="1" t="str">
        <f>TEXT(24,"00")</f>
        <v>24</v>
      </c>
      <c r="C3164" s="1" t="str">
        <f t="shared" si="206"/>
        <v>430-24</v>
      </c>
      <c r="D3164" t="s">
        <v>3146</v>
      </c>
      <c r="E3164" t="b">
        <f>IF(COUNTIF(D3164,"*"&amp;'Keyword Search'!$C$5&amp;"*"),TRUE,FALSE)</f>
        <v>1</v>
      </c>
      <c r="G3164" t="str">
        <f t="shared" si="207"/>
        <v>430-24: Gas Cylinder Carts, Clamps, and Stands, Hospital and Laboratory Type</v>
      </c>
    </row>
    <row r="3165" spans="1:7" x14ac:dyDescent="0.25">
      <c r="A3165" s="1" t="str">
        <f t="shared" si="208"/>
        <v>430</v>
      </c>
      <c r="B3165" s="1" t="str">
        <f>TEXT(27,"00")</f>
        <v>27</v>
      </c>
      <c r="C3165" s="1" t="str">
        <f t="shared" si="206"/>
        <v>430-27</v>
      </c>
      <c r="D3165" t="s">
        <v>3147</v>
      </c>
      <c r="E3165" t="b">
        <f>IF(COUNTIF(D3165,"*"&amp;'Keyword Search'!$C$5&amp;"*"),TRUE,FALSE)</f>
        <v>1</v>
      </c>
      <c r="G3165" t="str">
        <f t="shared" si="207"/>
        <v>430-27: Gas Cylinders, Empty, Commercial Sizes</v>
      </c>
    </row>
    <row r="3166" spans="1:7" x14ac:dyDescent="0.25">
      <c r="A3166" s="1" t="str">
        <f t="shared" si="208"/>
        <v>430</v>
      </c>
      <c r="B3166" s="1" t="str">
        <f>TEXT(30,"00")</f>
        <v>30</v>
      </c>
      <c r="C3166" s="1" t="str">
        <f t="shared" si="206"/>
        <v>430-30</v>
      </c>
      <c r="D3166" t="s">
        <v>3148</v>
      </c>
      <c r="E3166" t="b">
        <f>IF(COUNTIF(D3166,"*"&amp;'Keyword Search'!$C$5&amp;"*"),TRUE,FALSE)</f>
        <v>1</v>
      </c>
      <c r="G3166" t="str">
        <f t="shared" si="207"/>
        <v>430-30: Gases, Radioactive Counting: Methane, PR-Gas, Q-Gas, etc.</v>
      </c>
    </row>
    <row r="3167" spans="1:7" x14ac:dyDescent="0.25">
      <c r="A3167" s="1" t="str">
        <f t="shared" si="208"/>
        <v>430</v>
      </c>
      <c r="B3167" s="1" t="str">
        <f>TEXT(32,"00")</f>
        <v>32</v>
      </c>
      <c r="C3167" s="1" t="str">
        <f t="shared" si="206"/>
        <v>430-32</v>
      </c>
      <c r="D3167" t="s">
        <v>3149</v>
      </c>
      <c r="E3167" t="b">
        <f>IF(COUNTIF(D3167,"*"&amp;'Keyword Search'!$C$5&amp;"*"),TRUE,FALSE)</f>
        <v>1</v>
      </c>
      <c r="G3167" t="str">
        <f t="shared" si="207"/>
        <v>430-32: Gas Distribution Equipment, Components and Fittings</v>
      </c>
    </row>
    <row r="3168" spans="1:7" x14ac:dyDescent="0.25">
      <c r="A3168" s="1" t="str">
        <f t="shared" si="208"/>
        <v>430</v>
      </c>
      <c r="B3168" s="1" t="str">
        <f>TEXT(33,"00")</f>
        <v>33</v>
      </c>
      <c r="C3168" s="1" t="str">
        <f t="shared" si="206"/>
        <v>430-33</v>
      </c>
      <c r="D3168" t="s">
        <v>3150</v>
      </c>
      <c r="E3168" t="b">
        <f>IF(COUNTIF(D3168,"*"&amp;'Keyword Search'!$C$5&amp;"*"),TRUE,FALSE)</f>
        <v>1</v>
      </c>
      <c r="G3168" t="str">
        <f t="shared" si="207"/>
        <v>430-33: Gas Mixtures, Special Purpose</v>
      </c>
    </row>
    <row r="3169" spans="1:7" x14ac:dyDescent="0.25">
      <c r="A3169" s="1" t="str">
        <f t="shared" si="208"/>
        <v>430</v>
      </c>
      <c r="B3169" s="1" t="str">
        <f>TEXT(36,"00")</f>
        <v>36</v>
      </c>
      <c r="C3169" s="1" t="str">
        <f t="shared" si="206"/>
        <v>430-36</v>
      </c>
      <c r="D3169" t="s">
        <v>3151</v>
      </c>
      <c r="E3169" t="b">
        <f>IF(COUNTIF(D3169,"*"&amp;'Keyword Search'!$C$5&amp;"*"),TRUE,FALSE)</f>
        <v>1</v>
      </c>
      <c r="G3169" t="str">
        <f t="shared" si="207"/>
        <v>430-36: Gas Regulators, Gauges, Fittings, and Parts</v>
      </c>
    </row>
    <row r="3170" spans="1:7" x14ac:dyDescent="0.25">
      <c r="A3170" s="1" t="str">
        <f t="shared" si="208"/>
        <v>430</v>
      </c>
      <c r="B3170" s="1" t="str">
        <f>TEXT(42,"00")</f>
        <v>42</v>
      </c>
      <c r="C3170" s="1" t="str">
        <f t="shared" si="206"/>
        <v>430-42</v>
      </c>
      <c r="D3170" t="s">
        <v>3152</v>
      </c>
      <c r="E3170" t="b">
        <f>IF(COUNTIF(D3170,"*"&amp;'Keyword Search'!$C$5&amp;"*"),TRUE,FALSE)</f>
        <v>1</v>
      </c>
      <c r="G3170" t="str">
        <f t="shared" si="207"/>
        <v>430-42: Laboratory Gases: Argon, Carbon Dioxide, Helium, Hydrogen, Nitrogen, etc.</v>
      </c>
    </row>
    <row r="3171" spans="1:7" x14ac:dyDescent="0.25">
      <c r="A3171" s="1" t="str">
        <f t="shared" si="208"/>
        <v>430</v>
      </c>
      <c r="B3171" s="1" t="str">
        <f>TEXT(48,"00")</f>
        <v>48</v>
      </c>
      <c r="C3171" s="1" t="str">
        <f t="shared" si="206"/>
        <v>430-48</v>
      </c>
      <c r="D3171" t="s">
        <v>3153</v>
      </c>
      <c r="E3171" t="b">
        <f>IF(COUNTIF(D3171,"*"&amp;'Keyword Search'!$C$5&amp;"*"),TRUE,FALSE)</f>
        <v>1</v>
      </c>
      <c r="G3171" t="str">
        <f t="shared" si="207"/>
        <v>430-48: Medical Gases, Anesthesia and Respiration Therapy: Carbon Dioxide, Cyclopropane, Nitrous Oxide, Pure Oxygen, etc.</v>
      </c>
    </row>
    <row r="3172" spans="1:7" x14ac:dyDescent="0.25">
      <c r="A3172" s="1" t="str">
        <f t="shared" si="208"/>
        <v>430</v>
      </c>
      <c r="B3172" s="1" t="str">
        <f>TEXT(51,"00")</f>
        <v>51</v>
      </c>
      <c r="C3172" s="1" t="str">
        <f t="shared" si="206"/>
        <v>430-51</v>
      </c>
      <c r="D3172" t="s">
        <v>3154</v>
      </c>
      <c r="E3172" t="b">
        <f>IF(COUNTIF(D3172,"*"&amp;'Keyword Search'!$C$5&amp;"*"),TRUE,FALSE)</f>
        <v>1</v>
      </c>
      <c r="G3172" t="str">
        <f t="shared" si="207"/>
        <v>430-51: Noble (Inert) Gases: Argon, Helium, Krypton, Neon, Radon, Xenon</v>
      </c>
    </row>
    <row r="3173" spans="1:7" x14ac:dyDescent="0.25">
      <c r="A3173" s="1" t="str">
        <f t="shared" si="208"/>
        <v>430</v>
      </c>
      <c r="B3173" s="1" t="str">
        <f>TEXT(62,"00")</f>
        <v>62</v>
      </c>
      <c r="C3173" s="1" t="str">
        <f t="shared" si="206"/>
        <v>430-62</v>
      </c>
      <c r="D3173" t="s">
        <v>3155</v>
      </c>
      <c r="E3173" t="b">
        <f>IF(COUNTIF(D3173,"*"&amp;'Keyword Search'!$C$5&amp;"*"),TRUE,FALSE)</f>
        <v>1</v>
      </c>
      <c r="G3173" t="str">
        <f t="shared" si="207"/>
        <v>430-62: Pure (Elemental) Gases (Not Otherwise Classified)</v>
      </c>
    </row>
    <row r="3174" spans="1:7" x14ac:dyDescent="0.25">
      <c r="A3174" s="1" t="str">
        <f t="shared" si="208"/>
        <v>430</v>
      </c>
      <c r="B3174" s="1" t="str">
        <f>TEXT(63,"00")</f>
        <v>63</v>
      </c>
      <c r="C3174" s="1" t="str">
        <f t="shared" si="206"/>
        <v>430-63</v>
      </c>
      <c r="D3174" t="s">
        <v>3156</v>
      </c>
      <c r="E3174" t="b">
        <f>IF(COUNTIF(D3174,"*"&amp;'Keyword Search'!$C$5&amp;"*"),TRUE,FALSE)</f>
        <v>1</v>
      </c>
      <c r="G3174" t="str">
        <f t="shared" si="207"/>
        <v>430-63: Purifiers, For Gases: Soda Lime, etc.</v>
      </c>
    </row>
    <row r="3175" spans="1:7" x14ac:dyDescent="0.25">
      <c r="A3175" s="1" t="str">
        <f t="shared" si="208"/>
        <v>430</v>
      </c>
      <c r="B3175" s="1" t="str">
        <f>TEXT(72,"00")</f>
        <v>72</v>
      </c>
      <c r="C3175" s="1" t="str">
        <f t="shared" si="206"/>
        <v>430-72</v>
      </c>
      <c r="D3175" t="s">
        <v>3157</v>
      </c>
      <c r="E3175" t="b">
        <f>IF(COUNTIF(D3175,"*"&amp;'Keyword Search'!$C$5&amp;"*"),TRUE,FALSE)</f>
        <v>1</v>
      </c>
      <c r="G3175" t="str">
        <f t="shared" si="207"/>
        <v>430-72: Rare or Highly Purified Gases, For Research Uses, etc.</v>
      </c>
    </row>
    <row r="3176" spans="1:7" x14ac:dyDescent="0.25">
      <c r="A3176" s="1" t="str">
        <f t="shared" si="208"/>
        <v>430</v>
      </c>
      <c r="B3176" s="1" t="str">
        <f>TEXT(75,"00")</f>
        <v>75</v>
      </c>
      <c r="C3176" s="1" t="str">
        <f t="shared" si="206"/>
        <v>430-75</v>
      </c>
      <c r="D3176" t="s">
        <v>3158</v>
      </c>
      <c r="E3176" t="b">
        <f>IF(COUNTIF(D3176,"*"&amp;'Keyword Search'!$C$5&amp;"*"),TRUE,FALSE)</f>
        <v>1</v>
      </c>
      <c r="G3176" t="str">
        <f t="shared" si="207"/>
        <v>430-75: Recycled Gases and Containers</v>
      </c>
    </row>
    <row r="3177" spans="1:7" x14ac:dyDescent="0.25">
      <c r="A3177" s="1" t="str">
        <f t="shared" si="208"/>
        <v>430</v>
      </c>
      <c r="B3177" s="1" t="str">
        <f>TEXT(84,"00")</f>
        <v>84</v>
      </c>
      <c r="C3177" s="1" t="str">
        <f t="shared" si="206"/>
        <v>430-84</v>
      </c>
      <c r="D3177" t="s">
        <v>3159</v>
      </c>
      <c r="E3177" t="b">
        <f>IF(COUNTIF(D3177,"*"&amp;'Keyword Search'!$C$5&amp;"*"),TRUE,FALSE)</f>
        <v>1</v>
      </c>
      <c r="G3177" t="str">
        <f t="shared" si="207"/>
        <v>430-84: Sterilizing Gases: Ethylene Oxide, etc.</v>
      </c>
    </row>
    <row r="3178" spans="1:7" x14ac:dyDescent="0.25">
      <c r="A3178" s="1" t="str">
        <f t="shared" si="208"/>
        <v>430</v>
      </c>
      <c r="B3178" s="1" t="str">
        <f>TEXT(92,"00")</f>
        <v>92</v>
      </c>
      <c r="C3178" s="1" t="str">
        <f t="shared" si="206"/>
        <v>430-92</v>
      </c>
      <c r="D3178" t="s">
        <v>3160</v>
      </c>
      <c r="E3178" t="b">
        <f>IF(COUNTIF(D3178,"*"&amp;'Keyword Search'!$C$5&amp;"*"),TRUE,FALSE)</f>
        <v>1</v>
      </c>
      <c r="G3178" t="str">
        <f t="shared" si="207"/>
        <v>430-92: Welding and Industrial Gases: Acetylene, Argon, Carbon Dioxide, Oxygen, etc.</v>
      </c>
    </row>
    <row r="3179" spans="1:7" x14ac:dyDescent="0.25">
      <c r="A3179" s="5" t="str">
        <f t="shared" ref="A3179:A3197" si="209">TEXT(435,"000")</f>
        <v>435</v>
      </c>
      <c r="B3179" s="5" t="str">
        <f>TEXT(0,"00")</f>
        <v>00</v>
      </c>
      <c r="C3179" s="1"/>
      <c r="D3179" s="2" t="s">
        <v>3161</v>
      </c>
    </row>
    <row r="3180" spans="1:7" x14ac:dyDescent="0.25">
      <c r="A3180" s="1" t="str">
        <f t="shared" si="209"/>
        <v>435</v>
      </c>
      <c r="B3180" s="1" t="str">
        <f>TEXT(4,"00")</f>
        <v>04</v>
      </c>
      <c r="C3180" s="1" t="str">
        <f t="shared" si="206"/>
        <v>435-04</v>
      </c>
      <c r="D3180" t="s">
        <v>3162</v>
      </c>
      <c r="E3180" t="b">
        <f>IF(COUNTIF(D3180,"*"&amp;'Keyword Search'!$C$5&amp;"*"),TRUE,FALSE)</f>
        <v>1</v>
      </c>
      <c r="G3180" t="str">
        <f t="shared" si="207"/>
        <v>435-04: Antimicrobial Solutions, Topical: Surgical Prep, etc.</v>
      </c>
    </row>
    <row r="3181" spans="1:7" x14ac:dyDescent="0.25">
      <c r="A3181" s="1" t="str">
        <f t="shared" si="209"/>
        <v>435</v>
      </c>
      <c r="B3181" s="1" t="str">
        <f>TEXT(5,"00")</f>
        <v>05</v>
      </c>
      <c r="C3181" s="1" t="str">
        <f t="shared" si="206"/>
        <v>435-05</v>
      </c>
      <c r="D3181" t="s">
        <v>3163</v>
      </c>
      <c r="E3181" t="b">
        <f>IF(COUNTIF(D3181,"*"&amp;'Keyword Search'!$C$5&amp;"*"),TRUE,FALSE)</f>
        <v>1</v>
      </c>
      <c r="G3181" t="str">
        <f t="shared" si="207"/>
        <v>435-05: Antimicrobial Protectant Solutions, Aqueous Based</v>
      </c>
    </row>
    <row r="3182" spans="1:7" x14ac:dyDescent="0.25">
      <c r="A3182" s="1" t="str">
        <f t="shared" si="209"/>
        <v>435</v>
      </c>
      <c r="B3182" s="1" t="str">
        <f>TEXT(8,"00")</f>
        <v>08</v>
      </c>
      <c r="C3182" s="1" t="str">
        <f t="shared" si="206"/>
        <v>435-08</v>
      </c>
      <c r="D3182" t="s">
        <v>3164</v>
      </c>
      <c r="E3182" t="b">
        <f>IF(COUNTIF(D3182,"*"&amp;'Keyword Search'!$C$5&amp;"*"),TRUE,FALSE)</f>
        <v>1</v>
      </c>
      <c r="G3182" t="str">
        <f t="shared" si="207"/>
        <v>435-08: Benzalkonium Chloride, USP, Aqueous Solution</v>
      </c>
    </row>
    <row r="3183" spans="1:7" x14ac:dyDescent="0.25">
      <c r="A3183" s="1" t="str">
        <f t="shared" si="209"/>
        <v>435</v>
      </c>
      <c r="B3183" s="1" t="str">
        <f>TEXT(16,"00")</f>
        <v>16</v>
      </c>
      <c r="C3183" s="1" t="str">
        <f t="shared" si="206"/>
        <v>435-16</v>
      </c>
      <c r="D3183" t="s">
        <v>3165</v>
      </c>
      <c r="E3183" t="b">
        <f>IF(COUNTIF(D3183,"*"&amp;'Keyword Search'!$C$5&amp;"*"),TRUE,FALSE)</f>
        <v>1</v>
      </c>
      <c r="G3183" t="str">
        <f t="shared" si="207"/>
        <v>435-16: Detergent, Surgical Scrub, All Types</v>
      </c>
    </row>
    <row r="3184" spans="1:7" x14ac:dyDescent="0.25">
      <c r="A3184" s="1" t="str">
        <f t="shared" si="209"/>
        <v>435</v>
      </c>
      <c r="B3184" s="1" t="str">
        <f>TEXT(24,"00")</f>
        <v>24</v>
      </c>
      <c r="C3184" s="1" t="str">
        <f t="shared" si="206"/>
        <v>435-24</v>
      </c>
      <c r="D3184" t="s">
        <v>3166</v>
      </c>
      <c r="E3184" t="b">
        <f>IF(COUNTIF(D3184,"*"&amp;'Keyword Search'!$C$5&amp;"*"),TRUE,FALSE)</f>
        <v>1</v>
      </c>
      <c r="G3184" t="str">
        <f t="shared" si="207"/>
        <v>435-24: Detergent-Disinfectant, Phenolic Type, Liquid</v>
      </c>
    </row>
    <row r="3185" spans="1:7" x14ac:dyDescent="0.25">
      <c r="A3185" s="1" t="str">
        <f t="shared" si="209"/>
        <v>435</v>
      </c>
      <c r="B3185" s="1" t="str">
        <f>TEXT(25,"00")</f>
        <v>25</v>
      </c>
      <c r="C3185" s="1" t="str">
        <f t="shared" si="206"/>
        <v>435-25</v>
      </c>
      <c r="D3185" t="s">
        <v>3167</v>
      </c>
      <c r="E3185" t="b">
        <f>IF(COUNTIF(D3185,"*"&amp;'Keyword Search'!$C$5&amp;"*"),TRUE,FALSE)</f>
        <v>1</v>
      </c>
      <c r="G3185" t="str">
        <f t="shared" si="207"/>
        <v>435-25: Disinfectant, Germicidal</v>
      </c>
    </row>
    <row r="3186" spans="1:7" x14ac:dyDescent="0.25">
      <c r="A3186" s="1" t="str">
        <f t="shared" si="209"/>
        <v>435</v>
      </c>
      <c r="B3186" s="1" t="str">
        <f>TEXT(40,"00")</f>
        <v>40</v>
      </c>
      <c r="C3186" s="1" t="str">
        <f t="shared" si="206"/>
        <v>435-40</v>
      </c>
      <c r="D3186" t="s">
        <v>3168</v>
      </c>
      <c r="E3186" t="b">
        <f>IF(COUNTIF(D3186,"*"&amp;'Keyword Search'!$C$5&amp;"*"),TRUE,FALSE)</f>
        <v>1</v>
      </c>
      <c r="G3186" t="str">
        <f t="shared" si="207"/>
        <v>435-40: Detergent-Disinfectant, Iodophor Type</v>
      </c>
    </row>
    <row r="3187" spans="1:7" x14ac:dyDescent="0.25">
      <c r="A3187" s="1" t="str">
        <f t="shared" si="209"/>
        <v>435</v>
      </c>
      <c r="B3187" s="1" t="str">
        <f>TEXT(56,"00")</f>
        <v>56</v>
      </c>
      <c r="C3187" s="1" t="str">
        <f t="shared" si="206"/>
        <v>435-56</v>
      </c>
      <c r="D3187" t="s">
        <v>3169</v>
      </c>
      <c r="E3187" t="b">
        <f>IF(COUNTIF(D3187,"*"&amp;'Keyword Search'!$C$5&amp;"*"),TRUE,FALSE)</f>
        <v>1</v>
      </c>
      <c r="G3187" t="str">
        <f t="shared" si="207"/>
        <v>435-56: Detergent-Disinfectant, Quaternary Ammonium Type</v>
      </c>
    </row>
    <row r="3188" spans="1:7" x14ac:dyDescent="0.25">
      <c r="A3188" s="1" t="str">
        <f t="shared" si="209"/>
        <v>435</v>
      </c>
      <c r="B3188" s="1" t="str">
        <f>TEXT(59,"00")</f>
        <v>59</v>
      </c>
      <c r="C3188" s="1" t="str">
        <f t="shared" si="206"/>
        <v>435-59</v>
      </c>
      <c r="D3188" t="s">
        <v>3170</v>
      </c>
      <c r="E3188" t="b">
        <f>IF(COUNTIF(D3188,"*"&amp;'Keyword Search'!$C$5&amp;"*"),TRUE,FALSE)</f>
        <v>1</v>
      </c>
      <c r="G3188" t="str">
        <f t="shared" si="207"/>
        <v>435-59: Disinfestation Equipment and Supplies, Ambulances, Hospital Rooms, etc.</v>
      </c>
    </row>
    <row r="3189" spans="1:7" x14ac:dyDescent="0.25">
      <c r="A3189" s="1" t="str">
        <f t="shared" si="209"/>
        <v>435</v>
      </c>
      <c r="B3189" s="1" t="str">
        <f>TEXT(64,"00")</f>
        <v>64</v>
      </c>
      <c r="C3189" s="1" t="str">
        <f t="shared" si="206"/>
        <v>435-64</v>
      </c>
      <c r="D3189" t="s">
        <v>3171</v>
      </c>
      <c r="E3189" t="b">
        <f>IF(COUNTIF(D3189,"*"&amp;'Keyword Search'!$C$5&amp;"*"),TRUE,FALSE)</f>
        <v>1</v>
      </c>
      <c r="G3189" t="str">
        <f t="shared" si="207"/>
        <v>435-64: Instrument Sterilizing Solution, Hospital</v>
      </c>
    </row>
    <row r="3190" spans="1:7" x14ac:dyDescent="0.25">
      <c r="A3190" s="1" t="str">
        <f t="shared" si="209"/>
        <v>435</v>
      </c>
      <c r="B3190" s="1" t="str">
        <f>TEXT(66,"00")</f>
        <v>66</v>
      </c>
      <c r="C3190" s="1" t="str">
        <f t="shared" si="206"/>
        <v>435-66</v>
      </c>
      <c r="D3190" t="s">
        <v>3172</v>
      </c>
      <c r="E3190" t="b">
        <f>IF(COUNTIF(D3190,"*"&amp;'Keyword Search'!$C$5&amp;"*"),TRUE,FALSE)</f>
        <v>1</v>
      </c>
      <c r="G3190" t="str">
        <f t="shared" si="207"/>
        <v>435-66: Recycled Detergents, Disinfectants and Cleaners for Health Care Personnel</v>
      </c>
    </row>
    <row r="3191" spans="1:7" x14ac:dyDescent="0.25">
      <c r="A3191" s="1" t="str">
        <f t="shared" si="209"/>
        <v>435</v>
      </c>
      <c r="B3191" s="1" t="str">
        <f>TEXT(67,"00")</f>
        <v>67</v>
      </c>
      <c r="C3191" s="1" t="str">
        <f t="shared" si="206"/>
        <v>435-67</v>
      </c>
      <c r="D3191" t="s">
        <v>3173</v>
      </c>
      <c r="E3191" t="b">
        <f>IF(COUNTIF(D3191,"*"&amp;'Keyword Search'!$C$5&amp;"*"),TRUE,FALSE)</f>
        <v>1</v>
      </c>
      <c r="G3191" t="str">
        <f t="shared" si="207"/>
        <v>435-67: Sanitizing and Disinfecting Supplies, Health Care Personnel</v>
      </c>
    </row>
    <row r="3192" spans="1:7" x14ac:dyDescent="0.25">
      <c r="A3192" s="1" t="str">
        <f t="shared" si="209"/>
        <v>435</v>
      </c>
      <c r="B3192" s="1" t="str">
        <f>TEXT(68,"00")</f>
        <v>68</v>
      </c>
      <c r="C3192" s="1" t="str">
        <f t="shared" si="206"/>
        <v>435-68</v>
      </c>
      <c r="D3192" t="s">
        <v>3174</v>
      </c>
      <c r="E3192" t="b">
        <f>IF(COUNTIF(D3192,"*"&amp;'Keyword Search'!$C$5&amp;"*"),TRUE,FALSE)</f>
        <v>1</v>
      </c>
      <c r="G3192" t="str">
        <f t="shared" si="207"/>
        <v>435-68: Skin Cleansers: Emollient, Nonalkaline, etc.</v>
      </c>
    </row>
    <row r="3193" spans="1:7" x14ac:dyDescent="0.25">
      <c r="A3193" s="1" t="str">
        <f t="shared" si="209"/>
        <v>435</v>
      </c>
      <c r="B3193" s="1" t="str">
        <f>TEXT(70,"00")</f>
        <v>70</v>
      </c>
      <c r="C3193" s="1" t="str">
        <f t="shared" si="206"/>
        <v>435-70</v>
      </c>
      <c r="D3193" t="s">
        <v>3175</v>
      </c>
      <c r="E3193" t="b">
        <f>IF(COUNTIF(D3193,"*"&amp;'Keyword Search'!$C$5&amp;"*"),TRUE,FALSE)</f>
        <v>1</v>
      </c>
      <c r="G3193" t="str">
        <f t="shared" si="207"/>
        <v>435-70: Skin Cleaners, Antimicrobial: Emollient, Nonalkaline, etc. (See Class 485 for Janitorial Hand and Skin Cleaners)</v>
      </c>
    </row>
    <row r="3194" spans="1:7" x14ac:dyDescent="0.25">
      <c r="A3194" s="1" t="str">
        <f t="shared" si="209"/>
        <v>435</v>
      </c>
      <c r="B3194" s="1" t="str">
        <f>TEXT(71,"00")</f>
        <v>71</v>
      </c>
      <c r="C3194" s="1" t="str">
        <f t="shared" si="206"/>
        <v>435-71</v>
      </c>
      <c r="D3194" t="s">
        <v>3176</v>
      </c>
      <c r="E3194" t="b">
        <f>IF(COUNTIF(D3194,"*"&amp;'Keyword Search'!$C$5&amp;"*"),TRUE,FALSE)</f>
        <v>1</v>
      </c>
      <c r="G3194" t="str">
        <f t="shared" si="207"/>
        <v>435-71: Skin Cleaners, Topical Lotions, Non-Alcohol, Long Term Killing Activity</v>
      </c>
    </row>
    <row r="3195" spans="1:7" x14ac:dyDescent="0.25">
      <c r="A3195" s="1" t="str">
        <f t="shared" si="209"/>
        <v>435</v>
      </c>
      <c r="B3195" s="1" t="str">
        <f>TEXT(72,"00")</f>
        <v>72</v>
      </c>
      <c r="C3195" s="1" t="str">
        <f t="shared" si="206"/>
        <v>435-72</v>
      </c>
      <c r="D3195" t="s">
        <v>3177</v>
      </c>
      <c r="E3195" t="b">
        <f>IF(COUNTIF(D3195,"*"&amp;'Keyword Search'!$C$5&amp;"*"),TRUE,FALSE)</f>
        <v>1</v>
      </c>
      <c r="G3195" t="str">
        <f t="shared" si="207"/>
        <v>435-72: Soap, Surgical Scrub (See 485-85 for Janitorial Type Scrubbing Soap)</v>
      </c>
    </row>
    <row r="3196" spans="1:7" x14ac:dyDescent="0.25">
      <c r="A3196" s="1" t="str">
        <f t="shared" si="209"/>
        <v>435</v>
      </c>
      <c r="B3196" s="1" t="str">
        <f>TEXT(73,"00")</f>
        <v>73</v>
      </c>
      <c r="C3196" s="1" t="str">
        <f t="shared" si="206"/>
        <v>435-73</v>
      </c>
      <c r="D3196" t="s">
        <v>3178</v>
      </c>
      <c r="E3196" t="b">
        <f>IF(COUNTIF(D3196,"*"&amp;'Keyword Search'!$C$5&amp;"*"),TRUE,FALSE)</f>
        <v>1</v>
      </c>
      <c r="G3196" t="str">
        <f t="shared" si="207"/>
        <v>435-73: Soap, Surgical Scrub, Hand Sanitizer, Alcohol Based, Long Term Killing Activity</v>
      </c>
    </row>
    <row r="3197" spans="1:7" x14ac:dyDescent="0.25">
      <c r="A3197" s="1" t="str">
        <f t="shared" si="209"/>
        <v>435</v>
      </c>
      <c r="B3197" s="1" t="str">
        <f>TEXT(90,"00")</f>
        <v>90</v>
      </c>
      <c r="C3197" s="1" t="str">
        <f t="shared" si="206"/>
        <v>435-90</v>
      </c>
      <c r="D3197" t="s">
        <v>3179</v>
      </c>
      <c r="E3197" t="b">
        <f>IF(COUNTIF(D3197,"*"&amp;'Keyword Search'!$C$5&amp;"*"),TRUE,FALSE)</f>
        <v>1</v>
      </c>
      <c r="G3197" t="str">
        <f t="shared" si="207"/>
        <v>435-90: Whirlpool Additives, Antimicrobial</v>
      </c>
    </row>
    <row r="3198" spans="1:7" x14ac:dyDescent="0.25">
      <c r="A3198" s="5" t="str">
        <f t="shared" ref="A3198:A3216" si="210">TEXT(436,"000")</f>
        <v>436</v>
      </c>
      <c r="B3198" s="5" t="str">
        <f>TEXT(0,"00")</f>
        <v>00</v>
      </c>
      <c r="C3198" s="1"/>
      <c r="D3198" s="2" t="s">
        <v>3180</v>
      </c>
    </row>
    <row r="3199" spans="1:7" x14ac:dyDescent="0.25">
      <c r="A3199" s="1" t="str">
        <f t="shared" si="210"/>
        <v>436</v>
      </c>
      <c r="B3199" s="1" t="str">
        <f>TEXT(4,"00")</f>
        <v>04</v>
      </c>
      <c r="C3199" s="1" t="str">
        <f t="shared" si="206"/>
        <v>436-04</v>
      </c>
      <c r="D3199" t="s">
        <v>3181</v>
      </c>
      <c r="E3199" t="b">
        <f>IF(COUNTIF(D3199,"*"&amp;'Keyword Search'!$C$5&amp;"*"),TRUE,FALSE)</f>
        <v>1</v>
      </c>
      <c r="G3199" t="str">
        <f t="shared" si="207"/>
        <v>436-04: Antimicrobial Solutions, Topical: Surgical Prep, etc., Environmentally Certified Products</v>
      </c>
    </row>
    <row r="3200" spans="1:7" x14ac:dyDescent="0.25">
      <c r="A3200" s="1" t="str">
        <f t="shared" si="210"/>
        <v>436</v>
      </c>
      <c r="B3200" s="1" t="str">
        <f>TEXT(5,"00")</f>
        <v>05</v>
      </c>
      <c r="C3200" s="1" t="str">
        <f t="shared" si="206"/>
        <v>436-05</v>
      </c>
      <c r="D3200" t="s">
        <v>3182</v>
      </c>
      <c r="E3200" t="b">
        <f>IF(COUNTIF(D3200,"*"&amp;'Keyword Search'!$C$5&amp;"*"),TRUE,FALSE)</f>
        <v>1</v>
      </c>
      <c r="G3200" t="str">
        <f t="shared" si="207"/>
        <v>436-05: Antimicrobial Protectant Solutions, Aqueous Based, Environmentally Certified Products</v>
      </c>
    </row>
    <row r="3201" spans="1:7" x14ac:dyDescent="0.25">
      <c r="A3201" s="1" t="str">
        <f t="shared" si="210"/>
        <v>436</v>
      </c>
      <c r="B3201" s="1" t="str">
        <f>TEXT(8,"00")</f>
        <v>08</v>
      </c>
      <c r="C3201" s="1" t="str">
        <f t="shared" si="206"/>
        <v>436-08</v>
      </c>
      <c r="D3201" t="s">
        <v>3183</v>
      </c>
      <c r="E3201" t="b">
        <f>IF(COUNTIF(D3201,"*"&amp;'Keyword Search'!$C$5&amp;"*"),TRUE,FALSE)</f>
        <v>1</v>
      </c>
      <c r="G3201" t="str">
        <f t="shared" si="207"/>
        <v>436-08: Benzalkonium Chloride, USP, Aqueous Solution, Environmentally Certified Products</v>
      </c>
    </row>
    <row r="3202" spans="1:7" x14ac:dyDescent="0.25">
      <c r="A3202" s="1" t="str">
        <f t="shared" si="210"/>
        <v>436</v>
      </c>
      <c r="B3202" s="1" t="str">
        <f>TEXT(16,"00")</f>
        <v>16</v>
      </c>
      <c r="C3202" s="1" t="str">
        <f t="shared" si="206"/>
        <v>436-16</v>
      </c>
      <c r="D3202" t="s">
        <v>3184</v>
      </c>
      <c r="E3202" t="b">
        <f>IF(COUNTIF(D3202,"*"&amp;'Keyword Search'!$C$5&amp;"*"),TRUE,FALSE)</f>
        <v>1</v>
      </c>
      <c r="G3202" t="str">
        <f t="shared" si="207"/>
        <v>436-16: Detergent, Surgical Scrub, All Types, Environmentally Certified Products</v>
      </c>
    </row>
    <row r="3203" spans="1:7" x14ac:dyDescent="0.25">
      <c r="A3203" s="1" t="str">
        <f t="shared" si="210"/>
        <v>436</v>
      </c>
      <c r="B3203" s="1" t="str">
        <f>TEXT(24,"00")</f>
        <v>24</v>
      </c>
      <c r="C3203" s="1" t="str">
        <f t="shared" ref="C3203:C3266" si="211">CONCATENATE(A3203,"-",B3203)</f>
        <v>436-24</v>
      </c>
      <c r="D3203" t="s">
        <v>3185</v>
      </c>
      <c r="E3203" t="b">
        <f>IF(COUNTIF(D3203,"*"&amp;'Keyword Search'!$C$5&amp;"*"),TRUE,FALSE)</f>
        <v>1</v>
      </c>
      <c r="G3203" t="str">
        <f t="shared" si="207"/>
        <v>436-24: Detergent-Disinfectant, Phenolic Type, Liquid, Environmentally Certified Products</v>
      </c>
    </row>
    <row r="3204" spans="1:7" x14ac:dyDescent="0.25">
      <c r="A3204" s="1" t="str">
        <f t="shared" si="210"/>
        <v>436</v>
      </c>
      <c r="B3204" s="1" t="str">
        <f>TEXT(25,"00")</f>
        <v>25</v>
      </c>
      <c r="C3204" s="1" t="str">
        <f t="shared" si="211"/>
        <v>436-25</v>
      </c>
      <c r="D3204" t="s">
        <v>3186</v>
      </c>
      <c r="E3204" t="b">
        <f>IF(COUNTIF(D3204,"*"&amp;'Keyword Search'!$C$5&amp;"*"),TRUE,FALSE)</f>
        <v>1</v>
      </c>
      <c r="G3204" t="str">
        <f t="shared" ref="G3204:G3267" si="212">CONCATENATE(C3204,": ",D3204)</f>
        <v>436-25: Disinfectant, Germicidal, Environmentally Certified Products</v>
      </c>
    </row>
    <row r="3205" spans="1:7" x14ac:dyDescent="0.25">
      <c r="A3205" s="1" t="str">
        <f t="shared" si="210"/>
        <v>436</v>
      </c>
      <c r="B3205" s="1" t="str">
        <f>TEXT(40,"00")</f>
        <v>40</v>
      </c>
      <c r="C3205" s="1" t="str">
        <f t="shared" si="211"/>
        <v>436-40</v>
      </c>
      <c r="D3205" t="s">
        <v>3187</v>
      </c>
      <c r="E3205" t="b">
        <f>IF(COUNTIF(D3205,"*"&amp;'Keyword Search'!$C$5&amp;"*"),TRUE,FALSE)</f>
        <v>1</v>
      </c>
      <c r="G3205" t="str">
        <f t="shared" si="212"/>
        <v>436-40: Detergent-Disinfectant, Iodophor Type, Environmentally Certified Products</v>
      </c>
    </row>
    <row r="3206" spans="1:7" x14ac:dyDescent="0.25">
      <c r="A3206" s="1" t="str">
        <f t="shared" si="210"/>
        <v>436</v>
      </c>
      <c r="B3206" s="1" t="str">
        <f>TEXT(56,"00")</f>
        <v>56</v>
      </c>
      <c r="C3206" s="1" t="str">
        <f t="shared" si="211"/>
        <v>436-56</v>
      </c>
      <c r="D3206" t="s">
        <v>3188</v>
      </c>
      <c r="E3206" t="b">
        <f>IF(COUNTIF(D3206,"*"&amp;'Keyword Search'!$C$5&amp;"*"),TRUE,FALSE)</f>
        <v>1</v>
      </c>
      <c r="G3206" t="str">
        <f t="shared" si="212"/>
        <v>436-56: Detergent-Disinfectant, Quaternary Ammonium Type, Environmentally Certified Products</v>
      </c>
    </row>
    <row r="3207" spans="1:7" x14ac:dyDescent="0.25">
      <c r="A3207" s="1" t="str">
        <f t="shared" si="210"/>
        <v>436</v>
      </c>
      <c r="B3207" s="1" t="str">
        <f>TEXT(59,"00")</f>
        <v>59</v>
      </c>
      <c r="C3207" s="1" t="str">
        <f t="shared" si="211"/>
        <v>436-59</v>
      </c>
      <c r="D3207" t="s">
        <v>3189</v>
      </c>
      <c r="E3207" t="b">
        <f>IF(COUNTIF(D3207,"*"&amp;'Keyword Search'!$C$5&amp;"*"),TRUE,FALSE)</f>
        <v>1</v>
      </c>
      <c r="G3207" t="str">
        <f t="shared" si="212"/>
        <v>436-59: Disinfestation Equipment and Supplies, Ambulances, Hospital Rooms, etc., Environmentally Certified Products</v>
      </c>
    </row>
    <row r="3208" spans="1:7" x14ac:dyDescent="0.25">
      <c r="A3208" s="1" t="str">
        <f t="shared" si="210"/>
        <v>436</v>
      </c>
      <c r="B3208" s="1" t="str">
        <f>TEXT(64,"00")</f>
        <v>64</v>
      </c>
      <c r="C3208" s="1" t="str">
        <f t="shared" si="211"/>
        <v>436-64</v>
      </c>
      <c r="D3208" t="s">
        <v>3190</v>
      </c>
      <c r="E3208" t="b">
        <f>IF(COUNTIF(D3208,"*"&amp;'Keyword Search'!$C$5&amp;"*"),TRUE,FALSE)</f>
        <v>1</v>
      </c>
      <c r="G3208" t="str">
        <f t="shared" si="212"/>
        <v>436-64: Instrument Sterilizing Solution, Hospital, Environmentally Certified Products</v>
      </c>
    </row>
    <row r="3209" spans="1:7" x14ac:dyDescent="0.25">
      <c r="A3209" s="1" t="str">
        <f t="shared" si="210"/>
        <v>436</v>
      </c>
      <c r="B3209" s="1" t="str">
        <f>TEXT(66,"00")</f>
        <v>66</v>
      </c>
      <c r="C3209" s="1" t="str">
        <f t="shared" si="211"/>
        <v>436-66</v>
      </c>
      <c r="D3209" t="s">
        <v>3191</v>
      </c>
      <c r="E3209" t="b">
        <f>IF(COUNTIF(D3209,"*"&amp;'Keyword Search'!$C$5&amp;"*"),TRUE,FALSE)</f>
        <v>1</v>
      </c>
      <c r="G3209" t="str">
        <f t="shared" si="212"/>
        <v>436-66: Recycled Detergents, Disinfectants and Cleaners for Health Care Personnel, Environmentally Certified Products</v>
      </c>
    </row>
    <row r="3210" spans="1:7" x14ac:dyDescent="0.25">
      <c r="A3210" s="1" t="str">
        <f t="shared" si="210"/>
        <v>436</v>
      </c>
      <c r="B3210" s="1" t="str">
        <f>TEXT(67,"00")</f>
        <v>67</v>
      </c>
      <c r="C3210" s="1" t="str">
        <f t="shared" si="211"/>
        <v>436-67</v>
      </c>
      <c r="D3210" t="s">
        <v>3192</v>
      </c>
      <c r="E3210" t="b">
        <f>IF(COUNTIF(D3210,"*"&amp;'Keyword Search'!$C$5&amp;"*"),TRUE,FALSE)</f>
        <v>1</v>
      </c>
      <c r="G3210" t="str">
        <f t="shared" si="212"/>
        <v>436-67: Sanitizing and Disinfecting Supplies, Health Care Personnel, Environmentally Certified Products</v>
      </c>
    </row>
    <row r="3211" spans="1:7" x14ac:dyDescent="0.25">
      <c r="A3211" s="1" t="str">
        <f t="shared" si="210"/>
        <v>436</v>
      </c>
      <c r="B3211" s="1" t="str">
        <f>TEXT(68,"00")</f>
        <v>68</v>
      </c>
      <c r="C3211" s="1" t="str">
        <f t="shared" si="211"/>
        <v>436-68</v>
      </c>
      <c r="D3211" t="s">
        <v>3193</v>
      </c>
      <c r="E3211" t="b">
        <f>IF(COUNTIF(D3211,"*"&amp;'Keyword Search'!$C$5&amp;"*"),TRUE,FALSE)</f>
        <v>1</v>
      </c>
      <c r="G3211" t="str">
        <f t="shared" si="212"/>
        <v>436-68: Skin Cleansers: Emollient, Nonalkaline, etc., Environmentally Certified Products</v>
      </c>
    </row>
    <row r="3212" spans="1:7" x14ac:dyDescent="0.25">
      <c r="A3212" s="1" t="str">
        <f t="shared" si="210"/>
        <v>436</v>
      </c>
      <c r="B3212" s="1" t="str">
        <f>TEXT(70,"00")</f>
        <v>70</v>
      </c>
      <c r="C3212" s="1" t="str">
        <f t="shared" si="211"/>
        <v>436-70</v>
      </c>
      <c r="D3212" t="s">
        <v>3194</v>
      </c>
      <c r="E3212" t="b">
        <f>IF(COUNTIF(D3212,"*"&amp;'Keyword Search'!$C$5&amp;"*"),TRUE,FALSE)</f>
        <v>1</v>
      </c>
      <c r="G3212" t="str">
        <f t="shared" si="212"/>
        <v>436-70: Skin Cleaners, Antimicrobial: Emollient, Nonalkaline, etc. (See Class 485 for Janitorial Hand and Skin Cleaners), Environmentally Certified Products</v>
      </c>
    </row>
    <row r="3213" spans="1:7" x14ac:dyDescent="0.25">
      <c r="A3213" s="1" t="str">
        <f t="shared" si="210"/>
        <v>436</v>
      </c>
      <c r="B3213" s="1" t="str">
        <f>TEXT(71,"00")</f>
        <v>71</v>
      </c>
      <c r="C3213" s="1" t="str">
        <f t="shared" si="211"/>
        <v>436-71</v>
      </c>
      <c r="D3213" t="s">
        <v>3195</v>
      </c>
      <c r="E3213" t="b">
        <f>IF(COUNTIF(D3213,"*"&amp;'Keyword Search'!$C$5&amp;"*"),TRUE,FALSE)</f>
        <v>1</v>
      </c>
      <c r="G3213" t="str">
        <f t="shared" si="212"/>
        <v>436-71: Skin Cleaners, Topical Lotions, Non-Alcohol, Long Term Killing Activity, Environmentally Certified Products</v>
      </c>
    </row>
    <row r="3214" spans="1:7" x14ac:dyDescent="0.25">
      <c r="A3214" s="1" t="str">
        <f t="shared" si="210"/>
        <v>436</v>
      </c>
      <c r="B3214" s="1" t="str">
        <f>TEXT(72,"00")</f>
        <v>72</v>
      </c>
      <c r="C3214" s="1" t="str">
        <f t="shared" si="211"/>
        <v>436-72</v>
      </c>
      <c r="D3214" t="s">
        <v>3196</v>
      </c>
      <c r="E3214" t="b">
        <f>IF(COUNTIF(D3214,"*"&amp;'Keyword Search'!$C$5&amp;"*"),TRUE,FALSE)</f>
        <v>1</v>
      </c>
      <c r="G3214" t="str">
        <f t="shared" si="212"/>
        <v>436-72: Soap, Surgical Scrub (See 485-85 for Janitorial Type Scrubbing Soap), Environmentally Certified Products</v>
      </c>
    </row>
    <row r="3215" spans="1:7" x14ac:dyDescent="0.25">
      <c r="A3215" s="1" t="str">
        <f t="shared" si="210"/>
        <v>436</v>
      </c>
      <c r="B3215" s="1" t="str">
        <f>TEXT(73,"00")</f>
        <v>73</v>
      </c>
      <c r="C3215" s="1" t="str">
        <f t="shared" si="211"/>
        <v>436-73</v>
      </c>
      <c r="D3215" t="s">
        <v>3197</v>
      </c>
      <c r="E3215" t="b">
        <f>IF(COUNTIF(D3215,"*"&amp;'Keyword Search'!$C$5&amp;"*"),TRUE,FALSE)</f>
        <v>1</v>
      </c>
      <c r="G3215" t="str">
        <f t="shared" si="212"/>
        <v>436-73: Soap, Surgical Scrub, Hand Sanitizer, Alcohol Based, Long Term Killing Activity, Environmentally Certified Products</v>
      </c>
    </row>
    <row r="3216" spans="1:7" x14ac:dyDescent="0.25">
      <c r="A3216" s="1" t="str">
        <f t="shared" si="210"/>
        <v>436</v>
      </c>
      <c r="B3216" s="1" t="str">
        <f>TEXT(90,"00")</f>
        <v>90</v>
      </c>
      <c r="C3216" s="1" t="str">
        <f t="shared" si="211"/>
        <v>436-90</v>
      </c>
      <c r="D3216" t="s">
        <v>3198</v>
      </c>
      <c r="E3216" t="b">
        <f>IF(COUNTIF(D3216,"*"&amp;'Keyword Search'!$C$5&amp;"*"),TRUE,FALSE)</f>
        <v>1</v>
      </c>
      <c r="G3216" t="str">
        <f t="shared" si="212"/>
        <v>436-90: Whirlpool Additives, Antimicrobial, Environmentally Certified Products</v>
      </c>
    </row>
    <row r="3217" spans="1:7" x14ac:dyDescent="0.25">
      <c r="A3217" s="5" t="str">
        <f t="shared" ref="A3217:A3245" si="213">TEXT(440,"000")</f>
        <v>440</v>
      </c>
      <c r="B3217" s="5" t="str">
        <f>TEXT(0,"00")</f>
        <v>00</v>
      </c>
      <c r="C3217" s="1"/>
      <c r="D3217" s="2" t="s">
        <v>3199</v>
      </c>
    </row>
    <row r="3218" spans="1:7" x14ac:dyDescent="0.25">
      <c r="A3218" s="1" t="str">
        <f t="shared" si="213"/>
        <v>440</v>
      </c>
      <c r="B3218" s="1" t="str">
        <f>TEXT(3,"00")</f>
        <v>03</v>
      </c>
      <c r="C3218" s="1" t="str">
        <f t="shared" si="211"/>
        <v>440-03</v>
      </c>
      <c r="D3218" t="s">
        <v>3200</v>
      </c>
      <c r="E3218" t="b">
        <f>IF(COUNTIF(D3218,"*"&amp;'Keyword Search'!$C$5&amp;"*"),TRUE,FALSE)</f>
        <v>1</v>
      </c>
      <c r="G3218" t="str">
        <f t="shared" si="212"/>
        <v>440-03: Glass, Beveled</v>
      </c>
    </row>
    <row r="3219" spans="1:7" x14ac:dyDescent="0.25">
      <c r="A3219" s="1" t="str">
        <f t="shared" si="213"/>
        <v>440</v>
      </c>
      <c r="B3219" s="1" t="str">
        <f>TEXT(4,"00")</f>
        <v>04</v>
      </c>
      <c r="C3219" s="1" t="str">
        <f t="shared" si="211"/>
        <v>440-04</v>
      </c>
      <c r="D3219" t="s">
        <v>3201</v>
      </c>
      <c r="E3219" t="b">
        <f>IF(COUNTIF(D3219,"*"&amp;'Keyword Search'!$C$5&amp;"*"),TRUE,FALSE)</f>
        <v>1</v>
      </c>
      <c r="G3219" t="str">
        <f t="shared" si="212"/>
        <v>440-04: Glass, Blocks</v>
      </c>
    </row>
    <row r="3220" spans="1:7" x14ac:dyDescent="0.25">
      <c r="A3220" s="1" t="str">
        <f t="shared" si="213"/>
        <v>440</v>
      </c>
      <c r="B3220" s="1" t="str">
        <f>TEXT(5,"00")</f>
        <v>05</v>
      </c>
      <c r="C3220" s="1" t="str">
        <f t="shared" si="211"/>
        <v>440-05</v>
      </c>
      <c r="D3220" t="s">
        <v>3202</v>
      </c>
      <c r="E3220" t="b">
        <f>IF(COUNTIF(D3220,"*"&amp;'Keyword Search'!$C$5&amp;"*"),TRUE,FALSE)</f>
        <v>1</v>
      </c>
      <c r="G3220" t="str">
        <f t="shared" si="212"/>
        <v>440-05: Glass, Bullet Resistant</v>
      </c>
    </row>
    <row r="3221" spans="1:7" x14ac:dyDescent="0.25">
      <c r="A3221" s="1" t="str">
        <f t="shared" si="213"/>
        <v>440</v>
      </c>
      <c r="B3221" s="1" t="str">
        <f>TEXT(7,"00")</f>
        <v>07</v>
      </c>
      <c r="C3221" s="1" t="str">
        <f t="shared" si="211"/>
        <v>440-07</v>
      </c>
      <c r="D3221" t="s">
        <v>3203</v>
      </c>
      <c r="E3221" t="b">
        <f>IF(COUNTIF(D3221,"*"&amp;'Keyword Search'!$C$5&amp;"*"),TRUE,FALSE)</f>
        <v>1</v>
      </c>
      <c r="G3221" t="str">
        <f t="shared" si="212"/>
        <v>440-07: Felts and Pads, Desk</v>
      </c>
    </row>
    <row r="3222" spans="1:7" x14ac:dyDescent="0.25">
      <c r="A3222" s="1" t="str">
        <f t="shared" si="213"/>
        <v>440</v>
      </c>
      <c r="B3222" s="1" t="str">
        <f>TEXT(10,"00")</f>
        <v>10</v>
      </c>
      <c r="C3222" s="1" t="str">
        <f t="shared" si="211"/>
        <v>440-10</v>
      </c>
      <c r="D3222" t="s">
        <v>3204</v>
      </c>
      <c r="E3222" t="b">
        <f>IF(COUNTIF(D3222,"*"&amp;'Keyword Search'!$C$5&amp;"*"),TRUE,FALSE)</f>
        <v>1</v>
      </c>
      <c r="G3222" t="str">
        <f t="shared" si="212"/>
        <v>440-10: Glass, Crystal</v>
      </c>
    </row>
    <row r="3223" spans="1:7" x14ac:dyDescent="0.25">
      <c r="A3223" s="1" t="str">
        <f t="shared" si="213"/>
        <v>440</v>
      </c>
      <c r="B3223" s="1" t="str">
        <f>TEXT(12,"00")</f>
        <v>12</v>
      </c>
      <c r="C3223" s="1" t="str">
        <f t="shared" si="211"/>
        <v>440-12</v>
      </c>
      <c r="D3223" t="s">
        <v>3205</v>
      </c>
      <c r="E3223" t="b">
        <f>IF(COUNTIF(D3223,"*"&amp;'Keyword Search'!$C$5&amp;"*"),TRUE,FALSE)</f>
        <v>1</v>
      </c>
      <c r="G3223" t="str">
        <f t="shared" si="212"/>
        <v>440-12: Glass, Factrolite</v>
      </c>
    </row>
    <row r="3224" spans="1:7" x14ac:dyDescent="0.25">
      <c r="A3224" s="1" t="str">
        <f t="shared" si="213"/>
        <v>440</v>
      </c>
      <c r="B3224" s="1" t="str">
        <f>TEXT(14,"00")</f>
        <v>14</v>
      </c>
      <c r="C3224" s="1" t="str">
        <f t="shared" si="211"/>
        <v>440-14</v>
      </c>
      <c r="D3224" t="s">
        <v>3206</v>
      </c>
      <c r="E3224" t="b">
        <f>IF(COUNTIF(D3224,"*"&amp;'Keyword Search'!$C$5&amp;"*"),TRUE,FALSE)</f>
        <v>1</v>
      </c>
      <c r="G3224" t="str">
        <f t="shared" si="212"/>
        <v>440-14: Glass, Florentine</v>
      </c>
    </row>
    <row r="3225" spans="1:7" x14ac:dyDescent="0.25">
      <c r="A3225" s="1" t="str">
        <f t="shared" si="213"/>
        <v>440</v>
      </c>
      <c r="B3225" s="1" t="str">
        <f>TEXT(21,"00")</f>
        <v>21</v>
      </c>
      <c r="C3225" s="1" t="str">
        <f t="shared" si="211"/>
        <v>440-21</v>
      </c>
      <c r="D3225" t="s">
        <v>3207</v>
      </c>
      <c r="E3225" t="b">
        <f>IF(COUNTIF(D3225,"*"&amp;'Keyword Search'!$C$5&amp;"*"),TRUE,FALSE)</f>
        <v>1</v>
      </c>
      <c r="G3225" t="str">
        <f t="shared" si="212"/>
        <v>440-21: Glass Cutting Machines</v>
      </c>
    </row>
    <row r="3226" spans="1:7" x14ac:dyDescent="0.25">
      <c r="A3226" s="1" t="str">
        <f t="shared" si="213"/>
        <v>440</v>
      </c>
      <c r="B3226" s="1" t="str">
        <f>TEXT(28,"00")</f>
        <v>28</v>
      </c>
      <c r="C3226" s="1" t="str">
        <f t="shared" si="211"/>
        <v>440-28</v>
      </c>
      <c r="D3226" t="s">
        <v>3208</v>
      </c>
      <c r="E3226" t="b">
        <f>IF(COUNTIF(D3226,"*"&amp;'Keyword Search'!$C$5&amp;"*"),TRUE,FALSE)</f>
        <v>1</v>
      </c>
      <c r="G3226" t="str">
        <f t="shared" si="212"/>
        <v>440-28: Glass Cutting Tables</v>
      </c>
    </row>
    <row r="3227" spans="1:7" x14ac:dyDescent="0.25">
      <c r="A3227" s="1" t="str">
        <f t="shared" si="213"/>
        <v>440</v>
      </c>
      <c r="B3227" s="1" t="str">
        <f>TEXT(29,"00")</f>
        <v>29</v>
      </c>
      <c r="C3227" s="1" t="str">
        <f t="shared" si="211"/>
        <v>440-29</v>
      </c>
      <c r="D3227" t="s">
        <v>3209</v>
      </c>
      <c r="E3227" t="b">
        <f>IF(COUNTIF(D3227,"*"&amp;'Keyword Search'!$C$5&amp;"*"),TRUE,FALSE)</f>
        <v>1</v>
      </c>
      <c r="G3227" t="str">
        <f t="shared" si="212"/>
        <v>440-29: Glass Handling Tools and Equipment</v>
      </c>
    </row>
    <row r="3228" spans="1:7" x14ac:dyDescent="0.25">
      <c r="A3228" s="1" t="str">
        <f t="shared" si="213"/>
        <v>440</v>
      </c>
      <c r="B3228" s="1" t="str">
        <f>TEXT(30,"00")</f>
        <v>30</v>
      </c>
      <c r="C3228" s="1" t="str">
        <f t="shared" si="211"/>
        <v>440-30</v>
      </c>
      <c r="D3228" t="s">
        <v>3210</v>
      </c>
      <c r="E3228" t="b">
        <f>IF(COUNTIF(D3228,"*"&amp;'Keyword Search'!$C$5&amp;"*"),TRUE,FALSE)</f>
        <v>1</v>
      </c>
      <c r="G3228" t="str">
        <f t="shared" si="212"/>
        <v>440-30: Glass Tinting Film and Supplies, Including Glazing Compounds</v>
      </c>
    </row>
    <row r="3229" spans="1:7" x14ac:dyDescent="0.25">
      <c r="A3229" s="1" t="str">
        <f t="shared" si="213"/>
        <v>440</v>
      </c>
      <c r="B3229" s="1" t="str">
        <f>TEXT(32,"00")</f>
        <v>32</v>
      </c>
      <c r="C3229" s="1" t="str">
        <f t="shared" si="211"/>
        <v>440-32</v>
      </c>
      <c r="D3229" t="s">
        <v>3211</v>
      </c>
      <c r="E3229" t="b">
        <f>IF(COUNTIF(D3229,"*"&amp;'Keyword Search'!$C$5&amp;"*"),TRUE,FALSE)</f>
        <v>1</v>
      </c>
      <c r="G3229" t="str">
        <f t="shared" si="212"/>
        <v>440-32: Glass and Glass Products, Scrap or Waste</v>
      </c>
    </row>
    <row r="3230" spans="1:7" x14ac:dyDescent="0.25">
      <c r="A3230" s="1" t="str">
        <f t="shared" si="213"/>
        <v>440</v>
      </c>
      <c r="B3230" s="1" t="str">
        <f>TEXT(35,"00")</f>
        <v>35</v>
      </c>
      <c r="C3230" s="1" t="str">
        <f t="shared" si="211"/>
        <v>440-35</v>
      </c>
      <c r="D3230" t="s">
        <v>3212</v>
      </c>
      <c r="E3230" t="b">
        <f>IF(COUNTIF(D3230,"*"&amp;'Keyword Search'!$C$5&amp;"*"),TRUE,FALSE)</f>
        <v>1</v>
      </c>
      <c r="G3230" t="str">
        <f t="shared" si="212"/>
        <v>440-35: Glaziers' Clips and Points</v>
      </c>
    </row>
    <row r="3231" spans="1:7" x14ac:dyDescent="0.25">
      <c r="A3231" s="1" t="str">
        <f t="shared" si="213"/>
        <v>440</v>
      </c>
      <c r="B3231" s="1" t="str">
        <f>TEXT(40,"00")</f>
        <v>40</v>
      </c>
      <c r="C3231" s="1" t="str">
        <f t="shared" si="211"/>
        <v>440-40</v>
      </c>
      <c r="D3231" t="s">
        <v>3213</v>
      </c>
      <c r="E3231" t="b">
        <f>IF(COUNTIF(D3231,"*"&amp;'Keyword Search'!$C$5&amp;"*"),TRUE,FALSE)</f>
        <v>1</v>
      </c>
      <c r="G3231" t="str">
        <f t="shared" si="212"/>
        <v>440-40: Glass, Hammered or Bubble</v>
      </c>
    </row>
    <row r="3232" spans="1:7" x14ac:dyDescent="0.25">
      <c r="A3232" s="1" t="str">
        <f t="shared" si="213"/>
        <v>440</v>
      </c>
      <c r="B3232" s="1" t="str">
        <f>TEXT(42,"00")</f>
        <v>42</v>
      </c>
      <c r="C3232" s="1" t="str">
        <f t="shared" si="211"/>
        <v>440-42</v>
      </c>
      <c r="D3232" t="s">
        <v>3214</v>
      </c>
      <c r="E3232" t="b">
        <f>IF(COUNTIF(D3232,"*"&amp;'Keyword Search'!$C$5&amp;"*"),TRUE,FALSE)</f>
        <v>1</v>
      </c>
      <c r="G3232" t="str">
        <f t="shared" si="212"/>
        <v>440-42: Glass, Heat-Tempered Safety, Fully Tempered</v>
      </c>
    </row>
    <row r="3233" spans="1:7" x14ac:dyDescent="0.25">
      <c r="A3233" s="1" t="str">
        <f t="shared" si="213"/>
        <v>440</v>
      </c>
      <c r="B3233" s="1" t="str">
        <f>TEXT(49,"00")</f>
        <v>49</v>
      </c>
      <c r="C3233" s="1" t="str">
        <f t="shared" si="211"/>
        <v>440-49</v>
      </c>
      <c r="D3233" t="s">
        <v>3215</v>
      </c>
      <c r="E3233" t="b">
        <f>IF(COUNTIF(D3233,"*"&amp;'Keyword Search'!$C$5&amp;"*"),TRUE,FALSE)</f>
        <v>1</v>
      </c>
      <c r="G3233" t="str">
        <f t="shared" si="212"/>
        <v>440-49: Glass, Heat-Tempered, Partially Tempered</v>
      </c>
    </row>
    <row r="3234" spans="1:7" x14ac:dyDescent="0.25">
      <c r="A3234" s="1" t="str">
        <f t="shared" si="213"/>
        <v>440</v>
      </c>
      <c r="B3234" s="1" t="str">
        <f>TEXT(50,"00")</f>
        <v>50</v>
      </c>
      <c r="C3234" s="1" t="str">
        <f t="shared" si="211"/>
        <v>440-50</v>
      </c>
      <c r="D3234" t="s">
        <v>3216</v>
      </c>
      <c r="E3234" t="b">
        <f>IF(COUNTIF(D3234,"*"&amp;'Keyword Search'!$C$5&amp;"*"),TRUE,FALSE)</f>
        <v>1</v>
      </c>
      <c r="G3234" t="str">
        <f t="shared" si="212"/>
        <v>440-50: Glass, Mirror</v>
      </c>
    </row>
    <row r="3235" spans="1:7" x14ac:dyDescent="0.25">
      <c r="A3235" s="1" t="str">
        <f t="shared" si="213"/>
        <v>440</v>
      </c>
      <c r="B3235" s="1" t="str">
        <f>TEXT(51,"00")</f>
        <v>51</v>
      </c>
      <c r="C3235" s="1" t="str">
        <f t="shared" si="211"/>
        <v>440-51</v>
      </c>
      <c r="D3235" t="s">
        <v>3217</v>
      </c>
      <c r="E3235" t="b">
        <f>IF(COUNTIF(D3235,"*"&amp;'Keyword Search'!$C$5&amp;"*"),TRUE,FALSE)</f>
        <v>1</v>
      </c>
      <c r="G3235" t="str">
        <f t="shared" si="212"/>
        <v>440-51: Glass, Obscure, Not Florentine</v>
      </c>
    </row>
    <row r="3236" spans="1:7" x14ac:dyDescent="0.25">
      <c r="A3236" s="1" t="str">
        <f t="shared" si="213"/>
        <v>440</v>
      </c>
      <c r="B3236" s="1" t="str">
        <f>TEXT(52,"00")</f>
        <v>52</v>
      </c>
      <c r="C3236" s="1" t="str">
        <f t="shared" si="211"/>
        <v>440-52</v>
      </c>
      <c r="D3236" t="s">
        <v>3218</v>
      </c>
      <c r="E3236" t="b">
        <f>IF(COUNTIF(D3236,"*"&amp;'Keyword Search'!$C$5&amp;"*"),TRUE,FALSE)</f>
        <v>1</v>
      </c>
      <c r="G3236" t="str">
        <f t="shared" si="212"/>
        <v>440-52: Glass, Lead</v>
      </c>
    </row>
    <row r="3237" spans="1:7" x14ac:dyDescent="0.25">
      <c r="A3237" s="1" t="str">
        <f t="shared" si="213"/>
        <v>440</v>
      </c>
      <c r="B3237" s="1" t="str">
        <f>TEXT(56,"00")</f>
        <v>56</v>
      </c>
      <c r="C3237" s="1" t="str">
        <f t="shared" si="211"/>
        <v>440-56</v>
      </c>
      <c r="D3237" t="s">
        <v>3219</v>
      </c>
      <c r="E3237" t="b">
        <f>IF(COUNTIF(D3237,"*"&amp;'Keyword Search'!$C$5&amp;"*"),TRUE,FALSE)</f>
        <v>1</v>
      </c>
      <c r="G3237" t="str">
        <f t="shared" si="212"/>
        <v>440-56: Glass, Annealed</v>
      </c>
    </row>
    <row r="3238" spans="1:7" x14ac:dyDescent="0.25">
      <c r="A3238" s="1" t="str">
        <f t="shared" si="213"/>
        <v>440</v>
      </c>
      <c r="B3238" s="1" t="str">
        <f>TEXT(60,"00")</f>
        <v>60</v>
      </c>
      <c r="C3238" s="1" t="str">
        <f t="shared" si="211"/>
        <v>440-60</v>
      </c>
      <c r="D3238" t="s">
        <v>3220</v>
      </c>
      <c r="E3238" t="b">
        <f>IF(COUNTIF(D3238,"*"&amp;'Keyword Search'!$C$5&amp;"*"),TRUE,FALSE)</f>
        <v>1</v>
      </c>
      <c r="G3238" t="str">
        <f t="shared" si="212"/>
        <v>440-60: Glass, Pyrex</v>
      </c>
    </row>
    <row r="3239" spans="1:7" x14ac:dyDescent="0.25">
      <c r="A3239" s="1" t="str">
        <f t="shared" si="213"/>
        <v>440</v>
      </c>
      <c r="B3239" s="1" t="str">
        <f>TEXT(62,"00")</f>
        <v>62</v>
      </c>
      <c r="C3239" s="1" t="str">
        <f t="shared" si="211"/>
        <v>440-62</v>
      </c>
      <c r="D3239" t="s">
        <v>3221</v>
      </c>
      <c r="E3239" t="b">
        <f>IF(COUNTIF(D3239,"*"&amp;'Keyword Search'!$C$5&amp;"*"),TRUE,FALSE)</f>
        <v>1</v>
      </c>
      <c r="G3239" t="str">
        <f t="shared" si="212"/>
        <v>440-62: Recycled Glass Products</v>
      </c>
    </row>
    <row r="3240" spans="1:7" x14ac:dyDescent="0.25">
      <c r="A3240" s="1" t="str">
        <f t="shared" si="213"/>
        <v>440</v>
      </c>
      <c r="B3240" s="1" t="str">
        <f>TEXT(63,"00")</f>
        <v>63</v>
      </c>
      <c r="C3240" s="1" t="str">
        <f t="shared" si="211"/>
        <v>440-63</v>
      </c>
      <c r="D3240" t="s">
        <v>3222</v>
      </c>
      <c r="E3240" t="b">
        <f>IF(COUNTIF(D3240,"*"&amp;'Keyword Search'!$C$5&amp;"*"),TRUE,FALSE)</f>
        <v>1</v>
      </c>
      <c r="G3240" t="str">
        <f t="shared" si="212"/>
        <v>440-63: Glass, Safety, Laminated</v>
      </c>
    </row>
    <row r="3241" spans="1:7" x14ac:dyDescent="0.25">
      <c r="A3241" s="1" t="str">
        <f t="shared" si="213"/>
        <v>440</v>
      </c>
      <c r="B3241" s="1" t="str">
        <f>TEXT(70,"00")</f>
        <v>70</v>
      </c>
      <c r="C3241" s="1" t="str">
        <f t="shared" si="211"/>
        <v>440-70</v>
      </c>
      <c r="D3241" t="s">
        <v>3223</v>
      </c>
      <c r="E3241" t="b">
        <f>IF(COUNTIF(D3241,"*"&amp;'Keyword Search'!$C$5&amp;"*"),TRUE,FALSE)</f>
        <v>1</v>
      </c>
      <c r="G3241" t="str">
        <f t="shared" si="212"/>
        <v>440-70: Stripping, Desk Top Glass</v>
      </c>
    </row>
    <row r="3242" spans="1:7" x14ac:dyDescent="0.25">
      <c r="A3242" s="1" t="str">
        <f t="shared" si="213"/>
        <v>440</v>
      </c>
      <c r="B3242" s="1" t="str">
        <f>TEXT(73,"00")</f>
        <v>73</v>
      </c>
      <c r="C3242" s="1" t="str">
        <f t="shared" si="211"/>
        <v>440-73</v>
      </c>
      <c r="D3242" t="s">
        <v>3224</v>
      </c>
      <c r="E3242" t="b">
        <f>IF(COUNTIF(D3242,"*"&amp;'Keyword Search'!$C$5&amp;"*"),TRUE,FALSE)</f>
        <v>1</v>
      </c>
      <c r="G3242" t="str">
        <f t="shared" si="212"/>
        <v>440-73: Glass, Thermo, Insulated</v>
      </c>
    </row>
    <row r="3243" spans="1:7" x14ac:dyDescent="0.25">
      <c r="A3243" s="1" t="str">
        <f t="shared" si="213"/>
        <v>440</v>
      </c>
      <c r="B3243" s="1" t="str">
        <f>TEXT(75,"00")</f>
        <v>75</v>
      </c>
      <c r="C3243" s="1" t="str">
        <f t="shared" si="211"/>
        <v>440-75</v>
      </c>
      <c r="D3243" t="s">
        <v>3225</v>
      </c>
      <c r="E3243" t="b">
        <f>IF(COUNTIF(D3243,"*"&amp;'Keyword Search'!$C$5&amp;"*"),TRUE,FALSE)</f>
        <v>1</v>
      </c>
      <c r="G3243" t="str">
        <f t="shared" si="212"/>
        <v>440-75: Tile, Field Glass, Including Borders and Medallions</v>
      </c>
    </row>
    <row r="3244" spans="1:7" x14ac:dyDescent="0.25">
      <c r="A3244" s="1" t="str">
        <f t="shared" si="213"/>
        <v>440</v>
      </c>
      <c r="B3244" s="1" t="str">
        <f>TEXT(77,"00")</f>
        <v>77</v>
      </c>
      <c r="C3244" s="1" t="str">
        <f t="shared" si="211"/>
        <v>440-77</v>
      </c>
      <c r="D3244" t="s">
        <v>3226</v>
      </c>
      <c r="E3244" t="b">
        <f>IF(COUNTIF(D3244,"*"&amp;'Keyword Search'!$C$5&amp;"*"),TRUE,FALSE)</f>
        <v>1</v>
      </c>
      <c r="G3244" t="str">
        <f t="shared" si="212"/>
        <v>440-77: Glass, Window</v>
      </c>
    </row>
    <row r="3245" spans="1:7" x14ac:dyDescent="0.25">
      <c r="A3245" s="1" t="str">
        <f t="shared" si="213"/>
        <v>440</v>
      </c>
      <c r="B3245" s="1" t="str">
        <f>TEXT(84,"00")</f>
        <v>84</v>
      </c>
      <c r="C3245" s="1" t="str">
        <f t="shared" si="211"/>
        <v>440-84</v>
      </c>
      <c r="D3245" t="s">
        <v>3227</v>
      </c>
      <c r="E3245" t="b">
        <f>IF(COUNTIF(D3245,"*"&amp;'Keyword Search'!$C$5&amp;"*"),TRUE,FALSE)</f>
        <v>1</v>
      </c>
      <c r="G3245" t="str">
        <f t="shared" si="212"/>
        <v>440-84: Glass, Wire</v>
      </c>
    </row>
    <row r="3246" spans="1:7" x14ac:dyDescent="0.25">
      <c r="A3246" s="5" t="str">
        <f t="shared" ref="A3246:A3309" si="214">TEXT(445,"000")</f>
        <v>445</v>
      </c>
      <c r="B3246" s="5" t="str">
        <f>TEXT(0,"00")</f>
        <v>00</v>
      </c>
      <c r="C3246" s="1"/>
      <c r="D3246" s="2" t="s">
        <v>3228</v>
      </c>
    </row>
    <row r="3247" spans="1:7" x14ac:dyDescent="0.25">
      <c r="A3247" s="1" t="str">
        <f t="shared" si="214"/>
        <v>445</v>
      </c>
      <c r="B3247" s="1" t="str">
        <f>TEXT(2,"00")</f>
        <v>02</v>
      </c>
      <c r="C3247" s="1" t="str">
        <f t="shared" si="211"/>
        <v>445-02</v>
      </c>
      <c r="D3247" t="s">
        <v>3229</v>
      </c>
      <c r="E3247" t="b">
        <f>IF(COUNTIF(D3247,"*"&amp;'Keyword Search'!$C$5&amp;"*"),TRUE,FALSE)</f>
        <v>1</v>
      </c>
      <c r="G3247" t="str">
        <f t="shared" si="212"/>
        <v>445-02: Air Pumps: Sporting Goods, Toys, etc. (See 075-83 for Tire Pumps)</v>
      </c>
    </row>
    <row r="3248" spans="1:7" x14ac:dyDescent="0.25">
      <c r="A3248" s="1" t="str">
        <f t="shared" si="214"/>
        <v>445</v>
      </c>
      <c r="B3248" s="1" t="str">
        <f>TEXT(3,"00")</f>
        <v>03</v>
      </c>
      <c r="C3248" s="1" t="str">
        <f t="shared" si="211"/>
        <v>445-03</v>
      </c>
      <c r="D3248" t="s">
        <v>3230</v>
      </c>
      <c r="E3248" t="b">
        <f>IF(COUNTIF(D3248,"*"&amp;'Keyword Search'!$C$5&amp;"*"),TRUE,FALSE)</f>
        <v>1</v>
      </c>
      <c r="G3248" t="str">
        <f t="shared" si="212"/>
        <v>445-03: Axes, Adzes, Bush Hooks, Hatchets, Mattocks, Picks, etc.</v>
      </c>
    </row>
    <row r="3249" spans="1:7" x14ac:dyDescent="0.25">
      <c r="A3249" s="1" t="str">
        <f t="shared" si="214"/>
        <v>445</v>
      </c>
      <c r="B3249" s="1" t="str">
        <f>TEXT(5,"00")</f>
        <v>05</v>
      </c>
      <c r="C3249" s="1" t="str">
        <f t="shared" si="211"/>
        <v>445-05</v>
      </c>
      <c r="D3249" t="s">
        <v>3231</v>
      </c>
      <c r="E3249" t="b">
        <f>IF(COUNTIF(D3249,"*"&amp;'Keyword Search'!$C$5&amp;"*"),TRUE,FALSE)</f>
        <v>1</v>
      </c>
      <c r="G3249" t="str">
        <f t="shared" si="212"/>
        <v>445-05: Balancers, Tool, Industrial</v>
      </c>
    </row>
    <row r="3250" spans="1:7" x14ac:dyDescent="0.25">
      <c r="A3250" s="1" t="str">
        <f t="shared" si="214"/>
        <v>445</v>
      </c>
      <c r="B3250" s="1" t="str">
        <f>TEXT(6,"00")</f>
        <v>06</v>
      </c>
      <c r="C3250" s="1" t="str">
        <f t="shared" si="211"/>
        <v>445-06</v>
      </c>
      <c r="D3250" t="s">
        <v>3232</v>
      </c>
      <c r="E3250" t="b">
        <f>IF(COUNTIF(D3250,"*"&amp;'Keyword Search'!$C$5&amp;"*"),TRUE,FALSE)</f>
        <v>1</v>
      </c>
      <c r="G3250" t="str">
        <f t="shared" si="212"/>
        <v>445-06: Bits, Dies, Drivers, Reamers, Taps, etc., Hand Tools, Powered and Non-Powered</v>
      </c>
    </row>
    <row r="3251" spans="1:7" x14ac:dyDescent="0.25">
      <c r="A3251" s="1" t="str">
        <f t="shared" si="214"/>
        <v>445</v>
      </c>
      <c r="B3251" s="1" t="str">
        <f>TEXT(8,"00")</f>
        <v>08</v>
      </c>
      <c r="C3251" s="1" t="str">
        <f t="shared" si="211"/>
        <v>445-08</v>
      </c>
      <c r="D3251" t="s">
        <v>3233</v>
      </c>
      <c r="E3251" t="b">
        <f>IF(COUNTIF(D3251,"*"&amp;'Keyword Search'!$C$5&amp;"*"),TRUE,FALSE)</f>
        <v>1</v>
      </c>
      <c r="G3251" t="str">
        <f t="shared" si="212"/>
        <v>445-08: Blades, Hand Saw, Non-Powered</v>
      </c>
    </row>
    <row r="3252" spans="1:7" x14ac:dyDescent="0.25">
      <c r="A3252" s="1" t="str">
        <f t="shared" si="214"/>
        <v>445</v>
      </c>
      <c r="B3252" s="1" t="str">
        <f>TEXT(9,"00")</f>
        <v>09</v>
      </c>
      <c r="C3252" s="1" t="str">
        <f t="shared" si="211"/>
        <v>445-09</v>
      </c>
      <c r="D3252" t="s">
        <v>3234</v>
      </c>
      <c r="E3252" t="b">
        <f>IF(COUNTIF(D3252,"*"&amp;'Keyword Search'!$C$5&amp;"*"),TRUE,FALSE)</f>
        <v>1</v>
      </c>
      <c r="G3252" t="str">
        <f t="shared" si="212"/>
        <v>445-09: Blades: Handsaw, Powered, Circular, and Reciprocating, For Powered and Non-Powered Portable Saws</v>
      </c>
    </row>
    <row r="3253" spans="1:7" x14ac:dyDescent="0.25">
      <c r="A3253" s="1" t="str">
        <f t="shared" si="214"/>
        <v>445</v>
      </c>
      <c r="B3253" s="1" t="str">
        <f>TEXT(10,"00")</f>
        <v>10</v>
      </c>
      <c r="C3253" s="1" t="str">
        <f t="shared" si="211"/>
        <v>445-10</v>
      </c>
      <c r="D3253" t="s">
        <v>3235</v>
      </c>
      <c r="E3253" t="b">
        <f>IF(COUNTIF(D3253,"*"&amp;'Keyword Search'!$C$5&amp;"*"),TRUE,FALSE)</f>
        <v>1</v>
      </c>
      <c r="G3253" t="str">
        <f t="shared" si="212"/>
        <v>445-10: Bricklaying Tools</v>
      </c>
    </row>
    <row r="3254" spans="1:7" x14ac:dyDescent="0.25">
      <c r="A3254" s="1" t="str">
        <f t="shared" si="214"/>
        <v>445</v>
      </c>
      <c r="B3254" s="1" t="str">
        <f>TEXT(12,"00")</f>
        <v>12</v>
      </c>
      <c r="C3254" s="1" t="str">
        <f t="shared" si="211"/>
        <v>445-12</v>
      </c>
      <c r="D3254" t="s">
        <v>3236</v>
      </c>
      <c r="E3254" t="b">
        <f>IF(COUNTIF(D3254,"*"&amp;'Keyword Search'!$C$5&amp;"*"),TRUE,FALSE)</f>
        <v>1</v>
      </c>
      <c r="G3254" t="str">
        <f t="shared" si="212"/>
        <v>445-12: Caulking Guns, Putty Knives, Scrapers, etc.</v>
      </c>
    </row>
    <row r="3255" spans="1:7" x14ac:dyDescent="0.25">
      <c r="A3255" s="1" t="str">
        <f t="shared" si="214"/>
        <v>445</v>
      </c>
      <c r="B3255" s="1" t="str">
        <f>TEXT(13,"00")</f>
        <v>13</v>
      </c>
      <c r="C3255" s="1" t="str">
        <f t="shared" si="211"/>
        <v>445-13</v>
      </c>
      <c r="D3255" t="s">
        <v>3237</v>
      </c>
      <c r="E3255" t="b">
        <f>IF(COUNTIF(D3255,"*"&amp;'Keyword Search'!$C$5&amp;"*"),TRUE,FALSE)</f>
        <v>1</v>
      </c>
      <c r="G3255" t="str">
        <f t="shared" si="212"/>
        <v>445-13: Carpet Laying Tools, Including Knee Pads</v>
      </c>
    </row>
    <row r="3256" spans="1:7" x14ac:dyDescent="0.25">
      <c r="A3256" s="1" t="str">
        <f t="shared" si="214"/>
        <v>445</v>
      </c>
      <c r="B3256" s="1" t="str">
        <f>TEXT(15,"00")</f>
        <v>15</v>
      </c>
      <c r="C3256" s="1" t="str">
        <f t="shared" si="211"/>
        <v>445-15</v>
      </c>
      <c r="D3256" t="s">
        <v>3238</v>
      </c>
      <c r="E3256" t="b">
        <f>IF(COUNTIF(D3256,"*"&amp;'Keyword Search'!$C$5&amp;"*"),TRUE,FALSE)</f>
        <v>1</v>
      </c>
      <c r="G3256" t="str">
        <f t="shared" si="212"/>
        <v>445-15: Chisels, Drawknives, Planes, etc.</v>
      </c>
    </row>
    <row r="3257" spans="1:7" x14ac:dyDescent="0.25">
      <c r="A3257" s="1" t="str">
        <f t="shared" si="214"/>
        <v>445</v>
      </c>
      <c r="B3257" s="1" t="str">
        <f>TEXT(18,"00")</f>
        <v>18</v>
      </c>
      <c r="C3257" s="1" t="str">
        <f t="shared" si="211"/>
        <v>445-18</v>
      </c>
      <c r="D3257" t="s">
        <v>3239</v>
      </c>
      <c r="E3257" t="b">
        <f>IF(COUNTIF(D3257,"*"&amp;'Keyword Search'!$C$5&amp;"*"),TRUE,FALSE)</f>
        <v>1</v>
      </c>
      <c r="G3257" t="str">
        <f t="shared" si="212"/>
        <v>445-18: Clamps: Bar, "C", Carriage, Hand, Spring, etc.; and Clamp Fixtures</v>
      </c>
    </row>
    <row r="3258" spans="1:7" x14ac:dyDescent="0.25">
      <c r="A3258" s="1" t="str">
        <f t="shared" si="214"/>
        <v>445</v>
      </c>
      <c r="B3258" s="1" t="str">
        <f>TEXT(19,"00")</f>
        <v>19</v>
      </c>
      <c r="C3258" s="1" t="str">
        <f t="shared" si="211"/>
        <v>445-19</v>
      </c>
      <c r="D3258" t="s">
        <v>3240</v>
      </c>
      <c r="E3258" t="b">
        <f>IF(COUNTIF(D3258,"*"&amp;'Keyword Search'!$C$5&amp;"*"),TRUE,FALSE)</f>
        <v>1</v>
      </c>
      <c r="G3258" t="str">
        <f t="shared" si="212"/>
        <v>445-19: Concrete Tools and Accessories (Not Otherwise Classified)</v>
      </c>
    </row>
    <row r="3259" spans="1:7" x14ac:dyDescent="0.25">
      <c r="A3259" s="1" t="str">
        <f t="shared" si="214"/>
        <v>445</v>
      </c>
      <c r="B3259" s="1" t="str">
        <f>TEXT(20,"00")</f>
        <v>20</v>
      </c>
      <c r="C3259" s="1" t="str">
        <f t="shared" si="211"/>
        <v>445-20</v>
      </c>
      <c r="D3259" t="s">
        <v>3241</v>
      </c>
      <c r="E3259" t="b">
        <f>IF(COUNTIF(D3259,"*"&amp;'Keyword Search'!$C$5&amp;"*"),TRUE,FALSE)</f>
        <v>1</v>
      </c>
      <c r="G3259" t="str">
        <f t="shared" si="212"/>
        <v>445-20: Copper and Tinsmith Tools and Equipment</v>
      </c>
    </row>
    <row r="3260" spans="1:7" x14ac:dyDescent="0.25">
      <c r="A3260" s="1" t="str">
        <f t="shared" si="214"/>
        <v>445</v>
      </c>
      <c r="B3260" s="1" t="str">
        <f>TEXT(21,"00")</f>
        <v>21</v>
      </c>
      <c r="C3260" s="1" t="str">
        <f t="shared" si="211"/>
        <v>445-21</v>
      </c>
      <c r="D3260" t="s">
        <v>3242</v>
      </c>
      <c r="E3260" t="b">
        <f>IF(COUNTIF(D3260,"*"&amp;'Keyword Search'!$C$5&amp;"*"),TRUE,FALSE)</f>
        <v>1</v>
      </c>
      <c r="G3260" t="str">
        <f t="shared" si="212"/>
        <v>445-21: Cutters and Knives: Bolt, Burrs, Glass, Nippers, Pinchers, etc.</v>
      </c>
    </row>
    <row r="3261" spans="1:7" x14ac:dyDescent="0.25">
      <c r="A3261" s="1" t="str">
        <f t="shared" si="214"/>
        <v>445</v>
      </c>
      <c r="B3261" s="1" t="str">
        <f>TEXT(26,"00")</f>
        <v>26</v>
      </c>
      <c r="C3261" s="1" t="str">
        <f t="shared" si="211"/>
        <v>445-26</v>
      </c>
      <c r="D3261" t="s">
        <v>3243</v>
      </c>
      <c r="E3261" t="b">
        <f>IF(COUNTIF(D3261,"*"&amp;'Keyword Search'!$C$5&amp;"*"),TRUE,FALSE)</f>
        <v>1</v>
      </c>
      <c r="G3261" t="str">
        <f t="shared" si="212"/>
        <v>445-26: Drills, Hand, Non-Powered: Braces, etc.</v>
      </c>
    </row>
    <row r="3262" spans="1:7" x14ac:dyDescent="0.25">
      <c r="A3262" s="1" t="str">
        <f t="shared" si="214"/>
        <v>445</v>
      </c>
      <c r="B3262" s="1" t="str">
        <f>TEXT(27,"00")</f>
        <v>27</v>
      </c>
      <c r="C3262" s="1" t="str">
        <f t="shared" si="211"/>
        <v>445-27</v>
      </c>
      <c r="D3262" t="s">
        <v>3244</v>
      </c>
      <c r="E3262" t="b">
        <f>IF(COUNTIF(D3262,"*"&amp;'Keyword Search'!$C$5&amp;"*"),TRUE,FALSE)</f>
        <v>1</v>
      </c>
      <c r="G3262" t="str">
        <f t="shared" si="212"/>
        <v>445-27: Drills, Hand, Portable, Powered, Automatic</v>
      </c>
    </row>
    <row r="3263" spans="1:7" x14ac:dyDescent="0.25">
      <c r="A3263" s="1" t="str">
        <f t="shared" si="214"/>
        <v>445</v>
      </c>
      <c r="B3263" s="1" t="str">
        <f>TEXT(29,"00")</f>
        <v>29</v>
      </c>
      <c r="C3263" s="1" t="str">
        <f t="shared" si="211"/>
        <v>445-29</v>
      </c>
      <c r="D3263" t="s">
        <v>3245</v>
      </c>
      <c r="E3263" t="b">
        <f>IF(COUNTIF(D3263,"*"&amp;'Keyword Search'!$C$5&amp;"*"),TRUE,FALSE)</f>
        <v>1</v>
      </c>
      <c r="G3263" t="str">
        <f t="shared" si="212"/>
        <v>445-29: Extractors, Pullers, and Inserters</v>
      </c>
    </row>
    <row r="3264" spans="1:7" x14ac:dyDescent="0.25">
      <c r="A3264" s="1" t="str">
        <f t="shared" si="214"/>
        <v>445</v>
      </c>
      <c r="B3264" s="1" t="str">
        <f>TEXT(30,"00")</f>
        <v>30</v>
      </c>
      <c r="C3264" s="1" t="str">
        <f t="shared" si="211"/>
        <v>445-30</v>
      </c>
      <c r="D3264" t="s">
        <v>3246</v>
      </c>
      <c r="E3264" t="b">
        <f>IF(COUNTIF(D3264,"*"&amp;'Keyword Search'!$C$5&amp;"*"),TRUE,FALSE)</f>
        <v>1</v>
      </c>
      <c r="G3264" t="str">
        <f t="shared" si="212"/>
        <v>445-30: Fastening Tools: Nailing Machines, Staplers, Tackers, etc.</v>
      </c>
    </row>
    <row r="3265" spans="1:7" x14ac:dyDescent="0.25">
      <c r="A3265" s="1" t="str">
        <f t="shared" si="214"/>
        <v>445</v>
      </c>
      <c r="B3265" s="1" t="str">
        <f>TEXT(32,"00")</f>
        <v>32</v>
      </c>
      <c r="C3265" s="1" t="str">
        <f t="shared" si="211"/>
        <v>445-32</v>
      </c>
      <c r="D3265" t="s">
        <v>3247</v>
      </c>
      <c r="E3265" t="b">
        <f>IF(COUNTIF(D3265,"*"&amp;'Keyword Search'!$C$5&amp;"*"),TRUE,FALSE)</f>
        <v>1</v>
      </c>
      <c r="G3265" t="str">
        <f t="shared" si="212"/>
        <v>445-32: Files and Rasps</v>
      </c>
    </row>
    <row r="3266" spans="1:7" x14ac:dyDescent="0.25">
      <c r="A3266" s="1" t="str">
        <f t="shared" si="214"/>
        <v>445</v>
      </c>
      <c r="B3266" s="1" t="str">
        <f>TEXT(33,"00")</f>
        <v>33</v>
      </c>
      <c r="C3266" s="1" t="str">
        <f t="shared" si="211"/>
        <v>445-33</v>
      </c>
      <c r="D3266" t="s">
        <v>3248</v>
      </c>
      <c r="E3266" t="b">
        <f>IF(COUNTIF(D3266,"*"&amp;'Keyword Search'!$C$5&amp;"*"),TRUE,FALSE)</f>
        <v>1</v>
      </c>
      <c r="G3266" t="str">
        <f t="shared" si="212"/>
        <v>445-33: Fireplace Components: Flues, Grates, Tools, Stokers, etc. (Inactive, please see commodity code 150-32 effective January 1, 2016)</v>
      </c>
    </row>
    <row r="3267" spans="1:7" x14ac:dyDescent="0.25">
      <c r="A3267" s="1" t="str">
        <f t="shared" si="214"/>
        <v>445</v>
      </c>
      <c r="B3267" s="1" t="str">
        <f>TEXT(35,"00")</f>
        <v>35</v>
      </c>
      <c r="C3267" s="1" t="str">
        <f t="shared" ref="C3267:C3330" si="215">CONCATENATE(A3267,"-",B3267)</f>
        <v>445-35</v>
      </c>
      <c r="D3267" t="s">
        <v>3249</v>
      </c>
      <c r="E3267" t="b">
        <f>IF(COUNTIF(D3267,"*"&amp;'Keyword Search'!$C$5&amp;"*"),TRUE,FALSE)</f>
        <v>1</v>
      </c>
      <c r="G3267" t="str">
        <f t="shared" si="212"/>
        <v>445-35: Gauges: Feeler, Sheet Metal, Spark Plugs, Wire Size, etc.</v>
      </c>
    </row>
    <row r="3268" spans="1:7" x14ac:dyDescent="0.25">
      <c r="A3268" s="1" t="str">
        <f t="shared" si="214"/>
        <v>445</v>
      </c>
      <c r="B3268" s="1" t="str">
        <f>TEXT(37,"00")</f>
        <v>37</v>
      </c>
      <c r="C3268" s="1" t="str">
        <f t="shared" si="215"/>
        <v>445-37</v>
      </c>
      <c r="D3268" t="s">
        <v>3250</v>
      </c>
      <c r="E3268" t="b">
        <f>IF(COUNTIF(D3268,"*"&amp;'Keyword Search'!$C$5&amp;"*"),TRUE,FALSE)</f>
        <v>1</v>
      </c>
      <c r="G3268" t="str">
        <f t="shared" ref="G3268:G3331" si="216">CONCATENATE(C3268,": ",D3268)</f>
        <v>445-37: Guns, Heat</v>
      </c>
    </row>
    <row r="3269" spans="1:7" x14ac:dyDescent="0.25">
      <c r="A3269" s="1" t="str">
        <f t="shared" si="214"/>
        <v>445</v>
      </c>
      <c r="B3269" s="1" t="str">
        <f>TEXT(38,"00")</f>
        <v>38</v>
      </c>
      <c r="C3269" s="1" t="str">
        <f t="shared" si="215"/>
        <v>445-38</v>
      </c>
      <c r="D3269" t="s">
        <v>3251</v>
      </c>
      <c r="E3269" t="b">
        <f>IF(COUNTIF(D3269,"*"&amp;'Keyword Search'!$C$5&amp;"*"),TRUE,FALSE)</f>
        <v>1</v>
      </c>
      <c r="G3269" t="str">
        <f t="shared" si="216"/>
        <v>445-38: Hammers, Mallets, Crow Bars, Pinch Bars, Pry Bars, Ripping Bars, Sledges, Wrecking Bars, All Types</v>
      </c>
    </row>
    <row r="3270" spans="1:7" x14ac:dyDescent="0.25">
      <c r="A3270" s="1" t="str">
        <f t="shared" si="214"/>
        <v>445</v>
      </c>
      <c r="B3270" s="1" t="str">
        <f>TEXT(39,"00")</f>
        <v>39</v>
      </c>
      <c r="C3270" s="1" t="str">
        <f t="shared" si="215"/>
        <v>445-39</v>
      </c>
      <c r="D3270" t="s">
        <v>3252</v>
      </c>
      <c r="E3270" t="b">
        <f>IF(COUNTIF(D3270,"*"&amp;'Keyword Search'!$C$5&amp;"*"),TRUE,FALSE)</f>
        <v>1</v>
      </c>
      <c r="G3270" t="str">
        <f t="shared" si="216"/>
        <v>445-39: Hand Tools (Not Otherwise Classified)</v>
      </c>
    </row>
    <row r="3271" spans="1:7" x14ac:dyDescent="0.25">
      <c r="A3271" s="1" t="str">
        <f t="shared" si="214"/>
        <v>445</v>
      </c>
      <c r="B3271" s="1" t="str">
        <f>TEXT(40,"00")</f>
        <v>40</v>
      </c>
      <c r="C3271" s="1" t="str">
        <f t="shared" si="215"/>
        <v>445-40</v>
      </c>
      <c r="D3271" t="s">
        <v>3253</v>
      </c>
      <c r="E3271" t="b">
        <f>IF(COUNTIF(D3271,"*"&amp;'Keyword Search'!$C$5&amp;"*"),TRUE,FALSE)</f>
        <v>1</v>
      </c>
      <c r="G3271" t="str">
        <f t="shared" si="216"/>
        <v>445-40: Handles, Tool, All Kinds (See 285-30 for Dielectric Handles)</v>
      </c>
    </row>
    <row r="3272" spans="1:7" x14ac:dyDescent="0.25">
      <c r="A3272" s="1" t="str">
        <f t="shared" si="214"/>
        <v>445</v>
      </c>
      <c r="B3272" s="1" t="str">
        <f>TEXT(41,"00")</f>
        <v>41</v>
      </c>
      <c r="C3272" s="1" t="str">
        <f t="shared" si="215"/>
        <v>445-41</v>
      </c>
      <c r="D3272" t="s">
        <v>3254</v>
      </c>
      <c r="E3272" t="b">
        <f>IF(COUNTIF(D3272,"*"&amp;'Keyword Search'!$C$5&amp;"*"),TRUE,FALSE)</f>
        <v>1</v>
      </c>
      <c r="G3272" t="str">
        <f t="shared" si="216"/>
        <v>445-41: Hazardous Material Equipment, Tools and Supplies</v>
      </c>
    </row>
    <row r="3273" spans="1:7" x14ac:dyDescent="0.25">
      <c r="A3273" s="1" t="str">
        <f t="shared" si="214"/>
        <v>445</v>
      </c>
      <c r="B3273" s="1" t="str">
        <f>TEXT(42,"00")</f>
        <v>42</v>
      </c>
      <c r="C3273" s="1" t="str">
        <f t="shared" si="215"/>
        <v>445-42</v>
      </c>
      <c r="D3273" t="s">
        <v>3255</v>
      </c>
      <c r="E3273" t="b">
        <f>IF(COUNTIF(D3273,"*"&amp;'Keyword Search'!$C$5&amp;"*"),TRUE,FALSE)</f>
        <v>1</v>
      </c>
      <c r="G3273" t="str">
        <f t="shared" si="216"/>
        <v>445-42: Knives, Utility and Pen, All Types and Accessories</v>
      </c>
    </row>
    <row r="3274" spans="1:7" x14ac:dyDescent="0.25">
      <c r="A3274" s="1" t="str">
        <f t="shared" si="214"/>
        <v>445</v>
      </c>
      <c r="B3274" s="1" t="str">
        <f>TEXT(43,"00")</f>
        <v>43</v>
      </c>
      <c r="C3274" s="1" t="str">
        <f t="shared" si="215"/>
        <v>445-43</v>
      </c>
      <c r="D3274" t="s">
        <v>3256</v>
      </c>
      <c r="E3274" t="b">
        <f>IF(COUNTIF(D3274,"*"&amp;'Keyword Search'!$C$5&amp;"*"),TRUE,FALSE)</f>
        <v>1</v>
      </c>
      <c r="G3274" t="str">
        <f t="shared" si="216"/>
        <v>445-43: Hoes, Leaf Loaders, Rakes, Weed Cutters, etc.</v>
      </c>
    </row>
    <row r="3275" spans="1:7" x14ac:dyDescent="0.25">
      <c r="A3275" s="1" t="str">
        <f t="shared" si="214"/>
        <v>445</v>
      </c>
      <c r="B3275" s="1" t="str">
        <f>TEXT(44,"00")</f>
        <v>44</v>
      </c>
      <c r="C3275" s="1" t="str">
        <f t="shared" si="215"/>
        <v>445-44</v>
      </c>
      <c r="D3275" t="s">
        <v>3257</v>
      </c>
      <c r="E3275" t="b">
        <f>IF(COUNTIF(D3275,"*"&amp;'Keyword Search'!$C$5&amp;"*"),TRUE,FALSE)</f>
        <v>1</v>
      </c>
      <c r="G3275" t="str">
        <f t="shared" si="216"/>
        <v>445-44: Hooks</v>
      </c>
    </row>
    <row r="3276" spans="1:7" x14ac:dyDescent="0.25">
      <c r="A3276" s="1" t="str">
        <f t="shared" si="214"/>
        <v>445</v>
      </c>
      <c r="B3276" s="1" t="str">
        <f>TEXT(45,"00")</f>
        <v>45</v>
      </c>
      <c r="C3276" s="1" t="str">
        <f t="shared" si="215"/>
        <v>445-45</v>
      </c>
      <c r="D3276" t="s">
        <v>3258</v>
      </c>
      <c r="E3276" t="b">
        <f>IF(COUNTIF(D3276,"*"&amp;'Keyword Search'!$C$5&amp;"*"),TRUE,FALSE)</f>
        <v>1</v>
      </c>
      <c r="G3276" t="str">
        <f t="shared" si="216"/>
        <v>445-45: Leather and Canvas Aprons and Tool Pouches, Carpenter's and Electrician's</v>
      </c>
    </row>
    <row r="3277" spans="1:7" x14ac:dyDescent="0.25">
      <c r="A3277" s="1" t="str">
        <f t="shared" si="214"/>
        <v>445</v>
      </c>
      <c r="B3277" s="1" t="str">
        <f>TEXT(46,"00")</f>
        <v>46</v>
      </c>
      <c r="C3277" s="1" t="str">
        <f t="shared" si="215"/>
        <v>445-46</v>
      </c>
      <c r="D3277" t="s">
        <v>3259</v>
      </c>
      <c r="E3277" t="b">
        <f>IF(COUNTIF(D3277,"*"&amp;'Keyword Search'!$C$5&amp;"*"),TRUE,FALSE)</f>
        <v>1</v>
      </c>
      <c r="G3277" t="str">
        <f t="shared" si="216"/>
        <v>445-46: Levels, Chalk Lines, Chalk Line Refills, etc.</v>
      </c>
    </row>
    <row r="3278" spans="1:7" x14ac:dyDescent="0.25">
      <c r="A3278" s="1" t="str">
        <f t="shared" si="214"/>
        <v>445</v>
      </c>
      <c r="B3278" s="1" t="str">
        <f>TEXT(47,"00")</f>
        <v>47</v>
      </c>
      <c r="C3278" s="1" t="str">
        <f t="shared" si="215"/>
        <v>445-47</v>
      </c>
      <c r="D3278" t="s">
        <v>3260</v>
      </c>
      <c r="E3278" t="b">
        <f>IF(COUNTIF(D3278,"*"&amp;'Keyword Search'!$C$5&amp;"*"),TRUE,FALSE)</f>
        <v>1</v>
      </c>
      <c r="G3278" t="str">
        <f t="shared" si="216"/>
        <v>445-47: Mitre Boxes</v>
      </c>
    </row>
    <row r="3279" spans="1:7" x14ac:dyDescent="0.25">
      <c r="A3279" s="1" t="str">
        <f t="shared" si="214"/>
        <v>445</v>
      </c>
      <c r="B3279" s="1" t="str">
        <f>TEXT(48,"00")</f>
        <v>48</v>
      </c>
      <c r="C3279" s="1" t="str">
        <f t="shared" si="215"/>
        <v>445-48</v>
      </c>
      <c r="D3279" t="s">
        <v>3261</v>
      </c>
      <c r="E3279" t="b">
        <f>IF(COUNTIF(D3279,"*"&amp;'Keyword Search'!$C$5&amp;"*"),TRUE,FALSE)</f>
        <v>1</v>
      </c>
      <c r="G3279" t="str">
        <f t="shared" si="216"/>
        <v>445-48: Mirrors, Inspection Type</v>
      </c>
    </row>
    <row r="3280" spans="1:7" x14ac:dyDescent="0.25">
      <c r="A3280" s="1" t="str">
        <f t="shared" si="214"/>
        <v>445</v>
      </c>
      <c r="B3280" s="1" t="str">
        <f>TEXT(49,"00")</f>
        <v>49</v>
      </c>
      <c r="C3280" s="1" t="str">
        <f t="shared" si="215"/>
        <v>445-49</v>
      </c>
      <c r="D3280" t="s">
        <v>3262</v>
      </c>
      <c r="E3280" t="b">
        <f>IF(COUNTIF(D3280,"*"&amp;'Keyword Search'!$C$5&amp;"*"),TRUE,FALSE)</f>
        <v>1</v>
      </c>
      <c r="G3280" t="str">
        <f t="shared" si="216"/>
        <v>445-49: Punches, Etchers, Marking Tools, Nail Sets, Scratch Awls, etc.</v>
      </c>
    </row>
    <row r="3281" spans="1:7" x14ac:dyDescent="0.25">
      <c r="A3281" s="1" t="str">
        <f t="shared" si="214"/>
        <v>445</v>
      </c>
      <c r="B3281" s="1" t="str">
        <f>TEXT(50,"00")</f>
        <v>50</v>
      </c>
      <c r="C3281" s="1" t="str">
        <f t="shared" si="215"/>
        <v>445-50</v>
      </c>
      <c r="D3281" t="s">
        <v>3263</v>
      </c>
      <c r="E3281" t="b">
        <f>IF(COUNTIF(D3281,"*"&amp;'Keyword Search'!$C$5&amp;"*"),TRUE,FALSE)</f>
        <v>1</v>
      </c>
      <c r="G3281" t="str">
        <f t="shared" si="216"/>
        <v>445-50: Presses, Hand Type</v>
      </c>
    </row>
    <row r="3282" spans="1:7" x14ac:dyDescent="0.25">
      <c r="A3282" s="1" t="str">
        <f t="shared" si="214"/>
        <v>445</v>
      </c>
      <c r="B3282" s="1" t="str">
        <f>TEXT(51,"00")</f>
        <v>51</v>
      </c>
      <c r="C3282" s="1" t="str">
        <f t="shared" si="215"/>
        <v>445-51</v>
      </c>
      <c r="D3282" t="s">
        <v>3264</v>
      </c>
      <c r="E3282" t="b">
        <f>IF(COUNTIF(D3282,"*"&amp;'Keyword Search'!$C$5&amp;"*"),TRUE,FALSE)</f>
        <v>1</v>
      </c>
      <c r="G3282" t="str">
        <f t="shared" si="216"/>
        <v>445-51: Pick-up Tools, Magnetic</v>
      </c>
    </row>
    <row r="3283" spans="1:7" x14ac:dyDescent="0.25">
      <c r="A3283" s="1" t="str">
        <f t="shared" si="214"/>
        <v>445</v>
      </c>
      <c r="B3283" s="1" t="str">
        <f>TEXT(52,"00")</f>
        <v>52</v>
      </c>
      <c r="C3283" s="1" t="str">
        <f t="shared" si="215"/>
        <v>445-52</v>
      </c>
      <c r="D3283" t="s">
        <v>3265</v>
      </c>
      <c r="E3283" t="b">
        <f>IF(COUNTIF(D3283,"*"&amp;'Keyword Search'!$C$5&amp;"*"),TRUE,FALSE)</f>
        <v>1</v>
      </c>
      <c r="G3283" t="str">
        <f t="shared" si="216"/>
        <v>445-52: Pliers, All Kinds, Except Stock Tagging)</v>
      </c>
    </row>
    <row r="3284" spans="1:7" x14ac:dyDescent="0.25">
      <c r="A3284" s="1" t="str">
        <f t="shared" si="214"/>
        <v>445</v>
      </c>
      <c r="B3284" s="1" t="str">
        <f>TEXT(53,"00")</f>
        <v>53</v>
      </c>
      <c r="C3284" s="1" t="str">
        <f t="shared" si="215"/>
        <v>445-53</v>
      </c>
      <c r="D3284" t="s">
        <v>3266</v>
      </c>
      <c r="E3284" t="b">
        <f>IF(COUNTIF(D3284,"*"&amp;'Keyword Search'!$C$5&amp;"*"),TRUE,FALSE)</f>
        <v>1</v>
      </c>
      <c r="G3284" t="str">
        <f t="shared" si="216"/>
        <v>445-53: Planers, Wood</v>
      </c>
    </row>
    <row r="3285" spans="1:7" x14ac:dyDescent="0.25">
      <c r="A3285" s="1" t="str">
        <f t="shared" si="214"/>
        <v>445</v>
      </c>
      <c r="B3285" s="1" t="str">
        <f>TEXT(55,"00")</f>
        <v>55</v>
      </c>
      <c r="C3285" s="1" t="str">
        <f t="shared" si="215"/>
        <v>445-55</v>
      </c>
      <c r="D3285" t="s">
        <v>3267</v>
      </c>
      <c r="E3285" t="b">
        <f>IF(COUNTIF(D3285,"*"&amp;'Keyword Search'!$C$5&amp;"*"),TRUE,FALSE)</f>
        <v>1</v>
      </c>
      <c r="G3285" t="str">
        <f t="shared" si="216"/>
        <v>445-55: Posthole Diggers, Earth Augers, etc., Including Utility Probes for Testing Digging Sites</v>
      </c>
    </row>
    <row r="3286" spans="1:7" x14ac:dyDescent="0.25">
      <c r="A3286" s="1" t="str">
        <f t="shared" si="214"/>
        <v>445</v>
      </c>
      <c r="B3286" s="1" t="str">
        <f>TEXT(56,"00")</f>
        <v>56</v>
      </c>
      <c r="C3286" s="1" t="str">
        <f t="shared" si="215"/>
        <v>445-56</v>
      </c>
      <c r="D3286" t="s">
        <v>3268</v>
      </c>
      <c r="E3286" t="b">
        <f>IF(COUNTIF(D3286,"*"&amp;'Keyword Search'!$C$5&amp;"*"),TRUE,FALSE)</f>
        <v>1</v>
      </c>
      <c r="G3286" t="str">
        <f t="shared" si="216"/>
        <v>445-56: Re-Toothing Machines, Hand Saw</v>
      </c>
    </row>
    <row r="3287" spans="1:7" x14ac:dyDescent="0.25">
      <c r="A3287" s="1" t="str">
        <f t="shared" si="214"/>
        <v>445</v>
      </c>
      <c r="B3287" s="1" t="str">
        <f>TEXT(57,"00")</f>
        <v>57</v>
      </c>
      <c r="C3287" s="1" t="str">
        <f t="shared" si="215"/>
        <v>445-57</v>
      </c>
      <c r="D3287" t="s">
        <v>3269</v>
      </c>
      <c r="E3287" t="b">
        <f>IF(COUNTIF(D3287,"*"&amp;'Keyword Search'!$C$5&amp;"*"),TRUE,FALSE)</f>
        <v>1</v>
      </c>
      <c r="G3287" t="str">
        <f t="shared" si="216"/>
        <v>445-57: Rules, Squares, and Tapes, Carpenter, etc.)</v>
      </c>
    </row>
    <row r="3288" spans="1:7" x14ac:dyDescent="0.25">
      <c r="A3288" s="1" t="str">
        <f t="shared" si="214"/>
        <v>445</v>
      </c>
      <c r="B3288" s="1" t="str">
        <f>TEXT(58,"00")</f>
        <v>58</v>
      </c>
      <c r="C3288" s="1" t="str">
        <f t="shared" si="215"/>
        <v>445-58</v>
      </c>
      <c r="D3288" t="s">
        <v>3270</v>
      </c>
      <c r="E3288" t="b">
        <f>IF(COUNTIF(D3288,"*"&amp;'Keyword Search'!$C$5&amp;"*"),TRUE,FALSE)</f>
        <v>1</v>
      </c>
      <c r="G3288" t="str">
        <f t="shared" si="216"/>
        <v>445-58: Saws (Non-Powered): Hack, Keyhole, Pruning, Pole, etc.</v>
      </c>
    </row>
    <row r="3289" spans="1:7" x14ac:dyDescent="0.25">
      <c r="A3289" s="1" t="str">
        <f t="shared" si="214"/>
        <v>445</v>
      </c>
      <c r="B3289" s="1" t="str">
        <f>TEXT(59,"00")</f>
        <v>59</v>
      </c>
      <c r="C3289" s="1" t="str">
        <f t="shared" si="215"/>
        <v>445-59</v>
      </c>
      <c r="D3289" t="s">
        <v>3271</v>
      </c>
      <c r="E3289" t="b">
        <f>IF(COUNTIF(D3289,"*"&amp;'Keyword Search'!$C$5&amp;"*"),TRUE,FALSE)</f>
        <v>1</v>
      </c>
      <c r="G3289" t="str">
        <f t="shared" si="216"/>
        <v>445-59: Saws, Hand, Portable, Powered</v>
      </c>
    </row>
    <row r="3290" spans="1:7" x14ac:dyDescent="0.25">
      <c r="A3290" s="1" t="str">
        <f t="shared" si="214"/>
        <v>445</v>
      </c>
      <c r="B3290" s="1" t="str">
        <f>TEXT(61,"00")</f>
        <v>61</v>
      </c>
      <c r="C3290" s="1" t="str">
        <f t="shared" si="215"/>
        <v>445-61</v>
      </c>
      <c r="D3290" t="s">
        <v>3272</v>
      </c>
      <c r="E3290" t="b">
        <f>IF(COUNTIF(D3290,"*"&amp;'Keyword Search'!$C$5&amp;"*"),TRUE,FALSE)</f>
        <v>1</v>
      </c>
      <c r="G3290" t="str">
        <f t="shared" si="216"/>
        <v>445-61: Scoops, Shovels, Spades, Spading Forks, etc., Including Entrenching Tools</v>
      </c>
    </row>
    <row r="3291" spans="1:7" x14ac:dyDescent="0.25">
      <c r="A3291" s="1" t="str">
        <f t="shared" si="214"/>
        <v>445</v>
      </c>
      <c r="B3291" s="1" t="str">
        <f>TEXT(62,"00")</f>
        <v>62</v>
      </c>
      <c r="C3291" s="1" t="str">
        <f t="shared" si="215"/>
        <v>445-62</v>
      </c>
      <c r="D3291" t="s">
        <v>3273</v>
      </c>
      <c r="E3291" t="b">
        <f>IF(COUNTIF(D3291,"*"&amp;'Keyword Search'!$C$5&amp;"*"),TRUE,FALSE)</f>
        <v>1</v>
      </c>
      <c r="G3291" t="str">
        <f t="shared" si="216"/>
        <v>445-62: Scrapers, Chipping and Sealing</v>
      </c>
    </row>
    <row r="3292" spans="1:7" x14ac:dyDescent="0.25">
      <c r="A3292" s="1" t="str">
        <f t="shared" si="214"/>
        <v>445</v>
      </c>
      <c r="B3292" s="1" t="str">
        <f>TEXT(63,"00")</f>
        <v>63</v>
      </c>
      <c r="C3292" s="1" t="str">
        <f t="shared" si="215"/>
        <v>445-63</v>
      </c>
      <c r="D3292" t="s">
        <v>3274</v>
      </c>
      <c r="E3292" t="b">
        <f>IF(COUNTIF(D3292,"*"&amp;'Keyword Search'!$C$5&amp;"*"),TRUE,FALSE)</f>
        <v>1</v>
      </c>
      <c r="G3292" t="str">
        <f t="shared" si="216"/>
        <v>445-63: Scrapers, Ice and Snow (See Class 765 For Motorized Type)</v>
      </c>
    </row>
    <row r="3293" spans="1:7" x14ac:dyDescent="0.25">
      <c r="A3293" s="1" t="str">
        <f t="shared" si="214"/>
        <v>445</v>
      </c>
      <c r="B3293" s="1" t="str">
        <f>TEXT(64,"00")</f>
        <v>64</v>
      </c>
      <c r="C3293" s="1" t="str">
        <f t="shared" si="215"/>
        <v>445-64</v>
      </c>
      <c r="D3293" t="s">
        <v>3275</v>
      </c>
      <c r="E3293" t="b">
        <f>IF(COUNTIF(D3293,"*"&amp;'Keyword Search'!$C$5&amp;"*"),TRUE,FALSE)</f>
        <v>1</v>
      </c>
      <c r="G3293" t="str">
        <f t="shared" si="216"/>
        <v>445-64: Screwdrivers, All Kinds</v>
      </c>
    </row>
    <row r="3294" spans="1:7" x14ac:dyDescent="0.25">
      <c r="A3294" s="1" t="str">
        <f t="shared" si="214"/>
        <v>445</v>
      </c>
      <c r="B3294" s="1" t="str">
        <f>TEXT(66,"00")</f>
        <v>66</v>
      </c>
      <c r="C3294" s="1" t="str">
        <f t="shared" si="215"/>
        <v>445-66</v>
      </c>
      <c r="D3294" t="s">
        <v>3276</v>
      </c>
      <c r="E3294" t="b">
        <f>IF(COUNTIF(D3294,"*"&amp;'Keyword Search'!$C$5&amp;"*"),TRUE,FALSE)</f>
        <v>1</v>
      </c>
      <c r="G3294" t="str">
        <f t="shared" si="216"/>
        <v>445-66: Shaft Machines, Flexible, Powered</v>
      </c>
    </row>
    <row r="3295" spans="1:7" x14ac:dyDescent="0.25">
      <c r="A3295" s="1" t="str">
        <f t="shared" si="214"/>
        <v>445</v>
      </c>
      <c r="B3295" s="1" t="str">
        <f>TEXT(70,"00")</f>
        <v>70</v>
      </c>
      <c r="C3295" s="1" t="str">
        <f t="shared" si="215"/>
        <v>445-70</v>
      </c>
      <c r="D3295" t="s">
        <v>3277</v>
      </c>
      <c r="E3295" t="b">
        <f>IF(COUNTIF(D3295,"*"&amp;'Keyword Search'!$C$5&amp;"*"),TRUE,FALSE)</f>
        <v>1</v>
      </c>
      <c r="G3295" t="str">
        <f t="shared" si="216"/>
        <v>445-70: Snips: Metal, Tin, etc.</v>
      </c>
    </row>
    <row r="3296" spans="1:7" x14ac:dyDescent="0.25">
      <c r="A3296" s="1" t="str">
        <f t="shared" si="214"/>
        <v>445</v>
      </c>
      <c r="B3296" s="1" t="str">
        <f>TEXT(73,"00")</f>
        <v>73</v>
      </c>
      <c r="C3296" s="1" t="str">
        <f t="shared" si="215"/>
        <v>445-73</v>
      </c>
      <c r="D3296" t="s">
        <v>3278</v>
      </c>
      <c r="E3296" t="b">
        <f>IF(COUNTIF(D3296,"*"&amp;'Keyword Search'!$C$5&amp;"*"),TRUE,FALSE)</f>
        <v>1</v>
      </c>
      <c r="G3296" t="str">
        <f t="shared" si="216"/>
        <v>445-73: Soldering Coppers, Guns, Irons, etc.</v>
      </c>
    </row>
    <row r="3297" spans="1:7" x14ac:dyDescent="0.25">
      <c r="A3297" s="1" t="str">
        <f t="shared" si="214"/>
        <v>445</v>
      </c>
      <c r="B3297" s="1" t="str">
        <f>TEXT(75,"00")</f>
        <v>75</v>
      </c>
      <c r="C3297" s="1" t="str">
        <f t="shared" si="215"/>
        <v>445-75</v>
      </c>
      <c r="D3297" t="s">
        <v>3279</v>
      </c>
      <c r="E3297" t="b">
        <f>IF(COUNTIF(D3297,"*"&amp;'Keyword Search'!$C$5&amp;"*"),TRUE,FALSE)</f>
        <v>1</v>
      </c>
      <c r="G3297" t="str">
        <f t="shared" si="216"/>
        <v>445-75: Stud Finder Tool</v>
      </c>
    </row>
    <row r="3298" spans="1:7" x14ac:dyDescent="0.25">
      <c r="A3298" s="1" t="str">
        <f t="shared" si="214"/>
        <v>445</v>
      </c>
      <c r="B3298" s="1" t="str">
        <f>TEXT(76,"00")</f>
        <v>76</v>
      </c>
      <c r="C3298" s="1" t="str">
        <f t="shared" si="215"/>
        <v>445-76</v>
      </c>
      <c r="D3298" t="s">
        <v>3280</v>
      </c>
      <c r="E3298" t="b">
        <f>IF(COUNTIF(D3298,"*"&amp;'Keyword Search'!$C$5&amp;"*"),TRUE,FALSE)</f>
        <v>1</v>
      </c>
      <c r="G3298" t="str">
        <f t="shared" si="216"/>
        <v>445-76: Steel Figures and Letters, Stamping</v>
      </c>
    </row>
    <row r="3299" spans="1:7" x14ac:dyDescent="0.25">
      <c r="A3299" s="1" t="str">
        <f t="shared" si="214"/>
        <v>445</v>
      </c>
      <c r="B3299" s="1" t="str">
        <f>TEXT(77,"00")</f>
        <v>77</v>
      </c>
      <c r="C3299" s="1" t="str">
        <f t="shared" si="215"/>
        <v>445-77</v>
      </c>
      <c r="D3299" t="s">
        <v>3281</v>
      </c>
      <c r="E3299" t="b">
        <f>IF(COUNTIF(D3299,"*"&amp;'Keyword Search'!$C$5&amp;"*"),TRUE,FALSE)</f>
        <v>1</v>
      </c>
      <c r="G3299" t="str">
        <f t="shared" si="216"/>
        <v>445-77: Thread Cutters (See 670-15 for Pipe Threader)</v>
      </c>
    </row>
    <row r="3300" spans="1:7" x14ac:dyDescent="0.25">
      <c r="A3300" s="1" t="str">
        <f t="shared" si="214"/>
        <v>445</v>
      </c>
      <c r="B3300" s="1" t="str">
        <f>TEXT(78,"00")</f>
        <v>78</v>
      </c>
      <c r="C3300" s="1" t="str">
        <f t="shared" si="215"/>
        <v>445-78</v>
      </c>
      <c r="D3300" t="s">
        <v>3282</v>
      </c>
      <c r="E3300" t="b">
        <f>IF(COUNTIF(D3300,"*"&amp;'Keyword Search'!$C$5&amp;"*"),TRUE,FALSE)</f>
        <v>1</v>
      </c>
      <c r="G3300" t="str">
        <f t="shared" si="216"/>
        <v>445-78: Tool Lathe, Quick-Change Type</v>
      </c>
    </row>
    <row r="3301" spans="1:7" x14ac:dyDescent="0.25">
      <c r="A3301" s="1" t="str">
        <f t="shared" si="214"/>
        <v>445</v>
      </c>
      <c r="B3301" s="1" t="str">
        <f>TEXT(79,"00")</f>
        <v>79</v>
      </c>
      <c r="C3301" s="1" t="str">
        <f t="shared" si="215"/>
        <v>445-79</v>
      </c>
      <c r="D3301" t="s">
        <v>3283</v>
      </c>
      <c r="E3301" t="b">
        <f>IF(COUNTIF(D3301,"*"&amp;'Keyword Search'!$C$5&amp;"*"),TRUE,FALSE)</f>
        <v>1</v>
      </c>
      <c r="G3301" t="str">
        <f t="shared" si="216"/>
        <v>445-79: Tool Boxes, Cabinets, and Chests (See Class 065 For Truck Tool Compartment Boxes)</v>
      </c>
    </row>
    <row r="3302" spans="1:7" x14ac:dyDescent="0.25">
      <c r="A3302" s="1" t="str">
        <f t="shared" si="214"/>
        <v>445</v>
      </c>
      <c r="B3302" s="1" t="str">
        <f>TEXT(80,"00")</f>
        <v>80</v>
      </c>
      <c r="C3302" s="1" t="str">
        <f t="shared" si="215"/>
        <v>445-80</v>
      </c>
      <c r="D3302" t="s">
        <v>3284</v>
      </c>
      <c r="E3302" t="b">
        <f>IF(COUNTIF(D3302,"*"&amp;'Keyword Search'!$C$5&amp;"*"),TRUE,FALSE)</f>
        <v>1</v>
      </c>
      <c r="G3302" t="str">
        <f t="shared" si="216"/>
        <v>445-80: Tools, Machinist</v>
      </c>
    </row>
    <row r="3303" spans="1:7" x14ac:dyDescent="0.25">
      <c r="A3303" s="1" t="str">
        <f t="shared" si="214"/>
        <v>445</v>
      </c>
      <c r="B3303" s="1" t="str">
        <f>TEXT(81,"00")</f>
        <v>81</v>
      </c>
      <c r="C3303" s="1" t="str">
        <f t="shared" si="215"/>
        <v>445-81</v>
      </c>
      <c r="D3303" t="s">
        <v>3285</v>
      </c>
      <c r="E3303" t="b">
        <f>IF(COUNTIF(D3303,"*"&amp;'Keyword Search'!$C$5&amp;"*"),TRUE,FALSE)</f>
        <v>1</v>
      </c>
      <c r="G3303" t="str">
        <f t="shared" si="216"/>
        <v>445-81: Tool Holders, Collets, etc., (See 445-45 for Tool Pouches)</v>
      </c>
    </row>
    <row r="3304" spans="1:7" x14ac:dyDescent="0.25">
      <c r="A3304" s="1" t="str">
        <f t="shared" si="214"/>
        <v>445</v>
      </c>
      <c r="B3304" s="1" t="str">
        <f>TEXT(82,"00")</f>
        <v>82</v>
      </c>
      <c r="C3304" s="1" t="str">
        <f t="shared" si="215"/>
        <v>445-82</v>
      </c>
      <c r="D3304" t="s">
        <v>3286</v>
      </c>
      <c r="E3304" t="b">
        <f>IF(COUNTIF(D3304,"*"&amp;'Keyword Search'!$C$5&amp;"*"),TRUE,FALSE)</f>
        <v>1</v>
      </c>
      <c r="G3304" t="str">
        <f t="shared" si="216"/>
        <v>445-82: Tool Sets, All Kinds</v>
      </c>
    </row>
    <row r="3305" spans="1:7" x14ac:dyDescent="0.25">
      <c r="A3305" s="1" t="str">
        <f t="shared" si="214"/>
        <v>445</v>
      </c>
      <c r="B3305" s="1" t="str">
        <f>TEXT(83,"00")</f>
        <v>83</v>
      </c>
      <c r="C3305" s="1" t="str">
        <f t="shared" si="215"/>
        <v>445-83</v>
      </c>
      <c r="D3305" t="s">
        <v>3287</v>
      </c>
      <c r="E3305" t="b">
        <f>IF(COUNTIF(D3305,"*"&amp;'Keyword Search'!$C$5&amp;"*"),TRUE,FALSE)</f>
        <v>1</v>
      </c>
      <c r="G3305" t="str">
        <f t="shared" si="216"/>
        <v>445-83: Tree and Pole Climbing Equipment</v>
      </c>
    </row>
    <row r="3306" spans="1:7" x14ac:dyDescent="0.25">
      <c r="A3306" s="1" t="str">
        <f t="shared" si="214"/>
        <v>445</v>
      </c>
      <c r="B3306" s="1" t="str">
        <f>TEXT(85,"00")</f>
        <v>85</v>
      </c>
      <c r="C3306" s="1" t="str">
        <f t="shared" si="215"/>
        <v>445-85</v>
      </c>
      <c r="D3306" t="s">
        <v>3288</v>
      </c>
      <c r="E3306" t="b">
        <f>IF(COUNTIF(D3306,"*"&amp;'Keyword Search'!$C$5&amp;"*"),TRUE,FALSE)</f>
        <v>1</v>
      </c>
      <c r="G3306" t="str">
        <f t="shared" si="216"/>
        <v>445-85: Trowels and Floats, All Kinds</v>
      </c>
    </row>
    <row r="3307" spans="1:7" x14ac:dyDescent="0.25">
      <c r="A3307" s="1" t="str">
        <f t="shared" si="214"/>
        <v>445</v>
      </c>
      <c r="B3307" s="1" t="str">
        <f>TEXT(87,"00")</f>
        <v>87</v>
      </c>
      <c r="C3307" s="1" t="str">
        <f t="shared" si="215"/>
        <v>445-87</v>
      </c>
      <c r="D3307" t="s">
        <v>3289</v>
      </c>
      <c r="E3307" t="b">
        <f>IF(COUNTIF(D3307,"*"&amp;'Keyword Search'!$C$5&amp;"*"),TRUE,FALSE)</f>
        <v>1</v>
      </c>
      <c r="G3307" t="str">
        <f t="shared" si="216"/>
        <v>445-87: Upholstery Tools (Inactive, effective January 1, 2016)</v>
      </c>
    </row>
    <row r="3308" spans="1:7" x14ac:dyDescent="0.25">
      <c r="A3308" s="1" t="str">
        <f t="shared" si="214"/>
        <v>445</v>
      </c>
      <c r="B3308" s="1" t="str">
        <f>TEXT(88,"00")</f>
        <v>88</v>
      </c>
      <c r="C3308" s="1" t="str">
        <f t="shared" si="215"/>
        <v>445-88</v>
      </c>
      <c r="D3308" t="s">
        <v>3290</v>
      </c>
      <c r="E3308" t="b">
        <f>IF(COUNTIF(D3308,"*"&amp;'Keyword Search'!$C$5&amp;"*"),TRUE,FALSE)</f>
        <v>1</v>
      </c>
      <c r="G3308" t="str">
        <f t="shared" si="216"/>
        <v>445-88: Vises, All Kinds</v>
      </c>
    </row>
    <row r="3309" spans="1:7" x14ac:dyDescent="0.25">
      <c r="A3309" s="1" t="str">
        <f t="shared" si="214"/>
        <v>445</v>
      </c>
      <c r="B3309" s="1" t="str">
        <f>TEXT(90,"00")</f>
        <v>90</v>
      </c>
      <c r="C3309" s="1" t="str">
        <f t="shared" si="215"/>
        <v>445-90</v>
      </c>
      <c r="D3309" t="s">
        <v>3291</v>
      </c>
      <c r="E3309" t="b">
        <f>IF(COUNTIF(D3309,"*"&amp;'Keyword Search'!$C$5&amp;"*"),TRUE,FALSE)</f>
        <v>1</v>
      </c>
      <c r="G3309" t="str">
        <f t="shared" si="216"/>
        <v>445-90: Winches, (Not Otherwise Classified)</v>
      </c>
    </row>
    <row r="3310" spans="1:7" x14ac:dyDescent="0.25">
      <c r="A3310" s="1" t="str">
        <f t="shared" ref="A3310:A3311" si="217">TEXT(445,"000")</f>
        <v>445</v>
      </c>
      <c r="B3310" s="1" t="str">
        <f>TEXT(91,"00")</f>
        <v>91</v>
      </c>
      <c r="C3310" s="1" t="str">
        <f t="shared" si="215"/>
        <v>445-91</v>
      </c>
      <c r="D3310" t="s">
        <v>3292</v>
      </c>
      <c r="E3310" t="b">
        <f>IF(COUNTIF(D3310,"*"&amp;'Keyword Search'!$C$5&amp;"*"),TRUE,FALSE)</f>
        <v>1</v>
      </c>
      <c r="G3310" t="str">
        <f t="shared" si="216"/>
        <v>445-91: Wrenches, All Kinds, Including Sockets</v>
      </c>
    </row>
    <row r="3311" spans="1:7" x14ac:dyDescent="0.25">
      <c r="A3311" s="1" t="str">
        <f t="shared" si="217"/>
        <v>445</v>
      </c>
      <c r="B3311" s="1" t="str">
        <f>TEXT(95,"00")</f>
        <v>95</v>
      </c>
      <c r="C3311" s="1" t="str">
        <f t="shared" si="215"/>
        <v>445-95</v>
      </c>
      <c r="D3311" t="s">
        <v>3293</v>
      </c>
      <c r="E3311" t="b">
        <f>IF(COUNTIF(D3311,"*"&amp;'Keyword Search'!$C$5&amp;"*"),TRUE,FALSE)</f>
        <v>1</v>
      </c>
      <c r="G3311" t="str">
        <f t="shared" si="216"/>
        <v>445-95: Recycled Hand Tools</v>
      </c>
    </row>
    <row r="3312" spans="1:7" x14ac:dyDescent="0.25">
      <c r="A3312" s="5" t="str">
        <f t="shared" ref="A3312:A3375" si="218">TEXT(450,"000")</f>
        <v>450</v>
      </c>
      <c r="B3312" s="5" t="str">
        <f>TEXT(0,"00")</f>
        <v>00</v>
      </c>
      <c r="C3312" s="1"/>
      <c r="D3312" s="2" t="s">
        <v>3294</v>
      </c>
    </row>
    <row r="3313" spans="1:7" x14ac:dyDescent="0.25">
      <c r="A3313" s="1" t="str">
        <f t="shared" si="218"/>
        <v>450</v>
      </c>
      <c r="B3313" s="1" t="str">
        <f>TEXT(1,"00")</f>
        <v>01</v>
      </c>
      <c r="C3313" s="1" t="str">
        <f t="shared" si="215"/>
        <v>450-01</v>
      </c>
      <c r="D3313" t="s">
        <v>3295</v>
      </c>
      <c r="E3313" t="b">
        <f>IF(COUNTIF(D3313,"*"&amp;'Keyword Search'!$C$5&amp;"*"),TRUE,FALSE)</f>
        <v>1</v>
      </c>
      <c r="G3313" t="str">
        <f t="shared" si="216"/>
        <v>450-01: Adhesives and Sealants (Not Otherwise Classified)</v>
      </c>
    </row>
    <row r="3314" spans="1:7" x14ac:dyDescent="0.25">
      <c r="A3314" s="1" t="str">
        <f t="shared" si="218"/>
        <v>450</v>
      </c>
      <c r="B3314" s="1" t="str">
        <f>TEXT(2,"00")</f>
        <v>02</v>
      </c>
      <c r="C3314" s="1" t="str">
        <f t="shared" si="215"/>
        <v>450-02</v>
      </c>
      <c r="D3314" t="s">
        <v>3296</v>
      </c>
      <c r="E3314" t="b">
        <f>IF(COUNTIF(D3314,"*"&amp;'Keyword Search'!$C$5&amp;"*"),TRUE,FALSE)</f>
        <v>1</v>
      </c>
      <c r="G3314" t="str">
        <f t="shared" si="216"/>
        <v>450-02: Adhesives, Rubber and Silicone</v>
      </c>
    </row>
    <row r="3315" spans="1:7" x14ac:dyDescent="0.25">
      <c r="A3315" s="1" t="str">
        <f t="shared" si="218"/>
        <v>450</v>
      </c>
      <c r="B3315" s="1" t="str">
        <f>TEXT(3,"00")</f>
        <v>03</v>
      </c>
      <c r="C3315" s="1" t="str">
        <f t="shared" si="215"/>
        <v>450-03</v>
      </c>
      <c r="D3315" t="s">
        <v>3297</v>
      </c>
      <c r="E3315" t="b">
        <f>IF(COUNTIF(D3315,"*"&amp;'Keyword Search'!$C$5&amp;"*"),TRUE,FALSE)</f>
        <v>1</v>
      </c>
      <c r="G3315" t="str">
        <f t="shared" si="216"/>
        <v>450-03: Adhesives: Glue and Glue Guns, Gum, Paste, etc.</v>
      </c>
    </row>
    <row r="3316" spans="1:7" x14ac:dyDescent="0.25">
      <c r="A3316" s="1" t="str">
        <f t="shared" si="218"/>
        <v>450</v>
      </c>
      <c r="B3316" s="1" t="str">
        <f>TEXT(4,"00")</f>
        <v>04</v>
      </c>
      <c r="C3316" s="1" t="str">
        <f t="shared" si="215"/>
        <v>450-04</v>
      </c>
      <c r="D3316" t="s">
        <v>3298</v>
      </c>
      <c r="E3316" t="b">
        <f>IF(COUNTIF(D3316,"*"&amp;'Keyword Search'!$C$5&amp;"*"),TRUE,FALSE)</f>
        <v>1</v>
      </c>
      <c r="G3316" t="str">
        <f t="shared" si="216"/>
        <v>450-04: Baling Wire and Ties</v>
      </c>
    </row>
    <row r="3317" spans="1:7" x14ac:dyDescent="0.25">
      <c r="A3317" s="1" t="str">
        <f t="shared" si="218"/>
        <v>450</v>
      </c>
      <c r="B3317" s="1" t="str">
        <f>TEXT(5,"00")</f>
        <v>05</v>
      </c>
      <c r="C3317" s="1" t="str">
        <f t="shared" si="215"/>
        <v>450-05</v>
      </c>
      <c r="D3317" t="s">
        <v>3299</v>
      </c>
      <c r="E3317" t="b">
        <f>IF(COUNTIF(D3317,"*"&amp;'Keyword Search'!$C$5&amp;"*"),TRUE,FALSE)</f>
        <v>1</v>
      </c>
      <c r="G3317" t="str">
        <f t="shared" si="216"/>
        <v>450-05: Barrel or Drum Stands</v>
      </c>
    </row>
    <row r="3318" spans="1:7" x14ac:dyDescent="0.25">
      <c r="A3318" s="1" t="str">
        <f t="shared" si="218"/>
        <v>450</v>
      </c>
      <c r="B3318" s="1" t="str">
        <f>TEXT(6,"00")</f>
        <v>06</v>
      </c>
      <c r="C3318" s="1" t="str">
        <f t="shared" si="215"/>
        <v>450-06</v>
      </c>
      <c r="D3318" t="s">
        <v>3300</v>
      </c>
      <c r="E3318" t="b">
        <f>IF(COUNTIF(D3318,"*"&amp;'Keyword Search'!$C$5&amp;"*"),TRUE,FALSE)</f>
        <v>1</v>
      </c>
      <c r="G3318" t="str">
        <f t="shared" si="216"/>
        <v>450-06: *Batteries, Dry Cell, Except Communications Radio and Electronic</v>
      </c>
    </row>
    <row r="3319" spans="1:7" x14ac:dyDescent="0.25">
      <c r="A3319" s="1" t="str">
        <f t="shared" si="218"/>
        <v>450</v>
      </c>
      <c r="B3319" s="1" t="str">
        <f>TEXT(7,"00")</f>
        <v>07</v>
      </c>
      <c r="C3319" s="1" t="str">
        <f t="shared" si="215"/>
        <v>450-07</v>
      </c>
      <c r="D3319" t="s">
        <v>3301</v>
      </c>
      <c r="E3319" t="b">
        <f>IF(COUNTIF(D3319,"*"&amp;'Keyword Search'!$C$5&amp;"*"),TRUE,FALSE)</f>
        <v>1</v>
      </c>
      <c r="G3319" t="str">
        <f t="shared" si="216"/>
        <v>450-07: Battery Chargers</v>
      </c>
    </row>
    <row r="3320" spans="1:7" x14ac:dyDescent="0.25">
      <c r="A3320" s="1" t="str">
        <f t="shared" si="218"/>
        <v>450</v>
      </c>
      <c r="B3320" s="1" t="str">
        <f>TEXT(8,"00")</f>
        <v>08</v>
      </c>
      <c r="C3320" s="1" t="str">
        <f t="shared" si="215"/>
        <v>450-08</v>
      </c>
      <c r="D3320" t="s">
        <v>3302</v>
      </c>
      <c r="E3320" t="b">
        <f>IF(COUNTIF(D3320,"*"&amp;'Keyword Search'!$C$5&amp;"*"),TRUE,FALSE)</f>
        <v>1</v>
      </c>
      <c r="G3320" t="str">
        <f t="shared" si="216"/>
        <v>450-08: Bins, Cabinets, and Shelves, Metal, Not Office Type</v>
      </c>
    </row>
    <row r="3321" spans="1:7" x14ac:dyDescent="0.25">
      <c r="A3321" s="1" t="str">
        <f t="shared" si="218"/>
        <v>450</v>
      </c>
      <c r="B3321" s="1" t="str">
        <f>TEXT(9,"00")</f>
        <v>09</v>
      </c>
      <c r="C3321" s="1" t="str">
        <f t="shared" si="215"/>
        <v>450-09</v>
      </c>
      <c r="D3321" t="s">
        <v>3303</v>
      </c>
      <c r="E3321" t="b">
        <f>IF(COUNTIF(D3321,"*"&amp;'Keyword Search'!$C$5&amp;"*"),TRUE,FALSE)</f>
        <v>1</v>
      </c>
      <c r="G3321" t="str">
        <f t="shared" si="216"/>
        <v>450-09: Bins, Cabinets, and Shelves, Wood, Not Office Type</v>
      </c>
    </row>
    <row r="3322" spans="1:7" x14ac:dyDescent="0.25">
      <c r="A3322" s="1" t="str">
        <f t="shared" si="218"/>
        <v>450</v>
      </c>
      <c r="B3322" s="1" t="str">
        <f>TEXT(10,"00")</f>
        <v>10</v>
      </c>
      <c r="C3322" s="1" t="str">
        <f t="shared" si="215"/>
        <v>450-10</v>
      </c>
      <c r="D3322" t="s">
        <v>3304</v>
      </c>
      <c r="E3322" t="b">
        <f>IF(COUNTIF(D3322,"*"&amp;'Keyword Search'!$C$5&amp;"*"),TRUE,FALSE)</f>
        <v>1</v>
      </c>
      <c r="G3322" t="str">
        <f t="shared" si="216"/>
        <v>450-10: Bins, Cabinets, and Shelves, Other than Metal or Wood, Not Office Type</v>
      </c>
    </row>
    <row r="3323" spans="1:7" x14ac:dyDescent="0.25">
      <c r="A3323" s="1" t="str">
        <f t="shared" si="218"/>
        <v>450</v>
      </c>
      <c r="B3323" s="1" t="str">
        <f>TEXT(11,"00")</f>
        <v>11</v>
      </c>
      <c r="C3323" s="1" t="str">
        <f t="shared" si="215"/>
        <v>450-11</v>
      </c>
      <c r="D3323" t="s">
        <v>3305</v>
      </c>
      <c r="E3323" t="b">
        <f>IF(COUNTIF(D3323,"*"&amp;'Keyword Search'!$C$5&amp;"*"),TRUE,FALSE)</f>
        <v>1</v>
      </c>
      <c r="G3323" t="str">
        <f t="shared" si="216"/>
        <v>450-11: Blocks: Snatch, Tackle, etc.</v>
      </c>
    </row>
    <row r="3324" spans="1:7" x14ac:dyDescent="0.25">
      <c r="A3324" s="1" t="str">
        <f t="shared" si="218"/>
        <v>450</v>
      </c>
      <c r="B3324" s="1" t="str">
        <f>TEXT(13,"00")</f>
        <v>13</v>
      </c>
      <c r="C3324" s="1" t="str">
        <f t="shared" si="215"/>
        <v>450-13</v>
      </c>
      <c r="D3324" t="s">
        <v>3306</v>
      </c>
      <c r="E3324" t="b">
        <f>IF(COUNTIF(D3324,"*"&amp;'Keyword Search'!$C$5&amp;"*"),TRUE,FALSE)</f>
        <v>1</v>
      </c>
      <c r="G3324" t="str">
        <f t="shared" si="216"/>
        <v>450-13: Blow Torches, Furnaces, Ladles, Melting Pots, etc.</v>
      </c>
    </row>
    <row r="3325" spans="1:7" x14ac:dyDescent="0.25">
      <c r="A3325" s="1" t="str">
        <f t="shared" si="218"/>
        <v>450</v>
      </c>
      <c r="B3325" s="1" t="str">
        <f>TEXT(14,"00")</f>
        <v>14</v>
      </c>
      <c r="C3325" s="1" t="str">
        <f t="shared" si="215"/>
        <v>450-14</v>
      </c>
      <c r="D3325" t="s">
        <v>3307</v>
      </c>
      <c r="E3325" t="b">
        <f>IF(COUNTIF(D3325,"*"&amp;'Keyword Search'!$C$5&amp;"*"),TRUE,FALSE)</f>
        <v>1</v>
      </c>
      <c r="G3325" t="str">
        <f t="shared" si="216"/>
        <v>450-14: Cabinets, Safety, Flammable Liquids, etc.</v>
      </c>
    </row>
    <row r="3326" spans="1:7" x14ac:dyDescent="0.25">
      <c r="A3326" s="1" t="str">
        <f t="shared" si="218"/>
        <v>450</v>
      </c>
      <c r="B3326" s="1" t="str">
        <f>TEXT(15,"00")</f>
        <v>15</v>
      </c>
      <c r="C3326" s="1" t="str">
        <f t="shared" si="215"/>
        <v>450-15</v>
      </c>
      <c r="D3326" t="s">
        <v>3308</v>
      </c>
      <c r="E3326" t="b">
        <f>IF(COUNTIF(D3326,"*"&amp;'Keyword Search'!$C$5&amp;"*"),TRUE,FALSE)</f>
        <v>1</v>
      </c>
      <c r="G3326" t="str">
        <f t="shared" si="216"/>
        <v>450-15: Camping and Outdoor Equipment: Camp Stoves, Cots, Lanterns (See 450-32 for Battery Types), Mantles, Sleeping Bags, Stools, Tarpaulins and Tents</v>
      </c>
    </row>
    <row r="3327" spans="1:7" x14ac:dyDescent="0.25">
      <c r="A3327" s="1" t="str">
        <f t="shared" si="218"/>
        <v>450</v>
      </c>
      <c r="B3327" s="1" t="str">
        <f>TEXT(16,"00")</f>
        <v>16</v>
      </c>
      <c r="C3327" s="1" t="str">
        <f t="shared" si="215"/>
        <v>450-16</v>
      </c>
      <c r="D3327" t="s">
        <v>3309</v>
      </c>
      <c r="E3327" t="b">
        <f>IF(COUNTIF(D3327,"*"&amp;'Keyword Search'!$C$5&amp;"*"),TRUE,FALSE)</f>
        <v>1</v>
      </c>
      <c r="G3327" t="str">
        <f t="shared" si="216"/>
        <v>450-16: Casters, All Types</v>
      </c>
    </row>
    <row r="3328" spans="1:7" x14ac:dyDescent="0.25">
      <c r="A3328" s="1" t="str">
        <f t="shared" si="218"/>
        <v>450</v>
      </c>
      <c r="B3328" s="1" t="str">
        <f>TEXT(17,"00")</f>
        <v>17</v>
      </c>
      <c r="C3328" s="1" t="str">
        <f t="shared" si="215"/>
        <v>450-17</v>
      </c>
      <c r="D3328" t="s">
        <v>3310</v>
      </c>
      <c r="E3328" t="b">
        <f>IF(COUNTIF(D3328,"*"&amp;'Keyword Search'!$C$5&amp;"*"),TRUE,FALSE)</f>
        <v>1</v>
      </c>
      <c r="G3328" t="str">
        <f t="shared" si="216"/>
        <v>450-17: Cans, Safety: Gasoline, Kerosene, Oil, etc.</v>
      </c>
    </row>
    <row r="3329" spans="1:7" x14ac:dyDescent="0.25">
      <c r="A3329" s="1" t="str">
        <f t="shared" si="218"/>
        <v>450</v>
      </c>
      <c r="B3329" s="1" t="str">
        <f>TEXT(18,"00")</f>
        <v>18</v>
      </c>
      <c r="C3329" s="1" t="str">
        <f t="shared" si="215"/>
        <v>450-18</v>
      </c>
      <c r="D3329" t="s">
        <v>3311</v>
      </c>
      <c r="E3329" t="b">
        <f>IF(COUNTIF(D3329,"*"&amp;'Keyword Search'!$C$5&amp;"*"),TRUE,FALSE)</f>
        <v>1</v>
      </c>
      <c r="G3329" t="str">
        <f t="shared" si="216"/>
        <v>450-18: Cans, Buckets, and Lids, General Purpose, Including Paint Cans and Buckets</v>
      </c>
    </row>
    <row r="3330" spans="1:7" x14ac:dyDescent="0.25">
      <c r="A3330" s="1" t="str">
        <f t="shared" si="218"/>
        <v>450</v>
      </c>
      <c r="B3330" s="1" t="str">
        <f>TEXT(19,"00")</f>
        <v>19</v>
      </c>
      <c r="C3330" s="1" t="str">
        <f t="shared" si="215"/>
        <v>450-19</v>
      </c>
      <c r="D3330" t="s">
        <v>3312</v>
      </c>
      <c r="E3330" t="b">
        <f>IF(COUNTIF(D3330,"*"&amp;'Keyword Search'!$C$5&amp;"*"),TRUE,FALSE)</f>
        <v>1</v>
      </c>
      <c r="G3330" t="str">
        <f t="shared" si="216"/>
        <v>450-19: Chain Hooks, Links, Cold Shuts, Shackles, Slips, etc.</v>
      </c>
    </row>
    <row r="3331" spans="1:7" x14ac:dyDescent="0.25">
      <c r="A3331" s="1" t="str">
        <f t="shared" si="218"/>
        <v>450</v>
      </c>
      <c r="B3331" s="1" t="str">
        <f>TEXT(20,"00")</f>
        <v>20</v>
      </c>
      <c r="C3331" s="1" t="str">
        <f t="shared" ref="C3331:C3394" si="219">CONCATENATE(A3331,"-",B3331)</f>
        <v>450-20</v>
      </c>
      <c r="D3331" t="s">
        <v>3313</v>
      </c>
      <c r="E3331" t="b">
        <f>IF(COUNTIF(D3331,"*"&amp;'Keyword Search'!$C$5&amp;"*"),TRUE,FALSE)</f>
        <v>1</v>
      </c>
      <c r="G3331" t="str">
        <f t="shared" si="216"/>
        <v>450-20: Cans, Food and Beverage Packaging</v>
      </c>
    </row>
    <row r="3332" spans="1:7" x14ac:dyDescent="0.25">
      <c r="A3332" s="1" t="str">
        <f t="shared" si="218"/>
        <v>450</v>
      </c>
      <c r="B3332" s="1" t="str">
        <f>TEXT(21,"00")</f>
        <v>21</v>
      </c>
      <c r="C3332" s="1" t="str">
        <f t="shared" si="219"/>
        <v>450-21</v>
      </c>
      <c r="D3332" t="s">
        <v>3314</v>
      </c>
      <c r="E3332" t="b">
        <f>IF(COUNTIF(D3332,"*"&amp;'Keyword Search'!$C$5&amp;"*"),TRUE,FALSE)</f>
        <v>1</v>
      </c>
      <c r="G3332" t="str">
        <f t="shared" ref="G3332:G3395" si="220">CONCATENATE(C3332,": ",D3332)</f>
        <v>450-21: Chain, All Types: Coil, Link, Machine, Sash, Tow, Weldless, etc.</v>
      </c>
    </row>
    <row r="3333" spans="1:7" x14ac:dyDescent="0.25">
      <c r="A3333" s="1" t="str">
        <f t="shared" si="218"/>
        <v>450</v>
      </c>
      <c r="B3333" s="1" t="str">
        <f>TEXT(22,"00")</f>
        <v>22</v>
      </c>
      <c r="C3333" s="1" t="str">
        <f t="shared" si="219"/>
        <v>450-22</v>
      </c>
      <c r="D3333" t="s">
        <v>3315</v>
      </c>
      <c r="E3333" t="b">
        <f>IF(COUNTIF(D3333,"*"&amp;'Keyword Search'!$C$5&amp;"*"),TRUE,FALSE)</f>
        <v>1</v>
      </c>
      <c r="G3333" t="str">
        <f t="shared" si="220"/>
        <v>450-22: Cloth, Hardware</v>
      </c>
    </row>
    <row r="3334" spans="1:7" x14ac:dyDescent="0.25">
      <c r="A3334" s="1" t="str">
        <f t="shared" si="218"/>
        <v>450</v>
      </c>
      <c r="B3334" s="1" t="str">
        <f>TEXT(23,"00")</f>
        <v>23</v>
      </c>
      <c r="C3334" s="1" t="str">
        <f t="shared" si="219"/>
        <v>450-23</v>
      </c>
      <c r="D3334" t="s">
        <v>3316</v>
      </c>
      <c r="E3334" t="b">
        <f>IF(COUNTIF(D3334,"*"&amp;'Keyword Search'!$C$5&amp;"*"),TRUE,FALSE)</f>
        <v>1</v>
      </c>
      <c r="G3334" t="str">
        <f t="shared" si="220"/>
        <v>450-23: Coasters and Cups, Furniture</v>
      </c>
    </row>
    <row r="3335" spans="1:7" x14ac:dyDescent="0.25">
      <c r="A3335" s="1" t="str">
        <f t="shared" si="218"/>
        <v>450</v>
      </c>
      <c r="B3335" s="1" t="str">
        <f>TEXT(24,"00")</f>
        <v>24</v>
      </c>
      <c r="C3335" s="1" t="str">
        <f t="shared" si="219"/>
        <v>450-24</v>
      </c>
      <c r="D3335" t="s">
        <v>3317</v>
      </c>
      <c r="E3335" t="b">
        <f>IF(COUNTIF(D3335,"*"&amp;'Keyword Search'!$C$5&amp;"*"),TRUE,FALSE)</f>
        <v>1</v>
      </c>
      <c r="G3335" t="str">
        <f t="shared" si="220"/>
        <v>450-24: Cords and Ropes Including Accessories: Cotton, Manila, Nylon, Sisal, etc.</v>
      </c>
    </row>
    <row r="3336" spans="1:7" x14ac:dyDescent="0.25">
      <c r="A3336" s="1" t="str">
        <f t="shared" si="218"/>
        <v>450</v>
      </c>
      <c r="B3336" s="1" t="str">
        <f>TEXT(25,"00")</f>
        <v>25</v>
      </c>
      <c r="C3336" s="1" t="str">
        <f t="shared" si="219"/>
        <v>450-25</v>
      </c>
      <c r="D3336" t="s">
        <v>3318</v>
      </c>
      <c r="E3336" t="b">
        <f>IF(COUNTIF(D3336,"*"&amp;'Keyword Search'!$C$5&amp;"*"),TRUE,FALSE)</f>
        <v>1</v>
      </c>
      <c r="G3336" t="str">
        <f t="shared" si="220"/>
        <v>450-25: Cords, Power, Electrical</v>
      </c>
    </row>
    <row r="3337" spans="1:7" x14ac:dyDescent="0.25">
      <c r="A3337" s="1" t="str">
        <f t="shared" si="218"/>
        <v>450</v>
      </c>
      <c r="B3337" s="1" t="str">
        <f>TEXT(26,"00")</f>
        <v>26</v>
      </c>
      <c r="C3337" s="1" t="str">
        <f t="shared" si="219"/>
        <v>450-26</v>
      </c>
      <c r="D3337" t="s">
        <v>3319</v>
      </c>
      <c r="E3337" t="b">
        <f>IF(COUNTIF(D3337,"*"&amp;'Keyword Search'!$C$5&amp;"*"),TRUE,FALSE)</f>
        <v>1</v>
      </c>
      <c r="G3337" t="str">
        <f t="shared" si="220"/>
        <v>450-26: Door Closers, Escutcheons, Eyes, Hangers, Holders, Overhead and Sliding Door Hardware, Panic Hardware, Thresholds, etc.</v>
      </c>
    </row>
    <row r="3338" spans="1:7" x14ac:dyDescent="0.25">
      <c r="A3338" s="1" t="str">
        <f t="shared" si="218"/>
        <v>450</v>
      </c>
      <c r="B3338" s="1" t="str">
        <f>TEXT(28,"00")</f>
        <v>28</v>
      </c>
      <c r="C3338" s="1" t="str">
        <f t="shared" si="219"/>
        <v>450-28</v>
      </c>
      <c r="D3338" t="s">
        <v>3320</v>
      </c>
      <c r="E3338" t="b">
        <f>IF(COUNTIF(D3338,"*"&amp;'Keyword Search'!$C$5&amp;"*"),TRUE,FALSE)</f>
        <v>1</v>
      </c>
      <c r="G3338" t="str">
        <f t="shared" si="220"/>
        <v>450-28: Drawer Glides, Rollers, Tracks, etc.</v>
      </c>
    </row>
    <row r="3339" spans="1:7" x14ac:dyDescent="0.25">
      <c r="A3339" s="1" t="str">
        <f t="shared" si="218"/>
        <v>450</v>
      </c>
      <c r="B3339" s="1" t="str">
        <f>TEXT(30,"00")</f>
        <v>30</v>
      </c>
      <c r="C3339" s="1" t="str">
        <f t="shared" si="219"/>
        <v>450-30</v>
      </c>
      <c r="D3339" t="s">
        <v>3321</v>
      </c>
      <c r="E3339" t="b">
        <f>IF(COUNTIF(D3339,"*"&amp;'Keyword Search'!$C$5&amp;"*"),TRUE,FALSE)</f>
        <v>1</v>
      </c>
      <c r="G3339" t="str">
        <f t="shared" si="220"/>
        <v>450-30: Electric Fence Controllers and Accessories</v>
      </c>
    </row>
    <row r="3340" spans="1:7" x14ac:dyDescent="0.25">
      <c r="A3340" s="1" t="str">
        <f t="shared" si="218"/>
        <v>450</v>
      </c>
      <c r="B3340" s="1" t="str">
        <f>TEXT(31,"00")</f>
        <v>31</v>
      </c>
      <c r="C3340" s="1" t="str">
        <f t="shared" si="219"/>
        <v>450-31</v>
      </c>
      <c r="D3340" t="s">
        <v>3322</v>
      </c>
      <c r="E3340" t="b">
        <f>IF(COUNTIF(D3340,"*"&amp;'Keyword Search'!$C$5&amp;"*"),TRUE,FALSE)</f>
        <v>1</v>
      </c>
      <c r="G3340" t="str">
        <f t="shared" si="220"/>
        <v>450-31: Flashlights and Spotlights, Security Type</v>
      </c>
    </row>
    <row r="3341" spans="1:7" x14ac:dyDescent="0.25">
      <c r="A3341" s="1" t="str">
        <f t="shared" si="218"/>
        <v>450</v>
      </c>
      <c r="B3341" s="1" t="str">
        <f>TEXT(32,"00")</f>
        <v>32</v>
      </c>
      <c r="C3341" s="1" t="str">
        <f t="shared" si="219"/>
        <v>450-32</v>
      </c>
      <c r="D3341" t="s">
        <v>3323</v>
      </c>
      <c r="E3341" t="b">
        <f>IF(COUNTIF(D3341,"*"&amp;'Keyword Search'!$C$5&amp;"*"),TRUE,FALSE)</f>
        <v>1</v>
      </c>
      <c r="G3341" t="str">
        <f t="shared" si="220"/>
        <v>450-32: Flashlights and Lanterns, Battery Type, (See 450-15 for Fuel Types)</v>
      </c>
    </row>
    <row r="3342" spans="1:7" x14ac:dyDescent="0.25">
      <c r="A3342" s="1" t="str">
        <f t="shared" si="218"/>
        <v>450</v>
      </c>
      <c r="B3342" s="1" t="str">
        <f>TEXT(33,"00")</f>
        <v>33</v>
      </c>
      <c r="C3342" s="1" t="str">
        <f t="shared" si="219"/>
        <v>450-33</v>
      </c>
      <c r="D3342" t="s">
        <v>3324</v>
      </c>
      <c r="E3342" t="b">
        <f>IF(COUNTIF(D3342,"*"&amp;'Keyword Search'!$C$5&amp;"*"),TRUE,FALSE)</f>
        <v>1</v>
      </c>
      <c r="G3342" t="str">
        <f t="shared" si="220"/>
        <v>450-33: Funnels and Spouts, All Types, Except Glass</v>
      </c>
    </row>
    <row r="3343" spans="1:7" x14ac:dyDescent="0.25">
      <c r="A3343" s="1" t="str">
        <f t="shared" si="218"/>
        <v>450</v>
      </c>
      <c r="B3343" s="1" t="str">
        <f>TEXT(34,"00")</f>
        <v>34</v>
      </c>
      <c r="C3343" s="1" t="str">
        <f t="shared" si="219"/>
        <v>450-34</v>
      </c>
      <c r="D3343" t="s">
        <v>3325</v>
      </c>
      <c r="E3343" t="b">
        <f>IF(COUNTIF(D3343,"*"&amp;'Keyword Search'!$C$5&amp;"*"),TRUE,FALSE)</f>
        <v>1</v>
      </c>
      <c r="G3343" t="str">
        <f t="shared" si="220"/>
        <v>450-34: Garbage Cans, Containers and Racks</v>
      </c>
    </row>
    <row r="3344" spans="1:7" x14ac:dyDescent="0.25">
      <c r="A3344" s="1" t="str">
        <f t="shared" si="218"/>
        <v>450</v>
      </c>
      <c r="B3344" s="1" t="str">
        <f>TEXT(35,"00")</f>
        <v>35</v>
      </c>
      <c r="C3344" s="1" t="str">
        <f t="shared" si="219"/>
        <v>450-35</v>
      </c>
      <c r="D3344" t="s">
        <v>3326</v>
      </c>
      <c r="E3344" t="b">
        <f>IF(COUNTIF(D3344,"*"&amp;'Keyword Search'!$C$5&amp;"*"),TRUE,FALSE)</f>
        <v>1</v>
      </c>
      <c r="G3344" t="str">
        <f t="shared" si="220"/>
        <v>450-35: Glides, Furniture  (Inactive, please see commodity code 450-36 effective January 1, 2016)</v>
      </c>
    </row>
    <row r="3345" spans="1:7" x14ac:dyDescent="0.25">
      <c r="A3345" s="1" t="str">
        <f t="shared" si="218"/>
        <v>450</v>
      </c>
      <c r="B3345" s="1" t="str">
        <f>TEXT(36,"00")</f>
        <v>36</v>
      </c>
      <c r="C3345" s="1" t="str">
        <f t="shared" si="219"/>
        <v>450-36</v>
      </c>
      <c r="D3345" t="s">
        <v>3327</v>
      </c>
      <c r="E3345" t="b">
        <f>IF(COUNTIF(D3345,"*"&amp;'Keyword Search'!$C$5&amp;"*"),TRUE,FALSE)</f>
        <v>1</v>
      </c>
      <c r="G3345" t="str">
        <f t="shared" si="220"/>
        <v>450-36: Hasps, Hinges, Hooks, Knobs, Latches, Pulls, Shelf Brackets, Swivels, Furniture Glides, 070etc.</v>
      </c>
    </row>
    <row r="3346" spans="1:7" x14ac:dyDescent="0.25">
      <c r="A3346" s="1" t="str">
        <f t="shared" si="218"/>
        <v>450</v>
      </c>
      <c r="B3346" s="1" t="str">
        <f>TEXT(37,"00")</f>
        <v>37</v>
      </c>
      <c r="C3346" s="1" t="str">
        <f t="shared" si="219"/>
        <v>450-37</v>
      </c>
      <c r="D3346" t="s">
        <v>3328</v>
      </c>
      <c r="E3346" t="b">
        <f>IF(COUNTIF(D3346,"*"&amp;'Keyword Search'!$C$5&amp;"*"),TRUE,FALSE)</f>
        <v>1</v>
      </c>
      <c r="G3346" t="str">
        <f t="shared" si="220"/>
        <v>450-37: Hardware Accessories: Mounts, Patches, Plates, Seats, Shoes, Stays, etc.</v>
      </c>
    </row>
    <row r="3347" spans="1:7" x14ac:dyDescent="0.25">
      <c r="A3347" s="1" t="str">
        <f t="shared" si="218"/>
        <v>450</v>
      </c>
      <c r="B3347" s="1" t="str">
        <f>TEXT(38,"00")</f>
        <v>38</v>
      </c>
      <c r="C3347" s="1" t="str">
        <f t="shared" si="219"/>
        <v>450-38</v>
      </c>
      <c r="D3347" t="s">
        <v>3329</v>
      </c>
      <c r="E3347" t="b">
        <f>IF(COUNTIF(D3347,"*"&amp;'Keyword Search'!$C$5&amp;"*"),TRUE,FALSE)</f>
        <v>1</v>
      </c>
      <c r="G3347" t="str">
        <f t="shared" si="220"/>
        <v>450-38: Heaters, Salamander Type</v>
      </c>
    </row>
    <row r="3348" spans="1:7" x14ac:dyDescent="0.25">
      <c r="A3348" s="1" t="str">
        <f t="shared" si="218"/>
        <v>450</v>
      </c>
      <c r="B3348" s="1" t="str">
        <f>TEXT(39,"00")</f>
        <v>39</v>
      </c>
      <c r="C3348" s="1" t="str">
        <f t="shared" si="219"/>
        <v>450-39</v>
      </c>
      <c r="D3348" t="s">
        <v>3330</v>
      </c>
      <c r="E3348" t="b">
        <f>IF(COUNTIF(D3348,"*"&amp;'Keyword Search'!$C$5&amp;"*"),TRUE,FALSE)</f>
        <v>1</v>
      </c>
      <c r="G3348" t="str">
        <f t="shared" si="220"/>
        <v>450-39: Holders, Broom and Mop</v>
      </c>
    </row>
    <row r="3349" spans="1:7" x14ac:dyDescent="0.25">
      <c r="A3349" s="1" t="str">
        <f t="shared" si="218"/>
        <v>450</v>
      </c>
      <c r="B3349" s="1" t="str">
        <f>TEXT(40,"00")</f>
        <v>40</v>
      </c>
      <c r="C3349" s="1" t="str">
        <f t="shared" si="219"/>
        <v>450-40</v>
      </c>
      <c r="D3349" t="s">
        <v>3331</v>
      </c>
      <c r="E3349" t="b">
        <f>IF(COUNTIF(D3349,"*"&amp;'Keyword Search'!$C$5&amp;"*"),TRUE,FALSE)</f>
        <v>1</v>
      </c>
      <c r="G3349" t="str">
        <f t="shared" si="220"/>
        <v>450-40: Horseshoes, Horseshoe Nails, Farrier Tools, and Blacksmith Tools</v>
      </c>
    </row>
    <row r="3350" spans="1:7" x14ac:dyDescent="0.25">
      <c r="A3350" s="1" t="str">
        <f t="shared" si="218"/>
        <v>450</v>
      </c>
      <c r="B3350" s="1" t="str">
        <f>TEXT(41,"00")</f>
        <v>41</v>
      </c>
      <c r="C3350" s="1" t="str">
        <f t="shared" si="219"/>
        <v>450-41</v>
      </c>
      <c r="D3350" t="s">
        <v>3332</v>
      </c>
      <c r="E3350" t="b">
        <f>IF(COUNTIF(D3350,"*"&amp;'Keyword Search'!$C$5&amp;"*"),TRUE,FALSE)</f>
        <v>1</v>
      </c>
      <c r="G3350" t="str">
        <f t="shared" si="220"/>
        <v>450-41: Hardware and Related Items (Not Otherwise Classified)</v>
      </c>
    </row>
    <row r="3351" spans="1:7" x14ac:dyDescent="0.25">
      <c r="A3351" s="1" t="str">
        <f t="shared" si="218"/>
        <v>450</v>
      </c>
      <c r="B3351" s="1" t="str">
        <f>TEXT(42,"00")</f>
        <v>42</v>
      </c>
      <c r="C3351" s="1" t="str">
        <f t="shared" si="219"/>
        <v>450-42</v>
      </c>
      <c r="D3351" t="s">
        <v>3333</v>
      </c>
      <c r="E3351" t="b">
        <f>IF(COUNTIF(D3351,"*"&amp;'Keyword Search'!$C$5&amp;"*"),TRUE,FALSE)</f>
        <v>1</v>
      </c>
      <c r="G3351" t="str">
        <f t="shared" si="220"/>
        <v>450-42: House and Building Numbers and Letters, All Kinds</v>
      </c>
    </row>
    <row r="3352" spans="1:7" x14ac:dyDescent="0.25">
      <c r="A3352" s="1" t="str">
        <f t="shared" si="218"/>
        <v>450</v>
      </c>
      <c r="B3352" s="1" t="str">
        <f>TEXT(44,"00")</f>
        <v>44</v>
      </c>
      <c r="C3352" s="1" t="str">
        <f t="shared" si="219"/>
        <v>450-44</v>
      </c>
      <c r="D3352" t="s">
        <v>3334</v>
      </c>
      <c r="E3352" t="b">
        <f>IF(COUNTIF(D3352,"*"&amp;'Keyword Search'!$C$5&amp;"*"),TRUE,FALSE)</f>
        <v>1</v>
      </c>
      <c r="G3352" t="str">
        <f t="shared" si="220"/>
        <v>450-44: Ice Chests, Portable, Thermos Bottles, etc.</v>
      </c>
    </row>
    <row r="3353" spans="1:7" x14ac:dyDescent="0.25">
      <c r="A3353" s="1" t="str">
        <f t="shared" si="218"/>
        <v>450</v>
      </c>
      <c r="B3353" s="1" t="str">
        <f>TEXT(46,"00")</f>
        <v>46</v>
      </c>
      <c r="C3353" s="1" t="str">
        <f t="shared" si="219"/>
        <v>450-46</v>
      </c>
      <c r="D3353" t="s">
        <v>3335</v>
      </c>
      <c r="E3353" t="b">
        <f>IF(COUNTIF(D3353,"*"&amp;'Keyword Search'!$C$5&amp;"*"),TRUE,FALSE)</f>
        <v>1</v>
      </c>
      <c r="G3353" t="str">
        <f t="shared" si="220"/>
        <v>450-46: Incinerators, Industrial</v>
      </c>
    </row>
    <row r="3354" spans="1:7" x14ac:dyDescent="0.25">
      <c r="A3354" s="1" t="str">
        <f t="shared" si="218"/>
        <v>450</v>
      </c>
      <c r="B3354" s="1" t="str">
        <f>TEXT(47,"00")</f>
        <v>47</v>
      </c>
      <c r="C3354" s="1" t="str">
        <f t="shared" si="219"/>
        <v>450-47</v>
      </c>
      <c r="D3354" t="s">
        <v>3336</v>
      </c>
      <c r="E3354" t="b">
        <f>IF(COUNTIF(D3354,"*"&amp;'Keyword Search'!$C$5&amp;"*"),TRUE,FALSE)</f>
        <v>1</v>
      </c>
      <c r="G3354" t="str">
        <f t="shared" si="220"/>
        <v>450-47: Knives, Pocket</v>
      </c>
    </row>
    <row r="3355" spans="1:7" x14ac:dyDescent="0.25">
      <c r="A3355" s="1" t="str">
        <f t="shared" si="218"/>
        <v>450</v>
      </c>
      <c r="B3355" s="1" t="str">
        <f>TEXT(48,"00")</f>
        <v>48</v>
      </c>
      <c r="C3355" s="1" t="str">
        <f t="shared" si="219"/>
        <v>450-48</v>
      </c>
      <c r="D3355" t="s">
        <v>3337</v>
      </c>
      <c r="E3355" t="b">
        <f>IF(COUNTIF(D3355,"*"&amp;'Keyword Search'!$C$5&amp;"*"),TRUE,FALSE)</f>
        <v>1</v>
      </c>
      <c r="G3355" t="str">
        <f t="shared" si="220"/>
        <v>450-48: Ladders, Fiberglass, All Types (See Class 340 for Fire Ladders)</v>
      </c>
    </row>
    <row r="3356" spans="1:7" x14ac:dyDescent="0.25">
      <c r="A3356" s="1" t="str">
        <f t="shared" si="218"/>
        <v>450</v>
      </c>
      <c r="B3356" s="1" t="str">
        <f>TEXT(49,"00")</f>
        <v>49</v>
      </c>
      <c r="C3356" s="1" t="str">
        <f t="shared" si="219"/>
        <v>450-49</v>
      </c>
      <c r="D3356" t="s">
        <v>3338</v>
      </c>
      <c r="E3356" t="b">
        <f>IF(COUNTIF(D3356,"*"&amp;'Keyword Search'!$C$5&amp;"*"),TRUE,FALSE)</f>
        <v>1</v>
      </c>
      <c r="G3356" t="str">
        <f t="shared" si="220"/>
        <v>450-49: Ladders, Metal, All Types (See Class 340 for Fire Ladders)</v>
      </c>
    </row>
    <row r="3357" spans="1:7" x14ac:dyDescent="0.25">
      <c r="A3357" s="1" t="str">
        <f t="shared" si="218"/>
        <v>450</v>
      </c>
      <c r="B3357" s="1" t="str">
        <f>TEXT(51,"00")</f>
        <v>51</v>
      </c>
      <c r="C3357" s="1" t="str">
        <f t="shared" si="219"/>
        <v>450-51</v>
      </c>
      <c r="D3357" t="s">
        <v>3339</v>
      </c>
      <c r="E3357" t="b">
        <f>IF(COUNTIF(D3357,"*"&amp;'Keyword Search'!$C$5&amp;"*"),TRUE,FALSE)</f>
        <v>1</v>
      </c>
      <c r="G3357" t="str">
        <f t="shared" si="220"/>
        <v>450-51: Ladders, Wood, All Types (See Class 340 for Fire Ladders)</v>
      </c>
    </row>
    <row r="3358" spans="1:7" x14ac:dyDescent="0.25">
      <c r="A3358" s="1" t="str">
        <f t="shared" si="218"/>
        <v>450</v>
      </c>
      <c r="B3358" s="1" t="str">
        <f>TEXT(52,"00")</f>
        <v>52</v>
      </c>
      <c r="C3358" s="1" t="str">
        <f t="shared" si="219"/>
        <v>450-52</v>
      </c>
      <c r="D3358" t="s">
        <v>3340</v>
      </c>
      <c r="E3358" t="b">
        <f>IF(COUNTIF(D3358,"*"&amp;'Keyword Search'!$C$5&amp;"*"),TRUE,FALSE)</f>
        <v>1</v>
      </c>
      <c r="G3358" t="str">
        <f t="shared" si="220"/>
        <v>450-52: Ladders, Extension, (See Class 340 for Fire Ladders)</v>
      </c>
    </row>
    <row r="3359" spans="1:7" x14ac:dyDescent="0.25">
      <c r="A3359" s="1" t="str">
        <f t="shared" si="218"/>
        <v>450</v>
      </c>
      <c r="B3359" s="1" t="str">
        <f>TEXT(53,"00")</f>
        <v>53</v>
      </c>
      <c r="C3359" s="1" t="str">
        <f t="shared" si="219"/>
        <v>450-53</v>
      </c>
      <c r="D3359" t="s">
        <v>3341</v>
      </c>
      <c r="E3359" t="b">
        <f>IF(COUNTIF(D3359,"*"&amp;'Keyword Search'!$C$5&amp;"*"),TRUE,FALSE)</f>
        <v>1</v>
      </c>
      <c r="G3359" t="str">
        <f t="shared" si="220"/>
        <v>450-53: Loadbinders and Tie Downs</v>
      </c>
    </row>
    <row r="3360" spans="1:7" x14ac:dyDescent="0.25">
      <c r="A3360" s="1" t="str">
        <f t="shared" si="218"/>
        <v>450</v>
      </c>
      <c r="B3360" s="1" t="str">
        <f>TEXT(54,"00")</f>
        <v>54</v>
      </c>
      <c r="C3360" s="1" t="str">
        <f t="shared" si="219"/>
        <v>450-54</v>
      </c>
      <c r="D3360" t="s">
        <v>3342</v>
      </c>
      <c r="E3360" t="b">
        <f>IF(COUNTIF(D3360,"*"&amp;'Keyword Search'!$C$5&amp;"*"),TRUE,FALSE)</f>
        <v>1</v>
      </c>
      <c r="G3360" t="str">
        <f t="shared" si="220"/>
        <v>450-54: Levelers and Jacks for Ladders</v>
      </c>
    </row>
    <row r="3361" spans="1:7" x14ac:dyDescent="0.25">
      <c r="A3361" s="1" t="str">
        <f t="shared" si="218"/>
        <v>450</v>
      </c>
      <c r="B3361" s="1" t="str">
        <f>TEXT(55,"00")</f>
        <v>55</v>
      </c>
      <c r="C3361" s="1" t="str">
        <f t="shared" si="219"/>
        <v>450-55</v>
      </c>
      <c r="D3361" t="s">
        <v>3343</v>
      </c>
      <c r="E3361" t="b">
        <f>IF(COUNTIF(D3361,"*"&amp;'Keyword Search'!$C$5&amp;"*"),TRUE,FALSE)</f>
        <v>1</v>
      </c>
      <c r="G3361" t="str">
        <f t="shared" si="220"/>
        <v>450-55: Locks, Key Blanks, and Locksmith Tools, Including Time Locks</v>
      </c>
    </row>
    <row r="3362" spans="1:7" x14ac:dyDescent="0.25">
      <c r="A3362" s="1" t="str">
        <f t="shared" si="218"/>
        <v>450</v>
      </c>
      <c r="B3362" s="1" t="str">
        <f>TEXT(56,"00")</f>
        <v>56</v>
      </c>
      <c r="C3362" s="1" t="str">
        <f t="shared" si="219"/>
        <v>450-56</v>
      </c>
      <c r="D3362" t="s">
        <v>3344</v>
      </c>
      <c r="E3362" t="b">
        <f>IF(COUNTIF(D3362,"*"&amp;'Keyword Search'!$C$5&amp;"*"),TRUE,FALSE)</f>
        <v>1</v>
      </c>
      <c r="G3362" t="str">
        <f t="shared" si="220"/>
        <v>450-56: Machine Finishing Compounds, Layout Fluids, etc., For Metals</v>
      </c>
    </row>
    <row r="3363" spans="1:7" x14ac:dyDescent="0.25">
      <c r="A3363" s="1" t="str">
        <f t="shared" si="218"/>
        <v>450</v>
      </c>
      <c r="B3363" s="1" t="str">
        <f>TEXT(57,"00")</f>
        <v>57</v>
      </c>
      <c r="C3363" s="1" t="str">
        <f t="shared" si="219"/>
        <v>450-57</v>
      </c>
      <c r="D3363" t="s">
        <v>3345</v>
      </c>
      <c r="E3363" t="b">
        <f>IF(COUNTIF(D3363,"*"&amp;'Keyword Search'!$C$5&amp;"*"),TRUE,FALSE)</f>
        <v>1</v>
      </c>
      <c r="G3363" t="str">
        <f t="shared" si="220"/>
        <v>450-57: Mailboxes and Supports</v>
      </c>
    </row>
    <row r="3364" spans="1:7" x14ac:dyDescent="0.25">
      <c r="A3364" s="1" t="str">
        <f t="shared" si="218"/>
        <v>450</v>
      </c>
      <c r="B3364" s="1" t="str">
        <f>TEXT(58,"00")</f>
        <v>58</v>
      </c>
      <c r="C3364" s="1" t="str">
        <f t="shared" si="219"/>
        <v>450-58</v>
      </c>
      <c r="D3364" t="s">
        <v>3346</v>
      </c>
      <c r="E3364" t="b">
        <f>IF(COUNTIF(D3364,"*"&amp;'Keyword Search'!$C$5&amp;"*"),TRUE,FALSE)</f>
        <v>1</v>
      </c>
      <c r="G3364" t="str">
        <f t="shared" si="220"/>
        <v>450-58: Nails, Brads, Concrete Nails, Masonry Nails, Spikes, Staples, Tacks, etc. (See 559-79 for Railroad Track Spikes)</v>
      </c>
    </row>
    <row r="3365" spans="1:7" x14ac:dyDescent="0.25">
      <c r="A3365" s="1" t="str">
        <f t="shared" si="218"/>
        <v>450</v>
      </c>
      <c r="B3365" s="1" t="str">
        <f>TEXT(59,"00")</f>
        <v>59</v>
      </c>
      <c r="C3365" s="1" t="str">
        <f t="shared" si="219"/>
        <v>450-59</v>
      </c>
      <c r="D3365" t="s">
        <v>3347</v>
      </c>
      <c r="E3365" t="b">
        <f>IF(COUNTIF(D3365,"*"&amp;'Keyword Search'!$C$5&amp;"*"),TRUE,FALSE)</f>
        <v>1</v>
      </c>
      <c r="G3365" t="str">
        <f t="shared" si="220"/>
        <v>450-59: Measuring Devices for Cable, Hose, Rope, etc.</v>
      </c>
    </row>
    <row r="3366" spans="1:7" x14ac:dyDescent="0.25">
      <c r="A3366" s="1" t="str">
        <f t="shared" si="218"/>
        <v>450</v>
      </c>
      <c r="B3366" s="1" t="str">
        <f>TEXT(60,"00")</f>
        <v>60</v>
      </c>
      <c r="C3366" s="1" t="str">
        <f t="shared" si="219"/>
        <v>450-60</v>
      </c>
      <c r="D3366" t="s">
        <v>3348</v>
      </c>
      <c r="E3366" t="b">
        <f>IF(COUNTIF(D3366,"*"&amp;'Keyword Search'!$C$5&amp;"*"),TRUE,FALSE)</f>
        <v>1</v>
      </c>
      <c r="G3366" t="str">
        <f t="shared" si="220"/>
        <v>450-60: Oilers, Hand</v>
      </c>
    </row>
    <row r="3367" spans="1:7" x14ac:dyDescent="0.25">
      <c r="A3367" s="1" t="str">
        <f t="shared" si="218"/>
        <v>450</v>
      </c>
      <c r="B3367" s="1" t="str">
        <f>TEXT(61,"00")</f>
        <v>61</v>
      </c>
      <c r="C3367" s="1" t="str">
        <f t="shared" si="219"/>
        <v>450-61</v>
      </c>
      <c r="D3367" t="s">
        <v>3349</v>
      </c>
      <c r="E3367" t="b">
        <f>IF(COUNTIF(D3367,"*"&amp;'Keyword Search'!$C$5&amp;"*"),TRUE,FALSE)</f>
        <v>1</v>
      </c>
      <c r="G3367" t="str">
        <f t="shared" si="220"/>
        <v>450-61: Pails, Buckets, Tubs, etc. (See 450-34 and 450-87 for Other Types)</v>
      </c>
    </row>
    <row r="3368" spans="1:7" x14ac:dyDescent="0.25">
      <c r="A3368" s="1" t="str">
        <f t="shared" si="218"/>
        <v>450</v>
      </c>
      <c r="B3368" s="1" t="str">
        <f>TEXT(62,"00")</f>
        <v>62</v>
      </c>
      <c r="C3368" s="1" t="str">
        <f t="shared" si="219"/>
        <v>450-62</v>
      </c>
      <c r="D3368" t="s">
        <v>3350</v>
      </c>
      <c r="E3368" t="b">
        <f>IF(COUNTIF(D3368,"*"&amp;'Keyword Search'!$C$5&amp;"*"),TRUE,FALSE)</f>
        <v>1</v>
      </c>
      <c r="G3368" t="str">
        <f t="shared" si="220"/>
        <v>450-62: Pads, Equipment Foundation, All Types, Including Recycled Type</v>
      </c>
    </row>
    <row r="3369" spans="1:7" x14ac:dyDescent="0.25">
      <c r="A3369" s="1" t="str">
        <f t="shared" si="218"/>
        <v>450</v>
      </c>
      <c r="B3369" s="1" t="str">
        <f>TEXT(63,"00")</f>
        <v>63</v>
      </c>
      <c r="C3369" s="1" t="str">
        <f t="shared" si="219"/>
        <v>450-63</v>
      </c>
      <c r="D3369" t="s">
        <v>3351</v>
      </c>
      <c r="E3369" t="b">
        <f>IF(COUNTIF(D3369,"*"&amp;'Keyword Search'!$C$5&amp;"*"),TRUE,FALSE)</f>
        <v>1</v>
      </c>
      <c r="G3369" t="str">
        <f t="shared" si="220"/>
        <v>450-63: Pulleys and Sheaves</v>
      </c>
    </row>
    <row r="3370" spans="1:7" x14ac:dyDescent="0.25">
      <c r="A3370" s="1" t="str">
        <f t="shared" si="218"/>
        <v>450</v>
      </c>
      <c r="B3370" s="1" t="str">
        <f>TEXT(64,"00")</f>
        <v>64</v>
      </c>
      <c r="C3370" s="1" t="str">
        <f t="shared" si="219"/>
        <v>450-64</v>
      </c>
      <c r="D3370" t="s">
        <v>3352</v>
      </c>
      <c r="E3370" t="b">
        <f>IF(COUNTIF(D3370,"*"&amp;'Keyword Search'!$C$5&amp;"*"),TRUE,FALSE)</f>
        <v>1</v>
      </c>
      <c r="G3370" t="str">
        <f t="shared" si="220"/>
        <v>450-64: Recycled Hardware and Rubber Products</v>
      </c>
    </row>
    <row r="3371" spans="1:7" x14ac:dyDescent="0.25">
      <c r="A3371" s="1" t="str">
        <f t="shared" si="218"/>
        <v>450</v>
      </c>
      <c r="B3371" s="1" t="str">
        <f>TEXT(65,"00")</f>
        <v>65</v>
      </c>
      <c r="C3371" s="1" t="str">
        <f t="shared" si="219"/>
        <v>450-65</v>
      </c>
      <c r="D3371" t="s">
        <v>3353</v>
      </c>
      <c r="E3371" t="b">
        <f>IF(COUNTIF(D3371,"*"&amp;'Keyword Search'!$C$5&amp;"*"),TRUE,FALSE)</f>
        <v>1</v>
      </c>
      <c r="G3371" t="str">
        <f t="shared" si="220"/>
        <v>450-65: Refuse Carts, Chutes, Containers, and Holders (Commercial)</v>
      </c>
    </row>
    <row r="3372" spans="1:7" x14ac:dyDescent="0.25">
      <c r="A3372" s="1" t="str">
        <f t="shared" si="218"/>
        <v>450</v>
      </c>
      <c r="B3372" s="1" t="str">
        <f>TEXT(66,"00")</f>
        <v>66</v>
      </c>
      <c r="C3372" s="1" t="str">
        <f t="shared" si="219"/>
        <v>450-66</v>
      </c>
      <c r="D3372" t="s">
        <v>3354</v>
      </c>
      <c r="E3372" t="b">
        <f>IF(COUNTIF(D3372,"*"&amp;'Keyword Search'!$C$5&amp;"*"),TRUE,FALSE)</f>
        <v>1</v>
      </c>
      <c r="G3372" t="str">
        <f t="shared" si="220"/>
        <v>450-66: Rope Slings, Halyards and Lanyards (See 765-93 for Wire Rope)</v>
      </c>
    </row>
    <row r="3373" spans="1:7" x14ac:dyDescent="0.25">
      <c r="A3373" s="1" t="str">
        <f t="shared" si="218"/>
        <v>450</v>
      </c>
      <c r="B3373" s="1" t="str">
        <f>TEXT(67,"00")</f>
        <v>67</v>
      </c>
      <c r="C3373" s="1" t="str">
        <f t="shared" si="219"/>
        <v>450-67</v>
      </c>
      <c r="D3373" t="s">
        <v>3355</v>
      </c>
      <c r="E3373" t="b">
        <f>IF(COUNTIF(D3373,"*"&amp;'Keyword Search'!$C$5&amp;"*"),TRUE,FALSE)</f>
        <v>1</v>
      </c>
      <c r="G3373" t="str">
        <f t="shared" si="220"/>
        <v>450-67: Rubbish Burners</v>
      </c>
    </row>
    <row r="3374" spans="1:7" x14ac:dyDescent="0.25">
      <c r="A3374" s="1" t="str">
        <f t="shared" si="218"/>
        <v>450</v>
      </c>
      <c r="B3374" s="1" t="str">
        <f>TEXT(68,"00")</f>
        <v>68</v>
      </c>
      <c r="C3374" s="1" t="str">
        <f t="shared" si="219"/>
        <v>450-68</v>
      </c>
      <c r="D3374" t="s">
        <v>3356</v>
      </c>
      <c r="E3374" t="b">
        <f>IF(COUNTIF(D3374,"*"&amp;'Keyword Search'!$C$5&amp;"*"),TRUE,FALSE)</f>
        <v>1</v>
      </c>
      <c r="G3374" t="str">
        <f t="shared" si="220"/>
        <v>450-68: Rubber, Not Recapping or Tire, Including Structural Rubber Shapes</v>
      </c>
    </row>
    <row r="3375" spans="1:7" x14ac:dyDescent="0.25">
      <c r="A3375" s="1" t="str">
        <f t="shared" si="218"/>
        <v>450</v>
      </c>
      <c r="B3375" s="1" t="str">
        <f>TEXT(69,"00")</f>
        <v>69</v>
      </c>
      <c r="C3375" s="1" t="str">
        <f t="shared" si="219"/>
        <v>450-69</v>
      </c>
      <c r="D3375" t="s">
        <v>3357</v>
      </c>
      <c r="E3375" t="b">
        <f>IF(COUNTIF(D3375,"*"&amp;'Keyword Search'!$C$5&amp;"*"),TRUE,FALSE)</f>
        <v>1</v>
      </c>
      <c r="G3375" t="str">
        <f t="shared" si="220"/>
        <v>450-69: Rubber, Scrap or Waste</v>
      </c>
    </row>
    <row r="3376" spans="1:7" x14ac:dyDescent="0.25">
      <c r="A3376" s="1" t="str">
        <f t="shared" ref="A3376:A3396" si="221">TEXT(450,"000")</f>
        <v>450</v>
      </c>
      <c r="B3376" s="1" t="str">
        <f>TEXT(70,"00")</f>
        <v>70</v>
      </c>
      <c r="C3376" s="1" t="str">
        <f t="shared" si="219"/>
        <v>450-70</v>
      </c>
      <c r="D3376" t="s">
        <v>3358</v>
      </c>
      <c r="E3376" t="b">
        <f>IF(COUNTIF(D3376,"*"&amp;'Keyword Search'!$C$5&amp;"*"),TRUE,FALSE)</f>
        <v>1</v>
      </c>
      <c r="G3376" t="str">
        <f t="shared" si="220"/>
        <v>450-70: Sash and Window Hardware, (See Class 150 For Casement Type)</v>
      </c>
    </row>
    <row r="3377" spans="1:7" x14ac:dyDescent="0.25">
      <c r="A3377" s="1" t="str">
        <f t="shared" si="221"/>
        <v>450</v>
      </c>
      <c r="B3377" s="1" t="str">
        <f>TEXT(72,"00")</f>
        <v>72</v>
      </c>
      <c r="C3377" s="1" t="str">
        <f t="shared" si="219"/>
        <v>450-72</v>
      </c>
      <c r="D3377" t="s">
        <v>3359</v>
      </c>
      <c r="E3377" t="b">
        <f>IF(COUNTIF(D3377,"*"&amp;'Keyword Search'!$C$5&amp;"*"),TRUE,FALSE)</f>
        <v>1</v>
      </c>
      <c r="G3377" t="str">
        <f t="shared" si="220"/>
        <v>450-72: Scaffolding, Sectional, Including Work Platforms</v>
      </c>
    </row>
    <row r="3378" spans="1:7" x14ac:dyDescent="0.25">
      <c r="A3378" s="1" t="str">
        <f t="shared" si="221"/>
        <v>450</v>
      </c>
      <c r="B3378" s="1" t="str">
        <f>TEXT(73,"00")</f>
        <v>73</v>
      </c>
      <c r="C3378" s="1" t="str">
        <f t="shared" si="219"/>
        <v>450-73</v>
      </c>
      <c r="D3378" t="s">
        <v>3360</v>
      </c>
      <c r="E3378" t="b">
        <f>IF(COUNTIF(D3378,"*"&amp;'Keyword Search'!$C$5&amp;"*"),TRUE,FALSE)</f>
        <v>1</v>
      </c>
      <c r="G3378" t="str">
        <f t="shared" si="220"/>
        <v>450-73: Security Seals</v>
      </c>
    </row>
    <row r="3379" spans="1:7" x14ac:dyDescent="0.25">
      <c r="A3379" s="1" t="str">
        <f t="shared" si="221"/>
        <v>450</v>
      </c>
      <c r="B3379" s="1" t="str">
        <f>TEXT(74,"00")</f>
        <v>74</v>
      </c>
      <c r="C3379" s="1" t="str">
        <f t="shared" si="219"/>
        <v>450-74</v>
      </c>
      <c r="D3379" t="s">
        <v>3361</v>
      </c>
      <c r="E3379" t="b">
        <f>IF(COUNTIF(D3379,"*"&amp;'Keyword Search'!$C$5&amp;"*"),TRUE,FALSE)</f>
        <v>1</v>
      </c>
      <c r="G3379" t="str">
        <f t="shared" si="220"/>
        <v>450-74: Shaft Couplings, Flexible and Rigid</v>
      </c>
    </row>
    <row r="3380" spans="1:7" x14ac:dyDescent="0.25">
      <c r="A3380" s="1" t="str">
        <f t="shared" si="221"/>
        <v>450</v>
      </c>
      <c r="B3380" s="1" t="str">
        <f>TEXT(75,"00")</f>
        <v>75</v>
      </c>
      <c r="C3380" s="1" t="str">
        <f t="shared" si="219"/>
        <v>450-75</v>
      </c>
      <c r="D3380" t="s">
        <v>3362</v>
      </c>
      <c r="E3380" t="b">
        <f>IF(COUNTIF(D3380,"*"&amp;'Keyword Search'!$C$5&amp;"*"),TRUE,FALSE)</f>
        <v>1</v>
      </c>
      <c r="G3380" t="str">
        <f t="shared" si="220"/>
        <v>450-75: Shutters, Inside and Outside Types (Inactive, please see commodity code 870-35 effective January 1, 2016)</v>
      </c>
    </row>
    <row r="3381" spans="1:7" x14ac:dyDescent="0.25">
      <c r="A3381" s="1" t="str">
        <f t="shared" si="221"/>
        <v>450</v>
      </c>
      <c r="B3381" s="1" t="str">
        <f>TEXT(76,"00")</f>
        <v>76</v>
      </c>
      <c r="C3381" s="1" t="str">
        <f t="shared" si="219"/>
        <v>450-76</v>
      </c>
      <c r="D3381" t="s">
        <v>3363</v>
      </c>
      <c r="E3381" t="b">
        <f>IF(COUNTIF(D3381,"*"&amp;'Keyword Search'!$C$5&amp;"*"),TRUE,FALSE)</f>
        <v>1</v>
      </c>
      <c r="G3381" t="str">
        <f t="shared" si="220"/>
        <v>450-76: Solder and Babbitt Metals</v>
      </c>
    </row>
    <row r="3382" spans="1:7" x14ac:dyDescent="0.25">
      <c r="A3382" s="1" t="str">
        <f t="shared" si="221"/>
        <v>450</v>
      </c>
      <c r="B3382" s="1" t="str">
        <f>TEXT(77,"00")</f>
        <v>77</v>
      </c>
      <c r="C3382" s="1" t="str">
        <f t="shared" si="219"/>
        <v>450-77</v>
      </c>
      <c r="D3382" t="s">
        <v>3364</v>
      </c>
      <c r="E3382" t="b">
        <f>IF(COUNTIF(D3382,"*"&amp;'Keyword Search'!$C$5&amp;"*"),TRUE,FALSE)</f>
        <v>1</v>
      </c>
      <c r="G3382" t="str">
        <f t="shared" si="220"/>
        <v>450-77: Tarpaulins and Tents, Commercial Weight (See 450-15 For Recreational Type), (See 065-84For Truck Body Type)</v>
      </c>
    </row>
    <row r="3383" spans="1:7" x14ac:dyDescent="0.25">
      <c r="A3383" s="1" t="str">
        <f t="shared" si="221"/>
        <v>450</v>
      </c>
      <c r="B3383" s="1" t="str">
        <f>TEXT(78,"00")</f>
        <v>78</v>
      </c>
      <c r="C3383" s="1" t="str">
        <f t="shared" si="219"/>
        <v>450-78</v>
      </c>
      <c r="D3383" t="s">
        <v>3365</v>
      </c>
      <c r="E3383" t="b">
        <f>IF(COUNTIF(D3383,"*"&amp;'Keyword Search'!$C$5&amp;"*"),TRUE,FALSE)</f>
        <v>1</v>
      </c>
      <c r="G3383" t="str">
        <f t="shared" si="220"/>
        <v>450-78: Traps and Snares, Animal</v>
      </c>
    </row>
    <row r="3384" spans="1:7" x14ac:dyDescent="0.25">
      <c r="A3384" s="1" t="str">
        <f t="shared" si="221"/>
        <v>450</v>
      </c>
      <c r="B3384" s="1" t="str">
        <f>TEXT(79,"00")</f>
        <v>79</v>
      </c>
      <c r="C3384" s="1" t="str">
        <f t="shared" si="219"/>
        <v>450-79</v>
      </c>
      <c r="D3384" t="s">
        <v>3366</v>
      </c>
      <c r="E3384" t="b">
        <f>IF(COUNTIF(D3384,"*"&amp;'Keyword Search'!$C$5&amp;"*"),TRUE,FALSE)</f>
        <v>1</v>
      </c>
      <c r="G3384" t="str">
        <f t="shared" si="220"/>
        <v>450-79: Steps, Portable</v>
      </c>
    </row>
    <row r="3385" spans="1:7" x14ac:dyDescent="0.25">
      <c r="A3385" s="1" t="str">
        <f t="shared" si="221"/>
        <v>450</v>
      </c>
      <c r="B3385" s="1" t="str">
        <f>TEXT(80,"00")</f>
        <v>80</v>
      </c>
      <c r="C3385" s="1" t="str">
        <f t="shared" si="219"/>
        <v>450-80</v>
      </c>
      <c r="D3385" t="s">
        <v>3367</v>
      </c>
      <c r="E3385" t="b">
        <f>IF(COUNTIF(D3385,"*"&amp;'Keyword Search'!$C$5&amp;"*"),TRUE,FALSE)</f>
        <v>1</v>
      </c>
      <c r="G3385" t="str">
        <f t="shared" si="220"/>
        <v>450-80: Trench Braces and Column Clamps</v>
      </c>
    </row>
    <row r="3386" spans="1:7" x14ac:dyDescent="0.25">
      <c r="A3386" s="1" t="str">
        <f t="shared" si="221"/>
        <v>450</v>
      </c>
      <c r="B3386" s="1" t="str">
        <f>TEXT(81,"00")</f>
        <v>81</v>
      </c>
      <c r="C3386" s="1" t="str">
        <f t="shared" si="219"/>
        <v>450-81</v>
      </c>
      <c r="D3386" t="s">
        <v>3368</v>
      </c>
      <c r="E3386" t="b">
        <f>IF(COUNTIF(D3386,"*"&amp;'Keyword Search'!$C$5&amp;"*"),TRUE,FALSE)</f>
        <v>1</v>
      </c>
      <c r="G3386" t="str">
        <f t="shared" si="220"/>
        <v>450-81: Tarpaulins, Large Scale Projects, Includes Installation</v>
      </c>
    </row>
    <row r="3387" spans="1:7" x14ac:dyDescent="0.25">
      <c r="A3387" s="1" t="str">
        <f t="shared" si="221"/>
        <v>450</v>
      </c>
      <c r="B3387" s="1" t="str">
        <f>TEXT(83,"00")</f>
        <v>83</v>
      </c>
      <c r="C3387" s="1" t="str">
        <f t="shared" si="219"/>
        <v>450-83</v>
      </c>
      <c r="D3387" t="s">
        <v>3369</v>
      </c>
      <c r="E3387" t="b">
        <f>IF(COUNTIF(D3387,"*"&amp;'Keyword Search'!$C$5&amp;"*"),TRUE,FALSE)</f>
        <v>1</v>
      </c>
      <c r="G3387" t="str">
        <f t="shared" si="220"/>
        <v>450-83: Trunnions</v>
      </c>
    </row>
    <row r="3388" spans="1:7" x14ac:dyDescent="0.25">
      <c r="A3388" s="1" t="str">
        <f t="shared" si="221"/>
        <v>450</v>
      </c>
      <c r="B3388" s="1" t="str">
        <f>TEXT(86,"00")</f>
        <v>86</v>
      </c>
      <c r="C3388" s="1" t="str">
        <f t="shared" si="219"/>
        <v>450-86</v>
      </c>
      <c r="D3388" t="s">
        <v>3370</v>
      </c>
      <c r="E3388" t="b">
        <f>IF(COUNTIF(D3388,"*"&amp;'Keyword Search'!$C$5&amp;"*"),TRUE,FALSE)</f>
        <v>1</v>
      </c>
      <c r="G3388" t="str">
        <f t="shared" si="220"/>
        <v>450-86: Water Repellents</v>
      </c>
    </row>
    <row r="3389" spans="1:7" x14ac:dyDescent="0.25">
      <c r="A3389" s="1" t="str">
        <f t="shared" si="221"/>
        <v>450</v>
      </c>
      <c r="B3389" s="1" t="str">
        <f>TEXT(87,"00")</f>
        <v>87</v>
      </c>
      <c r="C3389" s="1" t="str">
        <f t="shared" si="219"/>
        <v>450-87</v>
      </c>
      <c r="D3389" t="s">
        <v>3371</v>
      </c>
      <c r="E3389" t="b">
        <f>IF(COUNTIF(D3389,"*"&amp;'Keyword Search'!$C$5&amp;"*"),TRUE,FALSE)</f>
        <v>1</v>
      </c>
      <c r="G3389" t="str">
        <f t="shared" si="220"/>
        <v>450-87: Water Bags, Cans, Jugs, and Kegs</v>
      </c>
    </row>
    <row r="3390" spans="1:7" x14ac:dyDescent="0.25">
      <c r="A3390" s="1" t="str">
        <f t="shared" si="221"/>
        <v>450</v>
      </c>
      <c r="B3390" s="1" t="str">
        <f>TEXT(88,"00")</f>
        <v>88</v>
      </c>
      <c r="C3390" s="1" t="str">
        <f t="shared" si="219"/>
        <v>450-88</v>
      </c>
      <c r="D3390" t="s">
        <v>3372</v>
      </c>
      <c r="E3390" t="b">
        <f>IF(COUNTIF(D3390,"*"&amp;'Keyword Search'!$C$5&amp;"*"),TRUE,FALSE)</f>
        <v>1</v>
      </c>
      <c r="G3390" t="str">
        <f t="shared" si="220"/>
        <v>450-88: Wire and Accessories, Clothesline</v>
      </c>
    </row>
    <row r="3391" spans="1:7" x14ac:dyDescent="0.25">
      <c r="A3391" s="1" t="str">
        <f t="shared" si="221"/>
        <v>450</v>
      </c>
      <c r="B3391" s="1" t="str">
        <f>TEXT(89,"00")</f>
        <v>89</v>
      </c>
      <c r="C3391" s="1" t="str">
        <f t="shared" si="219"/>
        <v>450-89</v>
      </c>
      <c r="D3391" t="s">
        <v>3373</v>
      </c>
      <c r="E3391" t="b">
        <f>IF(COUNTIF(D3391,"*"&amp;'Keyword Search'!$C$5&amp;"*"),TRUE,FALSE)</f>
        <v>1</v>
      </c>
      <c r="G3391" t="str">
        <f t="shared" si="220"/>
        <v>450-89: Wheelbarrows</v>
      </c>
    </row>
    <row r="3392" spans="1:7" x14ac:dyDescent="0.25">
      <c r="A3392" s="1" t="str">
        <f t="shared" si="221"/>
        <v>450</v>
      </c>
      <c r="B3392" s="1" t="str">
        <f>TEXT(90,"00")</f>
        <v>90</v>
      </c>
      <c r="C3392" s="1" t="str">
        <f t="shared" si="219"/>
        <v>450-90</v>
      </c>
      <c r="D3392" t="s">
        <v>3374</v>
      </c>
      <c r="E3392" t="b">
        <f>IF(COUNTIF(D3392,"*"&amp;'Keyword Search'!$C$5&amp;"*"),TRUE,FALSE)</f>
        <v>1</v>
      </c>
      <c r="G3392" t="str">
        <f t="shared" si="220"/>
        <v>450-90: Wire Cloth, Screen, All Metals</v>
      </c>
    </row>
    <row r="3393" spans="1:7" x14ac:dyDescent="0.25">
      <c r="A3393" s="1" t="str">
        <f t="shared" si="221"/>
        <v>450</v>
      </c>
      <c r="B3393" s="1" t="str">
        <f>TEXT(91,"00")</f>
        <v>91</v>
      </c>
      <c r="C3393" s="1" t="str">
        <f t="shared" si="219"/>
        <v>450-91</v>
      </c>
      <c r="D3393" t="s">
        <v>3375</v>
      </c>
      <c r="E3393" t="b">
        <f>IF(COUNTIF(D3393,"*"&amp;'Keyword Search'!$C$5&amp;"*"),TRUE,FALSE)</f>
        <v>1</v>
      </c>
      <c r="G3393" t="str">
        <f t="shared" si="220"/>
        <v>450-91: Wire, General Purpose Tying and Wrapping, Including Parts and Accessories</v>
      </c>
    </row>
    <row r="3394" spans="1:7" x14ac:dyDescent="0.25">
      <c r="A3394" s="1" t="str">
        <f t="shared" si="221"/>
        <v>450</v>
      </c>
      <c r="B3394" s="1" t="str">
        <f>TEXT(92,"00")</f>
        <v>92</v>
      </c>
      <c r="C3394" s="1" t="str">
        <f t="shared" si="219"/>
        <v>450-92</v>
      </c>
      <c r="D3394" t="s">
        <v>3376</v>
      </c>
      <c r="E3394" t="b">
        <f>IF(COUNTIF(D3394,"*"&amp;'Keyword Search'!$C$5&amp;"*"),TRUE,FALSE)</f>
        <v>1</v>
      </c>
      <c r="G3394" t="str">
        <f t="shared" si="220"/>
        <v>450-92: Wire and Cable, Mechanical</v>
      </c>
    </row>
    <row r="3395" spans="1:7" x14ac:dyDescent="0.25">
      <c r="A3395" s="1" t="str">
        <f t="shared" si="221"/>
        <v>450</v>
      </c>
      <c r="B3395" s="1" t="str">
        <f>TEXT(93,"00")</f>
        <v>93</v>
      </c>
      <c r="C3395" s="1" t="str">
        <f t="shared" ref="C3395:C3458" si="222">CONCATENATE(A3395,"-",B3395)</f>
        <v>450-93</v>
      </c>
      <c r="D3395" t="s">
        <v>3377</v>
      </c>
      <c r="E3395" t="b">
        <f>IF(COUNTIF(D3395,"*"&amp;'Keyword Search'!$C$5&amp;"*"),TRUE,FALSE)</f>
        <v>1</v>
      </c>
      <c r="G3395" t="str">
        <f t="shared" si="220"/>
        <v>450-93: Wire Stretchers</v>
      </c>
    </row>
    <row r="3396" spans="1:7" x14ac:dyDescent="0.25">
      <c r="A3396" s="1" t="str">
        <f t="shared" si="221"/>
        <v>450</v>
      </c>
      <c r="B3396" s="1" t="str">
        <f>TEXT(94,"00")</f>
        <v>94</v>
      </c>
      <c r="C3396" s="1" t="str">
        <f t="shared" si="222"/>
        <v>450-94</v>
      </c>
      <c r="D3396" t="s">
        <v>3378</v>
      </c>
      <c r="E3396" t="b">
        <f>IF(COUNTIF(D3396,"*"&amp;'Keyword Search'!$C$5&amp;"*"),TRUE,FALSE)</f>
        <v>1</v>
      </c>
      <c r="G3396" t="str">
        <f t="shared" ref="G3396:G3459" si="223">CONCATENATE(C3396,": ",D3396)</f>
        <v>450-94: Wire, Non Electric, Iron, Steel, Nonferrous Metal</v>
      </c>
    </row>
    <row r="3397" spans="1:7" x14ac:dyDescent="0.25">
      <c r="A3397" s="5" t="str">
        <f t="shared" ref="A3397:A3421" si="224">TEXT(460,"000")</f>
        <v>460</v>
      </c>
      <c r="B3397" s="5" t="str">
        <f>TEXT(0,"00")</f>
        <v>00</v>
      </c>
      <c r="C3397" s="1"/>
      <c r="D3397" s="2" t="s">
        <v>3379</v>
      </c>
    </row>
    <row r="3398" spans="1:7" x14ac:dyDescent="0.25">
      <c r="A3398" s="1" t="str">
        <f t="shared" si="224"/>
        <v>460</v>
      </c>
      <c r="B3398" s="1" t="str">
        <f>TEXT(4,"00")</f>
        <v>04</v>
      </c>
      <c r="C3398" s="1" t="str">
        <f t="shared" si="222"/>
        <v>460-04</v>
      </c>
      <c r="D3398" t="s">
        <v>3380</v>
      </c>
      <c r="E3398" t="b">
        <f>IF(COUNTIF(D3398,"*"&amp;'Keyword Search'!$C$5&amp;"*"),TRUE,FALSE)</f>
        <v>1</v>
      </c>
      <c r="G3398" t="str">
        <f t="shared" si="223"/>
        <v>460-04: Accessories, Hose, Hangers, Reels, etc.</v>
      </c>
    </row>
    <row r="3399" spans="1:7" x14ac:dyDescent="0.25">
      <c r="A3399" s="1" t="str">
        <f t="shared" si="224"/>
        <v>460</v>
      </c>
      <c r="B3399" s="1" t="str">
        <f>TEXT(5,"00")</f>
        <v>05</v>
      </c>
      <c r="C3399" s="1" t="str">
        <f t="shared" si="222"/>
        <v>460-05</v>
      </c>
      <c r="D3399" t="s">
        <v>3381</v>
      </c>
      <c r="E3399" t="b">
        <f>IF(COUNTIF(D3399,"*"&amp;'Keyword Search'!$C$5&amp;"*"),TRUE,FALSE)</f>
        <v>1</v>
      </c>
      <c r="G3399" t="str">
        <f t="shared" si="223"/>
        <v>460-05: Acid/Chemical Hoses and Fittings</v>
      </c>
    </row>
    <row r="3400" spans="1:7" x14ac:dyDescent="0.25">
      <c r="A3400" s="1" t="str">
        <f t="shared" si="224"/>
        <v>460</v>
      </c>
      <c r="B3400" s="1" t="str">
        <f>TEXT(10,"00")</f>
        <v>10</v>
      </c>
      <c r="C3400" s="1" t="str">
        <f t="shared" si="222"/>
        <v>460-10</v>
      </c>
      <c r="D3400" t="s">
        <v>3382</v>
      </c>
      <c r="E3400" t="b">
        <f>IF(COUNTIF(D3400,"*"&amp;'Keyword Search'!$C$5&amp;"*"),TRUE,FALSE)</f>
        <v>1</v>
      </c>
      <c r="G3400" t="str">
        <f t="shared" si="223"/>
        <v>460-10: Air Hoses and Fittings</v>
      </c>
    </row>
    <row r="3401" spans="1:7" x14ac:dyDescent="0.25">
      <c r="A3401" s="1" t="str">
        <f t="shared" si="224"/>
        <v>460</v>
      </c>
      <c r="B3401" s="1" t="str">
        <f>TEXT(18,"00")</f>
        <v>18</v>
      </c>
      <c r="C3401" s="1" t="str">
        <f t="shared" si="222"/>
        <v>460-18</v>
      </c>
      <c r="D3401" t="s">
        <v>3383</v>
      </c>
      <c r="E3401" t="b">
        <f>IF(COUNTIF(D3401,"*"&amp;'Keyword Search'!$C$5&amp;"*"),TRUE,FALSE)</f>
        <v>1</v>
      </c>
      <c r="G3401" t="str">
        <f t="shared" si="223"/>
        <v>460-18: Fittings, Hose, Miscellaneous</v>
      </c>
    </row>
    <row r="3402" spans="1:7" x14ac:dyDescent="0.25">
      <c r="A3402" s="1" t="str">
        <f t="shared" si="224"/>
        <v>460</v>
      </c>
      <c r="B3402" s="1" t="str">
        <f>TEXT(20,"00")</f>
        <v>20</v>
      </c>
      <c r="C3402" s="1" t="str">
        <f t="shared" si="222"/>
        <v>460-20</v>
      </c>
      <c r="D3402" t="s">
        <v>3384</v>
      </c>
      <c r="E3402" t="b">
        <f>IF(COUNTIF(D3402,"*"&amp;'Keyword Search'!$C$5&amp;"*"),TRUE,FALSE)</f>
        <v>1</v>
      </c>
      <c r="G3402" t="str">
        <f t="shared" si="223"/>
        <v>460-20: Fuel Hoses: Diesel, Gasoline, etc., Including Fittings</v>
      </c>
    </row>
    <row r="3403" spans="1:7" x14ac:dyDescent="0.25">
      <c r="A3403" s="1" t="str">
        <f t="shared" si="224"/>
        <v>460</v>
      </c>
      <c r="B3403" s="1" t="str">
        <f>TEXT(30,"00")</f>
        <v>30</v>
      </c>
      <c r="C3403" s="1" t="str">
        <f t="shared" si="222"/>
        <v>460-30</v>
      </c>
      <c r="D3403" t="s">
        <v>3385</v>
      </c>
      <c r="E3403" t="b">
        <f>IF(COUNTIF(D3403,"*"&amp;'Keyword Search'!$C$5&amp;"*"),TRUE,FALSE)</f>
        <v>1</v>
      </c>
      <c r="G3403" t="str">
        <f t="shared" si="223"/>
        <v>460-30: Garden (Water) Hoses: Plastic and Rubber, Including Soaker Hose)</v>
      </c>
    </row>
    <row r="3404" spans="1:7" x14ac:dyDescent="0.25">
      <c r="A3404" s="1" t="str">
        <f t="shared" si="224"/>
        <v>460</v>
      </c>
      <c r="B3404" s="1" t="str">
        <f>TEXT(35,"00")</f>
        <v>35</v>
      </c>
      <c r="C3404" s="1" t="str">
        <f t="shared" si="222"/>
        <v>460-35</v>
      </c>
      <c r="D3404" t="s">
        <v>3386</v>
      </c>
      <c r="E3404" t="b">
        <f>IF(COUNTIF(D3404,"*"&amp;'Keyword Search'!$C$5&amp;"*"),TRUE,FALSE)</f>
        <v>1</v>
      </c>
      <c r="G3404" t="str">
        <f t="shared" si="223"/>
        <v>460-35: Garden Hose Accessories: Bands, Couplings, Nozzles, Splicers, etc.</v>
      </c>
    </row>
    <row r="3405" spans="1:7" x14ac:dyDescent="0.25">
      <c r="A3405" s="1" t="str">
        <f t="shared" si="224"/>
        <v>460</v>
      </c>
      <c r="B3405" s="1" t="str">
        <f>TEXT(36,"00")</f>
        <v>36</v>
      </c>
      <c r="C3405" s="1" t="str">
        <f t="shared" si="222"/>
        <v>460-36</v>
      </c>
      <c r="D3405" t="s">
        <v>3387</v>
      </c>
      <c r="E3405" t="b">
        <f>IF(COUNTIF(D3405,"*"&amp;'Keyword Search'!$C$5&amp;"*"),TRUE,FALSE)</f>
        <v>1</v>
      </c>
      <c r="G3405" t="str">
        <f t="shared" si="223"/>
        <v>460-36: Hoses, General Purpose</v>
      </c>
    </row>
    <row r="3406" spans="1:7" x14ac:dyDescent="0.25">
      <c r="A3406" s="1" t="str">
        <f t="shared" si="224"/>
        <v>460</v>
      </c>
      <c r="B3406" s="1" t="str">
        <f>TEXT(38,"00")</f>
        <v>38</v>
      </c>
      <c r="C3406" s="1" t="str">
        <f t="shared" si="222"/>
        <v>460-38</v>
      </c>
      <c r="D3406" t="s">
        <v>3388</v>
      </c>
      <c r="E3406" t="b">
        <f>IF(COUNTIF(D3406,"*"&amp;'Keyword Search'!$C$5&amp;"*"),TRUE,FALSE)</f>
        <v>1</v>
      </c>
      <c r="G3406" t="str">
        <f t="shared" si="223"/>
        <v>460-38: Gaskets, Hose and Coupling</v>
      </c>
    </row>
    <row r="3407" spans="1:7" x14ac:dyDescent="0.25">
      <c r="A3407" s="1" t="str">
        <f t="shared" si="224"/>
        <v>460</v>
      </c>
      <c r="B3407" s="1" t="str">
        <f>TEXT(39,"00")</f>
        <v>39</v>
      </c>
      <c r="C3407" s="1" t="str">
        <f t="shared" si="222"/>
        <v>460-39</v>
      </c>
      <c r="D3407" t="s">
        <v>3389</v>
      </c>
      <c r="E3407" t="b">
        <f>IF(COUNTIF(D3407,"*"&amp;'Keyword Search'!$C$5&amp;"*"),TRUE,FALSE)</f>
        <v>1</v>
      </c>
      <c r="G3407" t="str">
        <f t="shared" si="223"/>
        <v>460-39: Hose Fitting Machine</v>
      </c>
    </row>
    <row r="3408" spans="1:7" x14ac:dyDescent="0.25">
      <c r="A3408" s="1" t="str">
        <f t="shared" si="224"/>
        <v>460</v>
      </c>
      <c r="B3408" s="1" t="str">
        <f>TEXT(40,"00")</f>
        <v>40</v>
      </c>
      <c r="C3408" s="1" t="str">
        <f t="shared" si="222"/>
        <v>460-40</v>
      </c>
      <c r="D3408" t="s">
        <v>3390</v>
      </c>
      <c r="E3408" t="b">
        <f>IF(COUNTIF(D3408,"*"&amp;'Keyword Search'!$C$5&amp;"*"),TRUE,FALSE)</f>
        <v>1</v>
      </c>
      <c r="G3408" t="str">
        <f t="shared" si="223"/>
        <v>460-40: Hot Water Hoses</v>
      </c>
    </row>
    <row r="3409" spans="1:7" x14ac:dyDescent="0.25">
      <c r="A3409" s="1" t="str">
        <f t="shared" si="224"/>
        <v>460</v>
      </c>
      <c r="B3409" s="1" t="str">
        <f>TEXT(45,"00")</f>
        <v>45</v>
      </c>
      <c r="C3409" s="1" t="str">
        <f t="shared" si="222"/>
        <v>460-45</v>
      </c>
      <c r="D3409" t="s">
        <v>3391</v>
      </c>
      <c r="E3409" t="b">
        <f>IF(COUNTIF(D3409,"*"&amp;'Keyword Search'!$C$5&amp;"*"),TRUE,FALSE)</f>
        <v>1</v>
      </c>
      <c r="G3409" t="str">
        <f t="shared" si="223"/>
        <v>460-45: Hydraulic Hoses and Fittings (See 285-30 for Dielectric Hose and Fittings)</v>
      </c>
    </row>
    <row r="3410" spans="1:7" x14ac:dyDescent="0.25">
      <c r="A3410" s="1" t="str">
        <f t="shared" si="224"/>
        <v>460</v>
      </c>
      <c r="B3410" s="1" t="str">
        <f>TEXT(48,"00")</f>
        <v>48</v>
      </c>
      <c r="C3410" s="1" t="str">
        <f t="shared" si="222"/>
        <v>460-48</v>
      </c>
      <c r="D3410" t="s">
        <v>3392</v>
      </c>
      <c r="E3410" t="b">
        <f>IF(COUNTIF(D3410,"*"&amp;'Keyword Search'!$C$5&amp;"*"),TRUE,FALSE)</f>
        <v>1</v>
      </c>
      <c r="G3410" t="str">
        <f t="shared" si="223"/>
        <v>460-48: Menders, Hose</v>
      </c>
    </row>
    <row r="3411" spans="1:7" x14ac:dyDescent="0.25">
      <c r="A3411" s="1" t="str">
        <f t="shared" si="224"/>
        <v>460</v>
      </c>
      <c r="B3411" s="1" t="str">
        <f>TEXT(50,"00")</f>
        <v>50</v>
      </c>
      <c r="C3411" s="1" t="str">
        <f t="shared" si="222"/>
        <v>460-50</v>
      </c>
      <c r="D3411" t="s">
        <v>3393</v>
      </c>
      <c r="E3411" t="b">
        <f>IF(COUNTIF(D3411,"*"&amp;'Keyword Search'!$C$5&amp;"*"),TRUE,FALSE)</f>
        <v>1</v>
      </c>
      <c r="G3411" t="str">
        <f t="shared" si="223"/>
        <v>460-50: Linen Hoses</v>
      </c>
    </row>
    <row r="3412" spans="1:7" x14ac:dyDescent="0.25">
      <c r="A3412" s="1" t="str">
        <f t="shared" si="224"/>
        <v>460</v>
      </c>
      <c r="B3412" s="1" t="str">
        <f>TEXT(60,"00")</f>
        <v>60</v>
      </c>
      <c r="C3412" s="1" t="str">
        <f t="shared" si="222"/>
        <v>460-60</v>
      </c>
      <c r="D3412" t="s">
        <v>3394</v>
      </c>
      <c r="E3412" t="b">
        <f>IF(COUNTIF(D3412,"*"&amp;'Keyword Search'!$C$5&amp;"*"),TRUE,FALSE)</f>
        <v>1</v>
      </c>
      <c r="G3412" t="str">
        <f t="shared" si="223"/>
        <v>460-60: Metallic Hoses and Fittings</v>
      </c>
    </row>
    <row r="3413" spans="1:7" x14ac:dyDescent="0.25">
      <c r="A3413" s="1" t="str">
        <f t="shared" si="224"/>
        <v>460</v>
      </c>
      <c r="B3413" s="1" t="str">
        <f>TEXT(65,"00")</f>
        <v>65</v>
      </c>
      <c r="C3413" s="1" t="str">
        <f t="shared" si="222"/>
        <v>460-65</v>
      </c>
      <c r="D3413" t="s">
        <v>3395</v>
      </c>
      <c r="E3413" t="b">
        <f>IF(COUNTIF(D3413,"*"&amp;'Keyword Search'!$C$5&amp;"*"),TRUE,FALSE)</f>
        <v>1</v>
      </c>
      <c r="G3413" t="str">
        <f t="shared" si="223"/>
        <v>460-65: Mud Jack Hoses</v>
      </c>
    </row>
    <row r="3414" spans="1:7" x14ac:dyDescent="0.25">
      <c r="A3414" s="1" t="str">
        <f t="shared" si="224"/>
        <v>460</v>
      </c>
      <c r="B3414" s="1" t="str">
        <f>TEXT(70,"00")</f>
        <v>70</v>
      </c>
      <c r="C3414" s="1" t="str">
        <f t="shared" si="222"/>
        <v>460-70</v>
      </c>
      <c r="D3414" t="s">
        <v>3396</v>
      </c>
      <c r="E3414" t="b">
        <f>IF(COUNTIF(D3414,"*"&amp;'Keyword Search'!$C$5&amp;"*"),TRUE,FALSE)</f>
        <v>1</v>
      </c>
      <c r="G3414" t="str">
        <f t="shared" si="223"/>
        <v>460-70: Recycled Hoses and Accessories</v>
      </c>
    </row>
    <row r="3415" spans="1:7" x14ac:dyDescent="0.25">
      <c r="A3415" s="1" t="str">
        <f t="shared" si="224"/>
        <v>460</v>
      </c>
      <c r="B3415" s="1" t="str">
        <f>TEXT(75,"00")</f>
        <v>75</v>
      </c>
      <c r="C3415" s="1" t="str">
        <f t="shared" si="222"/>
        <v>460-75</v>
      </c>
      <c r="D3415" t="s">
        <v>3397</v>
      </c>
      <c r="E3415" t="b">
        <f>IF(COUNTIF(D3415,"*"&amp;'Keyword Search'!$C$5&amp;"*"),TRUE,FALSE)</f>
        <v>1</v>
      </c>
      <c r="G3415" t="str">
        <f t="shared" si="223"/>
        <v>460-75: Sand Blasting Hoses and Fittings</v>
      </c>
    </row>
    <row r="3416" spans="1:7" x14ac:dyDescent="0.25">
      <c r="A3416" s="1" t="str">
        <f t="shared" si="224"/>
        <v>460</v>
      </c>
      <c r="B3416" s="1" t="str">
        <f>TEXT(77,"00")</f>
        <v>77</v>
      </c>
      <c r="C3416" s="1" t="str">
        <f t="shared" si="222"/>
        <v>460-77</v>
      </c>
      <c r="D3416" t="s">
        <v>3398</v>
      </c>
      <c r="E3416" t="b">
        <f>IF(COUNTIF(D3416,"*"&amp;'Keyword Search'!$C$5&amp;"*"),TRUE,FALSE)</f>
        <v>1</v>
      </c>
      <c r="G3416" t="str">
        <f t="shared" si="223"/>
        <v>460-77: Sewage and Sludge Pump Hoses</v>
      </c>
    </row>
    <row r="3417" spans="1:7" x14ac:dyDescent="0.25">
      <c r="A3417" s="1" t="str">
        <f t="shared" si="224"/>
        <v>460</v>
      </c>
      <c r="B3417" s="1" t="str">
        <f>TEXT(78,"00")</f>
        <v>78</v>
      </c>
      <c r="C3417" s="1" t="str">
        <f t="shared" si="222"/>
        <v>460-78</v>
      </c>
      <c r="D3417" t="s">
        <v>3399</v>
      </c>
      <c r="E3417" t="b">
        <f>IF(COUNTIF(D3417,"*"&amp;'Keyword Search'!$C$5&amp;"*"),TRUE,FALSE)</f>
        <v>1</v>
      </c>
      <c r="G3417" t="str">
        <f t="shared" si="223"/>
        <v>460-78: Silicone Hoses</v>
      </c>
    </row>
    <row r="3418" spans="1:7" x14ac:dyDescent="0.25">
      <c r="A3418" s="1" t="str">
        <f t="shared" si="224"/>
        <v>460</v>
      </c>
      <c r="B3418" s="1" t="str">
        <f>TEXT(80,"00")</f>
        <v>80</v>
      </c>
      <c r="C3418" s="1" t="str">
        <f t="shared" si="222"/>
        <v>460-80</v>
      </c>
      <c r="D3418" t="s">
        <v>3400</v>
      </c>
      <c r="E3418" t="b">
        <f>IF(COUNTIF(D3418,"*"&amp;'Keyword Search'!$C$5&amp;"*"),TRUE,FALSE)</f>
        <v>1</v>
      </c>
      <c r="G3418" t="str">
        <f t="shared" si="223"/>
        <v>460-80: Steam Hoses and Fittings</v>
      </c>
    </row>
    <row r="3419" spans="1:7" x14ac:dyDescent="0.25">
      <c r="A3419" s="1" t="str">
        <f t="shared" si="224"/>
        <v>460</v>
      </c>
      <c r="B3419" s="1" t="str">
        <f>TEXT(85,"00")</f>
        <v>85</v>
      </c>
      <c r="C3419" s="1" t="str">
        <f t="shared" si="222"/>
        <v>460-85</v>
      </c>
      <c r="D3419" t="s">
        <v>3401</v>
      </c>
      <c r="E3419" t="b">
        <f>IF(COUNTIF(D3419,"*"&amp;'Keyword Search'!$C$5&amp;"*"),TRUE,FALSE)</f>
        <v>1</v>
      </c>
      <c r="G3419" t="str">
        <f t="shared" si="223"/>
        <v>460-85: Suction and Discharge Hoses and Fittings</v>
      </c>
    </row>
    <row r="3420" spans="1:7" x14ac:dyDescent="0.25">
      <c r="A3420" s="1" t="str">
        <f t="shared" si="224"/>
        <v>460</v>
      </c>
      <c r="B3420" s="1" t="str">
        <f>TEXT(90,"00")</f>
        <v>90</v>
      </c>
      <c r="C3420" s="1" t="str">
        <f t="shared" si="222"/>
        <v>460-90</v>
      </c>
      <c r="D3420" t="s">
        <v>3402</v>
      </c>
      <c r="E3420" t="b">
        <f>IF(COUNTIF(D3420,"*"&amp;'Keyword Search'!$C$5&amp;"*"),TRUE,FALSE)</f>
        <v>1</v>
      </c>
      <c r="G3420" t="str">
        <f t="shared" si="223"/>
        <v>460-90: Water Hoses and Fittings, High Pressure</v>
      </c>
    </row>
    <row r="3421" spans="1:7" x14ac:dyDescent="0.25">
      <c r="A3421" s="1" t="str">
        <f t="shared" si="224"/>
        <v>460</v>
      </c>
      <c r="B3421" s="1" t="str">
        <f>TEXT(91,"00")</f>
        <v>91</v>
      </c>
      <c r="C3421" s="1" t="str">
        <f t="shared" si="222"/>
        <v>460-91</v>
      </c>
      <c r="D3421" t="s">
        <v>3403</v>
      </c>
      <c r="E3421" t="b">
        <f>IF(COUNTIF(D3421,"*"&amp;'Keyword Search'!$C$5&amp;"*"),TRUE,FALSE)</f>
        <v>1</v>
      </c>
      <c r="G3421" t="str">
        <f t="shared" si="223"/>
        <v>460-91: Wire Reinforced Hoses</v>
      </c>
    </row>
    <row r="3422" spans="1:7" x14ac:dyDescent="0.25">
      <c r="A3422" s="5" t="str">
        <f t="shared" ref="A3422:A3485" si="225">TEXT(465,"000")</f>
        <v>465</v>
      </c>
      <c r="B3422" s="5" t="str">
        <f>TEXT(0,"00")</f>
        <v>00</v>
      </c>
      <c r="C3422" s="1"/>
      <c r="D3422" s="2" t="s">
        <v>3404</v>
      </c>
    </row>
    <row r="3423" spans="1:7" x14ac:dyDescent="0.25">
      <c r="A3423" s="1" t="str">
        <f t="shared" si="225"/>
        <v>465</v>
      </c>
      <c r="B3423" s="1" t="str">
        <f>TEXT(1,"00")</f>
        <v>01</v>
      </c>
      <c r="C3423" s="1" t="str">
        <f t="shared" si="222"/>
        <v>465-01</v>
      </c>
      <c r="D3423" t="s">
        <v>3405</v>
      </c>
      <c r="E3423" t="b">
        <f>IF(COUNTIF(D3423,"*"&amp;'Keyword Search'!$C$5&amp;"*"),TRUE,FALSE)</f>
        <v>1</v>
      </c>
      <c r="G3423" t="str">
        <f t="shared" si="223"/>
        <v>465-01: *Analyzer Equipment, Medical (Not Otherwise Classified)</v>
      </c>
    </row>
    <row r="3424" spans="1:7" x14ac:dyDescent="0.25">
      <c r="A3424" s="1" t="str">
        <f t="shared" si="225"/>
        <v>465</v>
      </c>
      <c r="B3424" s="1" t="str">
        <f>TEXT(2,"00")</f>
        <v>02</v>
      </c>
      <c r="C3424" s="1" t="str">
        <f t="shared" si="222"/>
        <v>465-02</v>
      </c>
      <c r="D3424" t="s">
        <v>3406</v>
      </c>
      <c r="E3424" t="b">
        <f>IF(COUNTIF(D3424,"*"&amp;'Keyword Search'!$C$5&amp;"*"),TRUE,FALSE)</f>
        <v>1</v>
      </c>
      <c r="G3424" t="str">
        <f t="shared" si="223"/>
        <v>465-02: Anesthesia and Respiration Equipment, Hospital: Controls, Gauges, Outlets, Tents, Valves, Ventilators, etc.</v>
      </c>
    </row>
    <row r="3425" spans="1:7" x14ac:dyDescent="0.25">
      <c r="A3425" s="1" t="str">
        <f t="shared" si="225"/>
        <v>465</v>
      </c>
      <c r="B3425" s="1" t="str">
        <f>TEXT(3,"00")</f>
        <v>03</v>
      </c>
      <c r="C3425" s="1" t="str">
        <f t="shared" si="222"/>
        <v>465-03</v>
      </c>
      <c r="D3425" t="s">
        <v>3407</v>
      </c>
      <c r="E3425" t="b">
        <f>IF(COUNTIF(D3425,"*"&amp;'Keyword Search'!$C$5&amp;"*"),TRUE,FALSE)</f>
        <v>1</v>
      </c>
      <c r="G3425" t="str">
        <f t="shared" si="223"/>
        <v>465-03: Angiocardiography, Angiography and Angioplasty Equipment and Supplies</v>
      </c>
    </row>
    <row r="3426" spans="1:7" x14ac:dyDescent="0.25">
      <c r="A3426" s="1" t="str">
        <f t="shared" si="225"/>
        <v>465</v>
      </c>
      <c r="B3426" s="1" t="str">
        <f>TEXT(4,"00")</f>
        <v>04</v>
      </c>
      <c r="C3426" s="1" t="str">
        <f t="shared" si="222"/>
        <v>465-04</v>
      </c>
      <c r="D3426" t="s">
        <v>3408</v>
      </c>
      <c r="E3426" t="b">
        <f>IF(COUNTIF(D3426,"*"&amp;'Keyword Search'!$C$5&amp;"*"),TRUE,FALSE)</f>
        <v>1</v>
      </c>
      <c r="G3426" t="str">
        <f t="shared" si="223"/>
        <v>465-04: Biofeedback Equipment and Supplies</v>
      </c>
    </row>
    <row r="3427" spans="1:7" x14ac:dyDescent="0.25">
      <c r="A3427" s="1" t="str">
        <f t="shared" si="225"/>
        <v>465</v>
      </c>
      <c r="B3427" s="1" t="str">
        <f>TEXT(5,"00")</f>
        <v>05</v>
      </c>
      <c r="C3427" s="1" t="str">
        <f t="shared" si="222"/>
        <v>465-05</v>
      </c>
      <c r="D3427" t="s">
        <v>3409</v>
      </c>
      <c r="E3427" t="b">
        <f>IF(COUNTIF(D3427,"*"&amp;'Keyword Search'!$C$5&amp;"*"),TRUE,FALSE)</f>
        <v>1</v>
      </c>
      <c r="G3427" t="str">
        <f t="shared" si="223"/>
        <v>465-05: Blood Cell Counters, Processors, Separators, and Accessories: IV Sets, etc.</v>
      </c>
    </row>
    <row r="3428" spans="1:7" x14ac:dyDescent="0.25">
      <c r="A3428" s="1" t="str">
        <f t="shared" si="225"/>
        <v>465</v>
      </c>
      <c r="B3428" s="1" t="str">
        <f>TEXT(7,"00")</f>
        <v>07</v>
      </c>
      <c r="C3428" s="1" t="str">
        <f t="shared" si="222"/>
        <v>465-07</v>
      </c>
      <c r="D3428" t="s">
        <v>3410</v>
      </c>
      <c r="E3428" t="b">
        <f>IF(COUNTIF(D3428,"*"&amp;'Keyword Search'!$C$5&amp;"*"),TRUE,FALSE)</f>
        <v>1</v>
      </c>
      <c r="G3428" t="str">
        <f t="shared" si="223"/>
        <v>465-07: *Blood Chemistry Equipment, For Clotting Time, Blood Glucose, etc.</v>
      </c>
    </row>
    <row r="3429" spans="1:7" x14ac:dyDescent="0.25">
      <c r="A3429" s="1" t="str">
        <f t="shared" si="225"/>
        <v>465</v>
      </c>
      <c r="B3429" s="1" t="str">
        <f>TEXT(9,"00")</f>
        <v>09</v>
      </c>
      <c r="C3429" s="1" t="str">
        <f t="shared" si="222"/>
        <v>465-09</v>
      </c>
      <c r="D3429" t="s">
        <v>3411</v>
      </c>
      <c r="E3429" t="b">
        <f>IF(COUNTIF(D3429,"*"&amp;'Keyword Search'!$C$5&amp;"*"),TRUE,FALSE)</f>
        <v>1</v>
      </c>
      <c r="G3429" t="str">
        <f t="shared" si="223"/>
        <v>465-09: Blood Oxygenators and Heat Exchangers</v>
      </c>
    </row>
    <row r="3430" spans="1:7" x14ac:dyDescent="0.25">
      <c r="A3430" s="1" t="str">
        <f t="shared" si="225"/>
        <v>465</v>
      </c>
      <c r="B3430" s="1" t="str">
        <f>TEXT(11,"00")</f>
        <v>11</v>
      </c>
      <c r="C3430" s="1" t="str">
        <f t="shared" si="222"/>
        <v>465-11</v>
      </c>
      <c r="D3430" t="s">
        <v>3412</v>
      </c>
      <c r="E3430" t="b">
        <f>IF(COUNTIF(D3430,"*"&amp;'Keyword Search'!$C$5&amp;"*"),TRUE,FALSE)</f>
        <v>1</v>
      </c>
      <c r="G3430" t="str">
        <f t="shared" si="223"/>
        <v>465-11: Blood Pressure and Blood Flow Detection Equipment: Dopplers, Sphygmomanometers, Stethoscopes, etc.</v>
      </c>
    </row>
    <row r="3431" spans="1:7" x14ac:dyDescent="0.25">
      <c r="A3431" s="1" t="str">
        <f t="shared" si="225"/>
        <v>465</v>
      </c>
      <c r="B3431" s="1" t="str">
        <f>TEXT(12,"00")</f>
        <v>12</v>
      </c>
      <c r="C3431" s="1" t="str">
        <f t="shared" si="222"/>
        <v>465-12</v>
      </c>
      <c r="D3431" t="s">
        <v>3413</v>
      </c>
      <c r="E3431" t="b">
        <f>IF(COUNTIF(D3431,"*"&amp;'Keyword Search'!$C$5&amp;"*"),TRUE,FALSE)</f>
        <v>1</v>
      </c>
      <c r="G3431" t="str">
        <f t="shared" si="223"/>
        <v>465-12: Cancer Equipment and Supplies, Including Chemotherapy and Radiation Equipment</v>
      </c>
    </row>
    <row r="3432" spans="1:7" x14ac:dyDescent="0.25">
      <c r="A3432" s="1" t="str">
        <f t="shared" si="225"/>
        <v>465</v>
      </c>
      <c r="B3432" s="1" t="str">
        <f>TEXT(13,"00")</f>
        <v>13</v>
      </c>
      <c r="C3432" s="1" t="str">
        <f t="shared" si="222"/>
        <v>465-13</v>
      </c>
      <c r="D3432" t="s">
        <v>3414</v>
      </c>
      <c r="E3432" t="b">
        <f>IF(COUNTIF(D3432,"*"&amp;'Keyword Search'!$C$5&amp;"*"),TRUE,FALSE)</f>
        <v>1</v>
      </c>
      <c r="G3432" t="str">
        <f t="shared" si="223"/>
        <v>465-13: Cardiac Pacemakers, Heart Valves, Stents, etc.</v>
      </c>
    </row>
    <row r="3433" spans="1:7" x14ac:dyDescent="0.25">
      <c r="A3433" s="1" t="str">
        <f t="shared" si="225"/>
        <v>465</v>
      </c>
      <c r="B3433" s="1" t="str">
        <f>TEXT(14,"00")</f>
        <v>14</v>
      </c>
      <c r="C3433" s="1" t="str">
        <f t="shared" si="222"/>
        <v>465-14</v>
      </c>
      <c r="D3433" t="s">
        <v>3415</v>
      </c>
      <c r="E3433" t="b">
        <f>IF(COUNTIF(D3433,"*"&amp;'Keyword Search'!$C$5&amp;"*"),TRUE,FALSE)</f>
        <v>1</v>
      </c>
      <c r="G3433" t="str">
        <f t="shared" si="223"/>
        <v>465-14: Cardiovascular Instrumentation: Defibrillators, Heart Pumps, Monitoring Equipment, etc.</v>
      </c>
    </row>
    <row r="3434" spans="1:7" x14ac:dyDescent="0.25">
      <c r="A3434" s="1" t="str">
        <f t="shared" si="225"/>
        <v>465</v>
      </c>
      <c r="B3434" s="1" t="str">
        <f>TEXT(16,"00")</f>
        <v>16</v>
      </c>
      <c r="C3434" s="1" t="str">
        <f t="shared" si="222"/>
        <v>465-16</v>
      </c>
      <c r="D3434" t="s">
        <v>3416</v>
      </c>
      <c r="E3434" t="b">
        <f>IF(COUNTIF(D3434,"*"&amp;'Keyword Search'!$C$5&amp;"*"),TRUE,FALSE)</f>
        <v>1</v>
      </c>
      <c r="G3434" t="str">
        <f t="shared" si="223"/>
        <v>465-16: Clinical Forensic and Postmortem Equipment and Supplies (Not Otherwise Classified)</v>
      </c>
    </row>
    <row r="3435" spans="1:7" x14ac:dyDescent="0.25">
      <c r="A3435" s="1" t="str">
        <f t="shared" si="225"/>
        <v>465</v>
      </c>
      <c r="B3435" s="1" t="str">
        <f>TEXT(17,"00")</f>
        <v>17</v>
      </c>
      <c r="C3435" s="1" t="str">
        <f t="shared" si="222"/>
        <v>465-17</v>
      </c>
      <c r="D3435" t="s">
        <v>3417</v>
      </c>
      <c r="E3435" t="b">
        <f>IF(COUNTIF(D3435,"*"&amp;'Keyword Search'!$C$5&amp;"*"),TRUE,FALSE)</f>
        <v>1</v>
      </c>
      <c r="G3435" t="str">
        <f t="shared" si="223"/>
        <v>465-17: Clinical Chemical Analysis Systems, Automatic: Colorimetric, Ion Electrode, Titrating, etc.</v>
      </c>
    </row>
    <row r="3436" spans="1:7" x14ac:dyDescent="0.25">
      <c r="A3436" s="1" t="str">
        <f t="shared" si="225"/>
        <v>465</v>
      </c>
      <c r="B3436" s="1" t="str">
        <f>TEXT(18,"00")</f>
        <v>18</v>
      </c>
      <c r="C3436" s="1" t="str">
        <f t="shared" si="222"/>
        <v>465-18</v>
      </c>
      <c r="D3436" t="s">
        <v>3418</v>
      </c>
      <c r="E3436" t="b">
        <f>IF(COUNTIF(D3436,"*"&amp;'Keyword Search'!$C$5&amp;"*"),TRUE,FALSE)</f>
        <v>1</v>
      </c>
      <c r="G3436" t="str">
        <f t="shared" si="223"/>
        <v>465-18: Clinical Chemical Analysis Accessories: Clinical Centrifuges and Rotators, Fraction Collectors, Multiple Sample Dispensers, Spotters, etc.</v>
      </c>
    </row>
    <row r="3437" spans="1:7" x14ac:dyDescent="0.25">
      <c r="A3437" s="1" t="str">
        <f t="shared" si="225"/>
        <v>465</v>
      </c>
      <c r="B3437" s="1" t="str">
        <f>TEXT(19,"00")</f>
        <v>19</v>
      </c>
      <c r="C3437" s="1" t="str">
        <f t="shared" si="222"/>
        <v>465-19</v>
      </c>
      <c r="D3437" t="s">
        <v>3419</v>
      </c>
      <c r="E3437" t="b">
        <f>IF(COUNTIF(D3437,"*"&amp;'Keyword Search'!$C$5&amp;"*"),TRUE,FALSE)</f>
        <v>1</v>
      </c>
      <c r="G3437" t="str">
        <f t="shared" si="223"/>
        <v>465-19: Cryosurgical Equipment</v>
      </c>
    </row>
    <row r="3438" spans="1:7" x14ac:dyDescent="0.25">
      <c r="A3438" s="1" t="str">
        <f t="shared" si="225"/>
        <v>465</v>
      </c>
      <c r="B3438" s="1" t="str">
        <f>TEXT(22,"00")</f>
        <v>22</v>
      </c>
      <c r="C3438" s="1" t="str">
        <f t="shared" si="222"/>
        <v>465-22</v>
      </c>
      <c r="D3438" t="s">
        <v>3420</v>
      </c>
      <c r="E3438" t="b">
        <f>IF(COUNTIF(D3438,"*"&amp;'Keyword Search'!$C$5&amp;"*"),TRUE,FALSE)</f>
        <v>1</v>
      </c>
      <c r="G3438" t="str">
        <f t="shared" si="223"/>
        <v>465-22: *Diagnostic Equipment, Computerized: Plethysmographs, Spirometers, etc.</v>
      </c>
    </row>
    <row r="3439" spans="1:7" x14ac:dyDescent="0.25">
      <c r="A3439" s="1" t="str">
        <f t="shared" si="225"/>
        <v>465</v>
      </c>
      <c r="B3439" s="1" t="str">
        <f>TEXT(23,"00")</f>
        <v>23</v>
      </c>
      <c r="C3439" s="1" t="str">
        <f t="shared" si="222"/>
        <v>465-23</v>
      </c>
      <c r="D3439" t="s">
        <v>3421</v>
      </c>
      <c r="E3439" t="b">
        <f>IF(COUNTIF(D3439,"*"&amp;'Keyword Search'!$C$5&amp;"*"),TRUE,FALSE)</f>
        <v>1</v>
      </c>
      <c r="G3439" t="str">
        <f t="shared" si="223"/>
        <v>465-23: Diagnostic Equipment, Minor: Headlights, Penlights, Percussion Hammers, Specula, Tourniquets (Blood Pressure), Tuning Forks, etc.</v>
      </c>
    </row>
    <row r="3440" spans="1:7" x14ac:dyDescent="0.25">
      <c r="A3440" s="1" t="str">
        <f t="shared" si="225"/>
        <v>465</v>
      </c>
      <c r="B3440" s="1" t="str">
        <f>TEXT(24,"00")</f>
        <v>24</v>
      </c>
      <c r="C3440" s="1" t="str">
        <f t="shared" si="222"/>
        <v>465-24</v>
      </c>
      <c r="D3440" t="s">
        <v>3422</v>
      </c>
      <c r="E3440" t="b">
        <f>IF(COUNTIF(D3440,"*"&amp;'Keyword Search'!$C$5&amp;"*"),TRUE,FALSE)</f>
        <v>1</v>
      </c>
      <c r="G3440" t="str">
        <f t="shared" si="223"/>
        <v>465-24: Diagnostic and Surgical Equipment, Optical and Fiber Optics: Arthroscopes, Bronchoscopes, Colonoscopes, Endoscopes, Proctoscopes, etc.</v>
      </c>
    </row>
    <row r="3441" spans="1:7" x14ac:dyDescent="0.25">
      <c r="A3441" s="1" t="str">
        <f t="shared" si="225"/>
        <v>465</v>
      </c>
      <c r="B3441" s="1" t="str">
        <f>TEXT(25,"00")</f>
        <v>25</v>
      </c>
      <c r="C3441" s="1" t="str">
        <f t="shared" si="222"/>
        <v>465-25</v>
      </c>
      <c r="D3441" t="s">
        <v>3423</v>
      </c>
      <c r="E3441" t="b">
        <f>IF(COUNTIF(D3441,"*"&amp;'Keyword Search'!$C$5&amp;"*"),TRUE,FALSE)</f>
        <v>1</v>
      </c>
      <c r="G3441" t="str">
        <f t="shared" si="223"/>
        <v>465-25: Diagnostic Equipment, Electronic (Not Otherwise Classified)</v>
      </c>
    </row>
    <row r="3442" spans="1:7" x14ac:dyDescent="0.25">
      <c r="A3442" s="1" t="str">
        <f t="shared" si="225"/>
        <v>465</v>
      </c>
      <c r="B3442" s="1" t="str">
        <f>TEXT(27,"00")</f>
        <v>27</v>
      </c>
      <c r="C3442" s="1" t="str">
        <f t="shared" si="222"/>
        <v>465-27</v>
      </c>
      <c r="D3442" t="s">
        <v>3424</v>
      </c>
      <c r="E3442" t="b">
        <f>IF(COUNTIF(D3442,"*"&amp;'Keyword Search'!$C$5&amp;"*"),TRUE,FALSE)</f>
        <v>1</v>
      </c>
      <c r="G3442" t="str">
        <f t="shared" si="223"/>
        <v>465-27: Diathermy and Ultrasonic Equipment, For Diagnostic and Therapeutic Services)</v>
      </c>
    </row>
    <row r="3443" spans="1:7" x14ac:dyDescent="0.25">
      <c r="A3443" s="1" t="str">
        <f t="shared" si="225"/>
        <v>465</v>
      </c>
      <c r="B3443" s="1" t="str">
        <f>TEXT(29,"00")</f>
        <v>29</v>
      </c>
      <c r="C3443" s="1" t="str">
        <f t="shared" si="222"/>
        <v>465-29</v>
      </c>
      <c r="D3443" t="s">
        <v>3425</v>
      </c>
      <c r="E3443" t="b">
        <f>IF(COUNTIF(D3443,"*"&amp;'Keyword Search'!$C$5&amp;"*"),TRUE,FALSE)</f>
        <v>1</v>
      </c>
      <c r="G3443" t="str">
        <f t="shared" si="223"/>
        <v>465-29: Electrical Safety Analyzers, For Current Leakage Detection)</v>
      </c>
    </row>
    <row r="3444" spans="1:7" x14ac:dyDescent="0.25">
      <c r="A3444" s="1" t="str">
        <f t="shared" si="225"/>
        <v>465</v>
      </c>
      <c r="B3444" s="1" t="str">
        <f>TEXT(30,"00")</f>
        <v>30</v>
      </c>
      <c r="C3444" s="1" t="str">
        <f t="shared" si="222"/>
        <v>465-30</v>
      </c>
      <c r="D3444" t="s">
        <v>3426</v>
      </c>
      <c r="E3444" t="b">
        <f>IF(COUNTIF(D3444,"*"&amp;'Keyword Search'!$C$5&amp;"*"),TRUE,FALSE)</f>
        <v>1</v>
      </c>
      <c r="G3444" t="str">
        <f t="shared" si="223"/>
        <v>465-30: Electrocardiographs (EKG) and Supplies</v>
      </c>
    </row>
    <row r="3445" spans="1:7" x14ac:dyDescent="0.25">
      <c r="A3445" s="1" t="str">
        <f t="shared" si="225"/>
        <v>465</v>
      </c>
      <c r="B3445" s="1" t="str">
        <f>TEXT(32,"00")</f>
        <v>32</v>
      </c>
      <c r="C3445" s="1" t="str">
        <f t="shared" si="222"/>
        <v>465-32</v>
      </c>
      <c r="D3445" t="s">
        <v>3427</v>
      </c>
      <c r="E3445" t="b">
        <f>IF(COUNTIF(D3445,"*"&amp;'Keyword Search'!$C$5&amp;"*"),TRUE,FALSE)</f>
        <v>1</v>
      </c>
      <c r="G3445" t="str">
        <f t="shared" si="223"/>
        <v>465-32: Electroencephalographs (EEG) and Supplies</v>
      </c>
    </row>
    <row r="3446" spans="1:7" x14ac:dyDescent="0.25">
      <c r="A3446" s="1" t="str">
        <f t="shared" si="225"/>
        <v>465</v>
      </c>
      <c r="B3446" s="1" t="str">
        <f>TEXT(34,"00")</f>
        <v>34</v>
      </c>
      <c r="C3446" s="1" t="str">
        <f t="shared" si="222"/>
        <v>465-34</v>
      </c>
      <c r="D3446" t="s">
        <v>3428</v>
      </c>
      <c r="E3446" t="b">
        <f>IF(COUNTIF(D3446,"*"&amp;'Keyword Search'!$C$5&amp;"*"),TRUE,FALSE)</f>
        <v>1</v>
      </c>
      <c r="G3446" t="str">
        <f t="shared" si="223"/>
        <v>465-34: Electrosurgical and Laser Surgery Instruments and Accessories</v>
      </c>
    </row>
    <row r="3447" spans="1:7" x14ac:dyDescent="0.25">
      <c r="A3447" s="1" t="str">
        <f t="shared" si="225"/>
        <v>465</v>
      </c>
      <c r="B3447" s="1" t="str">
        <f>TEXT(37,"00")</f>
        <v>37</v>
      </c>
      <c r="C3447" s="1" t="str">
        <f t="shared" si="222"/>
        <v>465-37</v>
      </c>
      <c r="D3447" t="s">
        <v>3429</v>
      </c>
      <c r="E3447" t="b">
        <f>IF(COUNTIF(D3447,"*"&amp;'Keyword Search'!$C$5&amp;"*"),TRUE,FALSE)</f>
        <v>1</v>
      </c>
      <c r="G3447" t="str">
        <f t="shared" si="223"/>
        <v>465-37: Eye, Ear, Nose, and Throat Equipment, Hand Held: Laryngoscopes, Ophthalmoscopes, Otoscopes, Retinoscopes, etc.</v>
      </c>
    </row>
    <row r="3448" spans="1:7" x14ac:dyDescent="0.25">
      <c r="A3448" s="1" t="str">
        <f t="shared" si="225"/>
        <v>465</v>
      </c>
      <c r="B3448" s="1" t="str">
        <f>TEXT(38,"00")</f>
        <v>38</v>
      </c>
      <c r="C3448" s="1" t="str">
        <f t="shared" si="222"/>
        <v>465-38</v>
      </c>
      <c r="D3448" t="s">
        <v>3430</v>
      </c>
      <c r="E3448" t="b">
        <f>IF(COUNTIF(D3448,"*"&amp;'Keyword Search'!$C$5&amp;"*"),TRUE,FALSE)</f>
        <v>1</v>
      </c>
      <c r="G3448" t="str">
        <f t="shared" si="223"/>
        <v>465-38: Fertility, Sterility, and Impotence Equipment and Supplies</v>
      </c>
    </row>
    <row r="3449" spans="1:7" x14ac:dyDescent="0.25">
      <c r="A3449" s="1" t="str">
        <f t="shared" si="225"/>
        <v>465</v>
      </c>
      <c r="B3449" s="1" t="str">
        <f>TEXT(40,"00")</f>
        <v>40</v>
      </c>
      <c r="C3449" s="1" t="str">
        <f t="shared" si="222"/>
        <v>465-40</v>
      </c>
      <c r="D3449" t="s">
        <v>3431</v>
      </c>
      <c r="E3449" t="b">
        <f>IF(COUNTIF(D3449,"*"&amp;'Keyword Search'!$C$5&amp;"*"),TRUE,FALSE)</f>
        <v>1</v>
      </c>
      <c r="G3449" t="str">
        <f t="shared" si="223"/>
        <v>465-40: Freezers and Refrigerators, Blood Bank Type</v>
      </c>
    </row>
    <row r="3450" spans="1:7" x14ac:dyDescent="0.25">
      <c r="A3450" s="1" t="str">
        <f t="shared" si="225"/>
        <v>465</v>
      </c>
      <c r="B3450" s="1" t="str">
        <f>TEXT(44,"00")</f>
        <v>44</v>
      </c>
      <c r="C3450" s="1" t="str">
        <f t="shared" si="222"/>
        <v>465-44</v>
      </c>
      <c r="D3450" t="s">
        <v>3432</v>
      </c>
      <c r="E3450" t="b">
        <f>IF(COUNTIF(D3450,"*"&amp;'Keyword Search'!$C$5&amp;"*"),TRUE,FALSE)</f>
        <v>1</v>
      </c>
      <c r="G3450" t="str">
        <f t="shared" si="223"/>
        <v>465-44: Hemodialysis Equipment and Accessories</v>
      </c>
    </row>
    <row r="3451" spans="1:7" x14ac:dyDescent="0.25">
      <c r="A3451" s="1" t="str">
        <f t="shared" si="225"/>
        <v>465</v>
      </c>
      <c r="B3451" s="1" t="str">
        <f>TEXT(48,"00")</f>
        <v>48</v>
      </c>
      <c r="C3451" s="1" t="str">
        <f t="shared" si="222"/>
        <v>465-48</v>
      </c>
      <c r="D3451" t="s">
        <v>3433</v>
      </c>
      <c r="E3451" t="b">
        <f>IF(COUNTIF(D3451,"*"&amp;'Keyword Search'!$C$5&amp;"*"),TRUE,FALSE)</f>
        <v>1</v>
      </c>
      <c r="G3451" t="str">
        <f t="shared" si="223"/>
        <v xml:space="preserve">465-48:  Hospital and Surgical Equipment and Accessories (Not Otherwise Classified)                                                                                                                                                                               </v>
      </c>
    </row>
    <row r="3452" spans="1:7" x14ac:dyDescent="0.25">
      <c r="A3452" s="1" t="str">
        <f t="shared" si="225"/>
        <v>465</v>
      </c>
      <c r="B3452" s="1" t="str">
        <f>TEXT(50,"00")</f>
        <v>50</v>
      </c>
      <c r="C3452" s="1" t="str">
        <f t="shared" si="222"/>
        <v>465-50</v>
      </c>
      <c r="D3452" t="s">
        <v>3434</v>
      </c>
      <c r="E3452" t="b">
        <f>IF(COUNTIF(D3452,"*"&amp;'Keyword Search'!$C$5&amp;"*"),TRUE,FALSE)</f>
        <v>1</v>
      </c>
      <c r="G3452" t="str">
        <f t="shared" si="223"/>
        <v>465-50: Housekeeping Equipment and Supplies, Specialized, Hospitals, Including Chemicals</v>
      </c>
    </row>
    <row r="3453" spans="1:7" x14ac:dyDescent="0.25">
      <c r="A3453" s="1" t="str">
        <f t="shared" si="225"/>
        <v>465</v>
      </c>
      <c r="B3453" s="1" t="str">
        <f>TEXT(53,"00")</f>
        <v>53</v>
      </c>
      <c r="C3453" s="1" t="str">
        <f t="shared" si="222"/>
        <v>465-53</v>
      </c>
      <c r="D3453" t="s">
        <v>3435</v>
      </c>
      <c r="E3453" t="b">
        <f>IF(COUNTIF(D3453,"*"&amp;'Keyword Search'!$C$5&amp;"*"),TRUE,FALSE)</f>
        <v>1</v>
      </c>
      <c r="G3453" t="str">
        <f t="shared" si="223"/>
        <v>465-53: Hypothermia Systems Equipment and Supplies</v>
      </c>
    </row>
    <row r="3454" spans="1:7" x14ac:dyDescent="0.25">
      <c r="A3454" s="1" t="str">
        <f t="shared" si="225"/>
        <v>465</v>
      </c>
      <c r="B3454" s="1" t="str">
        <f>TEXT(54,"00")</f>
        <v>54</v>
      </c>
      <c r="C3454" s="1" t="str">
        <f t="shared" si="222"/>
        <v>465-54</v>
      </c>
      <c r="D3454" t="s">
        <v>3436</v>
      </c>
      <c r="E3454" t="b">
        <f>IF(COUNTIF(D3454,"*"&amp;'Keyword Search'!$C$5&amp;"*"),TRUE,FALSE)</f>
        <v>1</v>
      </c>
      <c r="G3454" t="str">
        <f t="shared" si="223"/>
        <v>465-54: Injection Guns, Jet Injectors, Including Parts and Accessories</v>
      </c>
    </row>
    <row r="3455" spans="1:7" x14ac:dyDescent="0.25">
      <c r="A3455" s="1" t="str">
        <f t="shared" si="225"/>
        <v>465</v>
      </c>
      <c r="B3455" s="1" t="str">
        <f>TEXT(55,"00")</f>
        <v>55</v>
      </c>
      <c r="C3455" s="1" t="str">
        <f t="shared" si="222"/>
        <v>465-55</v>
      </c>
      <c r="D3455" t="s">
        <v>3437</v>
      </c>
      <c r="E3455" t="b">
        <f>IF(COUNTIF(D3455,"*"&amp;'Keyword Search'!$C$5&amp;"*"),TRUE,FALSE)</f>
        <v>1</v>
      </c>
      <c r="G3455" t="str">
        <f t="shared" si="223"/>
        <v>465-55: Intravenous and Arterial Infusion Equipment and Supplies (Not Otherwise Classified)</v>
      </c>
    </row>
    <row r="3456" spans="1:7" x14ac:dyDescent="0.25">
      <c r="A3456" s="1" t="str">
        <f t="shared" si="225"/>
        <v>465</v>
      </c>
      <c r="B3456" s="1" t="str">
        <f>TEXT(56,"00")</f>
        <v>56</v>
      </c>
      <c r="C3456" s="1" t="str">
        <f t="shared" si="222"/>
        <v>465-56</v>
      </c>
      <c r="D3456" t="s">
        <v>3438</v>
      </c>
      <c r="E3456" t="b">
        <f>IF(COUNTIF(D3456,"*"&amp;'Keyword Search'!$C$5&amp;"*"),TRUE,FALSE)</f>
        <v>1</v>
      </c>
      <c r="G3456" t="str">
        <f t="shared" si="223"/>
        <v>465-56: Lavage Systems and Accessories for Treatment of Wounds</v>
      </c>
    </row>
    <row r="3457" spans="1:7" x14ac:dyDescent="0.25">
      <c r="A3457" s="1" t="str">
        <f t="shared" si="225"/>
        <v>465</v>
      </c>
      <c r="B3457" s="1" t="str">
        <f>TEXT(57,"00")</f>
        <v>57</v>
      </c>
      <c r="C3457" s="1" t="str">
        <f t="shared" si="222"/>
        <v>465-57</v>
      </c>
      <c r="D3457" t="s">
        <v>3439</v>
      </c>
      <c r="E3457" t="b">
        <f>IF(COUNTIF(D3457,"*"&amp;'Keyword Search'!$C$5&amp;"*"),TRUE,FALSE)</f>
        <v>1</v>
      </c>
      <c r="G3457" t="str">
        <f t="shared" si="223"/>
        <v>465-57: Lithotripters, For Breaking Kidney and Other Stones</v>
      </c>
    </row>
    <row r="3458" spans="1:7" x14ac:dyDescent="0.25">
      <c r="A3458" s="1" t="str">
        <f t="shared" si="225"/>
        <v>465</v>
      </c>
      <c r="B3458" s="1" t="str">
        <f>TEXT(58,"00")</f>
        <v>58</v>
      </c>
      <c r="C3458" s="1" t="str">
        <f t="shared" si="222"/>
        <v>465-58</v>
      </c>
      <c r="D3458" t="s">
        <v>3440</v>
      </c>
      <c r="E3458" t="b">
        <f>IF(COUNTIF(D3458,"*"&amp;'Keyword Search'!$C$5&amp;"*"),TRUE,FALSE)</f>
        <v>1</v>
      </c>
      <c r="G3458" t="str">
        <f t="shared" si="223"/>
        <v>465-58: Lamps, Examining and Surgical (See Item 23 For Headlights)</v>
      </c>
    </row>
    <row r="3459" spans="1:7" x14ac:dyDescent="0.25">
      <c r="A3459" s="1" t="str">
        <f t="shared" si="225"/>
        <v>465</v>
      </c>
      <c r="B3459" s="1" t="str">
        <f>TEXT(60,"00")</f>
        <v>60</v>
      </c>
      <c r="C3459" s="1" t="str">
        <f t="shared" ref="C3459:C3522" si="226">CONCATENATE(A3459,"-",B3459)</f>
        <v>465-60</v>
      </c>
      <c r="D3459" t="s">
        <v>3441</v>
      </c>
      <c r="E3459" t="b">
        <f>IF(COUNTIF(D3459,"*"&amp;'Keyword Search'!$C$5&amp;"*"),TRUE,FALSE)</f>
        <v>1</v>
      </c>
      <c r="G3459" t="str">
        <f t="shared" si="223"/>
        <v>465-60: Monitoring Systems, All Types, Hospital and Patient</v>
      </c>
    </row>
    <row r="3460" spans="1:7" x14ac:dyDescent="0.25">
      <c r="A3460" s="1" t="str">
        <f t="shared" si="225"/>
        <v>465</v>
      </c>
      <c r="B3460" s="1" t="str">
        <f>TEXT(61,"00")</f>
        <v>61</v>
      </c>
      <c r="C3460" s="1" t="str">
        <f t="shared" si="226"/>
        <v>465-61</v>
      </c>
      <c r="D3460" t="s">
        <v>3442</v>
      </c>
      <c r="E3460" t="b">
        <f>IF(COUNTIF(D3460,"*"&amp;'Keyword Search'!$C$5&amp;"*"),TRUE,FALSE)</f>
        <v>1</v>
      </c>
      <c r="G3460" t="str">
        <f t="shared" ref="G3460:G3523" si="227">CONCATENATE(C3460,": ",D3460)</f>
        <v>465-61: Mortuary and Morgue Equipment and Supplies: Embalming Fluid, Embalming Pumps, Injectors, etc. (See 410-42 for Furniture; 475-73 for Cadaver Bags and Shrouds; 495-82 for Scales)</v>
      </c>
    </row>
    <row r="3461" spans="1:7" x14ac:dyDescent="0.25">
      <c r="A3461" s="1" t="str">
        <f t="shared" si="225"/>
        <v>465</v>
      </c>
      <c r="B3461" s="1" t="str">
        <f>TEXT(63,"00")</f>
        <v>63</v>
      </c>
      <c r="C3461" s="1" t="str">
        <f t="shared" si="226"/>
        <v>465-63</v>
      </c>
      <c r="D3461" t="s">
        <v>3443</v>
      </c>
      <c r="E3461" t="b">
        <f>IF(COUNTIF(D3461,"*"&amp;'Keyword Search'!$C$5&amp;"*"),TRUE,FALSE)</f>
        <v>1</v>
      </c>
      <c r="G3461" t="str">
        <f t="shared" si="227"/>
        <v>465-63: Nursery Supplies: Infant Measuring Devices, etc. (See Class 410 For Incubators)</v>
      </c>
    </row>
    <row r="3462" spans="1:7" x14ac:dyDescent="0.25">
      <c r="A3462" s="1" t="str">
        <f t="shared" si="225"/>
        <v>465</v>
      </c>
      <c r="B3462" s="1" t="str">
        <f>TEXT(64,"00")</f>
        <v>64</v>
      </c>
      <c r="C3462" s="1" t="str">
        <f t="shared" si="226"/>
        <v>465-64</v>
      </c>
      <c r="D3462" t="s">
        <v>3444</v>
      </c>
      <c r="E3462" t="b">
        <f>IF(COUNTIF(D3462,"*"&amp;'Keyword Search'!$C$5&amp;"*"),TRUE,FALSE)</f>
        <v>1</v>
      </c>
      <c r="G3462" t="str">
        <f t="shared" si="227"/>
        <v>465-64: Operating Room Equipment, Not Furniture</v>
      </c>
    </row>
    <row r="3463" spans="1:7" x14ac:dyDescent="0.25">
      <c r="A3463" s="1" t="str">
        <f t="shared" si="225"/>
        <v>465</v>
      </c>
      <c r="B3463" s="1" t="str">
        <f>TEXT(65,"00")</f>
        <v>65</v>
      </c>
      <c r="C3463" s="1" t="str">
        <f t="shared" si="226"/>
        <v>465-65</v>
      </c>
      <c r="D3463" t="s">
        <v>3445</v>
      </c>
      <c r="E3463" t="b">
        <f>IF(COUNTIF(D3463,"*"&amp;'Keyword Search'!$C$5&amp;"*"),TRUE,FALSE)</f>
        <v>1</v>
      </c>
      <c r="G3463" t="str">
        <f t="shared" si="227"/>
        <v>465-65: Obstetrical and Gynecological Equipment and Supplies</v>
      </c>
    </row>
    <row r="3464" spans="1:7" x14ac:dyDescent="0.25">
      <c r="A3464" s="1" t="str">
        <f t="shared" si="225"/>
        <v>465</v>
      </c>
      <c r="B3464" s="1" t="str">
        <f>TEXT(66,"00")</f>
        <v>66</v>
      </c>
      <c r="C3464" s="1" t="str">
        <f t="shared" si="226"/>
        <v>465-66</v>
      </c>
      <c r="D3464" t="s">
        <v>3446</v>
      </c>
      <c r="E3464" t="b">
        <f>IF(COUNTIF(D3464,"*"&amp;'Keyword Search'!$C$5&amp;"*"),TRUE,FALSE)</f>
        <v>1</v>
      </c>
      <c r="G3464" t="str">
        <f t="shared" si="227"/>
        <v>465-66: Organ Preservation Equipment: Perfusion Chambers, etc.</v>
      </c>
    </row>
    <row r="3465" spans="1:7" x14ac:dyDescent="0.25">
      <c r="A3465" s="1" t="str">
        <f t="shared" si="225"/>
        <v>465</v>
      </c>
      <c r="B3465" s="1" t="str">
        <f>TEXT(67,"00")</f>
        <v>67</v>
      </c>
      <c r="C3465" s="1" t="str">
        <f t="shared" si="226"/>
        <v>465-67</v>
      </c>
      <c r="D3465" t="s">
        <v>3447</v>
      </c>
      <c r="E3465" t="b">
        <f>IF(COUNTIF(D3465,"*"&amp;'Keyword Search'!$C$5&amp;"*"),TRUE,FALSE)</f>
        <v>1</v>
      </c>
      <c r="G3465" t="str">
        <f t="shared" si="227"/>
        <v>465-67: Orthopedic Equipment: Bone Plates, Bone Saws, Cast Cutters, Drills, Nails, Pins, Prosthetic Bones and Joints, Screws, etc.</v>
      </c>
    </row>
    <row r="3466" spans="1:7" x14ac:dyDescent="0.25">
      <c r="A3466" s="1" t="str">
        <f t="shared" si="225"/>
        <v>465</v>
      </c>
      <c r="B3466" s="1" t="str">
        <f>TEXT(70,"00")</f>
        <v>70</v>
      </c>
      <c r="C3466" s="1" t="str">
        <f t="shared" si="226"/>
        <v>465-70</v>
      </c>
      <c r="D3466" t="s">
        <v>3448</v>
      </c>
      <c r="E3466" t="b">
        <f>IF(COUNTIF(D3466,"*"&amp;'Keyword Search'!$C$5&amp;"*"),TRUE,FALSE)</f>
        <v>1</v>
      </c>
      <c r="G3466" t="str">
        <f t="shared" si="227"/>
        <v>465-70: Pads and Pumping Systems, Alternating Pressure Point</v>
      </c>
    </row>
    <row r="3467" spans="1:7" x14ac:dyDescent="0.25">
      <c r="A3467" s="1" t="str">
        <f t="shared" si="225"/>
        <v>465</v>
      </c>
      <c r="B3467" s="1" t="str">
        <f>TEXT(72,"00")</f>
        <v>72</v>
      </c>
      <c r="C3467" s="1" t="str">
        <f t="shared" si="226"/>
        <v>465-72</v>
      </c>
      <c r="D3467" t="s">
        <v>3449</v>
      </c>
      <c r="E3467" t="b">
        <f>IF(COUNTIF(D3467,"*"&amp;'Keyword Search'!$C$5&amp;"*"),TRUE,FALSE)</f>
        <v>1</v>
      </c>
      <c r="G3467" t="str">
        <f t="shared" si="227"/>
        <v>465-72: Pads and Systems, Fluid Circulating, Cooling and Warming</v>
      </c>
    </row>
    <row r="3468" spans="1:7" x14ac:dyDescent="0.25">
      <c r="A3468" s="1" t="str">
        <f t="shared" si="225"/>
        <v>465</v>
      </c>
      <c r="B3468" s="1" t="str">
        <f>TEXT(73,"00")</f>
        <v>73</v>
      </c>
      <c r="C3468" s="1" t="str">
        <f t="shared" si="226"/>
        <v>465-73</v>
      </c>
      <c r="D3468" t="s">
        <v>3450</v>
      </c>
      <c r="E3468" t="b">
        <f>IF(COUNTIF(D3468,"*"&amp;'Keyword Search'!$C$5&amp;"*"),TRUE,FALSE)</f>
        <v>1</v>
      </c>
      <c r="G3468" t="str">
        <f t="shared" si="227"/>
        <v>465-73: Pads, Heating, Standard Type</v>
      </c>
    </row>
    <row r="3469" spans="1:7" x14ac:dyDescent="0.25">
      <c r="A3469" s="1" t="str">
        <f t="shared" si="225"/>
        <v>465</v>
      </c>
      <c r="B3469" s="1" t="str">
        <f>TEXT(74,"00")</f>
        <v>74</v>
      </c>
      <c r="C3469" s="1" t="str">
        <f t="shared" si="226"/>
        <v>465-74</v>
      </c>
      <c r="D3469" t="s">
        <v>3451</v>
      </c>
      <c r="E3469" t="b">
        <f>IF(COUNTIF(D3469,"*"&amp;'Keyword Search'!$C$5&amp;"*"),TRUE,FALSE)</f>
        <v>1</v>
      </c>
      <c r="G3469" t="str">
        <f t="shared" si="227"/>
        <v>465-74: Plastic or Reconstructive Surgery Equipment and Supplies</v>
      </c>
    </row>
    <row r="3470" spans="1:7" x14ac:dyDescent="0.25">
      <c r="A3470" s="1" t="str">
        <f t="shared" si="225"/>
        <v>465</v>
      </c>
      <c r="B3470" s="1" t="str">
        <f>TEXT(75,"00")</f>
        <v>75</v>
      </c>
      <c r="C3470" s="1" t="str">
        <f t="shared" si="226"/>
        <v>465-75</v>
      </c>
      <c r="D3470" t="s">
        <v>3452</v>
      </c>
      <c r="E3470" t="b">
        <f>IF(COUNTIF(D3470,"*"&amp;'Keyword Search'!$C$5&amp;"*"),TRUE,FALSE)</f>
        <v>1</v>
      </c>
      <c r="G3470" t="str">
        <f t="shared" si="227"/>
        <v>465-75: Pharmacy Equipment, Dispensers and Accessories</v>
      </c>
    </row>
    <row r="3471" spans="1:7" x14ac:dyDescent="0.25">
      <c r="A3471" s="1" t="str">
        <f t="shared" si="225"/>
        <v>465</v>
      </c>
      <c r="B3471" s="1" t="str">
        <f>TEXT(76,"00")</f>
        <v>76</v>
      </c>
      <c r="C3471" s="1" t="str">
        <f t="shared" si="226"/>
        <v>465-76</v>
      </c>
      <c r="D3471" t="s">
        <v>3453</v>
      </c>
      <c r="E3471" t="b">
        <f>IF(COUNTIF(D3471,"*"&amp;'Keyword Search'!$C$5&amp;"*"),TRUE,FALSE)</f>
        <v>1</v>
      </c>
      <c r="G3471" t="str">
        <f t="shared" si="227"/>
        <v>465-76: Physical Therapy Equipment and Supplies</v>
      </c>
    </row>
    <row r="3472" spans="1:7" x14ac:dyDescent="0.25">
      <c r="A3472" s="1" t="str">
        <f t="shared" si="225"/>
        <v>465</v>
      </c>
      <c r="B3472" s="1" t="str">
        <f>TEXT(77,"00")</f>
        <v>77</v>
      </c>
      <c r="C3472" s="1" t="str">
        <f t="shared" si="226"/>
        <v>465-77</v>
      </c>
      <c r="D3472" t="s">
        <v>3454</v>
      </c>
      <c r="E3472" t="b">
        <f>IF(COUNTIF(D3472,"*"&amp;'Keyword Search'!$C$5&amp;"*"),TRUE,FALSE)</f>
        <v>1</v>
      </c>
      <c r="G3472" t="str">
        <f t="shared" si="227"/>
        <v>465-77: Pulmonary Equipment and Supplies</v>
      </c>
    </row>
    <row r="3473" spans="1:7" x14ac:dyDescent="0.25">
      <c r="A3473" s="1" t="str">
        <f t="shared" si="225"/>
        <v>465</v>
      </c>
      <c r="B3473" s="1" t="str">
        <f>TEXT(78,"00")</f>
        <v>78</v>
      </c>
      <c r="C3473" s="1" t="str">
        <f t="shared" si="226"/>
        <v>465-78</v>
      </c>
      <c r="D3473" t="s">
        <v>3455</v>
      </c>
      <c r="E3473" t="b">
        <f>IF(COUNTIF(D3473,"*"&amp;'Keyword Search'!$C$5&amp;"*"),TRUE,FALSE)</f>
        <v>1</v>
      </c>
      <c r="G3473" t="str">
        <f t="shared" si="227"/>
        <v>465-78: Pumps, Hospital: Breast, Enteral and IV Feeding, Infusion, Pressure, Suction (Aspirators), and Vacuum</v>
      </c>
    </row>
    <row r="3474" spans="1:7" x14ac:dyDescent="0.25">
      <c r="A3474" s="1" t="str">
        <f t="shared" si="225"/>
        <v>465</v>
      </c>
      <c r="B3474" s="1" t="str">
        <f>TEXT(79,"00")</f>
        <v>79</v>
      </c>
      <c r="C3474" s="1" t="str">
        <f t="shared" si="226"/>
        <v>465-79</v>
      </c>
      <c r="D3474" t="s">
        <v>3456</v>
      </c>
      <c r="E3474" t="b">
        <f>IF(COUNTIF(D3474,"*"&amp;'Keyword Search'!$C$5&amp;"*"),TRUE,FALSE)</f>
        <v>1</v>
      </c>
      <c r="G3474" t="str">
        <f t="shared" si="227"/>
        <v>465-79: Psychologist and Psychiatrist Equipment and Supplies</v>
      </c>
    </row>
    <row r="3475" spans="1:7" x14ac:dyDescent="0.25">
      <c r="A3475" s="1" t="str">
        <f t="shared" si="225"/>
        <v>465</v>
      </c>
      <c r="B3475" s="1" t="str">
        <f>TEXT(80,"00")</f>
        <v>80</v>
      </c>
      <c r="C3475" s="1" t="str">
        <f t="shared" si="226"/>
        <v>465-80</v>
      </c>
      <c r="D3475" t="s">
        <v>3457</v>
      </c>
      <c r="E3475" t="b">
        <f>IF(COUNTIF(D3475,"*"&amp;'Keyword Search'!$C$5&amp;"*"),TRUE,FALSE)</f>
        <v>1</v>
      </c>
      <c r="G3475" t="str">
        <f t="shared" si="227"/>
        <v>465-80: Robotics, Surgical</v>
      </c>
    </row>
    <row r="3476" spans="1:7" x14ac:dyDescent="0.25">
      <c r="A3476" s="1" t="str">
        <f t="shared" si="225"/>
        <v>465</v>
      </c>
      <c r="B3476" s="1" t="str">
        <f>TEXT(81,"00")</f>
        <v>81</v>
      </c>
      <c r="C3476" s="1" t="str">
        <f t="shared" si="226"/>
        <v>465-81</v>
      </c>
      <c r="D3476" t="s">
        <v>3458</v>
      </c>
      <c r="E3476" t="b">
        <f>IF(COUNTIF(D3476,"*"&amp;'Keyword Search'!$C$5&amp;"*"),TRUE,FALSE)</f>
        <v>1</v>
      </c>
      <c r="G3476" t="str">
        <f t="shared" si="227"/>
        <v>465-81: Recycled Hospital and Surgical Equipment</v>
      </c>
    </row>
    <row r="3477" spans="1:7" x14ac:dyDescent="0.25">
      <c r="A3477" s="1" t="str">
        <f t="shared" si="225"/>
        <v>465</v>
      </c>
      <c r="B3477" s="1" t="str">
        <f>TEXT(82,"00")</f>
        <v>82</v>
      </c>
      <c r="C3477" s="1" t="str">
        <f t="shared" si="226"/>
        <v>465-82</v>
      </c>
      <c r="D3477" t="s">
        <v>3459</v>
      </c>
      <c r="E3477" t="b">
        <f>IF(COUNTIF(D3477,"*"&amp;'Keyword Search'!$C$5&amp;"*"),TRUE,FALSE)</f>
        <v>1</v>
      </c>
      <c r="G3477" t="str">
        <f t="shared" si="227"/>
        <v>465-82: Rehabilitation Equipment and Supplies, For Hydrotherapy, Physiotherapy, Phototherapy, etc.</v>
      </c>
    </row>
    <row r="3478" spans="1:7" x14ac:dyDescent="0.25">
      <c r="A3478" s="1" t="str">
        <f t="shared" si="225"/>
        <v>465</v>
      </c>
      <c r="B3478" s="1" t="str">
        <f>TEXT(83,"00")</f>
        <v>83</v>
      </c>
      <c r="C3478" s="1" t="str">
        <f t="shared" si="226"/>
        <v>465-83</v>
      </c>
      <c r="D3478" t="s">
        <v>3460</v>
      </c>
      <c r="E3478" t="b">
        <f>IF(COUNTIF(D3478,"*"&amp;'Keyword Search'!$C$5&amp;"*"),TRUE,FALSE)</f>
        <v>1</v>
      </c>
      <c r="G3478" t="str">
        <f t="shared" si="227"/>
        <v>465-83: Repair Kits, Hospital and Medical Equipment</v>
      </c>
    </row>
    <row r="3479" spans="1:7" x14ac:dyDescent="0.25">
      <c r="A3479" s="1" t="str">
        <f t="shared" si="225"/>
        <v>465</v>
      </c>
      <c r="B3479" s="1" t="str">
        <f>TEXT(84,"00")</f>
        <v>84</v>
      </c>
      <c r="C3479" s="1" t="str">
        <f t="shared" si="226"/>
        <v>465-84</v>
      </c>
      <c r="D3479" t="s">
        <v>3461</v>
      </c>
      <c r="E3479" t="b">
        <f>IF(COUNTIF(D3479,"*"&amp;'Keyword Search'!$C$5&amp;"*"),TRUE,FALSE)</f>
        <v>1</v>
      </c>
      <c r="G3479" t="str">
        <f t="shared" si="227"/>
        <v>465-84: Shield, Protective, Surgical</v>
      </c>
    </row>
    <row r="3480" spans="1:7" x14ac:dyDescent="0.25">
      <c r="A3480" s="1" t="str">
        <f t="shared" si="225"/>
        <v>465</v>
      </c>
      <c r="B3480" s="1" t="str">
        <f>TEXT(85,"00")</f>
        <v>85</v>
      </c>
      <c r="C3480" s="1" t="str">
        <f t="shared" si="226"/>
        <v>465-85</v>
      </c>
      <c r="D3480" t="s">
        <v>3462</v>
      </c>
      <c r="E3480" t="b">
        <f>IF(COUNTIF(D3480,"*"&amp;'Keyword Search'!$C$5&amp;"*"),TRUE,FALSE)</f>
        <v>1</v>
      </c>
      <c r="G3480" t="str">
        <f t="shared" si="227"/>
        <v>465-85: Shock Treatment Units and Accessories</v>
      </c>
    </row>
    <row r="3481" spans="1:7" x14ac:dyDescent="0.25">
      <c r="A3481" s="1" t="str">
        <f t="shared" si="225"/>
        <v>465</v>
      </c>
      <c r="B3481" s="1" t="str">
        <f>TEXT(88,"00")</f>
        <v>88</v>
      </c>
      <c r="C3481" s="1" t="str">
        <f t="shared" si="226"/>
        <v>465-88</v>
      </c>
      <c r="D3481" t="s">
        <v>3463</v>
      </c>
      <c r="E3481" t="b">
        <f>IF(COUNTIF(D3481,"*"&amp;'Keyword Search'!$C$5&amp;"*"),TRUE,FALSE)</f>
        <v>1</v>
      </c>
      <c r="G3481" t="str">
        <f t="shared" si="227"/>
        <v>465-88: Splints and Tourniquets</v>
      </c>
    </row>
    <row r="3482" spans="1:7" x14ac:dyDescent="0.25">
      <c r="A3482" s="1" t="str">
        <f t="shared" si="225"/>
        <v>465</v>
      </c>
      <c r="B3482" s="1" t="str">
        <f>TEXT(90,"00")</f>
        <v>90</v>
      </c>
      <c r="C3482" s="1" t="str">
        <f t="shared" si="226"/>
        <v>465-90</v>
      </c>
      <c r="D3482" t="s">
        <v>3464</v>
      </c>
      <c r="E3482" t="b">
        <f>IF(COUNTIF(D3482,"*"&amp;'Keyword Search'!$C$5&amp;"*"),TRUE,FALSE)</f>
        <v>1</v>
      </c>
      <c r="G3482" t="str">
        <f t="shared" si="227"/>
        <v>465-90: Sterilizing Equipment, Hospital and Research: Autoclaves and Sterilizers, Chemical, Dry Heat, Gas, Steam, etc.</v>
      </c>
    </row>
    <row r="3483" spans="1:7" x14ac:dyDescent="0.25">
      <c r="A3483" s="1" t="str">
        <f t="shared" si="225"/>
        <v>465</v>
      </c>
      <c r="B3483" s="1" t="str">
        <f>TEXT(91,"00")</f>
        <v>91</v>
      </c>
      <c r="C3483" s="1" t="str">
        <f t="shared" si="226"/>
        <v>465-91</v>
      </c>
      <c r="D3483" t="s">
        <v>3465</v>
      </c>
      <c r="E3483" t="b">
        <f>IF(COUNTIF(D3483,"*"&amp;'Keyword Search'!$C$5&amp;"*"),TRUE,FALSE)</f>
        <v>1</v>
      </c>
      <c r="G3483" t="str">
        <f t="shared" si="227"/>
        <v>465-91: Stress Relief and Test Equipment</v>
      </c>
    </row>
    <row r="3484" spans="1:7" x14ac:dyDescent="0.25">
      <c r="A3484" s="1" t="str">
        <f t="shared" si="225"/>
        <v>465</v>
      </c>
      <c r="B3484" s="1" t="str">
        <f>TEXT(92,"00")</f>
        <v>92</v>
      </c>
      <c r="C3484" s="1" t="str">
        <f t="shared" si="226"/>
        <v>465-92</v>
      </c>
      <c r="D3484" t="s">
        <v>3466</v>
      </c>
      <c r="E3484" t="b">
        <f>IF(COUNTIF(D3484,"*"&amp;'Keyword Search'!$C$5&amp;"*"),TRUE,FALSE)</f>
        <v>1</v>
      </c>
      <c r="G3484" t="str">
        <f t="shared" si="227"/>
        <v>465-92: Surgical Instruments, Floor Grade</v>
      </c>
    </row>
    <row r="3485" spans="1:7" x14ac:dyDescent="0.25">
      <c r="A3485" s="1" t="str">
        <f t="shared" si="225"/>
        <v>465</v>
      </c>
      <c r="B3485" s="1" t="str">
        <f>TEXT(93,"00")</f>
        <v>93</v>
      </c>
      <c r="C3485" s="1" t="str">
        <f t="shared" si="226"/>
        <v>465-93</v>
      </c>
      <c r="D3485" t="s">
        <v>3467</v>
      </c>
      <c r="E3485" t="b">
        <f>IF(COUNTIF(D3485,"*"&amp;'Keyword Search'!$C$5&amp;"*"),TRUE,FALSE)</f>
        <v>1</v>
      </c>
      <c r="G3485" t="str">
        <f t="shared" si="227"/>
        <v>465-93: Surgical Instruments, Operating Room Grade</v>
      </c>
    </row>
    <row r="3486" spans="1:7" x14ac:dyDescent="0.25">
      <c r="A3486" s="1" t="str">
        <f t="shared" ref="A3486:A3488" si="228">TEXT(465,"000")</f>
        <v>465</v>
      </c>
      <c r="B3486" s="1" t="str">
        <f>TEXT(94,"00")</f>
        <v>94</v>
      </c>
      <c r="C3486" s="1" t="str">
        <f t="shared" si="226"/>
        <v>465-94</v>
      </c>
      <c r="D3486" t="s">
        <v>3468</v>
      </c>
      <c r="E3486" t="b">
        <f>IF(COUNTIF(D3486,"*"&amp;'Keyword Search'!$C$5&amp;"*"),TRUE,FALSE)</f>
        <v>1</v>
      </c>
      <c r="G3486" t="str">
        <f t="shared" si="227"/>
        <v>465-94: Medical Valves</v>
      </c>
    </row>
    <row r="3487" spans="1:7" x14ac:dyDescent="0.25">
      <c r="A3487" s="1" t="str">
        <f t="shared" si="228"/>
        <v>465</v>
      </c>
      <c r="B3487" s="1" t="str">
        <f>TEXT(95,"00")</f>
        <v>95</v>
      </c>
      <c r="C3487" s="1" t="str">
        <f t="shared" si="226"/>
        <v>465-95</v>
      </c>
      <c r="D3487" t="s">
        <v>3469</v>
      </c>
      <c r="E3487" t="b">
        <f>IF(COUNTIF(D3487,"*"&amp;'Keyword Search'!$C$5&amp;"*"),TRUE,FALSE)</f>
        <v>1</v>
      </c>
      <c r="G3487" t="str">
        <f t="shared" si="227"/>
        <v>465-95: Vaporizers, Humidifiers, and Nebulizers (Including Room Size)</v>
      </c>
    </row>
    <row r="3488" spans="1:7" x14ac:dyDescent="0.25">
      <c r="A3488" s="1" t="str">
        <f t="shared" si="228"/>
        <v>465</v>
      </c>
      <c r="B3488" s="1" t="str">
        <f>TEXT(97,"00")</f>
        <v>97</v>
      </c>
      <c r="C3488" s="1" t="str">
        <f t="shared" si="226"/>
        <v>465-97</v>
      </c>
      <c r="D3488" t="s">
        <v>3470</v>
      </c>
      <c r="E3488" t="b">
        <f>IF(COUNTIF(D3488,"*"&amp;'Keyword Search'!$C$5&amp;"*"),TRUE,FALSE)</f>
        <v>1</v>
      </c>
      <c r="G3488" t="str">
        <f t="shared" si="227"/>
        <v>465-97: Warming Cabinets, For Blood, IV Solutions, etc.</v>
      </c>
    </row>
    <row r="3489" spans="1:7" x14ac:dyDescent="0.25">
      <c r="A3489" s="5" t="str">
        <f t="shared" ref="A3489:A3513" si="229">TEXT(470,"000")</f>
        <v>470</v>
      </c>
      <c r="B3489" s="5" t="str">
        <f>TEXT(0,"00")</f>
        <v>00</v>
      </c>
      <c r="C3489" s="1"/>
      <c r="D3489" s="2" t="s">
        <v>3471</v>
      </c>
    </row>
    <row r="3490" spans="1:7" x14ac:dyDescent="0.25">
      <c r="A3490" s="1" t="str">
        <f t="shared" si="229"/>
        <v>470</v>
      </c>
      <c r="B3490" s="1" t="str">
        <f>TEXT(6,"00")</f>
        <v>06</v>
      </c>
      <c r="C3490" s="1" t="str">
        <f t="shared" si="226"/>
        <v>470-06</v>
      </c>
      <c r="D3490" t="s">
        <v>3472</v>
      </c>
      <c r="E3490" t="b">
        <f>IF(COUNTIF(D3490,"*"&amp;'Keyword Search'!$C$5&amp;"*"),TRUE,FALSE)</f>
        <v>1</v>
      </c>
      <c r="G3490" t="str">
        <f t="shared" si="227"/>
        <v>470-06: *Alarm and Warning Devices, Hospitals or Nursing Homes</v>
      </c>
    </row>
    <row r="3491" spans="1:7" x14ac:dyDescent="0.25">
      <c r="A3491" s="1" t="str">
        <f t="shared" si="229"/>
        <v>470</v>
      </c>
      <c r="B3491" s="1" t="str">
        <f>TEXT(10,"00")</f>
        <v>10</v>
      </c>
      <c r="C3491" s="1" t="str">
        <f t="shared" si="226"/>
        <v>470-10</v>
      </c>
      <c r="D3491" t="s">
        <v>3473</v>
      </c>
      <c r="E3491" t="b">
        <f>IF(COUNTIF(D3491,"*"&amp;'Keyword Search'!$C$5&amp;"*"),TRUE,FALSE)</f>
        <v>1</v>
      </c>
      <c r="G3491" t="str">
        <f t="shared" si="227"/>
        <v>470-10: Ambulance Cots and Stretchers, Including, Shifting Boards</v>
      </c>
    </row>
    <row r="3492" spans="1:7" x14ac:dyDescent="0.25">
      <c r="A3492" s="1" t="str">
        <f t="shared" si="229"/>
        <v>470</v>
      </c>
      <c r="B3492" s="1" t="str">
        <f>TEXT(13,"00")</f>
        <v>13</v>
      </c>
      <c r="C3492" s="1" t="str">
        <f t="shared" si="226"/>
        <v>470-13</v>
      </c>
      <c r="D3492" t="s">
        <v>3474</v>
      </c>
      <c r="E3492" t="b">
        <f>IF(COUNTIF(D3492,"*"&amp;'Keyword Search'!$C$5&amp;"*"),TRUE,FALSE)</f>
        <v>1</v>
      </c>
      <c r="G3492" t="str">
        <f t="shared" si="227"/>
        <v>470-13: Anatomical Braces and Supports: Arm Slings, Back Supports, Torso Supports, Neck Braces, Trusses, etc.</v>
      </c>
    </row>
    <row r="3493" spans="1:7" x14ac:dyDescent="0.25">
      <c r="A3493" s="1" t="str">
        <f t="shared" si="229"/>
        <v>470</v>
      </c>
      <c r="B3493" s="1" t="str">
        <f>TEXT(17,"00")</f>
        <v>17</v>
      </c>
      <c r="C3493" s="1" t="str">
        <f t="shared" si="226"/>
        <v>470-17</v>
      </c>
      <c r="D3493" t="s">
        <v>3475</v>
      </c>
      <c r="E3493" t="b">
        <f>IF(COUNTIF(D3493,"*"&amp;'Keyword Search'!$C$5&amp;"*"),TRUE,FALSE)</f>
        <v>1</v>
      </c>
      <c r="G3493" t="str">
        <f t="shared" si="227"/>
        <v>470-17: Canes, Crutches, Gait Trainers, Walkers, etc.</v>
      </c>
    </row>
    <row r="3494" spans="1:7" x14ac:dyDescent="0.25">
      <c r="A3494" s="1" t="str">
        <f t="shared" si="229"/>
        <v>470</v>
      </c>
      <c r="B3494" s="1" t="str">
        <f>TEXT(20,"00")</f>
        <v>20</v>
      </c>
      <c r="C3494" s="1" t="str">
        <f t="shared" si="226"/>
        <v>470-20</v>
      </c>
      <c r="D3494" t="s">
        <v>3476</v>
      </c>
      <c r="E3494" t="b">
        <f>IF(COUNTIF(D3494,"*"&amp;'Keyword Search'!$C$5&amp;"*"),TRUE,FALSE)</f>
        <v>1</v>
      </c>
      <c r="G3494" t="str">
        <f t="shared" si="227"/>
        <v>470-20: Commode Chairs and Shower Chairs</v>
      </c>
    </row>
    <row r="3495" spans="1:7" x14ac:dyDescent="0.25">
      <c r="A3495" s="1" t="str">
        <f t="shared" si="229"/>
        <v>470</v>
      </c>
      <c r="B3495" s="1" t="str">
        <f>TEXT(25,"00")</f>
        <v>25</v>
      </c>
      <c r="C3495" s="1" t="str">
        <f t="shared" si="226"/>
        <v>470-25</v>
      </c>
      <c r="D3495" t="s">
        <v>3477</v>
      </c>
      <c r="E3495" t="b">
        <f>IF(COUNTIF(D3495,"*"&amp;'Keyword Search'!$C$5&amp;"*"),TRUE,FALSE)</f>
        <v>1</v>
      </c>
      <c r="G3495" t="str">
        <f t="shared" si="227"/>
        <v>470-25: *Communications Systems, For the Speech Impaired, Display Scanning Type</v>
      </c>
    </row>
    <row r="3496" spans="1:7" x14ac:dyDescent="0.25">
      <c r="A3496" s="1" t="str">
        <f t="shared" si="229"/>
        <v>470</v>
      </c>
      <c r="B3496" s="1" t="str">
        <f>TEXT(35,"00")</f>
        <v>35</v>
      </c>
      <c r="C3496" s="1" t="str">
        <f t="shared" si="226"/>
        <v>470-35</v>
      </c>
      <c r="D3496" t="s">
        <v>2459</v>
      </c>
      <c r="E3496" t="b">
        <f>IF(COUNTIF(D3496,"*"&amp;'Keyword Search'!$C$5&amp;"*"),TRUE,FALSE)</f>
        <v>1</v>
      </c>
      <c r="G3496" t="str">
        <f t="shared" si="227"/>
        <v>470-35: Environmental Remote Control Systems</v>
      </c>
    </row>
    <row r="3497" spans="1:7" x14ac:dyDescent="0.25">
      <c r="A3497" s="1" t="str">
        <f t="shared" si="229"/>
        <v>470</v>
      </c>
      <c r="B3497" s="1" t="str">
        <f>TEXT(40,"00")</f>
        <v>40</v>
      </c>
      <c r="C3497" s="1" t="str">
        <f t="shared" si="226"/>
        <v>470-40</v>
      </c>
      <c r="D3497" t="s">
        <v>3478</v>
      </c>
      <c r="E3497" t="b">
        <f>IF(COUNTIF(D3497,"*"&amp;'Keyword Search'!$C$5&amp;"*"),TRUE,FALSE)</f>
        <v>1</v>
      </c>
      <c r="G3497" t="str">
        <f t="shared" si="227"/>
        <v>470-40: Fracture Frames, Traction Apparatus, Trapeze Bars, etc.</v>
      </c>
    </row>
    <row r="3498" spans="1:7" x14ac:dyDescent="0.25">
      <c r="A3498" s="1" t="str">
        <f t="shared" si="229"/>
        <v>470</v>
      </c>
      <c r="B3498" s="1" t="str">
        <f>TEXT(45,"00")</f>
        <v>45</v>
      </c>
      <c r="C3498" s="1" t="str">
        <f t="shared" si="226"/>
        <v>470-45</v>
      </c>
      <c r="D3498" t="s">
        <v>3479</v>
      </c>
      <c r="E3498" t="b">
        <f>IF(COUNTIF(D3498,"*"&amp;'Keyword Search'!$C$5&amp;"*"),TRUE,FALSE)</f>
        <v>1</v>
      </c>
      <c r="G3498" t="str">
        <f t="shared" si="227"/>
        <v>470-45: Hospital and Surgical Equipment and Accessories (Not Otherwise Classified)</v>
      </c>
    </row>
    <row r="3499" spans="1:7" x14ac:dyDescent="0.25">
      <c r="A3499" s="1" t="str">
        <f t="shared" si="229"/>
        <v>470</v>
      </c>
      <c r="B3499" s="1" t="str">
        <f>TEXT(50,"00")</f>
        <v>50</v>
      </c>
      <c r="C3499" s="1" t="str">
        <f t="shared" si="226"/>
        <v>470-50</v>
      </c>
      <c r="D3499" t="s">
        <v>3480</v>
      </c>
      <c r="E3499" t="b">
        <f>IF(COUNTIF(D3499,"*"&amp;'Keyword Search'!$C$5&amp;"*"),TRUE,FALSE)</f>
        <v>1</v>
      </c>
      <c r="G3499" t="str">
        <f t="shared" si="227"/>
        <v>470-50: Lifting Devices, Patient</v>
      </c>
    </row>
    <row r="3500" spans="1:7" x14ac:dyDescent="0.25">
      <c r="A3500" s="1" t="str">
        <f t="shared" si="229"/>
        <v>470</v>
      </c>
      <c r="B3500" s="1" t="str">
        <f>TEXT(54,"00")</f>
        <v>54</v>
      </c>
      <c r="C3500" s="1" t="str">
        <f t="shared" si="226"/>
        <v>470-54</v>
      </c>
      <c r="D3500" t="s">
        <v>3481</v>
      </c>
      <c r="E3500" t="b">
        <f>IF(COUNTIF(D3500,"*"&amp;'Keyword Search'!$C$5&amp;"*"),TRUE,FALSE)</f>
        <v>1</v>
      </c>
      <c r="G3500" t="str">
        <f t="shared" si="227"/>
        <v>470-54: Orientation or Navigational Aids for the Disabled</v>
      </c>
    </row>
    <row r="3501" spans="1:7" x14ac:dyDescent="0.25">
      <c r="A3501" s="1" t="str">
        <f t="shared" si="229"/>
        <v>470</v>
      </c>
      <c r="B3501" s="1" t="str">
        <f>TEXT(55,"00")</f>
        <v>55</v>
      </c>
      <c r="C3501" s="1" t="str">
        <f t="shared" si="226"/>
        <v>470-55</v>
      </c>
      <c r="D3501" t="s">
        <v>3482</v>
      </c>
      <c r="E3501" t="b">
        <f>IF(COUNTIF(D3501,"*"&amp;'Keyword Search'!$C$5&amp;"*"),TRUE,FALSE)</f>
        <v>1</v>
      </c>
      <c r="G3501" t="str">
        <f t="shared" si="227"/>
        <v>470-55: Page Turners</v>
      </c>
    </row>
    <row r="3502" spans="1:7" x14ac:dyDescent="0.25">
      <c r="A3502" s="1" t="str">
        <f t="shared" si="229"/>
        <v>470</v>
      </c>
      <c r="B3502" s="1" t="str">
        <f>TEXT(56,"00")</f>
        <v>56</v>
      </c>
      <c r="C3502" s="1" t="str">
        <f t="shared" si="226"/>
        <v>470-56</v>
      </c>
      <c r="D3502" t="s">
        <v>3483</v>
      </c>
      <c r="E3502" t="b">
        <f>IF(COUNTIF(D3502,"*"&amp;'Keyword Search'!$C$5&amp;"*"),TRUE,FALSE)</f>
        <v>1</v>
      </c>
      <c r="G3502" t="str">
        <f t="shared" si="227"/>
        <v>470-56: Personal Care Devices for the Disabled (Not Otherwise Classified)</v>
      </c>
    </row>
    <row r="3503" spans="1:7" x14ac:dyDescent="0.25">
      <c r="A3503" s="1" t="str">
        <f t="shared" si="229"/>
        <v>470</v>
      </c>
      <c r="B3503" s="1" t="str">
        <f>TEXT(58,"00")</f>
        <v>58</v>
      </c>
      <c r="C3503" s="1" t="str">
        <f t="shared" si="226"/>
        <v>470-58</v>
      </c>
      <c r="D3503" t="s">
        <v>3484</v>
      </c>
      <c r="E3503" t="b">
        <f>IF(COUNTIF(D3503,"*"&amp;'Keyword Search'!$C$5&amp;"*"),TRUE,FALSE)</f>
        <v>1</v>
      </c>
      <c r="G3503" t="str">
        <f t="shared" si="227"/>
        <v>470-58: Recycled Mobility, Speech Impaired and Restraint Items</v>
      </c>
    </row>
    <row r="3504" spans="1:7" x14ac:dyDescent="0.25">
      <c r="A3504" s="1" t="str">
        <f t="shared" si="229"/>
        <v>470</v>
      </c>
      <c r="B3504" s="1" t="str">
        <f>TEXT(60,"00")</f>
        <v>60</v>
      </c>
      <c r="C3504" s="1" t="str">
        <f t="shared" si="226"/>
        <v>470-60</v>
      </c>
      <c r="D3504" t="s">
        <v>3485</v>
      </c>
      <c r="E3504" t="b">
        <f>IF(COUNTIF(D3504,"*"&amp;'Keyword Search'!$C$5&amp;"*"),TRUE,FALSE)</f>
        <v>1</v>
      </c>
      <c r="G3504" t="str">
        <f t="shared" si="227"/>
        <v>470-60: Restraint and Protection Items: Crib Nets, Foam Helmets, Jackets, Mittens, Wristlets, etc.</v>
      </c>
    </row>
    <row r="3505" spans="1:7" x14ac:dyDescent="0.25">
      <c r="A3505" s="1" t="str">
        <f t="shared" si="229"/>
        <v>470</v>
      </c>
      <c r="B3505" s="1" t="str">
        <f>TEXT(62,"00")</f>
        <v>62</v>
      </c>
      <c r="C3505" s="1" t="str">
        <f t="shared" si="226"/>
        <v>470-62</v>
      </c>
      <c r="D3505" t="s">
        <v>3486</v>
      </c>
      <c r="E3505" t="b">
        <f>IF(COUNTIF(D3505,"*"&amp;'Keyword Search'!$C$5&amp;"*"),TRUE,FALSE)</f>
        <v>1</v>
      </c>
      <c r="G3505" t="str">
        <f t="shared" si="227"/>
        <v>470-62: *Robots for Assisting Disabled Persons</v>
      </c>
    </row>
    <row r="3506" spans="1:7" x14ac:dyDescent="0.25">
      <c r="A3506" s="1" t="str">
        <f t="shared" si="229"/>
        <v>470</v>
      </c>
      <c r="B3506" s="1" t="str">
        <f>TEXT(64,"00")</f>
        <v>64</v>
      </c>
      <c r="C3506" s="1" t="str">
        <f t="shared" si="226"/>
        <v>470-64</v>
      </c>
      <c r="D3506" t="s">
        <v>3487</v>
      </c>
      <c r="E3506" t="b">
        <f>IF(COUNTIF(D3506,"*"&amp;'Keyword Search'!$C$5&amp;"*"),TRUE,FALSE)</f>
        <v>1</v>
      </c>
      <c r="G3506" t="str">
        <f t="shared" si="227"/>
        <v>470-64: Specialized Cooking and Housekeeping Aids for the Disabled</v>
      </c>
    </row>
    <row r="3507" spans="1:7" x14ac:dyDescent="0.25">
      <c r="A3507" s="1" t="str">
        <f t="shared" si="229"/>
        <v>470</v>
      </c>
      <c r="B3507" s="1" t="str">
        <f>TEXT(65,"00")</f>
        <v>65</v>
      </c>
      <c r="C3507" s="1" t="str">
        <f t="shared" si="226"/>
        <v>470-65</v>
      </c>
      <c r="D3507" t="s">
        <v>3488</v>
      </c>
      <c r="E3507" t="b">
        <f>IF(COUNTIF(D3507,"*"&amp;'Keyword Search'!$C$5&amp;"*"),TRUE,FALSE)</f>
        <v>1</v>
      </c>
      <c r="G3507" t="str">
        <f t="shared" si="227"/>
        <v>470-65: Specialized Mobility Items: Gridlock or Other Devices for Wheelchair Mobility in Sand, Tricycles, etc. (See 470-80 For Wheelchairs)</v>
      </c>
    </row>
    <row r="3508" spans="1:7" x14ac:dyDescent="0.25">
      <c r="A3508" s="1" t="str">
        <f t="shared" si="229"/>
        <v>470</v>
      </c>
      <c r="B3508" s="1" t="str">
        <f>TEXT(67,"00")</f>
        <v>67</v>
      </c>
      <c r="C3508" s="1" t="str">
        <f t="shared" si="226"/>
        <v>470-67</v>
      </c>
      <c r="D3508" t="s">
        <v>3489</v>
      </c>
      <c r="E3508" t="b">
        <f>IF(COUNTIF(D3508,"*"&amp;'Keyword Search'!$C$5&amp;"*"),TRUE,FALSE)</f>
        <v>1</v>
      </c>
      <c r="G3508" t="str">
        <f t="shared" si="227"/>
        <v>470-67: *Speech Synthesizers</v>
      </c>
    </row>
    <row r="3509" spans="1:7" x14ac:dyDescent="0.25">
      <c r="A3509" s="1" t="str">
        <f t="shared" si="229"/>
        <v>470</v>
      </c>
      <c r="B3509" s="1" t="str">
        <f>TEXT(78,"00")</f>
        <v>78</v>
      </c>
      <c r="C3509" s="1" t="str">
        <f t="shared" si="226"/>
        <v>470-78</v>
      </c>
      <c r="D3509" t="s">
        <v>3490</v>
      </c>
      <c r="E3509" t="b">
        <f>IF(COUNTIF(D3509,"*"&amp;'Keyword Search'!$C$5&amp;"*"),TRUE,FALSE)</f>
        <v>1</v>
      </c>
      <c r="G3509" t="str">
        <f t="shared" si="227"/>
        <v>470-78: Training and Recreational Aids for the Disabled</v>
      </c>
    </row>
    <row r="3510" spans="1:7" x14ac:dyDescent="0.25">
      <c r="A3510" s="1" t="str">
        <f t="shared" si="229"/>
        <v>470</v>
      </c>
      <c r="B3510" s="1" t="str">
        <f>TEXT(79,"00")</f>
        <v>79</v>
      </c>
      <c r="C3510" s="1" t="str">
        <f t="shared" si="226"/>
        <v>470-79</v>
      </c>
      <c r="D3510" t="s">
        <v>3491</v>
      </c>
      <c r="E3510" t="b">
        <f>IF(COUNTIF(D3510,"*"&amp;'Keyword Search'!$C$5&amp;"*"),TRUE,FALSE)</f>
        <v>1</v>
      </c>
      <c r="G3510" t="str">
        <f t="shared" si="227"/>
        <v>470-79: Vision Impaired Mobility Devices and Equipment</v>
      </c>
    </row>
    <row r="3511" spans="1:7" x14ac:dyDescent="0.25">
      <c r="A3511" s="1" t="str">
        <f t="shared" si="229"/>
        <v>470</v>
      </c>
      <c r="B3511" s="1" t="str">
        <f>TEXT(80,"00")</f>
        <v>80</v>
      </c>
      <c r="C3511" s="1" t="str">
        <f t="shared" si="226"/>
        <v>470-80</v>
      </c>
      <c r="D3511" t="s">
        <v>3492</v>
      </c>
      <c r="E3511" t="b">
        <f>IF(COUNTIF(D3511,"*"&amp;'Keyword Search'!$C$5&amp;"*"),TRUE,FALSE)</f>
        <v>1</v>
      </c>
      <c r="G3511" t="str">
        <f t="shared" si="227"/>
        <v>470-80: Wheelchairs, Including Mobile Treatment Chairs</v>
      </c>
    </row>
    <row r="3512" spans="1:7" x14ac:dyDescent="0.25">
      <c r="A3512" s="1" t="str">
        <f t="shared" si="229"/>
        <v>470</v>
      </c>
      <c r="B3512" s="1" t="str">
        <f>TEXT(81,"00")</f>
        <v>81</v>
      </c>
      <c r="C3512" s="1" t="str">
        <f t="shared" si="226"/>
        <v>470-81</v>
      </c>
      <c r="D3512" t="s">
        <v>3493</v>
      </c>
      <c r="E3512" t="b">
        <f>IF(COUNTIF(D3512,"*"&amp;'Keyword Search'!$C$5&amp;"*"),TRUE,FALSE)</f>
        <v>1</v>
      </c>
      <c r="G3512" t="str">
        <f t="shared" si="227"/>
        <v>470-81: Wheelchair Lifting Devices and Accessories, Other than Vehicle Type</v>
      </c>
    </row>
    <row r="3513" spans="1:7" x14ac:dyDescent="0.25">
      <c r="A3513" s="1" t="str">
        <f t="shared" si="229"/>
        <v>470</v>
      </c>
      <c r="B3513" s="1" t="str">
        <f>TEXT(90,"00")</f>
        <v>90</v>
      </c>
      <c r="C3513" s="1" t="str">
        <f t="shared" si="226"/>
        <v>470-90</v>
      </c>
      <c r="D3513" t="s">
        <v>3494</v>
      </c>
      <c r="E3513" t="b">
        <f>IF(COUNTIF(D3513,"*"&amp;'Keyword Search'!$C$5&amp;"*"),TRUE,FALSE)</f>
        <v>1</v>
      </c>
      <c r="G3513" t="str">
        <f t="shared" si="227"/>
        <v>470-90: Wheeled Stretchers</v>
      </c>
    </row>
    <row r="3514" spans="1:7" x14ac:dyDescent="0.25">
      <c r="A3514" s="5" t="str">
        <f t="shared" ref="A3514:A3577" si="230">TEXT(475,"000")</f>
        <v>475</v>
      </c>
      <c r="B3514" s="5" t="str">
        <f>TEXT(0,"00")</f>
        <v>00</v>
      </c>
      <c r="C3514" s="1"/>
      <c r="D3514" s="2" t="s">
        <v>3495</v>
      </c>
    </row>
    <row r="3515" spans="1:7" x14ac:dyDescent="0.25">
      <c r="A3515" s="1" t="str">
        <f t="shared" si="230"/>
        <v>475</v>
      </c>
      <c r="B3515" s="1" t="str">
        <f>TEXT(5,"00")</f>
        <v>05</v>
      </c>
      <c r="C3515" s="1" t="str">
        <f t="shared" si="226"/>
        <v>475-05</v>
      </c>
      <c r="D3515" t="s">
        <v>3496</v>
      </c>
      <c r="E3515" t="b">
        <f>IF(COUNTIF(D3515,"*"&amp;'Keyword Search'!$C$5&amp;"*"),TRUE,FALSE)</f>
        <v>1</v>
      </c>
      <c r="G3515" t="str">
        <f t="shared" si="227"/>
        <v>475-05: Apnea Equipment and Supplies, Sleep</v>
      </c>
    </row>
    <row r="3516" spans="1:7" x14ac:dyDescent="0.25">
      <c r="A3516" s="1" t="str">
        <f t="shared" si="230"/>
        <v>475</v>
      </c>
      <c r="B3516" s="1" t="str">
        <f>TEXT(6,"00")</f>
        <v>06</v>
      </c>
      <c r="C3516" s="1" t="str">
        <f t="shared" si="226"/>
        <v>475-06</v>
      </c>
      <c r="D3516" t="s">
        <v>3497</v>
      </c>
      <c r="E3516" t="b">
        <f>IF(COUNTIF(D3516,"*"&amp;'Keyword Search'!$C$5&amp;"*"),TRUE,FALSE)</f>
        <v>1</v>
      </c>
      <c r="G3516" t="str">
        <f t="shared" si="227"/>
        <v>475-06: Atomizers and Nebulizers, Pocket Size</v>
      </c>
    </row>
    <row r="3517" spans="1:7" x14ac:dyDescent="0.25">
      <c r="A3517" s="1" t="str">
        <f t="shared" si="230"/>
        <v>475</v>
      </c>
      <c r="B3517" s="1" t="str">
        <f>TEXT(8,"00")</f>
        <v>08</v>
      </c>
      <c r="C3517" s="1" t="str">
        <f t="shared" si="226"/>
        <v>475-08</v>
      </c>
      <c r="D3517" t="s">
        <v>3498</v>
      </c>
      <c r="E3517" t="b">
        <f>IF(COUNTIF(D3517,"*"&amp;'Keyword Search'!$C$5&amp;"*"),TRUE,FALSE)</f>
        <v>1</v>
      </c>
      <c r="G3517" t="str">
        <f t="shared" si="227"/>
        <v>475-08: Bags, Physician and Nurse</v>
      </c>
    </row>
    <row r="3518" spans="1:7" x14ac:dyDescent="0.25">
      <c r="A3518" s="1" t="str">
        <f t="shared" si="230"/>
        <v>475</v>
      </c>
      <c r="B3518" s="1" t="str">
        <f>TEXT(9,"00")</f>
        <v>09</v>
      </c>
      <c r="C3518" s="1" t="str">
        <f t="shared" si="226"/>
        <v>475-09</v>
      </c>
      <c r="D3518" t="s">
        <v>3499</v>
      </c>
      <c r="E3518" t="b">
        <f>IF(COUNTIF(D3518,"*"&amp;'Keyword Search'!$C$5&amp;"*"),TRUE,FALSE)</f>
        <v>1</v>
      </c>
      <c r="G3518" t="str">
        <f t="shared" si="227"/>
        <v>475-09: Bandages (All Types): Adhesive Tapes, Dressings, Plaster of Paris, and Surgical Gauze (Including Casts)</v>
      </c>
    </row>
    <row r="3519" spans="1:7" x14ac:dyDescent="0.25">
      <c r="A3519" s="1" t="str">
        <f t="shared" si="230"/>
        <v>475</v>
      </c>
      <c r="B3519" s="1" t="str">
        <f>TEXT(10,"00")</f>
        <v>10</v>
      </c>
      <c r="C3519" s="1" t="str">
        <f t="shared" si="226"/>
        <v>475-10</v>
      </c>
      <c r="D3519" t="s">
        <v>3500</v>
      </c>
      <c r="E3519" t="b">
        <f>IF(COUNTIF(D3519,"*"&amp;'Keyword Search'!$C$5&amp;"*"),TRUE,FALSE)</f>
        <v>1</v>
      </c>
      <c r="G3519" t="str">
        <f t="shared" si="227"/>
        <v>475-10: Bath Systems Complete, Patient</v>
      </c>
    </row>
    <row r="3520" spans="1:7" x14ac:dyDescent="0.25">
      <c r="A3520" s="1" t="str">
        <f t="shared" si="230"/>
        <v>475</v>
      </c>
      <c r="B3520" s="1" t="str">
        <f>TEXT(11,"00")</f>
        <v>11</v>
      </c>
      <c r="C3520" s="1" t="str">
        <f t="shared" si="226"/>
        <v>475-11</v>
      </c>
      <c r="D3520" t="s">
        <v>3501</v>
      </c>
      <c r="E3520" t="b">
        <f>IF(COUNTIF(D3520,"*"&amp;'Keyword Search'!$C$5&amp;"*"),TRUE,FALSE)</f>
        <v>1</v>
      </c>
      <c r="G3520" t="str">
        <f t="shared" si="227"/>
        <v>475-11: Blades and Handles, Surgeons'</v>
      </c>
    </row>
    <row r="3521" spans="1:7" x14ac:dyDescent="0.25">
      <c r="A3521" s="1" t="str">
        <f t="shared" si="230"/>
        <v>475</v>
      </c>
      <c r="B3521" s="1" t="str">
        <f>TEXT(12,"00")</f>
        <v>12</v>
      </c>
      <c r="C3521" s="1" t="str">
        <f t="shared" si="226"/>
        <v>475-12</v>
      </c>
      <c r="D3521" t="s">
        <v>3502</v>
      </c>
      <c r="E3521" t="b">
        <f>IF(COUNTIF(D3521,"*"&amp;'Keyword Search'!$C$5&amp;"*"),TRUE,FALSE)</f>
        <v>1</v>
      </c>
      <c r="G3521" t="str">
        <f t="shared" si="227"/>
        <v>475-12: Body Parts for Transplanting, Artificial and Human</v>
      </c>
    </row>
    <row r="3522" spans="1:7" x14ac:dyDescent="0.25">
      <c r="A3522" s="1" t="str">
        <f t="shared" si="230"/>
        <v>475</v>
      </c>
      <c r="B3522" s="1" t="str">
        <f>TEXT(14,"00")</f>
        <v>14</v>
      </c>
      <c r="C3522" s="1" t="str">
        <f t="shared" si="226"/>
        <v>475-14</v>
      </c>
      <c r="D3522" t="s">
        <v>3503</v>
      </c>
      <c r="E3522" t="b">
        <f>IF(COUNTIF(D3522,"*"&amp;'Keyword Search'!$C$5&amp;"*"),TRUE,FALSE)</f>
        <v>1</v>
      </c>
      <c r="G3522" t="str">
        <f t="shared" si="227"/>
        <v>475-14: Brush-Sponges, Scrub Brushes, and Dispensers</v>
      </c>
    </row>
    <row r="3523" spans="1:7" x14ac:dyDescent="0.25">
      <c r="A3523" s="1" t="str">
        <f t="shared" si="230"/>
        <v>475</v>
      </c>
      <c r="B3523" s="1" t="str">
        <f>TEXT(15,"00")</f>
        <v>15</v>
      </c>
      <c r="C3523" s="1" t="str">
        <f t="shared" ref="C3523:C3586" si="231">CONCATENATE(A3523,"-",B3523)</f>
        <v>475-15</v>
      </c>
      <c r="D3523" t="s">
        <v>3504</v>
      </c>
      <c r="E3523" t="b">
        <f>IF(COUNTIF(D3523,"*"&amp;'Keyword Search'!$C$5&amp;"*"),TRUE,FALSE)</f>
        <v>1</v>
      </c>
      <c r="G3523" t="str">
        <f t="shared" si="227"/>
        <v>475-15: Brushes, Specialized, Instrument Cleaning: Tracheal Tube, etc.</v>
      </c>
    </row>
    <row r="3524" spans="1:7" x14ac:dyDescent="0.25">
      <c r="A3524" s="1" t="str">
        <f t="shared" si="230"/>
        <v>475</v>
      </c>
      <c r="B3524" s="1" t="str">
        <f>TEXT(16,"00")</f>
        <v>16</v>
      </c>
      <c r="C3524" s="1" t="str">
        <f t="shared" si="231"/>
        <v>475-16</v>
      </c>
      <c r="D3524" t="s">
        <v>3505</v>
      </c>
      <c r="E3524" t="b">
        <f>IF(COUNTIF(D3524,"*"&amp;'Keyword Search'!$C$5&amp;"*"),TRUE,FALSE)</f>
        <v>1</v>
      </c>
      <c r="G3524" t="str">
        <f t="shared" ref="G3524:G3587" si="232">CONCATENATE(C3524,": ",D3524)</f>
        <v>475-16: Catheters, IV: Around Needle, Inside Needle, and Winged Vein Sets</v>
      </c>
    </row>
    <row r="3525" spans="1:7" x14ac:dyDescent="0.25">
      <c r="A3525" s="1" t="str">
        <f t="shared" si="230"/>
        <v>475</v>
      </c>
      <c r="B3525" s="1" t="str">
        <f>TEXT(17,"00")</f>
        <v>17</v>
      </c>
      <c r="C3525" s="1" t="str">
        <f t="shared" si="231"/>
        <v>475-17</v>
      </c>
      <c r="D3525" t="s">
        <v>3506</v>
      </c>
      <c r="E3525" t="b">
        <f>IF(COUNTIF(D3525,"*"&amp;'Keyword Search'!$C$5&amp;"*"),TRUE,FALSE)</f>
        <v>1</v>
      </c>
      <c r="G3525" t="str">
        <f t="shared" si="232"/>
        <v>475-17: Catheters and Urinary Drainage Systems, Plastic and Rubber</v>
      </c>
    </row>
    <row r="3526" spans="1:7" x14ac:dyDescent="0.25">
      <c r="A3526" s="1" t="str">
        <f t="shared" si="230"/>
        <v>475</v>
      </c>
      <c r="B3526" s="1" t="str">
        <f>TEXT(18,"00")</f>
        <v>18</v>
      </c>
      <c r="C3526" s="1" t="str">
        <f t="shared" si="231"/>
        <v>475-18</v>
      </c>
      <c r="D3526" t="s">
        <v>3507</v>
      </c>
      <c r="E3526" t="b">
        <f>IF(COUNTIF(D3526,"*"&amp;'Keyword Search'!$C$5&amp;"*"),TRUE,FALSE)</f>
        <v>1</v>
      </c>
      <c r="G3526" t="str">
        <f t="shared" si="232"/>
        <v>475-18: Catheters, Specialized and Guide Wires</v>
      </c>
    </row>
    <row r="3527" spans="1:7" x14ac:dyDescent="0.25">
      <c r="A3527" s="1" t="str">
        <f t="shared" si="230"/>
        <v>475</v>
      </c>
      <c r="B3527" s="1" t="str">
        <f>TEXT(19,"00")</f>
        <v>19</v>
      </c>
      <c r="C3527" s="1" t="str">
        <f t="shared" si="231"/>
        <v>475-19</v>
      </c>
      <c r="D3527" t="s">
        <v>3508</v>
      </c>
      <c r="E3527" t="b">
        <f>IF(COUNTIF(D3527,"*"&amp;'Keyword Search'!$C$5&amp;"*"),TRUE,FALSE)</f>
        <v>1</v>
      </c>
      <c r="G3527" t="str">
        <f t="shared" si="232"/>
        <v>475-19: Cement and Tape Remover, Surgical</v>
      </c>
    </row>
    <row r="3528" spans="1:7" x14ac:dyDescent="0.25">
      <c r="A3528" s="1" t="str">
        <f t="shared" si="230"/>
        <v>475</v>
      </c>
      <c r="B3528" s="1" t="str">
        <f>TEXT(20,"00")</f>
        <v>20</v>
      </c>
      <c r="C3528" s="1" t="str">
        <f t="shared" si="231"/>
        <v>475-20</v>
      </c>
      <c r="D3528" t="s">
        <v>3509</v>
      </c>
      <c r="E3528" t="b">
        <f>IF(COUNTIF(D3528,"*"&amp;'Keyword Search'!$C$5&amp;"*"),TRUE,FALSE)</f>
        <v>1</v>
      </c>
      <c r="G3528" t="str">
        <f t="shared" si="232"/>
        <v>475-20: Cleaning Equipment and Supplies, For Infectious Body Fluid</v>
      </c>
    </row>
    <row r="3529" spans="1:7" x14ac:dyDescent="0.25">
      <c r="A3529" s="1" t="str">
        <f t="shared" si="230"/>
        <v>475</v>
      </c>
      <c r="B3529" s="1" t="str">
        <f>TEXT(21,"00")</f>
        <v>21</v>
      </c>
      <c r="C3529" s="1" t="str">
        <f t="shared" si="231"/>
        <v>475-21</v>
      </c>
      <c r="D3529" t="s">
        <v>3510</v>
      </c>
      <c r="E3529" t="b">
        <f>IF(COUNTIF(D3529,"*"&amp;'Keyword Search'!$C$5&amp;"*"),TRUE,FALSE)</f>
        <v>1</v>
      </c>
      <c r="G3529" t="str">
        <f t="shared" si="232"/>
        <v>475-21: Care Supplies, Patient (Not Otherwise Classified)</v>
      </c>
    </row>
    <row r="3530" spans="1:7" x14ac:dyDescent="0.25">
      <c r="A3530" s="1" t="str">
        <f t="shared" si="230"/>
        <v>475</v>
      </c>
      <c r="B3530" s="1" t="str">
        <f>TEXT(22,"00")</f>
        <v>22</v>
      </c>
      <c r="C3530" s="1" t="str">
        <f t="shared" si="231"/>
        <v>475-22</v>
      </c>
      <c r="D3530" t="s">
        <v>3511</v>
      </c>
      <c r="E3530" t="b">
        <f>IF(COUNTIF(D3530,"*"&amp;'Keyword Search'!$C$5&amp;"*"),TRUE,FALSE)</f>
        <v>1</v>
      </c>
      <c r="G3530" t="str">
        <f t="shared" si="232"/>
        <v>475-22: Clips, Wound, Not for Use in Automatic Suturing Instruments</v>
      </c>
    </row>
    <row r="3531" spans="1:7" x14ac:dyDescent="0.25">
      <c r="A3531" s="1" t="str">
        <f t="shared" si="230"/>
        <v>475</v>
      </c>
      <c r="B3531" s="1" t="str">
        <f>TEXT(24,"00")</f>
        <v>24</v>
      </c>
      <c r="C3531" s="1" t="str">
        <f t="shared" si="231"/>
        <v>475-24</v>
      </c>
      <c r="D3531" t="s">
        <v>3512</v>
      </c>
      <c r="E3531" t="b">
        <f>IF(COUNTIF(D3531,"*"&amp;'Keyword Search'!$C$5&amp;"*"),TRUE,FALSE)</f>
        <v>1</v>
      </c>
      <c r="G3531" t="str">
        <f t="shared" si="232"/>
        <v>475-24: Collection Systems, Suction, Disposable</v>
      </c>
    </row>
    <row r="3532" spans="1:7" x14ac:dyDescent="0.25">
      <c r="A3532" s="1" t="str">
        <f t="shared" si="230"/>
        <v>475</v>
      </c>
      <c r="B3532" s="1" t="str">
        <f>TEXT(26,"00")</f>
        <v>26</v>
      </c>
      <c r="C3532" s="1" t="str">
        <f t="shared" si="231"/>
        <v>475-26</v>
      </c>
      <c r="D3532" t="s">
        <v>3513</v>
      </c>
      <c r="E3532" t="b">
        <f>IF(COUNTIF(D3532,"*"&amp;'Keyword Search'!$C$5&amp;"*"),TRUE,FALSE)</f>
        <v>1</v>
      </c>
      <c r="G3532" t="str">
        <f t="shared" si="232"/>
        <v>475-26: Crushers and Cutters, Tablet</v>
      </c>
    </row>
    <row r="3533" spans="1:7" x14ac:dyDescent="0.25">
      <c r="A3533" s="1" t="str">
        <f t="shared" si="230"/>
        <v>475</v>
      </c>
      <c r="B3533" s="1" t="str">
        <f>TEXT(27,"00")</f>
        <v>27</v>
      </c>
      <c r="C3533" s="1" t="str">
        <f t="shared" si="231"/>
        <v>475-27</v>
      </c>
      <c r="D3533" t="s">
        <v>3514</v>
      </c>
      <c r="E3533" t="b">
        <f>IF(COUNTIF(D3533,"*"&amp;'Keyword Search'!$C$5&amp;"*"),TRUE,FALSE)</f>
        <v>1</v>
      </c>
      <c r="G3533" t="str">
        <f t="shared" si="232"/>
        <v>475-27: Cotton and Rayon, Surgical, Dry or Impregnated With Germicide)Applicators, Balls, Padding, Swabs, etc.</v>
      </c>
    </row>
    <row r="3534" spans="1:7" x14ac:dyDescent="0.25">
      <c r="A3534" s="1" t="str">
        <f t="shared" si="230"/>
        <v>475</v>
      </c>
      <c r="B3534" s="1" t="str">
        <f>TEXT(28,"00")</f>
        <v>28</v>
      </c>
      <c r="C3534" s="1" t="str">
        <f t="shared" si="231"/>
        <v>475-28</v>
      </c>
      <c r="D3534" t="s">
        <v>3515</v>
      </c>
      <c r="E3534" t="b">
        <f>IF(COUNTIF(D3534,"*"&amp;'Keyword Search'!$C$5&amp;"*"),TRUE,FALSE)</f>
        <v>1</v>
      </c>
      <c r="G3534" t="str">
        <f t="shared" si="232"/>
        <v>475-28: Debridement Products and Supplies</v>
      </c>
    </row>
    <row r="3535" spans="1:7" x14ac:dyDescent="0.25">
      <c r="A3535" s="1" t="str">
        <f t="shared" si="230"/>
        <v>475</v>
      </c>
      <c r="B3535" s="1" t="str">
        <f>TEXT(29,"00")</f>
        <v>29</v>
      </c>
      <c r="C3535" s="1" t="str">
        <f t="shared" si="231"/>
        <v>475-29</v>
      </c>
      <c r="D3535" t="s">
        <v>3516</v>
      </c>
      <c r="E3535" t="b">
        <f>IF(COUNTIF(D3535,"*"&amp;'Keyword Search'!$C$5&amp;"*"),TRUE,FALSE)</f>
        <v>1</v>
      </c>
      <c r="G3535" t="str">
        <f t="shared" si="232"/>
        <v>475-29: *Diabetes Test Kits, Including Syringes</v>
      </c>
    </row>
    <row r="3536" spans="1:7" x14ac:dyDescent="0.25">
      <c r="A3536" s="1" t="str">
        <f t="shared" si="230"/>
        <v>475</v>
      </c>
      <c r="B3536" s="1" t="str">
        <f>TEXT(30,"00")</f>
        <v>30</v>
      </c>
      <c r="C3536" s="1" t="str">
        <f t="shared" si="231"/>
        <v>475-30</v>
      </c>
      <c r="D3536" t="s">
        <v>3517</v>
      </c>
      <c r="E3536" t="b">
        <f>IF(COUNTIF(D3536,"*"&amp;'Keyword Search'!$C$5&amp;"*"),TRUE,FALSE)</f>
        <v>1</v>
      </c>
      <c r="G3536" t="str">
        <f t="shared" si="232"/>
        <v>475-30: Decubitus Pads: Sheepskin Shearlings, Synthetics, etc.</v>
      </c>
    </row>
    <row r="3537" spans="1:7" x14ac:dyDescent="0.25">
      <c r="A3537" s="1" t="str">
        <f t="shared" si="230"/>
        <v>475</v>
      </c>
      <c r="B3537" s="1" t="str">
        <f>TEXT(31,"00")</f>
        <v>31</v>
      </c>
      <c r="C3537" s="1" t="str">
        <f t="shared" si="231"/>
        <v>475-31</v>
      </c>
      <c r="D3537" t="s">
        <v>3518</v>
      </c>
      <c r="E3537" t="b">
        <f>IF(COUNTIF(D3537,"*"&amp;'Keyword Search'!$C$5&amp;"*"),TRUE,FALSE)</f>
        <v>1</v>
      </c>
      <c r="G3537" t="str">
        <f t="shared" si="232"/>
        <v>475-31: Dispensers, Hospital (Not Otherwise Classified)</v>
      </c>
    </row>
    <row r="3538" spans="1:7" x14ac:dyDescent="0.25">
      <c r="A3538" s="1" t="str">
        <f t="shared" si="230"/>
        <v>475</v>
      </c>
      <c r="B3538" s="1" t="str">
        <f>TEXT(32,"00")</f>
        <v>32</v>
      </c>
      <c r="C3538" s="1" t="str">
        <f t="shared" si="231"/>
        <v>475-32</v>
      </c>
      <c r="D3538" t="s">
        <v>3519</v>
      </c>
      <c r="E3538" t="b">
        <f>IF(COUNTIF(D3538,"*"&amp;'Keyword Search'!$C$5&amp;"*"),TRUE,FALSE)</f>
        <v>1</v>
      </c>
      <c r="G3538" t="str">
        <f t="shared" si="232"/>
        <v>475-32: Disposals, Sanitary Napkin</v>
      </c>
    </row>
    <row r="3539" spans="1:7" x14ac:dyDescent="0.25">
      <c r="A3539" s="1" t="str">
        <f t="shared" si="230"/>
        <v>475</v>
      </c>
      <c r="B3539" s="1" t="str">
        <f>TEXT(33,"00")</f>
        <v>33</v>
      </c>
      <c r="C3539" s="1" t="str">
        <f t="shared" si="231"/>
        <v>475-33</v>
      </c>
      <c r="D3539" t="s">
        <v>3520</v>
      </c>
      <c r="E3539" t="b">
        <f>IF(COUNTIF(D3539,"*"&amp;'Keyword Search'!$C$5&amp;"*"),TRUE,FALSE)</f>
        <v>1</v>
      </c>
      <c r="G3539" t="str">
        <f t="shared" si="232"/>
        <v>475-33: Dermatome Blades, Cement, and Tape</v>
      </c>
    </row>
    <row r="3540" spans="1:7" x14ac:dyDescent="0.25">
      <c r="A3540" s="1" t="str">
        <f t="shared" si="230"/>
        <v>475</v>
      </c>
      <c r="B3540" s="1" t="str">
        <f>TEXT(34,"00")</f>
        <v>34</v>
      </c>
      <c r="C3540" s="1" t="str">
        <f t="shared" si="231"/>
        <v>475-34</v>
      </c>
      <c r="D3540" t="s">
        <v>3521</v>
      </c>
      <c r="E3540" t="b">
        <f>IF(COUNTIF(D3540,"*"&amp;'Keyword Search'!$C$5&amp;"*"),TRUE,FALSE)</f>
        <v>1</v>
      </c>
      <c r="G3540" t="str">
        <f t="shared" si="232"/>
        <v>475-34: Disposal Systems, Non-reusable: Blades, Hospital Waste Containers, Needles, Syringes, etc.</v>
      </c>
    </row>
    <row r="3541" spans="1:7" x14ac:dyDescent="0.25">
      <c r="A3541" s="1" t="str">
        <f t="shared" si="230"/>
        <v>475</v>
      </c>
      <c r="B3541" s="1" t="str">
        <f>TEXT(35,"00")</f>
        <v>35</v>
      </c>
      <c r="C3541" s="1" t="str">
        <f t="shared" si="231"/>
        <v>475-35</v>
      </c>
      <c r="D3541" t="s">
        <v>3522</v>
      </c>
      <c r="E3541" t="b">
        <f>IF(COUNTIF(D3541,"*"&amp;'Keyword Search'!$C$5&amp;"*"),TRUE,FALSE)</f>
        <v>1</v>
      </c>
      <c r="G3541" t="str">
        <f t="shared" si="232"/>
        <v>475-35: Electrodes, Grounding Pads, Lead Wires, and Electrode Gel, For Monitoring Devices, Disposable</v>
      </c>
    </row>
    <row r="3542" spans="1:7" x14ac:dyDescent="0.25">
      <c r="A3542" s="1" t="str">
        <f t="shared" si="230"/>
        <v>475</v>
      </c>
      <c r="B3542" s="1" t="str">
        <f>TEXT(36,"00")</f>
        <v>36</v>
      </c>
      <c r="C3542" s="1" t="str">
        <f t="shared" si="231"/>
        <v>475-36</v>
      </c>
      <c r="D3542" t="s">
        <v>3523</v>
      </c>
      <c r="E3542" t="b">
        <f>IF(COUNTIF(D3542,"*"&amp;'Keyword Search'!$C$5&amp;"*"),TRUE,FALSE)</f>
        <v>1</v>
      </c>
      <c r="G3542" t="str">
        <f t="shared" si="232"/>
        <v>475-36: Glassware: Bottles, Prescription and Nursing; Glasses, Medicine; Jars, Ointment and Dressing; Vials, Medicine, Specimen, etc.</v>
      </c>
    </row>
    <row r="3543" spans="1:7" x14ac:dyDescent="0.25">
      <c r="A3543" s="1" t="str">
        <f t="shared" si="230"/>
        <v>475</v>
      </c>
      <c r="B3543" s="1" t="str">
        <f>TEXT(37,"00")</f>
        <v>37</v>
      </c>
      <c r="C3543" s="1" t="str">
        <f t="shared" si="231"/>
        <v>475-37</v>
      </c>
      <c r="D3543" t="s">
        <v>3524</v>
      </c>
      <c r="E3543" t="b">
        <f>IF(COUNTIF(D3543,"*"&amp;'Keyword Search'!$C$5&amp;"*"),TRUE,FALSE)</f>
        <v>1</v>
      </c>
      <c r="G3543" t="str">
        <f t="shared" si="232"/>
        <v>475-37: Emergency Medical Services (EMS) Equipment and Supplies: Response Kits, Life Support Kits, Trauma Kits, etc.</v>
      </c>
    </row>
    <row r="3544" spans="1:7" x14ac:dyDescent="0.25">
      <c r="A3544" s="1" t="str">
        <f t="shared" si="230"/>
        <v>475</v>
      </c>
      <c r="B3544" s="1" t="str">
        <f>TEXT(39,"00")</f>
        <v>39</v>
      </c>
      <c r="C3544" s="1" t="str">
        <f t="shared" si="231"/>
        <v>475-39</v>
      </c>
      <c r="D3544" t="s">
        <v>3525</v>
      </c>
      <c r="E3544" t="b">
        <f>IF(COUNTIF(D3544,"*"&amp;'Keyword Search'!$C$5&amp;"*"),TRUE,FALSE)</f>
        <v>1</v>
      </c>
      <c r="G3544" t="str">
        <f t="shared" si="232"/>
        <v>475-39: Glove Powder and Detergents</v>
      </c>
    </row>
    <row r="3545" spans="1:7" x14ac:dyDescent="0.25">
      <c r="A3545" s="1" t="str">
        <f t="shared" si="230"/>
        <v>475</v>
      </c>
      <c r="B3545" s="1" t="str">
        <f>TEXT(40,"00")</f>
        <v>40</v>
      </c>
      <c r="C3545" s="1" t="str">
        <f t="shared" si="231"/>
        <v>475-40</v>
      </c>
      <c r="D3545" t="s">
        <v>3526</v>
      </c>
      <c r="E3545" t="b">
        <f>IF(COUNTIF(D3545,"*"&amp;'Keyword Search'!$C$5&amp;"*"),TRUE,FALSE)</f>
        <v>1</v>
      </c>
      <c r="G3545" t="str">
        <f t="shared" si="232"/>
        <v>475-40: Grafts and Implants, External</v>
      </c>
    </row>
    <row r="3546" spans="1:7" x14ac:dyDescent="0.25">
      <c r="A3546" s="1" t="str">
        <f t="shared" si="230"/>
        <v>475</v>
      </c>
      <c r="B3546" s="1" t="str">
        <f>TEXT(41,"00")</f>
        <v>41</v>
      </c>
      <c r="C3546" s="1" t="str">
        <f t="shared" si="231"/>
        <v>475-41</v>
      </c>
      <c r="D3546" t="s">
        <v>3527</v>
      </c>
      <c r="E3546" t="b">
        <f>IF(COUNTIF(D3546,"*"&amp;'Keyword Search'!$C$5&amp;"*"),TRUE,FALSE)</f>
        <v>1</v>
      </c>
      <c r="G3546" t="str">
        <f t="shared" si="232"/>
        <v>475-41: Gloves and Finger Cots, Medical Type</v>
      </c>
    </row>
    <row r="3547" spans="1:7" x14ac:dyDescent="0.25">
      <c r="A3547" s="1" t="str">
        <f t="shared" si="230"/>
        <v>475</v>
      </c>
      <c r="B3547" s="1" t="str">
        <f>TEXT(42,"00")</f>
        <v>42</v>
      </c>
      <c r="C3547" s="1" t="str">
        <f t="shared" si="231"/>
        <v>475-42</v>
      </c>
      <c r="D3547" t="s">
        <v>3528</v>
      </c>
      <c r="E3547" t="b">
        <f>IF(COUNTIF(D3547,"*"&amp;'Keyword Search'!$C$5&amp;"*"),TRUE,FALSE)</f>
        <v>1</v>
      </c>
      <c r="G3547" t="str">
        <f t="shared" si="232"/>
        <v>475-42: Grafts and Implants, Internal</v>
      </c>
    </row>
    <row r="3548" spans="1:7" x14ac:dyDescent="0.25">
      <c r="A3548" s="1" t="str">
        <f t="shared" si="230"/>
        <v>475</v>
      </c>
      <c r="B3548" s="1" t="str">
        <f>TEXT(43,"00")</f>
        <v>43</v>
      </c>
      <c r="C3548" s="1" t="str">
        <f t="shared" si="231"/>
        <v>475-43</v>
      </c>
      <c r="D3548" t="s">
        <v>3529</v>
      </c>
      <c r="E3548" t="b">
        <f>IF(COUNTIF(D3548,"*"&amp;'Keyword Search'!$C$5&amp;"*"),TRUE,FALSE)</f>
        <v>1</v>
      </c>
      <c r="G3548" t="str">
        <f t="shared" si="232"/>
        <v>475-43: Height Measurement Devices</v>
      </c>
    </row>
    <row r="3549" spans="1:7" x14ac:dyDescent="0.25">
      <c r="A3549" s="1" t="str">
        <f t="shared" si="230"/>
        <v>475</v>
      </c>
      <c r="B3549" s="1" t="str">
        <f>TEXT(44,"00")</f>
        <v>44</v>
      </c>
      <c r="C3549" s="1" t="str">
        <f t="shared" si="231"/>
        <v>475-44</v>
      </c>
      <c r="D3549" t="s">
        <v>3530</v>
      </c>
      <c r="E3549" t="b">
        <f>IF(COUNTIF(D3549,"*"&amp;'Keyword Search'!$C$5&amp;"*"),TRUE,FALSE)</f>
        <v>1</v>
      </c>
      <c r="G3549" t="str">
        <f t="shared" si="232"/>
        <v>475-44: Hosiery, Orthopedic and Surgical</v>
      </c>
    </row>
    <row r="3550" spans="1:7" x14ac:dyDescent="0.25">
      <c r="A3550" s="1" t="str">
        <f t="shared" si="230"/>
        <v>475</v>
      </c>
      <c r="B3550" s="1" t="str">
        <f>TEXT(45,"00")</f>
        <v>45</v>
      </c>
      <c r="C3550" s="1" t="str">
        <f t="shared" si="231"/>
        <v>475-45</v>
      </c>
      <c r="D3550" t="s">
        <v>3531</v>
      </c>
      <c r="E3550" t="b">
        <f>IF(COUNTIF(D3550,"*"&amp;'Keyword Search'!$C$5&amp;"*"),TRUE,FALSE)</f>
        <v>1</v>
      </c>
      <c r="G3550" t="str">
        <f t="shared" si="232"/>
        <v>475-45: Hospital Tubing and Accessories, All Types</v>
      </c>
    </row>
    <row r="3551" spans="1:7" x14ac:dyDescent="0.25">
      <c r="A3551" s="1" t="str">
        <f t="shared" si="230"/>
        <v>475</v>
      </c>
      <c r="B3551" s="1" t="str">
        <f>TEXT(47,"00")</f>
        <v>47</v>
      </c>
      <c r="C3551" s="1" t="str">
        <f t="shared" si="231"/>
        <v>475-47</v>
      </c>
      <c r="D3551" t="s">
        <v>3532</v>
      </c>
      <c r="E3551" t="b">
        <f>IF(COUNTIF(D3551,"*"&amp;'Keyword Search'!$C$5&amp;"*"),TRUE,FALSE)</f>
        <v>1</v>
      </c>
      <c r="G3551" t="str">
        <f t="shared" si="232"/>
        <v>475-47: Identification Supplies, Patient</v>
      </c>
    </row>
    <row r="3552" spans="1:7" x14ac:dyDescent="0.25">
      <c r="A3552" s="1" t="str">
        <f t="shared" si="230"/>
        <v>475</v>
      </c>
      <c r="B3552" s="1" t="str">
        <f>TEXT(48,"00")</f>
        <v>48</v>
      </c>
      <c r="C3552" s="1" t="str">
        <f t="shared" si="231"/>
        <v>475-48</v>
      </c>
      <c r="D3552" t="s">
        <v>3533</v>
      </c>
      <c r="E3552" t="b">
        <f>IF(COUNTIF(D3552,"*"&amp;'Keyword Search'!$C$5&amp;"*"),TRUE,FALSE)</f>
        <v>1</v>
      </c>
      <c r="G3552" t="str">
        <f t="shared" si="232"/>
        <v>475-48: Instrument Cleaners: Instrument Milk, Detergents, Lubricants, Rust Inhibitors, etc.</v>
      </c>
    </row>
    <row r="3553" spans="1:7" x14ac:dyDescent="0.25">
      <c r="A3553" s="1" t="str">
        <f t="shared" si="230"/>
        <v>475</v>
      </c>
      <c r="B3553" s="1" t="str">
        <f>TEXT(49,"00")</f>
        <v>49</v>
      </c>
      <c r="C3553" s="1" t="str">
        <f t="shared" si="231"/>
        <v>475-49</v>
      </c>
      <c r="D3553" t="s">
        <v>3534</v>
      </c>
      <c r="E3553" t="b">
        <f>IF(COUNTIF(D3553,"*"&amp;'Keyword Search'!$C$5&amp;"*"),TRUE,FALSE)</f>
        <v>1</v>
      </c>
      <c r="G3553" t="str">
        <f t="shared" si="232"/>
        <v>475-49: Instructional Aids and Training Programs, Medical (See Class 345 and/or Class 785 for Manikins and Models)</v>
      </c>
    </row>
    <row r="3554" spans="1:7" x14ac:dyDescent="0.25">
      <c r="A3554" s="1" t="str">
        <f t="shared" si="230"/>
        <v>475</v>
      </c>
      <c r="B3554" s="1" t="str">
        <f>TEXT(50,"00")</f>
        <v>50</v>
      </c>
      <c r="C3554" s="1" t="str">
        <f t="shared" si="231"/>
        <v>475-50</v>
      </c>
      <c r="D3554" t="s">
        <v>3535</v>
      </c>
      <c r="E3554" t="b">
        <f>IF(COUNTIF(D3554,"*"&amp;'Keyword Search'!$C$5&amp;"*"),TRUE,FALSE)</f>
        <v>1</v>
      </c>
      <c r="G3554" t="str">
        <f t="shared" si="232"/>
        <v>475-50: Lancets, Blood</v>
      </c>
    </row>
    <row r="3555" spans="1:7" x14ac:dyDescent="0.25">
      <c r="A3555" s="1" t="str">
        <f t="shared" si="230"/>
        <v>475</v>
      </c>
      <c r="B3555" s="1" t="str">
        <f>TEXT(51,"00")</f>
        <v>51</v>
      </c>
      <c r="C3555" s="1" t="str">
        <f t="shared" si="231"/>
        <v>475-51</v>
      </c>
      <c r="D3555" t="s">
        <v>3536</v>
      </c>
      <c r="E3555" t="b">
        <f>IF(COUNTIF(D3555,"*"&amp;'Keyword Search'!$C$5&amp;"*"),TRUE,FALSE)</f>
        <v>1</v>
      </c>
      <c r="G3555" t="str">
        <f t="shared" si="232"/>
        <v>475-51: Lymphatic Equipment and Supplies, Mapping, Navigator, etc.</v>
      </c>
    </row>
    <row r="3556" spans="1:7" x14ac:dyDescent="0.25">
      <c r="A3556" s="1" t="str">
        <f t="shared" si="230"/>
        <v>475</v>
      </c>
      <c r="B3556" s="1" t="str">
        <f>TEXT(52,"00")</f>
        <v>52</v>
      </c>
      <c r="C3556" s="1" t="str">
        <f t="shared" si="231"/>
        <v>475-52</v>
      </c>
      <c r="D3556" t="s">
        <v>3537</v>
      </c>
      <c r="E3556" t="b">
        <f>IF(COUNTIF(D3556,"*"&amp;'Keyword Search'!$C$5&amp;"*"),TRUE,FALSE)</f>
        <v>1</v>
      </c>
      <c r="G3556" t="str">
        <f t="shared" si="232"/>
        <v>475-52: Medical Ergonomic Instruments and Equipment</v>
      </c>
    </row>
    <row r="3557" spans="1:7" x14ac:dyDescent="0.25">
      <c r="A3557" s="1" t="str">
        <f t="shared" si="230"/>
        <v>475</v>
      </c>
      <c r="B3557" s="1" t="str">
        <f>TEXT(53,"00")</f>
        <v>53</v>
      </c>
      <c r="C3557" s="1" t="str">
        <f t="shared" si="231"/>
        <v>475-53</v>
      </c>
      <c r="D3557" t="s">
        <v>3538</v>
      </c>
      <c r="E3557" t="b">
        <f>IF(COUNTIF(D3557,"*"&amp;'Keyword Search'!$C$5&amp;"*"),TRUE,FALSE)</f>
        <v>1</v>
      </c>
      <c r="G3557" t="str">
        <f t="shared" si="232"/>
        <v>475-53: Medical I.D. Bracelets, Tags, etc., for Hospital Patients and Medical Emergency</v>
      </c>
    </row>
    <row r="3558" spans="1:7" x14ac:dyDescent="0.25">
      <c r="A3558" s="1" t="str">
        <f t="shared" si="230"/>
        <v>475</v>
      </c>
      <c r="B3558" s="1" t="str">
        <f>TEXT(54,"00")</f>
        <v>54</v>
      </c>
      <c r="C3558" s="1" t="str">
        <f t="shared" si="231"/>
        <v>475-54</v>
      </c>
      <c r="D3558" t="s">
        <v>3539</v>
      </c>
      <c r="E3558" t="b">
        <f>IF(COUNTIF(D3558,"*"&amp;'Keyword Search'!$C$5&amp;"*"),TRUE,FALSE)</f>
        <v>1</v>
      </c>
      <c r="G3558" t="str">
        <f t="shared" si="232"/>
        <v>475-54: Medical Documentation Forms, Charts, Labels, etc.</v>
      </c>
    </row>
    <row r="3559" spans="1:7" x14ac:dyDescent="0.25">
      <c r="A3559" s="1" t="str">
        <f t="shared" si="230"/>
        <v>475</v>
      </c>
      <c r="B3559" s="1" t="str">
        <f>TEXT(55,"00")</f>
        <v>55</v>
      </c>
      <c r="C3559" s="1" t="str">
        <f t="shared" si="231"/>
        <v>475-55</v>
      </c>
      <c r="D3559" t="s">
        <v>3540</v>
      </c>
      <c r="E3559" t="b">
        <f>IF(COUNTIF(D3559,"*"&amp;'Keyword Search'!$C$5&amp;"*"),TRUE,FALSE)</f>
        <v>1</v>
      </c>
      <c r="G3559" t="str">
        <f t="shared" si="232"/>
        <v>475-55: Medical Examination Equipment and Supplies (Not Otherwise Classified)</v>
      </c>
    </row>
    <row r="3560" spans="1:7" x14ac:dyDescent="0.25">
      <c r="A3560" s="1" t="str">
        <f t="shared" si="230"/>
        <v>475</v>
      </c>
      <c r="B3560" s="1" t="str">
        <f>TEXT(61,"00")</f>
        <v>61</v>
      </c>
      <c r="C3560" s="1" t="str">
        <f t="shared" si="231"/>
        <v>475-61</v>
      </c>
      <c r="D3560" t="s">
        <v>3541</v>
      </c>
      <c r="E3560" t="b">
        <f>IF(COUNTIF(D3560,"*"&amp;'Keyword Search'!$C$5&amp;"*"),TRUE,FALSE)</f>
        <v>1</v>
      </c>
      <c r="G3560" t="str">
        <f t="shared" si="232"/>
        <v>475-61: Needles, Specialized: Amniocentesis Type, Biopsy, Spinal, Surgical, etc.</v>
      </c>
    </row>
    <row r="3561" spans="1:7" x14ac:dyDescent="0.25">
      <c r="A3561" s="1" t="str">
        <f t="shared" si="230"/>
        <v>475</v>
      </c>
      <c r="B3561" s="1" t="str">
        <f>TEXT(62,"00")</f>
        <v>62</v>
      </c>
      <c r="C3561" s="1" t="str">
        <f t="shared" si="231"/>
        <v>475-62</v>
      </c>
      <c r="D3561" t="s">
        <v>3542</v>
      </c>
      <c r="E3561" t="b">
        <f>IF(COUNTIF(D3561,"*"&amp;'Keyword Search'!$C$5&amp;"*"),TRUE,FALSE)</f>
        <v>1</v>
      </c>
      <c r="G3561" t="str">
        <f t="shared" si="232"/>
        <v>475-62: Operating and Examining Apparel, Disposable: Capes, Caps, Examination Paper, Gowns, Masks, etc.</v>
      </c>
    </row>
    <row r="3562" spans="1:7" x14ac:dyDescent="0.25">
      <c r="A3562" s="1" t="str">
        <f t="shared" si="230"/>
        <v>475</v>
      </c>
      <c r="B3562" s="1" t="str">
        <f>TEXT(63,"00")</f>
        <v>63</v>
      </c>
      <c r="C3562" s="1" t="str">
        <f t="shared" si="231"/>
        <v>475-63</v>
      </c>
      <c r="D3562" t="s">
        <v>3543</v>
      </c>
      <c r="E3562" t="b">
        <f>IF(COUNTIF(D3562,"*"&amp;'Keyword Search'!$C$5&amp;"*"),TRUE,FALSE)</f>
        <v>1</v>
      </c>
      <c r="G3562" t="str">
        <f t="shared" si="232"/>
        <v>475-63: Ostomy Care Products</v>
      </c>
    </row>
    <row r="3563" spans="1:7" x14ac:dyDescent="0.25">
      <c r="A3563" s="1" t="str">
        <f t="shared" si="230"/>
        <v>475</v>
      </c>
      <c r="B3563" s="1" t="str">
        <f>TEXT(64,"00")</f>
        <v>64</v>
      </c>
      <c r="C3563" s="1" t="str">
        <f t="shared" si="231"/>
        <v>475-64</v>
      </c>
      <c r="D3563" t="s">
        <v>3544</v>
      </c>
      <c r="E3563" t="b">
        <f>IF(COUNTIF(D3563,"*"&amp;'Keyword Search'!$C$5&amp;"*"),TRUE,FALSE)</f>
        <v>1</v>
      </c>
      <c r="G3563" t="str">
        <f t="shared" si="232"/>
        <v>475-64: Paper Goods: Diapers, Medication Blister Cards, Pillow Cases, Sheets, Wiping Tissues, etc.</v>
      </c>
    </row>
    <row r="3564" spans="1:7" x14ac:dyDescent="0.25">
      <c r="A3564" s="1" t="str">
        <f t="shared" si="230"/>
        <v>475</v>
      </c>
      <c r="B3564" s="1" t="str">
        <f>TEXT(65,"00")</f>
        <v>65</v>
      </c>
      <c r="C3564" s="1" t="str">
        <f t="shared" si="231"/>
        <v>475-65</v>
      </c>
      <c r="D3564" t="s">
        <v>3545</v>
      </c>
      <c r="E3564" t="b">
        <f>IF(COUNTIF(D3564,"*"&amp;'Keyword Search'!$C$5&amp;"*"),TRUE,FALSE)</f>
        <v>1</v>
      </c>
      <c r="G3564" t="str">
        <f t="shared" si="232"/>
        <v>475-65: Pads, Sterile, Impregnated, For Topical Applications</v>
      </c>
    </row>
    <row r="3565" spans="1:7" x14ac:dyDescent="0.25">
      <c r="A3565" s="1" t="str">
        <f t="shared" si="230"/>
        <v>475</v>
      </c>
      <c r="B3565" s="1" t="str">
        <f>TEXT(66,"00")</f>
        <v>66</v>
      </c>
      <c r="C3565" s="1" t="str">
        <f t="shared" si="231"/>
        <v>475-66</v>
      </c>
      <c r="D3565" t="s">
        <v>3546</v>
      </c>
      <c r="E3565" t="b">
        <f>IF(COUNTIF(D3565,"*"&amp;'Keyword Search'!$C$5&amp;"*"),TRUE,FALSE)</f>
        <v>1</v>
      </c>
      <c r="G3565" t="str">
        <f t="shared" si="232"/>
        <v>475-66: Packs, Pads, and Drapes, Surgical: Lap Sponges, OB Pads, etc.</v>
      </c>
    </row>
    <row r="3566" spans="1:7" x14ac:dyDescent="0.25">
      <c r="A3566" s="1" t="str">
        <f t="shared" si="230"/>
        <v>475</v>
      </c>
      <c r="B3566" s="1" t="str">
        <f>TEXT(67,"00")</f>
        <v>67</v>
      </c>
      <c r="C3566" s="1" t="str">
        <f t="shared" si="231"/>
        <v>475-67</v>
      </c>
      <c r="D3566" t="s">
        <v>3547</v>
      </c>
      <c r="E3566" t="b">
        <f>IF(COUNTIF(D3566,"*"&amp;'Keyword Search'!$C$5&amp;"*"),TRUE,FALSE)</f>
        <v>1</v>
      </c>
      <c r="G3566" t="str">
        <f t="shared" si="232"/>
        <v>475-67: Personal Items: Applicators, Corn Plasters, Safety Pins, Suspensories, Tongue Blades, etc.</v>
      </c>
    </row>
    <row r="3567" spans="1:7" x14ac:dyDescent="0.25">
      <c r="A3567" s="1" t="str">
        <f t="shared" si="230"/>
        <v>475</v>
      </c>
      <c r="B3567" s="1" t="str">
        <f>TEXT(68,"00")</f>
        <v>68</v>
      </c>
      <c r="C3567" s="1" t="str">
        <f t="shared" si="231"/>
        <v>475-68</v>
      </c>
      <c r="D3567" t="s">
        <v>3548</v>
      </c>
      <c r="E3567" t="b">
        <f>IF(COUNTIF(D3567,"*"&amp;'Keyword Search'!$C$5&amp;"*"),TRUE,FALSE)</f>
        <v>1</v>
      </c>
      <c r="G3567" t="str">
        <f t="shared" si="232"/>
        <v>475-68: Paramedic Equipment and Supplies (Not Otherwise Classified)</v>
      </c>
    </row>
    <row r="3568" spans="1:7" x14ac:dyDescent="0.25">
      <c r="A3568" s="1" t="str">
        <f t="shared" si="230"/>
        <v>475</v>
      </c>
      <c r="B3568" s="1" t="str">
        <f>TEXT(69,"00")</f>
        <v>69</v>
      </c>
      <c r="C3568" s="1" t="str">
        <f t="shared" si="231"/>
        <v>475-69</v>
      </c>
      <c r="D3568" t="s">
        <v>3549</v>
      </c>
      <c r="E3568" t="b">
        <f>IF(COUNTIF(D3568,"*"&amp;'Keyword Search'!$C$5&amp;"*"),TRUE,FALSE)</f>
        <v>1</v>
      </c>
      <c r="G3568" t="str">
        <f t="shared" si="232"/>
        <v>475-69: Pharmaceutical Equipment and Supplies (Not Otherwise Classified)</v>
      </c>
    </row>
    <row r="3569" spans="1:7" x14ac:dyDescent="0.25">
      <c r="A3569" s="1" t="str">
        <f t="shared" si="230"/>
        <v>475</v>
      </c>
      <c r="B3569" s="1" t="str">
        <f>TEXT(70,"00")</f>
        <v>70</v>
      </c>
      <c r="C3569" s="1" t="str">
        <f t="shared" si="231"/>
        <v>475-70</v>
      </c>
      <c r="D3569" t="s">
        <v>3550</v>
      </c>
      <c r="E3569" t="b">
        <f>IF(COUNTIF(D3569,"*"&amp;'Keyword Search'!$C$5&amp;"*"),TRUE,FALSE)</f>
        <v>1</v>
      </c>
      <c r="G3569" t="str">
        <f t="shared" si="232"/>
        <v>475-70: Plastic Ware: Bottles; Prescription and Nursing; Cups, Medicine; Jars, Ointment and Dressing; Vials, Medicine; Specimen, Sickness Bags, etc.</v>
      </c>
    </row>
    <row r="3570" spans="1:7" x14ac:dyDescent="0.25">
      <c r="A3570" s="1" t="str">
        <f t="shared" si="230"/>
        <v>475</v>
      </c>
      <c r="B3570" s="1" t="str">
        <f>TEXT(71,"00")</f>
        <v>71</v>
      </c>
      <c r="C3570" s="1" t="str">
        <f t="shared" si="231"/>
        <v>475-71</v>
      </c>
      <c r="D3570" t="s">
        <v>3551</v>
      </c>
      <c r="E3570" t="b">
        <f>IF(COUNTIF(D3570,"*"&amp;'Keyword Search'!$C$5&amp;"*"),TRUE,FALSE)</f>
        <v>1</v>
      </c>
      <c r="G3570" t="str">
        <f t="shared" si="232"/>
        <v>475-71: Protective Wall and Corner Guards Installed in Health and Nursing Facilities, For Patients Safety and Protection</v>
      </c>
    </row>
    <row r="3571" spans="1:7" x14ac:dyDescent="0.25">
      <c r="A3571" s="1" t="str">
        <f t="shared" si="230"/>
        <v>475</v>
      </c>
      <c r="B3571" s="1" t="str">
        <f>TEXT(72,"00")</f>
        <v>72</v>
      </c>
      <c r="C3571" s="1" t="str">
        <f t="shared" si="231"/>
        <v>475-72</v>
      </c>
      <c r="D3571" t="s">
        <v>3552</v>
      </c>
      <c r="E3571" t="b">
        <f>IF(COUNTIF(D3571,"*"&amp;'Keyword Search'!$C$5&amp;"*"),TRUE,FALSE)</f>
        <v>1</v>
      </c>
      <c r="G3571" t="str">
        <f t="shared" si="232"/>
        <v>475-72: Recycled Hospital Accessories and Sundry Equipment and Supplies</v>
      </c>
    </row>
    <row r="3572" spans="1:7" x14ac:dyDescent="0.25">
      <c r="A3572" s="1" t="str">
        <f t="shared" si="230"/>
        <v>475</v>
      </c>
      <c r="B3572" s="1" t="str">
        <f>TEXT(73,"00")</f>
        <v>73</v>
      </c>
      <c r="C3572" s="1" t="str">
        <f t="shared" si="231"/>
        <v>475-73</v>
      </c>
      <c r="D3572" t="s">
        <v>3553</v>
      </c>
      <c r="E3572" t="b">
        <f>IF(COUNTIF(D3572,"*"&amp;'Keyword Search'!$C$5&amp;"*"),TRUE,FALSE)</f>
        <v>1</v>
      </c>
      <c r="G3572" t="str">
        <f t="shared" si="232"/>
        <v>475-73: Rubber, Fabric, and Plastic Goods: Cadaver Bags and Shrouds, Ice Bags, Sheeting, Tubing, Water Bottles, etc.</v>
      </c>
    </row>
    <row r="3573" spans="1:7" x14ac:dyDescent="0.25">
      <c r="A3573" s="1" t="str">
        <f t="shared" si="230"/>
        <v>475</v>
      </c>
      <c r="B3573" s="1" t="str">
        <f>TEXT(74,"00")</f>
        <v>74</v>
      </c>
      <c r="C3573" s="1" t="str">
        <f t="shared" si="231"/>
        <v>475-74</v>
      </c>
      <c r="D3573" t="s">
        <v>3554</v>
      </c>
      <c r="E3573" t="b">
        <f>IF(COUNTIF(D3573,"*"&amp;'Keyword Search'!$C$5&amp;"*"),TRUE,FALSE)</f>
        <v>1</v>
      </c>
      <c r="G3573" t="str">
        <f t="shared" si="232"/>
        <v>475-74: Sets, Procedural, Disposable: Catheter Care, Enema, Irrigation, Surgical Prep, Surgical Scrub, Suture Removal, Urine and Stool Collection Kits, etc.</v>
      </c>
    </row>
    <row r="3574" spans="1:7" x14ac:dyDescent="0.25">
      <c r="A3574" s="1" t="str">
        <f t="shared" si="230"/>
        <v>475</v>
      </c>
      <c r="B3574" s="1" t="str">
        <f>TEXT(75,"00")</f>
        <v>75</v>
      </c>
      <c r="C3574" s="1" t="str">
        <f t="shared" si="231"/>
        <v>475-75</v>
      </c>
      <c r="D3574" t="s">
        <v>3555</v>
      </c>
      <c r="E3574" t="b">
        <f>IF(COUNTIF(D3574,"*"&amp;'Keyword Search'!$C$5&amp;"*"),TRUE,FALSE)</f>
        <v>1</v>
      </c>
      <c r="G3574" t="str">
        <f t="shared" si="232"/>
        <v>475-75: Stopcocks and Adapters, Reusable</v>
      </c>
    </row>
    <row r="3575" spans="1:7" x14ac:dyDescent="0.25">
      <c r="A3575" s="1" t="str">
        <f t="shared" si="230"/>
        <v>475</v>
      </c>
      <c r="B3575" s="1" t="str">
        <f>TEXT(76,"00")</f>
        <v>76</v>
      </c>
      <c r="C3575" s="1" t="str">
        <f t="shared" si="231"/>
        <v>475-76</v>
      </c>
      <c r="D3575" t="s">
        <v>3556</v>
      </c>
      <c r="E3575" t="b">
        <f>IF(COUNTIF(D3575,"*"&amp;'Keyword Search'!$C$5&amp;"*"),TRUE,FALSE)</f>
        <v>1</v>
      </c>
      <c r="G3575" t="str">
        <f t="shared" si="232"/>
        <v>475-76: Stopcocks, Disposable</v>
      </c>
    </row>
    <row r="3576" spans="1:7" x14ac:dyDescent="0.25">
      <c r="A3576" s="1" t="str">
        <f t="shared" si="230"/>
        <v>475</v>
      </c>
      <c r="B3576" s="1" t="str">
        <f>TEXT(77,"00")</f>
        <v>77</v>
      </c>
      <c r="C3576" s="1" t="str">
        <f t="shared" si="231"/>
        <v>475-77</v>
      </c>
      <c r="D3576" t="s">
        <v>3557</v>
      </c>
      <c r="E3576" t="b">
        <f>IF(COUNTIF(D3576,"*"&amp;'Keyword Search'!$C$5&amp;"*"),TRUE,FALSE)</f>
        <v>1</v>
      </c>
      <c r="G3576" t="str">
        <f t="shared" si="232"/>
        <v>475-77: Sterilizing, Sanitizing and Disinfecting Supplies: Biohazard Bags, Indicators, Sterilizing Tapes, Tubes, Wraps, etc.</v>
      </c>
    </row>
    <row r="3577" spans="1:7" x14ac:dyDescent="0.25">
      <c r="A3577" s="1" t="str">
        <f t="shared" si="230"/>
        <v>475</v>
      </c>
      <c r="B3577" s="1" t="str">
        <f>TEXT(78,"00")</f>
        <v>78</v>
      </c>
      <c r="C3577" s="1" t="str">
        <f t="shared" si="231"/>
        <v>475-78</v>
      </c>
      <c r="D3577" t="s">
        <v>3558</v>
      </c>
      <c r="E3577" t="b">
        <f>IF(COUNTIF(D3577,"*"&amp;'Keyword Search'!$C$5&amp;"*"),TRUE,FALSE)</f>
        <v>1</v>
      </c>
      <c r="G3577" t="str">
        <f t="shared" si="232"/>
        <v>475-78: Sutures and Suturing Needles, Disposable, Including Skin Staplers, Skin Closures and Supplies</v>
      </c>
    </row>
    <row r="3578" spans="1:7" x14ac:dyDescent="0.25">
      <c r="A3578" s="1" t="str">
        <f t="shared" ref="A3578:A3592" si="233">TEXT(475,"000")</f>
        <v>475</v>
      </c>
      <c r="B3578" s="1" t="str">
        <f>TEXT(79,"00")</f>
        <v>79</v>
      </c>
      <c r="C3578" s="1" t="str">
        <f t="shared" si="231"/>
        <v>475-79</v>
      </c>
      <c r="D3578" t="s">
        <v>3559</v>
      </c>
      <c r="E3578" t="b">
        <f>IF(COUNTIF(D3578,"*"&amp;'Keyword Search'!$C$5&amp;"*"),TRUE,FALSE)</f>
        <v>1</v>
      </c>
      <c r="G3578" t="str">
        <f t="shared" si="232"/>
        <v>475-79: Surgical Bougies, Sounds, Obturators, etc.</v>
      </c>
    </row>
    <row r="3579" spans="1:7" x14ac:dyDescent="0.25">
      <c r="A3579" s="1" t="str">
        <f t="shared" si="233"/>
        <v>475</v>
      </c>
      <c r="B3579" s="1" t="str">
        <f>TEXT(80,"00")</f>
        <v>80</v>
      </c>
      <c r="C3579" s="1" t="str">
        <f t="shared" si="231"/>
        <v>475-80</v>
      </c>
      <c r="D3579" t="s">
        <v>3560</v>
      </c>
      <c r="E3579" t="b">
        <f>IF(COUNTIF(D3579,"*"&amp;'Keyword Search'!$C$5&amp;"*"),TRUE,FALSE)</f>
        <v>1</v>
      </c>
      <c r="G3579" t="str">
        <f t="shared" si="232"/>
        <v>475-80: Syringes and Needles, Hypodermic, Reusable</v>
      </c>
    </row>
    <row r="3580" spans="1:7" x14ac:dyDescent="0.25">
      <c r="A3580" s="1" t="str">
        <f t="shared" si="233"/>
        <v>475</v>
      </c>
      <c r="B3580" s="1" t="str">
        <f>TEXT(81,"00")</f>
        <v>81</v>
      </c>
      <c r="C3580" s="1" t="str">
        <f t="shared" si="231"/>
        <v>475-81</v>
      </c>
      <c r="D3580" t="s">
        <v>3561</v>
      </c>
      <c r="E3580" t="b">
        <f>IF(COUNTIF(D3580,"*"&amp;'Keyword Search'!$C$5&amp;"*"),TRUE,FALSE)</f>
        <v>1</v>
      </c>
      <c r="G3580" t="str">
        <f t="shared" si="232"/>
        <v>475-81: Surgical Support Supplies Including Post-Surgery (Not Otherwise Classified)</v>
      </c>
    </row>
    <row r="3581" spans="1:7" x14ac:dyDescent="0.25">
      <c r="A3581" s="1" t="str">
        <f t="shared" si="233"/>
        <v>475</v>
      </c>
      <c r="B3581" s="1" t="str">
        <f>TEXT(82,"00")</f>
        <v>82</v>
      </c>
      <c r="C3581" s="1" t="str">
        <f t="shared" si="231"/>
        <v>475-82</v>
      </c>
      <c r="D3581" t="s">
        <v>3562</v>
      </c>
      <c r="E3581" t="b">
        <f>IF(COUNTIF(D3581,"*"&amp;'Keyword Search'!$C$5&amp;"*"),TRUE,FALSE)</f>
        <v>1</v>
      </c>
      <c r="G3581" t="str">
        <f t="shared" si="232"/>
        <v>475-82: Syringes, Hypodermic and Irrigation, Disposable, and Hypodermic Needles</v>
      </c>
    </row>
    <row r="3582" spans="1:7" x14ac:dyDescent="0.25">
      <c r="A3582" s="1" t="str">
        <f t="shared" si="233"/>
        <v>475</v>
      </c>
      <c r="B3582" s="1" t="str">
        <f>TEXT(83,"00")</f>
        <v>83</v>
      </c>
      <c r="C3582" s="1" t="str">
        <f t="shared" si="231"/>
        <v>475-83</v>
      </c>
      <c r="D3582" t="s">
        <v>3563</v>
      </c>
      <c r="E3582" t="b">
        <f>IF(COUNTIF(D3582,"*"&amp;'Keyword Search'!$C$5&amp;"*"),TRUE,FALSE)</f>
        <v>1</v>
      </c>
      <c r="G3582" t="str">
        <f t="shared" si="232"/>
        <v>475-83: Tissues, Body</v>
      </c>
    </row>
    <row r="3583" spans="1:7" x14ac:dyDescent="0.25">
      <c r="A3583" s="1" t="str">
        <f t="shared" si="233"/>
        <v>475</v>
      </c>
      <c r="B3583" s="1" t="str">
        <f>TEXT(84,"00")</f>
        <v>84</v>
      </c>
      <c r="C3583" s="1" t="str">
        <f t="shared" si="231"/>
        <v>475-84</v>
      </c>
      <c r="D3583" t="s">
        <v>3564</v>
      </c>
      <c r="E3583" t="b">
        <f>IF(COUNTIF(D3583,"*"&amp;'Keyword Search'!$C$5&amp;"*"),TRUE,FALSE)</f>
        <v>1</v>
      </c>
      <c r="G3583" t="str">
        <f t="shared" si="232"/>
        <v>475-84: Trauma Packs and Kits</v>
      </c>
    </row>
    <row r="3584" spans="1:7" x14ac:dyDescent="0.25">
      <c r="A3584" s="1" t="str">
        <f t="shared" si="233"/>
        <v>475</v>
      </c>
      <c r="B3584" s="1" t="str">
        <f>TEXT(85,"00")</f>
        <v>85</v>
      </c>
      <c r="C3584" s="1" t="str">
        <f t="shared" si="231"/>
        <v>475-85</v>
      </c>
      <c r="D3584" t="s">
        <v>3565</v>
      </c>
      <c r="E3584" t="b">
        <f>IF(COUNTIF(D3584,"*"&amp;'Keyword Search'!$C$5&amp;"*"),TRUE,FALSE)</f>
        <v>1</v>
      </c>
      <c r="G3584" t="str">
        <f t="shared" si="232"/>
        <v>475-85: Thermometers, Clinical; Sheaths and Dispensers, Including Electronic</v>
      </c>
    </row>
    <row r="3585" spans="1:7" x14ac:dyDescent="0.25">
      <c r="A3585" s="1" t="str">
        <f t="shared" si="233"/>
        <v>475</v>
      </c>
      <c r="B3585" s="1" t="str">
        <f>TEXT(86,"00")</f>
        <v>86</v>
      </c>
      <c r="C3585" s="1" t="str">
        <f t="shared" si="231"/>
        <v>475-86</v>
      </c>
      <c r="D3585" t="s">
        <v>3566</v>
      </c>
      <c r="E3585" t="b">
        <f>IF(COUNTIF(D3585,"*"&amp;'Keyword Search'!$C$5&amp;"*"),TRUE,FALSE)</f>
        <v>1</v>
      </c>
      <c r="G3585" t="str">
        <f t="shared" si="232"/>
        <v>475-86: Trays, Preparation</v>
      </c>
    </row>
    <row r="3586" spans="1:7" x14ac:dyDescent="0.25">
      <c r="A3586" s="1" t="str">
        <f t="shared" si="233"/>
        <v>475</v>
      </c>
      <c r="B3586" s="1" t="str">
        <f>TEXT(87,"00")</f>
        <v>87</v>
      </c>
      <c r="C3586" s="1" t="str">
        <f t="shared" si="231"/>
        <v>475-87</v>
      </c>
      <c r="D3586" t="s">
        <v>3567</v>
      </c>
      <c r="E3586" t="b">
        <f>IF(COUNTIF(D3586,"*"&amp;'Keyword Search'!$C$5&amp;"*"),TRUE,FALSE)</f>
        <v>1</v>
      </c>
      <c r="G3586" t="str">
        <f t="shared" si="232"/>
        <v>475-87: Tracheotomy Equipment and Accessories, Including Tracheal Tubes, Masks, etc.</v>
      </c>
    </row>
    <row r="3587" spans="1:7" x14ac:dyDescent="0.25">
      <c r="A3587" s="1" t="str">
        <f t="shared" si="233"/>
        <v>475</v>
      </c>
      <c r="B3587" s="1" t="str">
        <f>TEXT(88,"00")</f>
        <v>88</v>
      </c>
      <c r="C3587" s="1" t="str">
        <f t="shared" ref="C3587:C3650" si="234">CONCATENATE(A3587,"-",B3587)</f>
        <v>475-88</v>
      </c>
      <c r="D3587" t="s">
        <v>3568</v>
      </c>
      <c r="E3587" t="b">
        <f>IF(COUNTIF(D3587,"*"&amp;'Keyword Search'!$C$5&amp;"*"),TRUE,FALSE)</f>
        <v>1</v>
      </c>
      <c r="G3587" t="str">
        <f t="shared" si="232"/>
        <v>475-88: Utensils, Sickroom: Aluminum, Enamelware, Stainless Steel, etc., Bed Pans, etc.) (Inactive, please see commodity code 475-90 effective January 1, 2016)</v>
      </c>
    </row>
    <row r="3588" spans="1:7" x14ac:dyDescent="0.25">
      <c r="A3588" s="1" t="str">
        <f t="shared" si="233"/>
        <v>475</v>
      </c>
      <c r="B3588" s="1" t="str">
        <f>TEXT(89,"00")</f>
        <v>89</v>
      </c>
      <c r="C3588" s="1" t="str">
        <f t="shared" si="234"/>
        <v>475-89</v>
      </c>
      <c r="D3588" t="s">
        <v>3569</v>
      </c>
      <c r="E3588" t="b">
        <f>IF(COUNTIF(D3588,"*"&amp;'Keyword Search'!$C$5&amp;"*"),TRUE,FALSE)</f>
        <v>1</v>
      </c>
      <c r="G3588" t="str">
        <f t="shared" ref="G3588:G3651" si="235">CONCATENATE(C3588,": ",D3588)</f>
        <v>475-89: Utensils, Sickroom, Fiber: Bed Pans, Preparation Trays, Pill Bottles, etc.(Inactive, please see commodity code 475-90 effective January 1, 2016)</v>
      </c>
    </row>
    <row r="3589" spans="1:7" x14ac:dyDescent="0.25">
      <c r="A3589" s="1" t="str">
        <f t="shared" si="233"/>
        <v>475</v>
      </c>
      <c r="B3589" s="1" t="str">
        <f>TEXT(90,"00")</f>
        <v>90</v>
      </c>
      <c r="C3589" s="1" t="str">
        <f t="shared" si="234"/>
        <v>475-90</v>
      </c>
      <c r="D3589" t="s">
        <v>3570</v>
      </c>
      <c r="E3589" t="b">
        <f>IF(COUNTIF(D3589,"*"&amp;'Keyword Search'!$C$5&amp;"*"),TRUE,FALSE)</f>
        <v>1</v>
      </c>
      <c r="G3589" t="str">
        <f t="shared" si="235"/>
        <v>475-90: Utensils, Sickroom, Aluminum, Enamelware, Fiber, Stainless Steel, Plastic, Bed Pans, etc.</v>
      </c>
    </row>
    <row r="3590" spans="1:7" x14ac:dyDescent="0.25">
      <c r="A3590" s="1" t="str">
        <f t="shared" si="233"/>
        <v>475</v>
      </c>
      <c r="B3590" s="1" t="str">
        <f>TEXT(93,"00")</f>
        <v>93</v>
      </c>
      <c r="C3590" s="1" t="str">
        <f t="shared" si="234"/>
        <v>475-93</v>
      </c>
      <c r="D3590" t="s">
        <v>3571</v>
      </c>
      <c r="E3590" t="b">
        <f>IF(COUNTIF(D3590,"*"&amp;'Keyword Search'!$C$5&amp;"*"),TRUE,FALSE)</f>
        <v>1</v>
      </c>
      <c r="G3590" t="str">
        <f t="shared" si="235"/>
        <v>475-93: Vaccination Needles and Devices, Including Immunology Equipment</v>
      </c>
    </row>
    <row r="3591" spans="1:7" x14ac:dyDescent="0.25">
      <c r="A3591" s="1" t="str">
        <f t="shared" si="233"/>
        <v>475</v>
      </c>
      <c r="B3591" s="1" t="str">
        <f>TEXT(95,"00")</f>
        <v>95</v>
      </c>
      <c r="C3591" s="1" t="str">
        <f t="shared" si="234"/>
        <v>475-95</v>
      </c>
      <c r="D3591" t="s">
        <v>3572</v>
      </c>
      <c r="E3591" t="b">
        <f>IF(COUNTIF(D3591,"*"&amp;'Keyword Search'!$C$5&amp;"*"),TRUE,FALSE)</f>
        <v>1</v>
      </c>
      <c r="G3591" t="str">
        <f t="shared" si="235"/>
        <v>475-95: Vacuum Blood-Collecting Sets, Tubes, Tube-Holders and Needles</v>
      </c>
    </row>
    <row r="3592" spans="1:7" x14ac:dyDescent="0.25">
      <c r="A3592" s="1" t="str">
        <f t="shared" si="233"/>
        <v>475</v>
      </c>
      <c r="B3592" s="1" t="str">
        <f>TEXT(97,"00")</f>
        <v>97</v>
      </c>
      <c r="C3592" s="1" t="str">
        <f t="shared" si="234"/>
        <v>475-97</v>
      </c>
      <c r="D3592" t="s">
        <v>3573</v>
      </c>
      <c r="E3592" t="b">
        <f>IF(COUNTIF(D3592,"*"&amp;'Keyword Search'!$C$5&amp;"*"),TRUE,FALSE)</f>
        <v>1</v>
      </c>
      <c r="G3592" t="str">
        <f t="shared" si="235"/>
        <v>475-97: Vaginal Speculums and Dilators, Disposable</v>
      </c>
    </row>
    <row r="3593" spans="1:7" x14ac:dyDescent="0.25">
      <c r="A3593" s="5" t="str">
        <f t="shared" ref="A3593:A3656" si="236">TEXT(485,"000")</f>
        <v>485</v>
      </c>
      <c r="B3593" s="5" t="str">
        <f>TEXT(0,"00")</f>
        <v>00</v>
      </c>
      <c r="C3593" s="1"/>
      <c r="D3593" s="2" t="s">
        <v>3574</v>
      </c>
    </row>
    <row r="3594" spans="1:7" x14ac:dyDescent="0.25">
      <c r="A3594" s="1" t="str">
        <f t="shared" si="236"/>
        <v>485</v>
      </c>
      <c r="B3594" s="1" t="str">
        <f>TEXT(1,"00")</f>
        <v>01</v>
      </c>
      <c r="C3594" s="1" t="str">
        <f t="shared" si="234"/>
        <v>485-01</v>
      </c>
      <c r="D3594" t="s">
        <v>3575</v>
      </c>
      <c r="E3594" t="b">
        <f>IF(COUNTIF(D3594,"*"&amp;'Keyword Search'!$C$5&amp;"*"),TRUE,FALSE)</f>
        <v>1</v>
      </c>
      <c r="G3594" t="str">
        <f t="shared" si="235"/>
        <v>485-01: Ammonia and Other Chemicals, Household, Plain or Sudsing</v>
      </c>
    </row>
    <row r="3595" spans="1:7" x14ac:dyDescent="0.25">
      <c r="A3595" s="1" t="str">
        <f t="shared" si="236"/>
        <v>485</v>
      </c>
      <c r="B3595" s="1" t="str">
        <f>TEXT(2,"00")</f>
        <v>02</v>
      </c>
      <c r="C3595" s="1" t="str">
        <f t="shared" si="234"/>
        <v>485-02</v>
      </c>
      <c r="D3595" t="s">
        <v>3576</v>
      </c>
      <c r="E3595" t="b">
        <f>IF(COUNTIF(D3595,"*"&amp;'Keyword Search'!$C$5&amp;"*"),TRUE,FALSE)</f>
        <v>1</v>
      </c>
      <c r="G3595" t="str">
        <f t="shared" si="235"/>
        <v>485-02: Animal Cage Cleaning Compound</v>
      </c>
    </row>
    <row r="3596" spans="1:7" x14ac:dyDescent="0.25">
      <c r="A3596" s="1" t="str">
        <f t="shared" si="236"/>
        <v>485</v>
      </c>
      <c r="B3596" s="1" t="str">
        <f>TEXT(3,"00")</f>
        <v>03</v>
      </c>
      <c r="C3596" s="1" t="str">
        <f t="shared" si="234"/>
        <v>485-03</v>
      </c>
      <c r="D3596" t="s">
        <v>3577</v>
      </c>
      <c r="E3596" t="b">
        <f>IF(COUNTIF(D3596,"*"&amp;'Keyword Search'!$C$5&amp;"*"),TRUE,FALSE)</f>
        <v>1</v>
      </c>
      <c r="G3596" t="str">
        <f t="shared" si="235"/>
        <v>485-03: Adhesive Removers</v>
      </c>
    </row>
    <row r="3597" spans="1:7" x14ac:dyDescent="0.25">
      <c r="A3597" s="1" t="str">
        <f t="shared" si="236"/>
        <v>485</v>
      </c>
      <c r="B3597" s="1" t="str">
        <f>TEXT(4,"00")</f>
        <v>04</v>
      </c>
      <c r="C3597" s="1" t="str">
        <f t="shared" si="234"/>
        <v>485-04</v>
      </c>
      <c r="D3597" t="s">
        <v>3578</v>
      </c>
      <c r="E3597" t="b">
        <f>IF(COUNTIF(D3597,"*"&amp;'Keyword Search'!$C$5&amp;"*"),TRUE,FALSE)</f>
        <v>1</v>
      </c>
      <c r="G3597" t="str">
        <f t="shared" si="235"/>
        <v>485-04: Applicators, Floor Finish, All Types, Except Brushes</v>
      </c>
    </row>
    <row r="3598" spans="1:7" x14ac:dyDescent="0.25">
      <c r="A3598" s="1" t="str">
        <f t="shared" si="236"/>
        <v>485</v>
      </c>
      <c r="B3598" s="1" t="str">
        <f>TEXT(5,"00")</f>
        <v>05</v>
      </c>
      <c r="C3598" s="1" t="str">
        <f t="shared" si="234"/>
        <v>485-05</v>
      </c>
      <c r="D3598" t="s">
        <v>3579</v>
      </c>
      <c r="E3598" t="b">
        <f>IF(COUNTIF(D3598,"*"&amp;'Keyword Search'!$C$5&amp;"*"),TRUE,FALSE)</f>
        <v>1</v>
      </c>
      <c r="G3598" t="str">
        <f t="shared" si="235"/>
        <v>485-05: Bags and Liners, Plastic: Garbage Can Liners, Janitor Cart Liners, Linen Hamper Liners, Litter Bags, Polyethylene Bags, etc., Including Biodegradable</v>
      </c>
    </row>
    <row r="3599" spans="1:7" x14ac:dyDescent="0.25">
      <c r="A3599" s="1" t="str">
        <f t="shared" si="236"/>
        <v>485</v>
      </c>
      <c r="B3599" s="1" t="str">
        <f>TEXT(6,"00")</f>
        <v>06</v>
      </c>
      <c r="C3599" s="1" t="str">
        <f t="shared" si="234"/>
        <v>485-06</v>
      </c>
      <c r="D3599" t="s">
        <v>3580</v>
      </c>
      <c r="E3599" t="b">
        <f>IF(COUNTIF(D3599,"*"&amp;'Keyword Search'!$C$5&amp;"*"),TRUE,FALSE)</f>
        <v>1</v>
      </c>
      <c r="G3599" t="str">
        <f t="shared" si="235"/>
        <v>485-06: Bottles, Glass, (For Cleaners, Detergents, and Janitorial Supplies</v>
      </c>
    </row>
    <row r="3600" spans="1:7" x14ac:dyDescent="0.25">
      <c r="A3600" s="1" t="str">
        <f t="shared" si="236"/>
        <v>485</v>
      </c>
      <c r="B3600" s="1" t="str">
        <f>TEXT(8,"00")</f>
        <v>08</v>
      </c>
      <c r="C3600" s="1" t="str">
        <f t="shared" si="234"/>
        <v>485-08</v>
      </c>
      <c r="D3600" t="s">
        <v>3581</v>
      </c>
      <c r="E3600" t="b">
        <f>IF(COUNTIF(D3600,"*"&amp;'Keyword Search'!$C$5&amp;"*"),TRUE,FALSE)</f>
        <v>1</v>
      </c>
      <c r="G3600" t="str">
        <f t="shared" si="235"/>
        <v>485-08: Bottles, Plastic, For Cleaners, Detergents, and Janitorial Supplies</v>
      </c>
    </row>
    <row r="3601" spans="1:7" x14ac:dyDescent="0.25">
      <c r="A3601" s="1" t="str">
        <f t="shared" si="236"/>
        <v>485</v>
      </c>
      <c r="B3601" s="1" t="str">
        <f>TEXT(9,"00")</f>
        <v>09</v>
      </c>
      <c r="C3601" s="1" t="str">
        <f t="shared" si="234"/>
        <v>485-09</v>
      </c>
      <c r="D3601" t="s">
        <v>3582</v>
      </c>
      <c r="E3601" t="b">
        <f>IF(COUNTIF(D3601,"*"&amp;'Keyword Search'!$C$5&amp;"*"),TRUE,FALSE)</f>
        <v>1</v>
      </c>
      <c r="G3601" t="str">
        <f t="shared" si="235"/>
        <v>485-09: Brush Cleaner</v>
      </c>
    </row>
    <row r="3602" spans="1:7" x14ac:dyDescent="0.25">
      <c r="A3602" s="1" t="str">
        <f t="shared" si="236"/>
        <v>485</v>
      </c>
      <c r="B3602" s="1" t="str">
        <f>TEXT(10,"00")</f>
        <v>10</v>
      </c>
      <c r="C3602" s="1" t="str">
        <f t="shared" si="234"/>
        <v>485-10</v>
      </c>
      <c r="D3602" t="s">
        <v>3583</v>
      </c>
      <c r="E3602" t="b">
        <f>IF(COUNTIF(D3602,"*"&amp;'Keyword Search'!$C$5&amp;"*"),TRUE,FALSE)</f>
        <v>1</v>
      </c>
      <c r="G3602" t="str">
        <f t="shared" si="235"/>
        <v>485-10: Brooms, Brushes, and Handles</v>
      </c>
    </row>
    <row r="3603" spans="1:7" x14ac:dyDescent="0.25">
      <c r="A3603" s="1" t="str">
        <f t="shared" si="236"/>
        <v>485</v>
      </c>
      <c r="B3603" s="1" t="str">
        <f>TEXT(11,"00")</f>
        <v>11</v>
      </c>
      <c r="C3603" s="1" t="str">
        <f t="shared" si="234"/>
        <v>485-11</v>
      </c>
      <c r="D3603" t="s">
        <v>3584</v>
      </c>
      <c r="E3603" t="b">
        <f>IF(COUNTIF(D3603,"*"&amp;'Keyword Search'!$C$5&amp;"*"),TRUE,FALSE)</f>
        <v>1</v>
      </c>
      <c r="G3603" t="str">
        <f t="shared" si="235"/>
        <v>485-11: Cleaner and Detergent, Paste and Tablets</v>
      </c>
    </row>
    <row r="3604" spans="1:7" x14ac:dyDescent="0.25">
      <c r="A3604" s="1" t="str">
        <f t="shared" si="236"/>
        <v>485</v>
      </c>
      <c r="B3604" s="1" t="str">
        <f>TEXT(12,"00")</f>
        <v>12</v>
      </c>
      <c r="C3604" s="1" t="str">
        <f t="shared" si="234"/>
        <v>485-12</v>
      </c>
      <c r="D3604" t="s">
        <v>3585</v>
      </c>
      <c r="E3604" t="b">
        <f>IF(COUNTIF(D3604,"*"&amp;'Keyword Search'!$C$5&amp;"*"),TRUE,FALSE)</f>
        <v>1</v>
      </c>
      <c r="G3604" t="str">
        <f t="shared" si="235"/>
        <v>485-12: Cleaner and Polish, Metal, Brass, Stainless Steel, etc.</v>
      </c>
    </row>
    <row r="3605" spans="1:7" x14ac:dyDescent="0.25">
      <c r="A3605" s="1" t="str">
        <f t="shared" si="236"/>
        <v>485</v>
      </c>
      <c r="B3605" s="1" t="str">
        <f>TEXT(13,"00")</f>
        <v>13</v>
      </c>
      <c r="C3605" s="1" t="str">
        <f t="shared" si="234"/>
        <v>485-13</v>
      </c>
      <c r="D3605" t="s">
        <v>3586</v>
      </c>
      <c r="E3605" t="b">
        <f>IF(COUNTIF(D3605,"*"&amp;'Keyword Search'!$C$5&amp;"*"),TRUE,FALSE)</f>
        <v>1</v>
      </c>
      <c r="G3605" t="str">
        <f t="shared" si="235"/>
        <v>485-13: Cleaner, Hand and Skin, Synthetic Detergent Type (See 435-68, 70 for Skin Cleaners for Health Care Personnel</v>
      </c>
    </row>
    <row r="3606" spans="1:7" x14ac:dyDescent="0.25">
      <c r="A3606" s="1" t="str">
        <f t="shared" si="236"/>
        <v>485</v>
      </c>
      <c r="B3606" s="1" t="str">
        <f>TEXT(14,"00")</f>
        <v>14</v>
      </c>
      <c r="C3606" s="1" t="str">
        <f t="shared" si="234"/>
        <v>485-14</v>
      </c>
      <c r="D3606" t="s">
        <v>3587</v>
      </c>
      <c r="E3606" t="b">
        <f>IF(COUNTIF(D3606,"*"&amp;'Keyword Search'!$C$5&amp;"*"),TRUE,FALSE)</f>
        <v>1</v>
      </c>
      <c r="G3606" t="str">
        <f t="shared" si="235"/>
        <v>485-14: Cleaner, Hand, Mechanics' Waterless</v>
      </c>
    </row>
    <row r="3607" spans="1:7" x14ac:dyDescent="0.25">
      <c r="A3607" s="1" t="str">
        <f t="shared" si="236"/>
        <v>485</v>
      </c>
      <c r="B3607" s="1" t="str">
        <f>TEXT(15,"00")</f>
        <v>15</v>
      </c>
      <c r="C3607" s="1" t="str">
        <f t="shared" si="234"/>
        <v>485-15</v>
      </c>
      <c r="D3607" t="s">
        <v>3588</v>
      </c>
      <c r="E3607" t="b">
        <f>IF(COUNTIF(D3607,"*"&amp;'Keyword Search'!$C$5&amp;"*"),TRUE,FALSE)</f>
        <v>1</v>
      </c>
      <c r="G3607" t="str">
        <f t="shared" si="235"/>
        <v>485-15: Cleaner and Polish, Plastic</v>
      </c>
    </row>
    <row r="3608" spans="1:7" x14ac:dyDescent="0.25">
      <c r="A3608" s="1" t="str">
        <f t="shared" si="236"/>
        <v>485</v>
      </c>
      <c r="B3608" s="1" t="str">
        <f>TEXT(16,"00")</f>
        <v>16</v>
      </c>
      <c r="C3608" s="1" t="str">
        <f t="shared" si="234"/>
        <v>485-16</v>
      </c>
      <c r="D3608" t="s">
        <v>3589</v>
      </c>
      <c r="E3608" t="b">
        <f>IF(COUNTIF(D3608,"*"&amp;'Keyword Search'!$C$5&amp;"*"),TRUE,FALSE)</f>
        <v>1</v>
      </c>
      <c r="G3608" t="str">
        <f t="shared" si="235"/>
        <v>485-16: Cleaner, Hard Products, General Purpose, Liquid, Including Graffiti Cleaners</v>
      </c>
    </row>
    <row r="3609" spans="1:7" x14ac:dyDescent="0.25">
      <c r="A3609" s="1" t="str">
        <f t="shared" si="236"/>
        <v>485</v>
      </c>
      <c r="B3609" s="1" t="str">
        <f>TEXT(17,"00")</f>
        <v>17</v>
      </c>
      <c r="C3609" s="1" t="str">
        <f t="shared" si="234"/>
        <v>485-17</v>
      </c>
      <c r="D3609" t="s">
        <v>3590</v>
      </c>
      <c r="E3609" t="b">
        <f>IF(COUNTIF(D3609,"*"&amp;'Keyword Search'!$C$5&amp;"*"),TRUE,FALSE)</f>
        <v>1</v>
      </c>
      <c r="G3609" t="str">
        <f t="shared" si="235"/>
        <v>485-17: Cleaner and Polish, Wood</v>
      </c>
    </row>
    <row r="3610" spans="1:7" x14ac:dyDescent="0.25">
      <c r="A3610" s="1" t="str">
        <f t="shared" si="236"/>
        <v>485</v>
      </c>
      <c r="B3610" s="1" t="str">
        <f>TEXT(18,"00")</f>
        <v>18</v>
      </c>
      <c r="C3610" s="1" t="str">
        <f t="shared" si="234"/>
        <v>485-18</v>
      </c>
      <c r="D3610" t="s">
        <v>3591</v>
      </c>
      <c r="E3610" t="b">
        <f>IF(COUNTIF(D3610,"*"&amp;'Keyword Search'!$C$5&amp;"*"),TRUE,FALSE)</f>
        <v>1</v>
      </c>
      <c r="G3610" t="str">
        <f t="shared" si="235"/>
        <v>485-18: Cleaner, Heavy Duty Degreaser, Including Oven Cleaners</v>
      </c>
    </row>
    <row r="3611" spans="1:7" x14ac:dyDescent="0.25">
      <c r="A3611" s="1" t="str">
        <f t="shared" si="236"/>
        <v>485</v>
      </c>
      <c r="B3611" s="1" t="str">
        <f>TEXT(19,"00")</f>
        <v>19</v>
      </c>
      <c r="C3611" s="1" t="str">
        <f t="shared" si="234"/>
        <v>485-19</v>
      </c>
      <c r="D3611" t="s">
        <v>3592</v>
      </c>
      <c r="E3611" t="b">
        <f>IF(COUNTIF(D3611,"*"&amp;'Keyword Search'!$C$5&amp;"*"),TRUE,FALSE)</f>
        <v>1</v>
      </c>
      <c r="G3611" t="str">
        <f t="shared" si="235"/>
        <v>485-19: Cleaner/Remover, Lead-Based Debris</v>
      </c>
    </row>
    <row r="3612" spans="1:7" x14ac:dyDescent="0.25">
      <c r="A3612" s="1" t="str">
        <f t="shared" si="236"/>
        <v>485</v>
      </c>
      <c r="B3612" s="1" t="str">
        <f>TEXT(20,"00")</f>
        <v>20</v>
      </c>
      <c r="C3612" s="1" t="str">
        <f t="shared" si="234"/>
        <v>485-20</v>
      </c>
      <c r="D3612" t="s">
        <v>3593</v>
      </c>
      <c r="E3612" t="b">
        <f>IF(COUNTIF(D3612,"*"&amp;'Keyword Search'!$C$5&amp;"*"),TRUE,FALSE)</f>
        <v>1</v>
      </c>
      <c r="G3612" t="str">
        <f t="shared" si="235"/>
        <v>485-20: Cleaner and Polish for Marble, Masonry, Porcelain, etc.</v>
      </c>
    </row>
    <row r="3613" spans="1:7" x14ac:dyDescent="0.25">
      <c r="A3613" s="1" t="str">
        <f t="shared" si="236"/>
        <v>485</v>
      </c>
      <c r="B3613" s="1" t="str">
        <f>TEXT(21,"00")</f>
        <v>21</v>
      </c>
      <c r="C3613" s="1" t="str">
        <f t="shared" si="234"/>
        <v>485-21</v>
      </c>
      <c r="D3613" t="s">
        <v>3594</v>
      </c>
      <c r="E3613" t="b">
        <f>IF(COUNTIF(D3613,"*"&amp;'Keyword Search'!$C$5&amp;"*"),TRUE,FALSE)</f>
        <v>1</v>
      </c>
      <c r="G3613" t="str">
        <f t="shared" si="235"/>
        <v>485-21: Cleaner, Spray</v>
      </c>
    </row>
    <row r="3614" spans="1:7" x14ac:dyDescent="0.25">
      <c r="A3614" s="1" t="str">
        <f t="shared" si="236"/>
        <v>485</v>
      </c>
      <c r="B3614" s="1" t="str">
        <f>TEXT(22,"00")</f>
        <v>22</v>
      </c>
      <c r="C3614" s="1" t="str">
        <f t="shared" si="234"/>
        <v>485-22</v>
      </c>
      <c r="D3614" t="s">
        <v>3595</v>
      </c>
      <c r="E3614" t="b">
        <f>IF(COUNTIF(D3614,"*"&amp;'Keyword Search'!$C$5&amp;"*"),TRUE,FALSE)</f>
        <v>1</v>
      </c>
      <c r="G3614" t="str">
        <f t="shared" si="235"/>
        <v>485-22: Cleaner, Sewer, Septic Tank, and Waste Pipe, Acid and Caustic Types, Including  Drain Openers</v>
      </c>
    </row>
    <row r="3615" spans="1:7" x14ac:dyDescent="0.25">
      <c r="A3615" s="1" t="str">
        <f t="shared" si="236"/>
        <v>485</v>
      </c>
      <c r="B3615" s="1" t="str">
        <f>TEXT(24,"00")</f>
        <v>24</v>
      </c>
      <c r="C3615" s="1" t="str">
        <f t="shared" si="234"/>
        <v>485-24</v>
      </c>
      <c r="D3615" t="s">
        <v>3596</v>
      </c>
      <c r="E3615" t="b">
        <f>IF(COUNTIF(D3615,"*"&amp;'Keyword Search'!$C$5&amp;"*"),TRUE,FALSE)</f>
        <v>1</v>
      </c>
      <c r="G3615" t="str">
        <f t="shared" si="235"/>
        <v>485-24: Cleaner, Sewer, Septic Tank, and Waste Pipe, Aerobic Bacteria and Fungi Type</v>
      </c>
    </row>
    <row r="3616" spans="1:7" x14ac:dyDescent="0.25">
      <c r="A3616" s="1" t="str">
        <f t="shared" si="236"/>
        <v>485</v>
      </c>
      <c r="B3616" s="1" t="str">
        <f>TEXT(25,"00")</f>
        <v>25</v>
      </c>
      <c r="C3616" s="1" t="str">
        <f t="shared" si="234"/>
        <v>485-25</v>
      </c>
      <c r="D3616" t="s">
        <v>3597</v>
      </c>
      <c r="E3616" t="b">
        <f>IF(COUNTIF(D3616,"*"&amp;'Keyword Search'!$C$5&amp;"*"),TRUE,FALSE)</f>
        <v>1</v>
      </c>
      <c r="G3616" t="str">
        <f t="shared" si="235"/>
        <v>485-25: Cleaner, Tile and Grout</v>
      </c>
    </row>
    <row r="3617" spans="1:7" x14ac:dyDescent="0.25">
      <c r="A3617" s="1" t="str">
        <f t="shared" si="236"/>
        <v>485</v>
      </c>
      <c r="B3617" s="1" t="str">
        <f>TEXT(26,"00")</f>
        <v>26</v>
      </c>
      <c r="C3617" s="1" t="str">
        <f t="shared" si="234"/>
        <v>485-26</v>
      </c>
      <c r="D3617" t="s">
        <v>3598</v>
      </c>
      <c r="E3617" t="b">
        <f>IF(COUNTIF(D3617,"*"&amp;'Keyword Search'!$C$5&amp;"*"),TRUE,FALSE)</f>
        <v>1</v>
      </c>
      <c r="G3617" t="str">
        <f t="shared" si="235"/>
        <v>485-26: Cleaner, Toilet Bowl, Granular and Liquid</v>
      </c>
    </row>
    <row r="3618" spans="1:7" x14ac:dyDescent="0.25">
      <c r="A3618" s="1" t="str">
        <f t="shared" si="236"/>
        <v>485</v>
      </c>
      <c r="B3618" s="1" t="str">
        <f>TEXT(27,"00")</f>
        <v>27</v>
      </c>
      <c r="C3618" s="1" t="str">
        <f t="shared" si="234"/>
        <v>485-27</v>
      </c>
      <c r="D3618" t="s">
        <v>3599</v>
      </c>
      <c r="E3618" t="b">
        <f>IF(COUNTIF(D3618,"*"&amp;'Keyword Search'!$C$5&amp;"*"),TRUE,FALSE)</f>
        <v>1</v>
      </c>
      <c r="G3618" t="str">
        <f t="shared" si="235"/>
        <v>485-27: Cleaner, Vinyl, Upholstery</v>
      </c>
    </row>
    <row r="3619" spans="1:7" x14ac:dyDescent="0.25">
      <c r="A3619" s="1" t="str">
        <f t="shared" si="236"/>
        <v>485</v>
      </c>
      <c r="B3619" s="1" t="str">
        <f>TEXT(28,"00")</f>
        <v>28</v>
      </c>
      <c r="C3619" s="1" t="str">
        <f t="shared" si="234"/>
        <v>485-28</v>
      </c>
      <c r="D3619" t="s">
        <v>3600</v>
      </c>
      <c r="E3619" t="b">
        <f>IF(COUNTIF(D3619,"*"&amp;'Keyword Search'!$C$5&amp;"*"),TRUE,FALSE)</f>
        <v>1</v>
      </c>
      <c r="G3619" t="str">
        <f t="shared" si="235"/>
        <v>485-28: Cleaner and Wax: Window, Mirror, and Glass</v>
      </c>
    </row>
    <row r="3620" spans="1:7" x14ac:dyDescent="0.25">
      <c r="A3620" s="1" t="str">
        <f t="shared" si="236"/>
        <v>485</v>
      </c>
      <c r="B3620" s="1" t="str">
        <f>TEXT(29,"00")</f>
        <v>29</v>
      </c>
      <c r="C3620" s="1" t="str">
        <f t="shared" si="234"/>
        <v>485-29</v>
      </c>
      <c r="D3620" t="s">
        <v>3601</v>
      </c>
      <c r="E3620" t="b">
        <f>IF(COUNTIF(D3620,"*"&amp;'Keyword Search'!$C$5&amp;"*"),TRUE,FALSE)</f>
        <v>1</v>
      </c>
      <c r="G3620" t="str">
        <f t="shared" si="235"/>
        <v>485-29: Cleanser, Powdered, Chlorinated</v>
      </c>
    </row>
    <row r="3621" spans="1:7" x14ac:dyDescent="0.25">
      <c r="A3621" s="1" t="str">
        <f t="shared" si="236"/>
        <v>485</v>
      </c>
      <c r="B3621" s="1" t="str">
        <f>TEXT(30,"00")</f>
        <v>30</v>
      </c>
      <c r="C3621" s="1" t="str">
        <f t="shared" si="234"/>
        <v>485-30</v>
      </c>
      <c r="D3621" t="s">
        <v>3602</v>
      </c>
      <c r="E3621" t="b">
        <f>IF(COUNTIF(D3621,"*"&amp;'Keyword Search'!$C$5&amp;"*"),TRUE,FALSE)</f>
        <v>1</v>
      </c>
      <c r="G3621" t="str">
        <f t="shared" si="235"/>
        <v>485-30: Deodorant Blocks, All Types</v>
      </c>
    </row>
    <row r="3622" spans="1:7" x14ac:dyDescent="0.25">
      <c r="A3622" s="1" t="str">
        <f t="shared" si="236"/>
        <v>485</v>
      </c>
      <c r="B3622" s="1" t="str">
        <f>TEXT(31,"00")</f>
        <v>31</v>
      </c>
      <c r="C3622" s="1" t="str">
        <f t="shared" si="234"/>
        <v>485-31</v>
      </c>
      <c r="D3622" t="s">
        <v>3603</v>
      </c>
      <c r="E3622" t="b">
        <f>IF(COUNTIF(D3622,"*"&amp;'Keyword Search'!$C$5&amp;"*"),TRUE,FALSE)</f>
        <v>1</v>
      </c>
      <c r="G3622" t="str">
        <f t="shared" si="235"/>
        <v>485-31: Deodorants for Portable Toilets, Including Ozone Air Freshener Type</v>
      </c>
    </row>
    <row r="3623" spans="1:7" x14ac:dyDescent="0.25">
      <c r="A3623" s="1" t="str">
        <f t="shared" si="236"/>
        <v>485</v>
      </c>
      <c r="B3623" s="1" t="str">
        <f>TEXT(32,"00")</f>
        <v>32</v>
      </c>
      <c r="C3623" s="1" t="str">
        <f t="shared" si="234"/>
        <v>485-32</v>
      </c>
      <c r="D3623" t="s">
        <v>3604</v>
      </c>
      <c r="E3623" t="b">
        <f>IF(COUNTIF(D3623,"*"&amp;'Keyword Search'!$C$5&amp;"*"),TRUE,FALSE)</f>
        <v>1</v>
      </c>
      <c r="G3623" t="str">
        <f t="shared" si="235"/>
        <v>485-32: Deodorants, Room, All Types</v>
      </c>
    </row>
    <row r="3624" spans="1:7" x14ac:dyDescent="0.25">
      <c r="A3624" s="1" t="str">
        <f t="shared" si="236"/>
        <v>485</v>
      </c>
      <c r="B3624" s="1" t="str">
        <f>TEXT(33,"00")</f>
        <v>33</v>
      </c>
      <c r="C3624" s="1" t="str">
        <f t="shared" si="234"/>
        <v>485-33</v>
      </c>
      <c r="D3624" t="s">
        <v>3605</v>
      </c>
      <c r="E3624" t="b">
        <f>IF(COUNTIF(D3624,"*"&amp;'Keyword Search'!$C$5&amp;"*"),TRUE,FALSE)</f>
        <v>1</v>
      </c>
      <c r="G3624" t="str">
        <f t="shared" si="235"/>
        <v>485-33: Deodorants, Industrial</v>
      </c>
    </row>
    <row r="3625" spans="1:7" x14ac:dyDescent="0.25">
      <c r="A3625" s="1" t="str">
        <f t="shared" si="236"/>
        <v>485</v>
      </c>
      <c r="B3625" s="1" t="str">
        <f>TEXT(34,"00")</f>
        <v>34</v>
      </c>
      <c r="C3625" s="1" t="str">
        <f t="shared" si="234"/>
        <v>485-34</v>
      </c>
      <c r="D3625" t="s">
        <v>3606</v>
      </c>
      <c r="E3625" t="b">
        <f>IF(COUNTIF(D3625,"*"&amp;'Keyword Search'!$C$5&amp;"*"),TRUE,FALSE)</f>
        <v>1</v>
      </c>
      <c r="G3625" t="str">
        <f t="shared" si="235"/>
        <v>485-34: Detergent, Steam and Hot Water Spray Cleaning</v>
      </c>
    </row>
    <row r="3626" spans="1:7" x14ac:dyDescent="0.25">
      <c r="A3626" s="1" t="str">
        <f t="shared" si="236"/>
        <v>485</v>
      </c>
      <c r="B3626" s="1" t="str">
        <f>TEXT(36,"00")</f>
        <v>36</v>
      </c>
      <c r="C3626" s="1" t="str">
        <f t="shared" si="234"/>
        <v>485-36</v>
      </c>
      <c r="D3626" t="s">
        <v>3607</v>
      </c>
      <c r="E3626" t="b">
        <f>IF(COUNTIF(D3626,"*"&amp;'Keyword Search'!$C$5&amp;"*"),TRUE,FALSE)</f>
        <v>1</v>
      </c>
      <c r="G3626" t="str">
        <f t="shared" si="235"/>
        <v>485-36: Detergent, Car Washing, Cold Water Type</v>
      </c>
    </row>
    <row r="3627" spans="1:7" x14ac:dyDescent="0.25">
      <c r="A3627" s="1" t="str">
        <f t="shared" si="236"/>
        <v>485</v>
      </c>
      <c r="B3627" s="1" t="str">
        <f>TEXT(37,"00")</f>
        <v>37</v>
      </c>
      <c r="C3627" s="1" t="str">
        <f t="shared" si="234"/>
        <v>485-37</v>
      </c>
      <c r="D3627" t="s">
        <v>3608</v>
      </c>
      <c r="E3627" t="b">
        <f>IF(COUNTIF(D3627,"*"&amp;'Keyword Search'!$C$5&amp;"*"),TRUE,FALSE)</f>
        <v>1</v>
      </c>
      <c r="G3627" t="str">
        <f t="shared" si="235"/>
        <v>485-37: Detergent-Disinfectant, Washroom Type, Liquid and Aerosol (See Class 435 for Health Care and 505 for Laundry Type)</v>
      </c>
    </row>
    <row r="3628" spans="1:7" x14ac:dyDescent="0.25">
      <c r="A3628" s="1" t="str">
        <f t="shared" si="236"/>
        <v>485</v>
      </c>
      <c r="B3628" s="1" t="str">
        <f>TEXT(38,"00")</f>
        <v>38</v>
      </c>
      <c r="C3628" s="1" t="str">
        <f t="shared" si="234"/>
        <v>485-38</v>
      </c>
      <c r="D3628" t="s">
        <v>3609</v>
      </c>
      <c r="E3628" t="b">
        <f>IF(COUNTIF(D3628,"*"&amp;'Keyword Search'!$C$5&amp;"*"),TRUE,FALSE)</f>
        <v>1</v>
      </c>
      <c r="G3628" t="str">
        <f t="shared" si="235"/>
        <v>485-38: Dishwashing Compounds, Hand and Machine Type, Including Rinse Solutions</v>
      </c>
    </row>
    <row r="3629" spans="1:7" x14ac:dyDescent="0.25">
      <c r="A3629" s="1" t="str">
        <f t="shared" si="236"/>
        <v>485</v>
      </c>
      <c r="B3629" s="1" t="str">
        <f>TEXT(40,"00")</f>
        <v>40</v>
      </c>
      <c r="C3629" s="1" t="str">
        <f t="shared" si="234"/>
        <v>485-40</v>
      </c>
      <c r="D3629" t="s">
        <v>3610</v>
      </c>
      <c r="E3629" t="b">
        <f>IF(COUNTIF(D3629,"*"&amp;'Keyword Search'!$C$5&amp;"*"),TRUE,FALSE)</f>
        <v>1</v>
      </c>
      <c r="G3629" t="str">
        <f t="shared" si="235"/>
        <v>485-40: Disinfectants, Spray and Powdered</v>
      </c>
    </row>
    <row r="3630" spans="1:7" x14ac:dyDescent="0.25">
      <c r="A3630" s="1" t="str">
        <f t="shared" si="236"/>
        <v>485</v>
      </c>
      <c r="B3630" s="1" t="str">
        <f>TEXT(42,"00")</f>
        <v>42</v>
      </c>
      <c r="C3630" s="1" t="str">
        <f t="shared" si="234"/>
        <v>485-42</v>
      </c>
      <c r="D3630" t="s">
        <v>3611</v>
      </c>
      <c r="E3630" t="b">
        <f>IF(COUNTIF(D3630,"*"&amp;'Keyword Search'!$C$5&amp;"*"),TRUE,FALSE)</f>
        <v>1</v>
      </c>
      <c r="G3630" t="str">
        <f t="shared" si="235"/>
        <v>485-42: Disinfectants, Pine Oil</v>
      </c>
    </row>
    <row r="3631" spans="1:7" x14ac:dyDescent="0.25">
      <c r="A3631" s="1" t="str">
        <f t="shared" si="236"/>
        <v>485</v>
      </c>
      <c r="B3631" s="1" t="str">
        <f>TEXT(44,"00")</f>
        <v>44</v>
      </c>
      <c r="C3631" s="1" t="str">
        <f t="shared" si="234"/>
        <v>485-44</v>
      </c>
      <c r="D3631" t="s">
        <v>3612</v>
      </c>
      <c r="E3631" t="b">
        <f>IF(COUNTIF(D3631,"*"&amp;'Keyword Search'!$C$5&amp;"*"),TRUE,FALSE)</f>
        <v>1</v>
      </c>
      <c r="G3631" t="str">
        <f t="shared" si="235"/>
        <v>485-44: Dispensers, Lotion and Soap, Including Waterless Soap Dispenser</v>
      </c>
    </row>
    <row r="3632" spans="1:7" x14ac:dyDescent="0.25">
      <c r="A3632" s="1" t="str">
        <f t="shared" si="236"/>
        <v>485</v>
      </c>
      <c r="B3632" s="1" t="str">
        <f>TEXT(45,"00")</f>
        <v>45</v>
      </c>
      <c r="C3632" s="1" t="str">
        <f t="shared" si="234"/>
        <v>485-45</v>
      </c>
      <c r="D3632" t="s">
        <v>3613</v>
      </c>
      <c r="E3632" t="b">
        <f>IF(COUNTIF(D3632,"*"&amp;'Keyword Search'!$C$5&amp;"*"),TRUE,FALSE)</f>
        <v>1</v>
      </c>
      <c r="G3632" t="str">
        <f t="shared" si="235"/>
        <v>485-45: Dispensers, For Metered Aerosol Deodorants, Air Sanitizers, and Insecticides, AC and DC Models</v>
      </c>
    </row>
    <row r="3633" spans="1:7" x14ac:dyDescent="0.25">
      <c r="A3633" s="1" t="str">
        <f t="shared" si="236"/>
        <v>485</v>
      </c>
      <c r="B3633" s="1" t="str">
        <f>TEXT(46,"00")</f>
        <v>46</v>
      </c>
      <c r="C3633" s="1" t="str">
        <f t="shared" si="234"/>
        <v>485-46</v>
      </c>
      <c r="D3633" t="s">
        <v>3614</v>
      </c>
      <c r="E3633" t="b">
        <f>IF(COUNTIF(D3633,"*"&amp;'Keyword Search'!$C$5&amp;"*"),TRUE,FALSE)</f>
        <v>1</v>
      </c>
      <c r="G3633" t="str">
        <f t="shared" si="235"/>
        <v>485-46: Dispensers and Holders, For Cleaning Rags, Paper Towels, Toilet Tissue, and Toilet Seat Covers</v>
      </c>
    </row>
    <row r="3634" spans="1:7" x14ac:dyDescent="0.25">
      <c r="A3634" s="1" t="str">
        <f t="shared" si="236"/>
        <v>485</v>
      </c>
      <c r="B3634" s="1" t="str">
        <f>TEXT(48,"00")</f>
        <v>48</v>
      </c>
      <c r="C3634" s="1" t="str">
        <f t="shared" si="234"/>
        <v>485-48</v>
      </c>
      <c r="D3634" t="s">
        <v>3615</v>
      </c>
      <c r="E3634" t="b">
        <f>IF(COUNTIF(D3634,"*"&amp;'Keyword Search'!$C$5&amp;"*"),TRUE,FALSE)</f>
        <v>1</v>
      </c>
      <c r="G3634" t="str">
        <f t="shared" si="235"/>
        <v>485-48: Dispensers, For Sanitary Napkins and Tampons</v>
      </c>
    </row>
    <row r="3635" spans="1:7" x14ac:dyDescent="0.25">
      <c r="A3635" s="1" t="str">
        <f t="shared" si="236"/>
        <v>485</v>
      </c>
      <c r="B3635" s="1" t="str">
        <f>TEXT(50,"00")</f>
        <v>50</v>
      </c>
      <c r="C3635" s="1" t="str">
        <f t="shared" si="234"/>
        <v>485-50</v>
      </c>
      <c r="D3635" t="s">
        <v>3616</v>
      </c>
      <c r="E3635" t="b">
        <f>IF(COUNTIF(D3635,"*"&amp;'Keyword Search'!$C$5&amp;"*"),TRUE,FALSE)</f>
        <v>1</v>
      </c>
      <c r="G3635" t="str">
        <f t="shared" si="235"/>
        <v>485-50: Door Mats, All Types</v>
      </c>
    </row>
    <row r="3636" spans="1:7" x14ac:dyDescent="0.25">
      <c r="A3636" s="1" t="str">
        <f t="shared" si="236"/>
        <v>485</v>
      </c>
      <c r="B3636" s="1" t="str">
        <f>TEXT(51,"00")</f>
        <v>51</v>
      </c>
      <c r="C3636" s="1" t="str">
        <f t="shared" si="234"/>
        <v>485-51</v>
      </c>
      <c r="D3636" t="s">
        <v>3617</v>
      </c>
      <c r="E3636" t="b">
        <f>IF(COUNTIF(D3636,"*"&amp;'Keyword Search'!$C$5&amp;"*"),TRUE,FALSE)</f>
        <v>1</v>
      </c>
      <c r="G3636" t="str">
        <f t="shared" si="235"/>
        <v>485-51: Dry Powder Processing Machine, For the Production and Packaging of Powder Soap</v>
      </c>
    </row>
    <row r="3637" spans="1:7" x14ac:dyDescent="0.25">
      <c r="A3637" s="1" t="str">
        <f t="shared" si="236"/>
        <v>485</v>
      </c>
      <c r="B3637" s="1" t="str">
        <f>TEXT(52,"00")</f>
        <v>52</v>
      </c>
      <c r="C3637" s="1" t="str">
        <f t="shared" si="234"/>
        <v>485-52</v>
      </c>
      <c r="D3637" t="s">
        <v>3618</v>
      </c>
      <c r="E3637" t="b">
        <f>IF(COUNTIF(D3637,"*"&amp;'Keyword Search'!$C$5&amp;"*"),TRUE,FALSE)</f>
        <v>1</v>
      </c>
      <c r="G3637" t="str">
        <f t="shared" si="235"/>
        <v>485-52: Dusting Cloths, Treated</v>
      </c>
    </row>
    <row r="3638" spans="1:7" x14ac:dyDescent="0.25">
      <c r="A3638" s="1" t="str">
        <f t="shared" si="236"/>
        <v>485</v>
      </c>
      <c r="B3638" s="1" t="str">
        <f>TEXT(53,"00")</f>
        <v>53</v>
      </c>
      <c r="C3638" s="1" t="str">
        <f t="shared" si="234"/>
        <v>485-53</v>
      </c>
      <c r="D3638" t="s">
        <v>3619</v>
      </c>
      <c r="E3638" t="b">
        <f>IF(COUNTIF(D3638,"*"&amp;'Keyword Search'!$C$5&amp;"*"),TRUE,FALSE)</f>
        <v>1</v>
      </c>
      <c r="G3638" t="str">
        <f t="shared" si="235"/>
        <v>485-53: Dusters: Feather, Lambs Wool, Split, etc.</v>
      </c>
    </row>
    <row r="3639" spans="1:7" x14ac:dyDescent="0.25">
      <c r="A3639" s="1" t="str">
        <f t="shared" si="236"/>
        <v>485</v>
      </c>
      <c r="B3639" s="1" t="str">
        <f>TEXT(54,"00")</f>
        <v>54</v>
      </c>
      <c r="C3639" s="1" t="str">
        <f t="shared" si="234"/>
        <v>485-54</v>
      </c>
      <c r="D3639" t="s">
        <v>3620</v>
      </c>
      <c r="E3639" t="b">
        <f>IF(COUNTIF(D3639,"*"&amp;'Keyword Search'!$C$5&amp;"*"),TRUE,FALSE)</f>
        <v>1</v>
      </c>
      <c r="G3639" t="str">
        <f t="shared" si="235"/>
        <v>485-54: Floor Polishes and Waxes, Floor Sealer, and Dust Mop Treating Compound</v>
      </c>
    </row>
    <row r="3640" spans="1:7" x14ac:dyDescent="0.25">
      <c r="A3640" s="1" t="str">
        <f t="shared" si="236"/>
        <v>485</v>
      </c>
      <c r="B3640" s="1" t="str">
        <f>TEXT(55,"00")</f>
        <v>55</v>
      </c>
      <c r="C3640" s="1" t="str">
        <f t="shared" si="234"/>
        <v>485-55</v>
      </c>
      <c r="D3640" t="s">
        <v>3621</v>
      </c>
      <c r="E3640" t="b">
        <f>IF(COUNTIF(D3640,"*"&amp;'Keyword Search'!$C$5&amp;"*"),TRUE,FALSE)</f>
        <v>1</v>
      </c>
      <c r="G3640" t="str">
        <f t="shared" si="235"/>
        <v>485-55: Floor Stripper and Cleaners</v>
      </c>
    </row>
    <row r="3641" spans="1:7" x14ac:dyDescent="0.25">
      <c r="A3641" s="1" t="str">
        <f t="shared" si="236"/>
        <v>485</v>
      </c>
      <c r="B3641" s="1" t="str">
        <f>TEXT(56,"00")</f>
        <v>56</v>
      </c>
      <c r="C3641" s="1" t="str">
        <f t="shared" si="234"/>
        <v>485-56</v>
      </c>
      <c r="D3641" t="s">
        <v>3622</v>
      </c>
      <c r="E3641" t="b">
        <f>IF(COUNTIF(D3641,"*"&amp;'Keyword Search'!$C$5&amp;"*"),TRUE,FALSE)</f>
        <v>1</v>
      </c>
      <c r="G3641" t="str">
        <f t="shared" si="235"/>
        <v>485-56: Floor Sweeping Compound and Oil</v>
      </c>
    </row>
    <row r="3642" spans="1:7" x14ac:dyDescent="0.25">
      <c r="A3642" s="1" t="str">
        <f t="shared" si="236"/>
        <v>485</v>
      </c>
      <c r="B3642" s="1" t="str">
        <f>TEXT(57,"00")</f>
        <v>57</v>
      </c>
      <c r="C3642" s="1" t="str">
        <f t="shared" si="234"/>
        <v>485-57</v>
      </c>
      <c r="D3642" t="s">
        <v>3623</v>
      </c>
      <c r="E3642" t="b">
        <f>IF(COUNTIF(D3642,"*"&amp;'Keyword Search'!$C$5&amp;"*"),TRUE,FALSE)</f>
        <v>1</v>
      </c>
      <c r="G3642" t="str">
        <f t="shared" si="235"/>
        <v>485-57: Fly-Swatters</v>
      </c>
    </row>
    <row r="3643" spans="1:7" x14ac:dyDescent="0.25">
      <c r="A3643" s="1" t="str">
        <f t="shared" si="236"/>
        <v>485</v>
      </c>
      <c r="B3643" s="1" t="str">
        <f>TEXT(58,"00")</f>
        <v>58</v>
      </c>
      <c r="C3643" s="1" t="str">
        <f t="shared" si="234"/>
        <v>485-58</v>
      </c>
      <c r="D3643" t="s">
        <v>3624</v>
      </c>
      <c r="E3643" t="b">
        <f>IF(COUNTIF(D3643,"*"&amp;'Keyword Search'!$C$5&amp;"*"),TRUE,FALSE)</f>
        <v>1</v>
      </c>
      <c r="G3643" t="str">
        <f t="shared" si="235"/>
        <v>485-58: Furniture Polish</v>
      </c>
    </row>
    <row r="3644" spans="1:7" x14ac:dyDescent="0.25">
      <c r="A3644" s="1" t="str">
        <f t="shared" si="236"/>
        <v>485</v>
      </c>
      <c r="B3644" s="1" t="str">
        <f>TEXT(59,"00")</f>
        <v>59</v>
      </c>
      <c r="C3644" s="1" t="str">
        <f t="shared" si="234"/>
        <v>485-59</v>
      </c>
      <c r="D3644" t="s">
        <v>3625</v>
      </c>
      <c r="E3644" t="b">
        <f>IF(COUNTIF(D3644,"*"&amp;'Keyword Search'!$C$5&amp;"*"),TRUE,FALSE)</f>
        <v>1</v>
      </c>
      <c r="G3644" t="str">
        <f t="shared" si="235"/>
        <v>485-59: Insect Control Units, Chemical or Electric, Lures and Traps</v>
      </c>
    </row>
    <row r="3645" spans="1:7" x14ac:dyDescent="0.25">
      <c r="A3645" s="1" t="str">
        <f t="shared" si="236"/>
        <v>485</v>
      </c>
      <c r="B3645" s="1" t="str">
        <f>TEXT(60,"00")</f>
        <v>60</v>
      </c>
      <c r="C3645" s="1" t="str">
        <f t="shared" si="234"/>
        <v>485-60</v>
      </c>
      <c r="D3645" t="s">
        <v>3626</v>
      </c>
      <c r="E3645" t="b">
        <f>IF(COUNTIF(D3645,"*"&amp;'Keyword Search'!$C$5&amp;"*"),TRUE,FALSE)</f>
        <v>1</v>
      </c>
      <c r="G3645" t="str">
        <f t="shared" si="235"/>
        <v>485-60: Insecticides and Repellents, Household</v>
      </c>
    </row>
    <row r="3646" spans="1:7" x14ac:dyDescent="0.25">
      <c r="A3646" s="1" t="str">
        <f t="shared" si="236"/>
        <v>485</v>
      </c>
      <c r="B3646" s="1" t="str">
        <f>TEXT(62,"00")</f>
        <v>62</v>
      </c>
      <c r="C3646" s="1" t="str">
        <f t="shared" si="234"/>
        <v>485-62</v>
      </c>
      <c r="D3646" t="s">
        <v>3627</v>
      </c>
      <c r="E3646" t="b">
        <f>IF(COUNTIF(D3646,"*"&amp;'Keyword Search'!$C$5&amp;"*"),TRUE,FALSE)</f>
        <v>1</v>
      </c>
      <c r="G3646" t="str">
        <f t="shared" si="235"/>
        <v>485-62: Insecticide Spraying Equipment, Household</v>
      </c>
    </row>
    <row r="3647" spans="1:7" x14ac:dyDescent="0.25">
      <c r="A3647" s="1" t="str">
        <f t="shared" si="236"/>
        <v>485</v>
      </c>
      <c r="B3647" s="1" t="str">
        <f>TEXT(64,"00")</f>
        <v>64</v>
      </c>
      <c r="C3647" s="1" t="str">
        <f t="shared" si="234"/>
        <v>485-64</v>
      </c>
      <c r="D3647" t="s">
        <v>3628</v>
      </c>
      <c r="E3647" t="b">
        <f>IF(COUNTIF(D3647,"*"&amp;'Keyword Search'!$C$5&amp;"*"),TRUE,FALSE)</f>
        <v>1</v>
      </c>
      <c r="G3647" t="str">
        <f t="shared" si="235"/>
        <v>485-64: Janitor Carts and Bags</v>
      </c>
    </row>
    <row r="3648" spans="1:7" x14ac:dyDescent="0.25">
      <c r="A3648" s="1" t="str">
        <f t="shared" si="236"/>
        <v>485</v>
      </c>
      <c r="B3648" s="1" t="str">
        <f>TEXT(65,"00")</f>
        <v>65</v>
      </c>
      <c r="C3648" s="1" t="str">
        <f t="shared" si="234"/>
        <v>485-65</v>
      </c>
      <c r="D3648" t="s">
        <v>3629</v>
      </c>
      <c r="E3648" t="b">
        <f>IF(COUNTIF(D3648,"*"&amp;'Keyword Search'!$C$5&amp;"*"),TRUE,FALSE)</f>
        <v>1</v>
      </c>
      <c r="G3648" t="str">
        <f t="shared" si="235"/>
        <v>485-65: Janitorial Equipment and Supplies (Not Otherwise Classified)</v>
      </c>
    </row>
    <row r="3649" spans="1:7" x14ac:dyDescent="0.25">
      <c r="A3649" s="1" t="str">
        <f t="shared" si="236"/>
        <v>485</v>
      </c>
      <c r="B3649" s="1" t="str">
        <f>TEXT(66,"00")</f>
        <v>66</v>
      </c>
      <c r="C3649" s="1" t="str">
        <f t="shared" si="234"/>
        <v>485-66</v>
      </c>
      <c r="D3649" t="s">
        <v>3630</v>
      </c>
      <c r="E3649" t="b">
        <f>IF(COUNTIF(D3649,"*"&amp;'Keyword Search'!$C$5&amp;"*"),TRUE,FALSE)</f>
        <v>1</v>
      </c>
      <c r="G3649" t="str">
        <f t="shared" si="235"/>
        <v>485-66: Linen Hampers and Bags</v>
      </c>
    </row>
    <row r="3650" spans="1:7" x14ac:dyDescent="0.25">
      <c r="A3650" s="1" t="str">
        <f t="shared" si="236"/>
        <v>485</v>
      </c>
      <c r="B3650" s="1" t="str">
        <f>TEXT(67,"00")</f>
        <v>67</v>
      </c>
      <c r="C3650" s="1" t="str">
        <f t="shared" si="234"/>
        <v>485-67</v>
      </c>
      <c r="D3650" t="s">
        <v>3631</v>
      </c>
      <c r="E3650" t="b">
        <f>IF(COUNTIF(D3650,"*"&amp;'Keyword Search'!$C$5&amp;"*"),TRUE,FALSE)</f>
        <v>1</v>
      </c>
      <c r="G3650" t="str">
        <f t="shared" si="235"/>
        <v>485-67: Litter Pickup Devices</v>
      </c>
    </row>
    <row r="3651" spans="1:7" x14ac:dyDescent="0.25">
      <c r="A3651" s="1" t="str">
        <f t="shared" si="236"/>
        <v>485</v>
      </c>
      <c r="B3651" s="1" t="str">
        <f>TEXT(68,"00")</f>
        <v>68</v>
      </c>
      <c r="C3651" s="1" t="str">
        <f t="shared" ref="C3651:C3714" si="237">CONCATENATE(A3651,"-",B3651)</f>
        <v>485-68</v>
      </c>
      <c r="D3651" t="s">
        <v>3632</v>
      </c>
      <c r="E3651" t="b">
        <f>IF(COUNTIF(D3651,"*"&amp;'Keyword Search'!$C$5&amp;"*"),TRUE,FALSE)</f>
        <v>1</v>
      </c>
      <c r="G3651" t="str">
        <f t="shared" si="235"/>
        <v>485-68: Mop Buckets, Wringers, Bucket Trucks, and Attachments</v>
      </c>
    </row>
    <row r="3652" spans="1:7" x14ac:dyDescent="0.25">
      <c r="A3652" s="1" t="str">
        <f t="shared" si="236"/>
        <v>485</v>
      </c>
      <c r="B3652" s="1" t="str">
        <f>TEXT(70,"00")</f>
        <v>70</v>
      </c>
      <c r="C3652" s="1" t="str">
        <f t="shared" si="237"/>
        <v>485-70</v>
      </c>
      <c r="D3652" t="s">
        <v>3633</v>
      </c>
      <c r="E3652" t="b">
        <f>IF(COUNTIF(D3652,"*"&amp;'Keyword Search'!$C$5&amp;"*"),TRUE,FALSE)</f>
        <v>1</v>
      </c>
      <c r="G3652" t="str">
        <f t="shared" ref="G3652:G3715" si="238">CONCATENATE(C3652,": ",D3652)</f>
        <v>485-70: Mops, Heads, and Handles, Dry and Treated Types</v>
      </c>
    </row>
    <row r="3653" spans="1:7" x14ac:dyDescent="0.25">
      <c r="A3653" s="1" t="str">
        <f t="shared" si="236"/>
        <v>485</v>
      </c>
      <c r="B3653" s="1" t="str">
        <f>TEXT(72,"00")</f>
        <v>72</v>
      </c>
      <c r="C3653" s="1" t="str">
        <f t="shared" si="237"/>
        <v>485-72</v>
      </c>
      <c r="D3653" t="s">
        <v>3634</v>
      </c>
      <c r="E3653" t="b">
        <f>IF(COUNTIF(D3653,"*"&amp;'Keyword Search'!$C$5&amp;"*"),TRUE,FALSE)</f>
        <v>1</v>
      </c>
      <c r="G3653" t="str">
        <f t="shared" si="238"/>
        <v>485-72: Mops, Heads, and Handles, Wet Types</v>
      </c>
    </row>
    <row r="3654" spans="1:7" x14ac:dyDescent="0.25">
      <c r="A3654" s="1" t="str">
        <f t="shared" si="236"/>
        <v>485</v>
      </c>
      <c r="B3654" s="1" t="str">
        <f>TEXT(73,"00")</f>
        <v>73</v>
      </c>
      <c r="C3654" s="1" t="str">
        <f t="shared" si="237"/>
        <v>485-73</v>
      </c>
      <c r="D3654" t="s">
        <v>3635</v>
      </c>
      <c r="E3654" t="b">
        <f>IF(COUNTIF(D3654,"*"&amp;'Keyword Search'!$C$5&amp;"*"),TRUE,FALSE)</f>
        <v>1</v>
      </c>
      <c r="G3654" t="str">
        <f t="shared" si="238"/>
        <v>485-73: Protectant, For Furniture, Carpet, Fabrics, etc.</v>
      </c>
    </row>
    <row r="3655" spans="1:7" x14ac:dyDescent="0.25">
      <c r="A3655" s="1" t="str">
        <f t="shared" si="236"/>
        <v>485</v>
      </c>
      <c r="B3655" s="1" t="str">
        <f>TEXT(74,"00")</f>
        <v>74</v>
      </c>
      <c r="C3655" s="1" t="str">
        <f t="shared" si="237"/>
        <v>485-74</v>
      </c>
      <c r="D3655" t="s">
        <v>3636</v>
      </c>
      <c r="E3655" t="b">
        <f>IF(COUNTIF(D3655,"*"&amp;'Keyword Search'!$C$5&amp;"*"),TRUE,FALSE)</f>
        <v>1</v>
      </c>
      <c r="G3655" t="str">
        <f t="shared" si="238"/>
        <v>485-74: Oil, Chemical, and Hazardous Material Spill Absorbents, Cleaners, Neutralizers, and Pads, Including Microorganisms, Live; Peat Moss</v>
      </c>
    </row>
    <row r="3656" spans="1:7" x14ac:dyDescent="0.25">
      <c r="A3656" s="1" t="str">
        <f t="shared" si="236"/>
        <v>485</v>
      </c>
      <c r="B3656" s="1" t="str">
        <f>TEXT(75,"00")</f>
        <v>75</v>
      </c>
      <c r="C3656" s="1" t="str">
        <f t="shared" si="237"/>
        <v>485-75</v>
      </c>
      <c r="D3656" t="s">
        <v>3637</v>
      </c>
      <c r="E3656" t="b">
        <f>IF(COUNTIF(D3656,"*"&amp;'Keyword Search'!$C$5&amp;"*"),TRUE,FALSE)</f>
        <v>1</v>
      </c>
      <c r="G3656" t="str">
        <f t="shared" si="238"/>
        <v>485-75: Receptacle Liners: Vinyl and Steel (See 665-24 For Plastic Type), Including Biodegradable</v>
      </c>
    </row>
    <row r="3657" spans="1:7" x14ac:dyDescent="0.25">
      <c r="A3657" s="1" t="str">
        <f t="shared" ref="A3657:A3671" si="239">TEXT(485,"000")</f>
        <v>485</v>
      </c>
      <c r="B3657" s="1" t="str">
        <f>TEXT(76,"00")</f>
        <v>76</v>
      </c>
      <c r="C3657" s="1" t="str">
        <f t="shared" si="237"/>
        <v>485-76</v>
      </c>
      <c r="D3657" t="s">
        <v>3638</v>
      </c>
      <c r="E3657" t="b">
        <f>IF(COUNTIF(D3657,"*"&amp;'Keyword Search'!$C$5&amp;"*"),TRUE,FALSE)</f>
        <v>1</v>
      </c>
      <c r="G3657" t="str">
        <f t="shared" si="238"/>
        <v>485-76: Recycled Janitorial Supplies</v>
      </c>
    </row>
    <row r="3658" spans="1:7" x14ac:dyDescent="0.25">
      <c r="A3658" s="1" t="str">
        <f t="shared" si="239"/>
        <v>485</v>
      </c>
      <c r="B3658" s="1" t="str">
        <f>TEXT(77,"00")</f>
        <v>77</v>
      </c>
      <c r="C3658" s="1" t="str">
        <f t="shared" si="237"/>
        <v>485-77</v>
      </c>
      <c r="D3658" t="s">
        <v>3639</v>
      </c>
      <c r="E3658" t="b">
        <f>IF(COUNTIF(D3658,"*"&amp;'Keyword Search'!$C$5&amp;"*"),TRUE,FALSE)</f>
        <v>1</v>
      </c>
      <c r="G3658" t="str">
        <f t="shared" si="238"/>
        <v>485-77: Rubber Cleaner</v>
      </c>
    </row>
    <row r="3659" spans="1:7" x14ac:dyDescent="0.25">
      <c r="A3659" s="1" t="str">
        <f t="shared" si="239"/>
        <v>485</v>
      </c>
      <c r="B3659" s="1" t="str">
        <f>TEXT(78,"00")</f>
        <v>78</v>
      </c>
      <c r="C3659" s="1" t="str">
        <f t="shared" si="237"/>
        <v>485-78</v>
      </c>
      <c r="D3659" t="s">
        <v>3640</v>
      </c>
      <c r="E3659" t="b">
        <f>IF(COUNTIF(D3659,"*"&amp;'Keyword Search'!$C$5&amp;"*"),TRUE,FALSE)</f>
        <v>1</v>
      </c>
      <c r="G3659" t="str">
        <f t="shared" si="238"/>
        <v>485-78: Rug and Carpet Shampoo and Spot Remover, Including Deodorizes</v>
      </c>
    </row>
    <row r="3660" spans="1:7" x14ac:dyDescent="0.25">
      <c r="A3660" s="1" t="str">
        <f t="shared" si="239"/>
        <v>485</v>
      </c>
      <c r="B3660" s="1" t="str">
        <f>TEXT(79,"00")</f>
        <v>79</v>
      </c>
      <c r="C3660" s="1" t="str">
        <f t="shared" si="237"/>
        <v>485-79</v>
      </c>
      <c r="D3660" t="s">
        <v>3641</v>
      </c>
      <c r="E3660" t="b">
        <f>IF(COUNTIF(D3660,"*"&amp;'Keyword Search'!$C$5&amp;"*"),TRUE,FALSE)</f>
        <v>1</v>
      </c>
      <c r="G3660" t="str">
        <f t="shared" si="238"/>
        <v>485-79: Dispensing Equipment, Chemical, Automatic</v>
      </c>
    </row>
    <row r="3661" spans="1:7" x14ac:dyDescent="0.25">
      <c r="A3661" s="1" t="str">
        <f t="shared" si="239"/>
        <v>485</v>
      </c>
      <c r="B3661" s="1" t="str">
        <f>TEXT(80,"00")</f>
        <v>80</v>
      </c>
      <c r="C3661" s="1" t="str">
        <f t="shared" si="237"/>
        <v>485-80</v>
      </c>
      <c r="D3661" t="s">
        <v>3642</v>
      </c>
      <c r="E3661" t="b">
        <f>IF(COUNTIF(D3661,"*"&amp;'Keyword Search'!$C$5&amp;"*"),TRUE,FALSE)</f>
        <v>1</v>
      </c>
      <c r="G3661" t="str">
        <f t="shared" si="238"/>
        <v>485-80: Sand Urns, Filling Materials, Smoking Stands, Wall Mounted Ashtrays, and Cuspidors</v>
      </c>
    </row>
    <row r="3662" spans="1:7" x14ac:dyDescent="0.25">
      <c r="A3662" s="1" t="str">
        <f t="shared" si="239"/>
        <v>485</v>
      </c>
      <c r="B3662" s="1" t="str">
        <f>TEXT(82,"00")</f>
        <v>82</v>
      </c>
      <c r="C3662" s="1" t="str">
        <f t="shared" si="237"/>
        <v>485-82</v>
      </c>
      <c r="D3662" t="s">
        <v>3643</v>
      </c>
      <c r="E3662" t="b">
        <f>IF(COUNTIF(D3662,"*"&amp;'Keyword Search'!$C$5&amp;"*"),TRUE,FALSE)</f>
        <v>1</v>
      </c>
      <c r="G3662" t="str">
        <f t="shared" si="238"/>
        <v>485-82: Sanitary Napkins and Tampons, Dispensable Type</v>
      </c>
    </row>
    <row r="3663" spans="1:7" x14ac:dyDescent="0.25">
      <c r="A3663" s="1" t="str">
        <f t="shared" si="239"/>
        <v>485</v>
      </c>
      <c r="B3663" s="1" t="str">
        <f>TEXT(83,"00")</f>
        <v>83</v>
      </c>
      <c r="C3663" s="1" t="str">
        <f t="shared" si="237"/>
        <v>485-83</v>
      </c>
      <c r="D3663" t="s">
        <v>3644</v>
      </c>
      <c r="E3663" t="b">
        <f>IF(COUNTIF(D3663,"*"&amp;'Keyword Search'!$C$5&amp;"*"),TRUE,FALSE)</f>
        <v>1</v>
      </c>
      <c r="G3663" t="str">
        <f t="shared" si="238"/>
        <v>485-83: Sanitizing and Disinfecting Supplies, Janitorial</v>
      </c>
    </row>
    <row r="3664" spans="1:7" x14ac:dyDescent="0.25">
      <c r="A3664" s="1" t="str">
        <f t="shared" si="239"/>
        <v>485</v>
      </c>
      <c r="B3664" s="1" t="str">
        <f>TEXT(84,"00")</f>
        <v>84</v>
      </c>
      <c r="C3664" s="1" t="str">
        <f t="shared" si="237"/>
        <v>485-84</v>
      </c>
      <c r="D3664" t="s">
        <v>3645</v>
      </c>
      <c r="E3664" t="b">
        <f>IF(COUNTIF(D3664,"*"&amp;'Keyword Search'!$C$5&amp;"*"),TRUE,FALSE)</f>
        <v>1</v>
      </c>
      <c r="G3664" t="str">
        <f t="shared" si="238"/>
        <v>485-84: Scale Remover, Acid Type Cleaners For Dishwashers, Steam Tables, etc.)</v>
      </c>
    </row>
    <row r="3665" spans="1:7" x14ac:dyDescent="0.25">
      <c r="A3665" s="1" t="str">
        <f t="shared" si="239"/>
        <v>485</v>
      </c>
      <c r="B3665" s="1" t="str">
        <f>TEXT(85,"00")</f>
        <v>85</v>
      </c>
      <c r="C3665" s="1" t="str">
        <f t="shared" si="237"/>
        <v>485-85</v>
      </c>
      <c r="D3665" t="s">
        <v>3646</v>
      </c>
      <c r="E3665" t="b">
        <f>IF(COUNTIF(D3665,"*"&amp;'Keyword Search'!$C$5&amp;"*"),TRUE,FALSE)</f>
        <v>1</v>
      </c>
      <c r="G3665" t="str">
        <f t="shared" si="238"/>
        <v>485-85: Soap, Scrubbing Type (See 435-72 for Surgical Scrub)</v>
      </c>
    </row>
    <row r="3666" spans="1:7" x14ac:dyDescent="0.25">
      <c r="A3666" s="1" t="str">
        <f t="shared" si="239"/>
        <v>485</v>
      </c>
      <c r="B3666" s="1" t="str">
        <f>TEXT(86,"00")</f>
        <v>86</v>
      </c>
      <c r="C3666" s="1" t="str">
        <f t="shared" si="237"/>
        <v>485-86</v>
      </c>
      <c r="D3666" t="s">
        <v>3647</v>
      </c>
      <c r="E3666" t="b">
        <f>IF(COUNTIF(D3666,"*"&amp;'Keyword Search'!$C$5&amp;"*"),TRUE,FALSE)</f>
        <v>1</v>
      </c>
      <c r="G3666" t="str">
        <f t="shared" si="238"/>
        <v>485-86: Soap, Hand: Bar, Liquid, and Powdered</v>
      </c>
    </row>
    <row r="3667" spans="1:7" x14ac:dyDescent="0.25">
      <c r="A3667" s="1" t="str">
        <f t="shared" si="239"/>
        <v>485</v>
      </c>
      <c r="B3667" s="1" t="str">
        <f>TEXT(87,"00")</f>
        <v>87</v>
      </c>
      <c r="C3667" s="1" t="str">
        <f t="shared" si="237"/>
        <v>485-87</v>
      </c>
      <c r="D3667" t="s">
        <v>3648</v>
      </c>
      <c r="E3667" t="b">
        <f>IF(COUNTIF(D3667,"*"&amp;'Keyword Search'!$C$5&amp;"*"),TRUE,FALSE)</f>
        <v>1</v>
      </c>
      <c r="G3667" t="str">
        <f t="shared" si="238"/>
        <v>485-87: Soil Retardant, For Carpets, Rugs, etc.)</v>
      </c>
    </row>
    <row r="3668" spans="1:7" x14ac:dyDescent="0.25">
      <c r="A3668" s="1" t="str">
        <f t="shared" si="239"/>
        <v>485</v>
      </c>
      <c r="B3668" s="1" t="str">
        <f>TEXT(88,"00")</f>
        <v>88</v>
      </c>
      <c r="C3668" s="1" t="str">
        <f t="shared" si="237"/>
        <v>485-88</v>
      </c>
      <c r="D3668" t="s">
        <v>3649</v>
      </c>
      <c r="E3668" t="b">
        <f>IF(COUNTIF(D3668,"*"&amp;'Keyword Search'!$C$5&amp;"*"),TRUE,FALSE)</f>
        <v>1</v>
      </c>
      <c r="G3668" t="str">
        <f t="shared" si="238"/>
        <v>485-88: Squeegees, Sponges, and Scrubbing Pad, For Manual Hard Surface Cleaning</v>
      </c>
    </row>
    <row r="3669" spans="1:7" x14ac:dyDescent="0.25">
      <c r="A3669" s="1" t="str">
        <f t="shared" si="239"/>
        <v>485</v>
      </c>
      <c r="B3669" s="1" t="str">
        <f>TEXT(90,"00")</f>
        <v>90</v>
      </c>
      <c r="C3669" s="1" t="str">
        <f t="shared" si="237"/>
        <v>485-90</v>
      </c>
      <c r="D3669" t="s">
        <v>3650</v>
      </c>
      <c r="E3669" t="b">
        <f>IF(COUNTIF(D3669,"*"&amp;'Keyword Search'!$C$5&amp;"*"),TRUE,FALSE)</f>
        <v>1</v>
      </c>
      <c r="G3669" t="str">
        <f t="shared" si="238"/>
        <v>485-90: Stain Remover, Active Chlorine or Oxygen Type, For Coffee Urns, Plastic Dishes, etc.</v>
      </c>
    </row>
    <row r="3670" spans="1:7" x14ac:dyDescent="0.25">
      <c r="A3670" s="1" t="str">
        <f t="shared" si="239"/>
        <v>485</v>
      </c>
      <c r="B3670" s="1" t="str">
        <f>TEXT(91,"00")</f>
        <v>91</v>
      </c>
      <c r="C3670" s="1" t="str">
        <f t="shared" si="237"/>
        <v>485-91</v>
      </c>
      <c r="D3670" t="s">
        <v>3651</v>
      </c>
      <c r="E3670" t="b">
        <f>IF(COUNTIF(D3670,"*"&amp;'Keyword Search'!$C$5&amp;"*"),TRUE,FALSE)</f>
        <v>1</v>
      </c>
      <c r="G3670" t="str">
        <f t="shared" si="238"/>
        <v>485-91: Stain Remover, Pet</v>
      </c>
    </row>
    <row r="3671" spans="1:7" x14ac:dyDescent="0.25">
      <c r="A3671" s="1" t="str">
        <f t="shared" si="239"/>
        <v>485</v>
      </c>
      <c r="B3671" s="1" t="str">
        <f>TEXT(94,"00")</f>
        <v>94</v>
      </c>
      <c r="C3671" s="1" t="str">
        <f t="shared" si="237"/>
        <v>485-94</v>
      </c>
      <c r="D3671" t="s">
        <v>3652</v>
      </c>
      <c r="E3671" t="b">
        <f>IF(COUNTIF(D3671,"*"&amp;'Keyword Search'!$C$5&amp;"*"),TRUE,FALSE)</f>
        <v>1</v>
      </c>
      <c r="G3671" t="str">
        <f t="shared" si="238"/>
        <v>485-94: Waste Receptacles and Dust Pans</v>
      </c>
    </row>
    <row r="3672" spans="1:7" x14ac:dyDescent="0.25">
      <c r="A3672" s="5" t="str">
        <f t="shared" ref="A3672:A3735" si="240">TEXT(486,"000")</f>
        <v>486</v>
      </c>
      <c r="B3672" s="5" t="str">
        <f>TEXT(0,"00")</f>
        <v>00</v>
      </c>
      <c r="C3672" s="1"/>
      <c r="D3672" s="2" t="s">
        <v>3653</v>
      </c>
    </row>
    <row r="3673" spans="1:7" x14ac:dyDescent="0.25">
      <c r="A3673" s="1" t="str">
        <f t="shared" si="240"/>
        <v>486</v>
      </c>
      <c r="B3673" s="1" t="str">
        <f>TEXT(1,"00")</f>
        <v>01</v>
      </c>
      <c r="C3673" s="1" t="str">
        <f t="shared" si="237"/>
        <v>486-01</v>
      </c>
      <c r="D3673" t="s">
        <v>3654</v>
      </c>
      <c r="E3673" t="b">
        <f>IF(COUNTIF(D3673,"*"&amp;'Keyword Search'!$C$5&amp;"*"),TRUE,FALSE)</f>
        <v>1</v>
      </c>
      <c r="G3673" t="str">
        <f t="shared" si="238"/>
        <v>486-01: Ammonia and Other Chemicals, Household, Plain or Sudsing, Environmentally Certified Products</v>
      </c>
    </row>
    <row r="3674" spans="1:7" x14ac:dyDescent="0.25">
      <c r="A3674" s="1" t="str">
        <f t="shared" si="240"/>
        <v>486</v>
      </c>
      <c r="B3674" s="1" t="str">
        <f>TEXT(2,"00")</f>
        <v>02</v>
      </c>
      <c r="C3674" s="1" t="str">
        <f t="shared" si="237"/>
        <v>486-02</v>
      </c>
      <c r="D3674" t="s">
        <v>3655</v>
      </c>
      <c r="E3674" t="b">
        <f>IF(COUNTIF(D3674,"*"&amp;'Keyword Search'!$C$5&amp;"*"),TRUE,FALSE)</f>
        <v>1</v>
      </c>
      <c r="G3674" t="str">
        <f t="shared" si="238"/>
        <v>486-02: Animal Cage Cleaning Compound, Environmentally Certified Products</v>
      </c>
    </row>
    <row r="3675" spans="1:7" x14ac:dyDescent="0.25">
      <c r="A3675" s="1" t="str">
        <f t="shared" si="240"/>
        <v>486</v>
      </c>
      <c r="B3675" s="1" t="str">
        <f>TEXT(3,"00")</f>
        <v>03</v>
      </c>
      <c r="C3675" s="1" t="str">
        <f t="shared" si="237"/>
        <v>486-03</v>
      </c>
      <c r="D3675" t="s">
        <v>3656</v>
      </c>
      <c r="E3675" t="b">
        <f>IF(COUNTIF(D3675,"*"&amp;'Keyword Search'!$C$5&amp;"*"),TRUE,FALSE)</f>
        <v>1</v>
      </c>
      <c r="G3675" t="str">
        <f t="shared" si="238"/>
        <v>486-03: Adhesive Removers, Environmentally Certified Products</v>
      </c>
    </row>
    <row r="3676" spans="1:7" x14ac:dyDescent="0.25">
      <c r="A3676" s="1" t="str">
        <f t="shared" si="240"/>
        <v>486</v>
      </c>
      <c r="B3676" s="1" t="str">
        <f>TEXT(4,"00")</f>
        <v>04</v>
      </c>
      <c r="C3676" s="1" t="str">
        <f t="shared" si="237"/>
        <v>486-04</v>
      </c>
      <c r="D3676" t="s">
        <v>3657</v>
      </c>
      <c r="E3676" t="b">
        <f>IF(COUNTIF(D3676,"*"&amp;'Keyword Search'!$C$5&amp;"*"),TRUE,FALSE)</f>
        <v>1</v>
      </c>
      <c r="G3676" t="str">
        <f t="shared" si="238"/>
        <v>486-04: Applicators, Floor Finish, All Types, Except Brushes, Environmentally Certified Products</v>
      </c>
    </row>
    <row r="3677" spans="1:7" x14ac:dyDescent="0.25">
      <c r="A3677" s="1" t="str">
        <f t="shared" si="240"/>
        <v>486</v>
      </c>
      <c r="B3677" s="1" t="str">
        <f>TEXT(6,"00")</f>
        <v>06</v>
      </c>
      <c r="C3677" s="1" t="str">
        <f t="shared" si="237"/>
        <v>486-06</v>
      </c>
      <c r="D3677" t="s">
        <v>3658</v>
      </c>
      <c r="E3677" t="b">
        <f>IF(COUNTIF(D3677,"*"&amp;'Keyword Search'!$C$5&amp;"*"),TRUE,FALSE)</f>
        <v>1</v>
      </c>
      <c r="G3677" t="str">
        <f t="shared" si="238"/>
        <v>486-06: Bottles, Glass, For Cleaners, Detergents, and Janitorial Supplies, Environmentally Certified Products</v>
      </c>
    </row>
    <row r="3678" spans="1:7" x14ac:dyDescent="0.25">
      <c r="A3678" s="1" t="str">
        <f t="shared" si="240"/>
        <v>486</v>
      </c>
      <c r="B3678" s="1" t="str">
        <f>TEXT(8,"00")</f>
        <v>08</v>
      </c>
      <c r="C3678" s="1" t="str">
        <f t="shared" si="237"/>
        <v>486-08</v>
      </c>
      <c r="D3678" t="s">
        <v>3659</v>
      </c>
      <c r="E3678" t="b">
        <f>IF(COUNTIF(D3678,"*"&amp;'Keyword Search'!$C$5&amp;"*"),TRUE,FALSE)</f>
        <v>1</v>
      </c>
      <c r="G3678" t="str">
        <f t="shared" si="238"/>
        <v>486-08: Bottles, Plastic, For Cleaners, Detergents, and Janitorial Supplies, Environmentally Certified Products</v>
      </c>
    </row>
    <row r="3679" spans="1:7" x14ac:dyDescent="0.25">
      <c r="A3679" s="1" t="str">
        <f t="shared" si="240"/>
        <v>486</v>
      </c>
      <c r="B3679" s="1" t="str">
        <f>TEXT(9,"00")</f>
        <v>09</v>
      </c>
      <c r="C3679" s="1" t="str">
        <f t="shared" si="237"/>
        <v>486-09</v>
      </c>
      <c r="D3679" t="s">
        <v>3660</v>
      </c>
      <c r="E3679" t="b">
        <f>IF(COUNTIF(D3679,"*"&amp;'Keyword Search'!$C$5&amp;"*"),TRUE,FALSE)</f>
        <v>1</v>
      </c>
      <c r="G3679" t="str">
        <f t="shared" si="238"/>
        <v>486-09: Brush Cleaner, Environmentally Certified Products</v>
      </c>
    </row>
    <row r="3680" spans="1:7" x14ac:dyDescent="0.25">
      <c r="A3680" s="1" t="str">
        <f t="shared" si="240"/>
        <v>486</v>
      </c>
      <c r="B3680" s="1" t="str">
        <f>TEXT(10,"00")</f>
        <v>10</v>
      </c>
      <c r="C3680" s="1" t="str">
        <f t="shared" si="237"/>
        <v>486-10</v>
      </c>
      <c r="D3680" t="s">
        <v>3661</v>
      </c>
      <c r="E3680" t="b">
        <f>IF(COUNTIF(D3680,"*"&amp;'Keyword Search'!$C$5&amp;"*"),TRUE,FALSE)</f>
        <v>1</v>
      </c>
      <c r="G3680" t="str">
        <f t="shared" si="238"/>
        <v>486-10: Brooms, Brushes, and Handles, Environmentally Certified Products</v>
      </c>
    </row>
    <row r="3681" spans="1:7" x14ac:dyDescent="0.25">
      <c r="A3681" s="1" t="str">
        <f t="shared" si="240"/>
        <v>486</v>
      </c>
      <c r="B3681" s="1" t="str">
        <f>TEXT(11,"00")</f>
        <v>11</v>
      </c>
      <c r="C3681" s="1" t="str">
        <f t="shared" si="237"/>
        <v>486-11</v>
      </c>
      <c r="D3681" t="s">
        <v>3662</v>
      </c>
      <c r="E3681" t="b">
        <f>IF(COUNTIF(D3681,"*"&amp;'Keyword Search'!$C$5&amp;"*"),TRUE,FALSE)</f>
        <v>1</v>
      </c>
      <c r="G3681" t="str">
        <f t="shared" si="238"/>
        <v>486-11: Cleaner and Detergent, Paste and Tablets, Environmentally Certified Products</v>
      </c>
    </row>
    <row r="3682" spans="1:7" x14ac:dyDescent="0.25">
      <c r="A3682" s="1" t="str">
        <f t="shared" si="240"/>
        <v>486</v>
      </c>
      <c r="B3682" s="1" t="str">
        <f>TEXT(12,"00")</f>
        <v>12</v>
      </c>
      <c r="C3682" s="1" t="str">
        <f t="shared" si="237"/>
        <v>486-12</v>
      </c>
      <c r="D3682" t="s">
        <v>3663</v>
      </c>
      <c r="E3682" t="b">
        <f>IF(COUNTIF(D3682,"*"&amp;'Keyword Search'!$C$5&amp;"*"),TRUE,FALSE)</f>
        <v>1</v>
      </c>
      <c r="G3682" t="str">
        <f t="shared" si="238"/>
        <v>486-12: Cleaner and Polish, Metal, Brass, Stainless Steel, etc., Environmentally Certified Products</v>
      </c>
    </row>
    <row r="3683" spans="1:7" x14ac:dyDescent="0.25">
      <c r="A3683" s="1" t="str">
        <f t="shared" si="240"/>
        <v>486</v>
      </c>
      <c r="B3683" s="1" t="str">
        <f>TEXT(13,"00")</f>
        <v>13</v>
      </c>
      <c r="C3683" s="1" t="str">
        <f t="shared" si="237"/>
        <v>486-13</v>
      </c>
      <c r="D3683" t="s">
        <v>3664</v>
      </c>
      <c r="E3683" t="b">
        <f>IF(COUNTIF(D3683,"*"&amp;'Keyword Search'!$C$5&amp;"*"),TRUE,FALSE)</f>
        <v>1</v>
      </c>
      <c r="G3683" t="str">
        <f t="shared" si="238"/>
        <v>486-13: Cleaner, Hand and Skin, Synthetic Detergent Type (See 435-68, 70 for Skin Cleaners for Health Care Personnel, Environmentally Certified Products</v>
      </c>
    </row>
    <row r="3684" spans="1:7" x14ac:dyDescent="0.25">
      <c r="A3684" s="1" t="str">
        <f t="shared" si="240"/>
        <v>486</v>
      </c>
      <c r="B3684" s="1" t="str">
        <f>TEXT(14,"00")</f>
        <v>14</v>
      </c>
      <c r="C3684" s="1" t="str">
        <f t="shared" si="237"/>
        <v>486-14</v>
      </c>
      <c r="D3684" t="s">
        <v>3665</v>
      </c>
      <c r="E3684" t="b">
        <f>IF(COUNTIF(D3684,"*"&amp;'Keyword Search'!$C$5&amp;"*"),TRUE,FALSE)</f>
        <v>1</v>
      </c>
      <c r="G3684" t="str">
        <f t="shared" si="238"/>
        <v>486-14: Cleaner, Hand, Mechanics' Waterless, Environmentally Certified Products</v>
      </c>
    </row>
    <row r="3685" spans="1:7" x14ac:dyDescent="0.25">
      <c r="A3685" s="1" t="str">
        <f t="shared" si="240"/>
        <v>486</v>
      </c>
      <c r="B3685" s="1" t="str">
        <f>TEXT(15,"00")</f>
        <v>15</v>
      </c>
      <c r="C3685" s="1" t="str">
        <f t="shared" si="237"/>
        <v>486-15</v>
      </c>
      <c r="D3685" t="s">
        <v>3666</v>
      </c>
      <c r="E3685" t="b">
        <f>IF(COUNTIF(D3685,"*"&amp;'Keyword Search'!$C$5&amp;"*"),TRUE,FALSE)</f>
        <v>1</v>
      </c>
      <c r="G3685" t="str">
        <f t="shared" si="238"/>
        <v>486-15: Cleaner and Polish, Plastic, Environmentally Certified Products</v>
      </c>
    </row>
    <row r="3686" spans="1:7" x14ac:dyDescent="0.25">
      <c r="A3686" s="1" t="str">
        <f t="shared" si="240"/>
        <v>486</v>
      </c>
      <c r="B3686" s="1" t="str">
        <f>TEXT(16,"00")</f>
        <v>16</v>
      </c>
      <c r="C3686" s="1" t="str">
        <f t="shared" si="237"/>
        <v>486-16</v>
      </c>
      <c r="D3686" t="s">
        <v>3667</v>
      </c>
      <c r="E3686" t="b">
        <f>IF(COUNTIF(D3686,"*"&amp;'Keyword Search'!$C$5&amp;"*"),TRUE,FALSE)</f>
        <v>1</v>
      </c>
      <c r="G3686" t="str">
        <f t="shared" si="238"/>
        <v>486-16: Cleaner, Hard Products, General Purpose, Liquid, Including Graffiti Cleaners, Environmentally Certified Products</v>
      </c>
    </row>
    <row r="3687" spans="1:7" x14ac:dyDescent="0.25">
      <c r="A3687" s="1" t="str">
        <f t="shared" si="240"/>
        <v>486</v>
      </c>
      <c r="B3687" s="1" t="str">
        <f>TEXT(17,"00")</f>
        <v>17</v>
      </c>
      <c r="C3687" s="1" t="str">
        <f t="shared" si="237"/>
        <v>486-17</v>
      </c>
      <c r="D3687" t="s">
        <v>3668</v>
      </c>
      <c r="E3687" t="b">
        <f>IF(COUNTIF(D3687,"*"&amp;'Keyword Search'!$C$5&amp;"*"),TRUE,FALSE)</f>
        <v>1</v>
      </c>
      <c r="G3687" t="str">
        <f t="shared" si="238"/>
        <v>486-17: Cleaner and Polish, Wood, Environmentally Certified Products</v>
      </c>
    </row>
    <row r="3688" spans="1:7" x14ac:dyDescent="0.25">
      <c r="A3688" s="1" t="str">
        <f t="shared" si="240"/>
        <v>486</v>
      </c>
      <c r="B3688" s="1" t="str">
        <f>TEXT(18,"00")</f>
        <v>18</v>
      </c>
      <c r="C3688" s="1" t="str">
        <f t="shared" si="237"/>
        <v>486-18</v>
      </c>
      <c r="D3688" t="s">
        <v>3669</v>
      </c>
      <c r="E3688" t="b">
        <f>IF(COUNTIF(D3688,"*"&amp;'Keyword Search'!$C$5&amp;"*"),TRUE,FALSE)</f>
        <v>1</v>
      </c>
      <c r="G3688" t="str">
        <f t="shared" si="238"/>
        <v>486-18: Cleaner, Heavy Duty Degreaser, Including Oven Cleaners, Environmentally Certified Products</v>
      </c>
    </row>
    <row r="3689" spans="1:7" x14ac:dyDescent="0.25">
      <c r="A3689" s="1" t="str">
        <f t="shared" si="240"/>
        <v>486</v>
      </c>
      <c r="B3689" s="1" t="str">
        <f>TEXT(19,"00")</f>
        <v>19</v>
      </c>
      <c r="C3689" s="1" t="str">
        <f t="shared" si="237"/>
        <v>486-19</v>
      </c>
      <c r="D3689" t="s">
        <v>3670</v>
      </c>
      <c r="E3689" t="b">
        <f>IF(COUNTIF(D3689,"*"&amp;'Keyword Search'!$C$5&amp;"*"),TRUE,FALSE)</f>
        <v>1</v>
      </c>
      <c r="G3689" t="str">
        <f t="shared" si="238"/>
        <v>486-19: Cleaner/Remover, Lead-Based Debris, Environmentally Certified Products</v>
      </c>
    </row>
    <row r="3690" spans="1:7" x14ac:dyDescent="0.25">
      <c r="A3690" s="1" t="str">
        <f t="shared" si="240"/>
        <v>486</v>
      </c>
      <c r="B3690" s="1" t="str">
        <f>TEXT(20,"00")</f>
        <v>20</v>
      </c>
      <c r="C3690" s="1" t="str">
        <f t="shared" si="237"/>
        <v>486-20</v>
      </c>
      <c r="D3690" t="s">
        <v>3671</v>
      </c>
      <c r="E3690" t="b">
        <f>IF(COUNTIF(D3690,"*"&amp;'Keyword Search'!$C$5&amp;"*"),TRUE,FALSE)</f>
        <v>1</v>
      </c>
      <c r="G3690" t="str">
        <f t="shared" si="238"/>
        <v>486-20: Cleaner and Polish for Marble, Masonry, Porcelain, etc., Environmentally Certified Products</v>
      </c>
    </row>
    <row r="3691" spans="1:7" x14ac:dyDescent="0.25">
      <c r="A3691" s="1" t="str">
        <f t="shared" si="240"/>
        <v>486</v>
      </c>
      <c r="B3691" s="1" t="str">
        <f>TEXT(21,"00")</f>
        <v>21</v>
      </c>
      <c r="C3691" s="1" t="str">
        <f t="shared" si="237"/>
        <v>486-21</v>
      </c>
      <c r="D3691" t="s">
        <v>3672</v>
      </c>
      <c r="E3691" t="b">
        <f>IF(COUNTIF(D3691,"*"&amp;'Keyword Search'!$C$5&amp;"*"),TRUE,FALSE)</f>
        <v>1</v>
      </c>
      <c r="G3691" t="str">
        <f t="shared" si="238"/>
        <v>486-21: Cleaner, Spray, Environmentally Certified Products</v>
      </c>
    </row>
    <row r="3692" spans="1:7" x14ac:dyDescent="0.25">
      <c r="A3692" s="1" t="str">
        <f t="shared" si="240"/>
        <v>486</v>
      </c>
      <c r="B3692" s="1" t="str">
        <f>TEXT(22,"00")</f>
        <v>22</v>
      </c>
      <c r="C3692" s="1" t="str">
        <f t="shared" si="237"/>
        <v>486-22</v>
      </c>
      <c r="D3692" t="s">
        <v>3673</v>
      </c>
      <c r="E3692" t="b">
        <f>IF(COUNTIF(D3692,"*"&amp;'Keyword Search'!$C$5&amp;"*"),TRUE,FALSE)</f>
        <v>1</v>
      </c>
      <c r="G3692" t="str">
        <f t="shared" si="238"/>
        <v>486-22: Cleaner, Sewer, Septic Tank, and Waste Pipe, Acid and Caustic Types, Including Drain Openers, Environmentally Certified Products</v>
      </c>
    </row>
    <row r="3693" spans="1:7" x14ac:dyDescent="0.25">
      <c r="A3693" s="1" t="str">
        <f t="shared" si="240"/>
        <v>486</v>
      </c>
      <c r="B3693" s="1" t="str">
        <f>TEXT(24,"00")</f>
        <v>24</v>
      </c>
      <c r="C3693" s="1" t="str">
        <f t="shared" si="237"/>
        <v>486-24</v>
      </c>
      <c r="D3693" t="s">
        <v>3674</v>
      </c>
      <c r="E3693" t="b">
        <f>IF(COUNTIF(D3693,"*"&amp;'Keyword Search'!$C$5&amp;"*"),TRUE,FALSE)</f>
        <v>1</v>
      </c>
      <c r="G3693" t="str">
        <f t="shared" si="238"/>
        <v>486-24: Cleaner, Sewer, Septic Tank, and Waste Pipe, Aerobic Bacteria and Fungi Type, Environmentally Certified Products</v>
      </c>
    </row>
    <row r="3694" spans="1:7" x14ac:dyDescent="0.25">
      <c r="A3694" s="1" t="str">
        <f t="shared" si="240"/>
        <v>486</v>
      </c>
      <c r="B3694" s="1" t="str">
        <f>TEXT(25,"00")</f>
        <v>25</v>
      </c>
      <c r="C3694" s="1" t="str">
        <f t="shared" si="237"/>
        <v>486-25</v>
      </c>
      <c r="D3694" t="s">
        <v>3675</v>
      </c>
      <c r="E3694" t="b">
        <f>IF(COUNTIF(D3694,"*"&amp;'Keyword Search'!$C$5&amp;"*"),TRUE,FALSE)</f>
        <v>1</v>
      </c>
      <c r="G3694" t="str">
        <f t="shared" si="238"/>
        <v>486-25: Cleaner, Tile, Grout, and Concrete, Environmentally Certified Products</v>
      </c>
    </row>
    <row r="3695" spans="1:7" x14ac:dyDescent="0.25">
      <c r="A3695" s="1" t="str">
        <f t="shared" si="240"/>
        <v>486</v>
      </c>
      <c r="B3695" s="1" t="str">
        <f>TEXT(26,"00")</f>
        <v>26</v>
      </c>
      <c r="C3695" s="1" t="str">
        <f t="shared" si="237"/>
        <v>486-26</v>
      </c>
      <c r="D3695" t="s">
        <v>3676</v>
      </c>
      <c r="E3695" t="b">
        <f>IF(COUNTIF(D3695,"*"&amp;'Keyword Search'!$C$5&amp;"*"),TRUE,FALSE)</f>
        <v>1</v>
      </c>
      <c r="G3695" t="str">
        <f t="shared" si="238"/>
        <v>486-26: Cleaner, Toilet Bowl, Granular and Liquid, Environmentally Certified Products</v>
      </c>
    </row>
    <row r="3696" spans="1:7" x14ac:dyDescent="0.25">
      <c r="A3696" s="1" t="str">
        <f t="shared" si="240"/>
        <v>486</v>
      </c>
      <c r="B3696" s="1" t="str">
        <f>TEXT(27,"00")</f>
        <v>27</v>
      </c>
      <c r="C3696" s="1" t="str">
        <f t="shared" si="237"/>
        <v>486-27</v>
      </c>
      <c r="D3696" t="s">
        <v>3677</v>
      </c>
      <c r="E3696" t="b">
        <f>IF(COUNTIF(D3696,"*"&amp;'Keyword Search'!$C$5&amp;"*"),TRUE,FALSE)</f>
        <v>1</v>
      </c>
      <c r="G3696" t="str">
        <f t="shared" si="238"/>
        <v>486-27: Cleaner, Vinyl, Upholstery, Environmentally Certified Products</v>
      </c>
    </row>
    <row r="3697" spans="1:7" x14ac:dyDescent="0.25">
      <c r="A3697" s="1" t="str">
        <f t="shared" si="240"/>
        <v>486</v>
      </c>
      <c r="B3697" s="1" t="str">
        <f>TEXT(28,"00")</f>
        <v>28</v>
      </c>
      <c r="C3697" s="1" t="str">
        <f t="shared" si="237"/>
        <v>486-28</v>
      </c>
      <c r="D3697" t="s">
        <v>3678</v>
      </c>
      <c r="E3697" t="b">
        <f>IF(COUNTIF(D3697,"*"&amp;'Keyword Search'!$C$5&amp;"*"),TRUE,FALSE)</f>
        <v>1</v>
      </c>
      <c r="G3697" t="str">
        <f t="shared" si="238"/>
        <v>486-28: Cleaner and Wax: Window, Mirror, and Glass, Environmentally Certified Products</v>
      </c>
    </row>
    <row r="3698" spans="1:7" x14ac:dyDescent="0.25">
      <c r="A3698" s="1" t="str">
        <f t="shared" si="240"/>
        <v>486</v>
      </c>
      <c r="B3698" s="1" t="str">
        <f>TEXT(29,"00")</f>
        <v>29</v>
      </c>
      <c r="C3698" s="1" t="str">
        <f t="shared" si="237"/>
        <v>486-29</v>
      </c>
      <c r="D3698" t="s">
        <v>3679</v>
      </c>
      <c r="E3698" t="b">
        <f>IF(COUNTIF(D3698,"*"&amp;'Keyword Search'!$C$5&amp;"*"),TRUE,FALSE)</f>
        <v>1</v>
      </c>
      <c r="G3698" t="str">
        <f t="shared" si="238"/>
        <v>486-29: Cleanser, Powdered, Chlorinated, Environmentally Certified Products</v>
      </c>
    </row>
    <row r="3699" spans="1:7" x14ac:dyDescent="0.25">
      <c r="A3699" s="1" t="str">
        <f t="shared" si="240"/>
        <v>486</v>
      </c>
      <c r="B3699" s="1" t="str">
        <f>TEXT(30,"00")</f>
        <v>30</v>
      </c>
      <c r="C3699" s="1" t="str">
        <f t="shared" si="237"/>
        <v>486-30</v>
      </c>
      <c r="D3699" t="s">
        <v>3680</v>
      </c>
      <c r="E3699" t="b">
        <f>IF(COUNTIF(D3699,"*"&amp;'Keyword Search'!$C$5&amp;"*"),TRUE,FALSE)</f>
        <v>1</v>
      </c>
      <c r="G3699" t="str">
        <f t="shared" si="238"/>
        <v>486-30: Deodorant Blocks, All Types, Environmentally Certified Products</v>
      </c>
    </row>
    <row r="3700" spans="1:7" x14ac:dyDescent="0.25">
      <c r="A3700" s="1" t="str">
        <f t="shared" si="240"/>
        <v>486</v>
      </c>
      <c r="B3700" s="1" t="str">
        <f>TEXT(31,"00")</f>
        <v>31</v>
      </c>
      <c r="C3700" s="1" t="str">
        <f t="shared" si="237"/>
        <v>486-31</v>
      </c>
      <c r="D3700" t="s">
        <v>3681</v>
      </c>
      <c r="E3700" t="b">
        <f>IF(COUNTIF(D3700,"*"&amp;'Keyword Search'!$C$5&amp;"*"),TRUE,FALSE)</f>
        <v>1</v>
      </c>
      <c r="G3700" t="str">
        <f t="shared" si="238"/>
        <v>486-31: Deodorants for Portable Toilet, (Including Ozone Air Freshener Type, Environmentally Certified Products</v>
      </c>
    </row>
    <row r="3701" spans="1:7" x14ac:dyDescent="0.25">
      <c r="A3701" s="1" t="str">
        <f t="shared" si="240"/>
        <v>486</v>
      </c>
      <c r="B3701" s="1" t="str">
        <f>TEXT(32,"00")</f>
        <v>32</v>
      </c>
      <c r="C3701" s="1" t="str">
        <f t="shared" si="237"/>
        <v>486-32</v>
      </c>
      <c r="D3701" t="s">
        <v>3682</v>
      </c>
      <c r="E3701" t="b">
        <f>IF(COUNTIF(D3701,"*"&amp;'Keyword Search'!$C$5&amp;"*"),TRUE,FALSE)</f>
        <v>1</v>
      </c>
      <c r="G3701" t="str">
        <f t="shared" si="238"/>
        <v>486-32: Deodorants, Room, All Types, Environmentally Certified Products</v>
      </c>
    </row>
    <row r="3702" spans="1:7" x14ac:dyDescent="0.25">
      <c r="A3702" s="1" t="str">
        <f t="shared" si="240"/>
        <v>486</v>
      </c>
      <c r="B3702" s="1" t="str">
        <f>TEXT(34,"00")</f>
        <v>34</v>
      </c>
      <c r="C3702" s="1" t="str">
        <f t="shared" si="237"/>
        <v>486-34</v>
      </c>
      <c r="D3702" t="s">
        <v>3683</v>
      </c>
      <c r="E3702" t="b">
        <f>IF(COUNTIF(D3702,"*"&amp;'Keyword Search'!$C$5&amp;"*"),TRUE,FALSE)</f>
        <v>1</v>
      </c>
      <c r="G3702" t="str">
        <f t="shared" si="238"/>
        <v>486-34: Detergent, Steam and Hot Water Spray Cleaning, Environmentally Certified Product</v>
      </c>
    </row>
    <row r="3703" spans="1:7" x14ac:dyDescent="0.25">
      <c r="A3703" s="1" t="str">
        <f t="shared" si="240"/>
        <v>486</v>
      </c>
      <c r="B3703" s="1" t="str">
        <f>TEXT(36,"00")</f>
        <v>36</v>
      </c>
      <c r="C3703" s="1" t="str">
        <f t="shared" si="237"/>
        <v>486-36</v>
      </c>
      <c r="D3703" t="s">
        <v>3684</v>
      </c>
      <c r="E3703" t="b">
        <f>IF(COUNTIF(D3703,"*"&amp;'Keyword Search'!$C$5&amp;"*"),TRUE,FALSE)</f>
        <v>1</v>
      </c>
      <c r="G3703" t="str">
        <f t="shared" si="238"/>
        <v>486-36: Detergent, Car Washing, Cold Water Type, Environmentally Certified Products</v>
      </c>
    </row>
    <row r="3704" spans="1:7" x14ac:dyDescent="0.25">
      <c r="A3704" s="1" t="str">
        <f t="shared" si="240"/>
        <v>486</v>
      </c>
      <c r="B3704" s="1" t="str">
        <f>TEXT(37,"00")</f>
        <v>37</v>
      </c>
      <c r="C3704" s="1" t="str">
        <f t="shared" si="237"/>
        <v>486-37</v>
      </c>
      <c r="D3704" t="s">
        <v>3685</v>
      </c>
      <c r="E3704" t="b">
        <f>IF(COUNTIF(D3704,"*"&amp;'Keyword Search'!$C$5&amp;"*"),TRUE,FALSE)</f>
        <v>1</v>
      </c>
      <c r="G3704" t="str">
        <f t="shared" si="238"/>
        <v>486-37: Detergent-Disinfectant, Washroom Type, Liquid and Aerosol (See Class 435 for Health Care and 505 for Laundry Type), Environmentally Certified Products</v>
      </c>
    </row>
    <row r="3705" spans="1:7" x14ac:dyDescent="0.25">
      <c r="A3705" s="1" t="str">
        <f t="shared" si="240"/>
        <v>486</v>
      </c>
      <c r="B3705" s="1" t="str">
        <f>TEXT(38,"00")</f>
        <v>38</v>
      </c>
      <c r="C3705" s="1" t="str">
        <f t="shared" si="237"/>
        <v>486-38</v>
      </c>
      <c r="D3705" t="s">
        <v>3686</v>
      </c>
      <c r="E3705" t="b">
        <f>IF(COUNTIF(D3705,"*"&amp;'Keyword Search'!$C$5&amp;"*"),TRUE,FALSE)</f>
        <v>1</v>
      </c>
      <c r="G3705" t="str">
        <f t="shared" si="238"/>
        <v>486-38: Dishwashing Compounds, Hand and Machine Type, Including Rinse Solutions, Environmentally Certified Products</v>
      </c>
    </row>
    <row r="3706" spans="1:7" x14ac:dyDescent="0.25">
      <c r="A3706" s="1" t="str">
        <f t="shared" si="240"/>
        <v>486</v>
      </c>
      <c r="B3706" s="1" t="str">
        <f>TEXT(40,"00")</f>
        <v>40</v>
      </c>
      <c r="C3706" s="1" t="str">
        <f t="shared" si="237"/>
        <v>486-40</v>
      </c>
      <c r="D3706" t="s">
        <v>3687</v>
      </c>
      <c r="E3706" t="b">
        <f>IF(COUNTIF(D3706,"*"&amp;'Keyword Search'!$C$5&amp;"*"),TRUE,FALSE)</f>
        <v>1</v>
      </c>
      <c r="G3706" t="str">
        <f t="shared" si="238"/>
        <v>486-40: Disinfectants, Spray and Powdered, Environmentally Certified Products</v>
      </c>
    </row>
    <row r="3707" spans="1:7" x14ac:dyDescent="0.25">
      <c r="A3707" s="1" t="str">
        <f t="shared" si="240"/>
        <v>486</v>
      </c>
      <c r="B3707" s="1" t="str">
        <f>TEXT(42,"00")</f>
        <v>42</v>
      </c>
      <c r="C3707" s="1" t="str">
        <f t="shared" si="237"/>
        <v>486-42</v>
      </c>
      <c r="D3707" t="s">
        <v>3688</v>
      </c>
      <c r="E3707" t="b">
        <f>IF(COUNTIF(D3707,"*"&amp;'Keyword Search'!$C$5&amp;"*"),TRUE,FALSE)</f>
        <v>1</v>
      </c>
      <c r="G3707" t="str">
        <f t="shared" si="238"/>
        <v>486-42: Disinfectants, Pine Oil, Environmentally Certified Products</v>
      </c>
    </row>
    <row r="3708" spans="1:7" x14ac:dyDescent="0.25">
      <c r="A3708" s="1" t="str">
        <f t="shared" si="240"/>
        <v>486</v>
      </c>
      <c r="B3708" s="1" t="str">
        <f>TEXT(44,"00")</f>
        <v>44</v>
      </c>
      <c r="C3708" s="1" t="str">
        <f t="shared" si="237"/>
        <v>486-44</v>
      </c>
      <c r="D3708" t="s">
        <v>3689</v>
      </c>
      <c r="E3708" t="b">
        <f>IF(COUNTIF(D3708,"*"&amp;'Keyword Search'!$C$5&amp;"*"),TRUE,FALSE)</f>
        <v>1</v>
      </c>
      <c r="G3708" t="str">
        <f t="shared" si="238"/>
        <v>486-44: Dispensers, Lotion and Soap, Including Waterless Soap Dispenser, Environmentally Certified Products</v>
      </c>
    </row>
    <row r="3709" spans="1:7" x14ac:dyDescent="0.25">
      <c r="A3709" s="1" t="str">
        <f t="shared" si="240"/>
        <v>486</v>
      </c>
      <c r="B3709" s="1" t="str">
        <f>TEXT(45,"00")</f>
        <v>45</v>
      </c>
      <c r="C3709" s="1" t="str">
        <f t="shared" si="237"/>
        <v>486-45</v>
      </c>
      <c r="D3709" t="s">
        <v>3690</v>
      </c>
      <c r="E3709" t="b">
        <f>IF(COUNTIF(D3709,"*"&amp;'Keyword Search'!$C$5&amp;"*"),TRUE,FALSE)</f>
        <v>1</v>
      </c>
      <c r="G3709" t="str">
        <f t="shared" si="238"/>
        <v>486-45: Dispensers (For Metered Aerosol Deodorants, Air Sanitizers, and Insecticides), AC and DC Models, Environmentally Certified Products</v>
      </c>
    </row>
    <row r="3710" spans="1:7" x14ac:dyDescent="0.25">
      <c r="A3710" s="1" t="str">
        <f t="shared" si="240"/>
        <v>486</v>
      </c>
      <c r="B3710" s="1" t="str">
        <f>TEXT(46,"00")</f>
        <v>46</v>
      </c>
      <c r="C3710" s="1" t="str">
        <f t="shared" si="237"/>
        <v>486-46</v>
      </c>
      <c r="D3710" t="s">
        <v>3691</v>
      </c>
      <c r="E3710" t="b">
        <f>IF(COUNTIF(D3710,"*"&amp;'Keyword Search'!$C$5&amp;"*"),TRUE,FALSE)</f>
        <v>1</v>
      </c>
      <c r="G3710" t="str">
        <f t="shared" si="238"/>
        <v>486-46: Dispensers and Holders, For Cleaning Rags, Paper Towels, Toilet Tissue, and Toilet Seat Covers, Environmentally Certified Products</v>
      </c>
    </row>
    <row r="3711" spans="1:7" x14ac:dyDescent="0.25">
      <c r="A3711" s="1" t="str">
        <f t="shared" si="240"/>
        <v>486</v>
      </c>
      <c r="B3711" s="1" t="str">
        <f>TEXT(48,"00")</f>
        <v>48</v>
      </c>
      <c r="C3711" s="1" t="str">
        <f t="shared" si="237"/>
        <v>486-48</v>
      </c>
      <c r="D3711" t="s">
        <v>3692</v>
      </c>
      <c r="E3711" t="b">
        <f>IF(COUNTIF(D3711,"*"&amp;'Keyword Search'!$C$5&amp;"*"),TRUE,FALSE)</f>
        <v>1</v>
      </c>
      <c r="G3711" t="str">
        <f t="shared" si="238"/>
        <v>486-48: Dispensers, For Sanitary Napkins and Tampons, Environmentally Certified Products</v>
      </c>
    </row>
    <row r="3712" spans="1:7" x14ac:dyDescent="0.25">
      <c r="A3712" s="1" t="str">
        <f t="shared" si="240"/>
        <v>486</v>
      </c>
      <c r="B3712" s="1" t="str">
        <f>TEXT(50,"00")</f>
        <v>50</v>
      </c>
      <c r="C3712" s="1" t="str">
        <f t="shared" si="237"/>
        <v>486-50</v>
      </c>
      <c r="D3712" t="s">
        <v>3693</v>
      </c>
      <c r="E3712" t="b">
        <f>IF(COUNTIF(D3712,"*"&amp;'Keyword Search'!$C$5&amp;"*"),TRUE,FALSE)</f>
        <v>1</v>
      </c>
      <c r="G3712" t="str">
        <f t="shared" si="238"/>
        <v>486-50: Door Mats, All Types, Environmentally Certified Products</v>
      </c>
    </row>
    <row r="3713" spans="1:7" x14ac:dyDescent="0.25">
      <c r="A3713" s="1" t="str">
        <f t="shared" si="240"/>
        <v>486</v>
      </c>
      <c r="B3713" s="1" t="str">
        <f>TEXT(51,"00")</f>
        <v>51</v>
      </c>
      <c r="C3713" s="1" t="str">
        <f t="shared" si="237"/>
        <v>486-51</v>
      </c>
      <c r="D3713" t="s">
        <v>3694</v>
      </c>
      <c r="E3713" t="b">
        <f>IF(COUNTIF(D3713,"*"&amp;'Keyword Search'!$C$5&amp;"*"),TRUE,FALSE)</f>
        <v>1</v>
      </c>
      <c r="G3713" t="str">
        <f t="shared" si="238"/>
        <v>486-51: Dry Powder Processing Machine, For the Production and Packaging of Powder Soap, Environmentally Certified Products</v>
      </c>
    </row>
    <row r="3714" spans="1:7" x14ac:dyDescent="0.25">
      <c r="A3714" s="1" t="str">
        <f t="shared" si="240"/>
        <v>486</v>
      </c>
      <c r="B3714" s="1" t="str">
        <f>TEXT(52,"00")</f>
        <v>52</v>
      </c>
      <c r="C3714" s="1" t="str">
        <f t="shared" si="237"/>
        <v>486-52</v>
      </c>
      <c r="D3714" t="s">
        <v>3695</v>
      </c>
      <c r="E3714" t="b">
        <f>IF(COUNTIF(D3714,"*"&amp;'Keyword Search'!$C$5&amp;"*"),TRUE,FALSE)</f>
        <v>1</v>
      </c>
      <c r="G3714" t="str">
        <f t="shared" si="238"/>
        <v>486-52: Dusting Cloths, Treated, Environmentally Certified Products</v>
      </c>
    </row>
    <row r="3715" spans="1:7" x14ac:dyDescent="0.25">
      <c r="A3715" s="1" t="str">
        <f t="shared" si="240"/>
        <v>486</v>
      </c>
      <c r="B3715" s="1" t="str">
        <f>TEXT(53,"00")</f>
        <v>53</v>
      </c>
      <c r="C3715" s="1" t="str">
        <f t="shared" ref="C3715:C3778" si="241">CONCATENATE(A3715,"-",B3715)</f>
        <v>486-53</v>
      </c>
      <c r="D3715" t="s">
        <v>3696</v>
      </c>
      <c r="E3715" t="b">
        <f>IF(COUNTIF(D3715,"*"&amp;'Keyword Search'!$C$5&amp;"*"),TRUE,FALSE)</f>
        <v>1</v>
      </c>
      <c r="G3715" t="str">
        <f t="shared" si="238"/>
        <v>486-53: Dusters: Feather, Lambs Wool, Split, etc., Environmentally Certified Products</v>
      </c>
    </row>
    <row r="3716" spans="1:7" x14ac:dyDescent="0.25">
      <c r="A3716" s="1" t="str">
        <f t="shared" si="240"/>
        <v>486</v>
      </c>
      <c r="B3716" s="1" t="str">
        <f>TEXT(54,"00")</f>
        <v>54</v>
      </c>
      <c r="C3716" s="1" t="str">
        <f t="shared" si="241"/>
        <v>486-54</v>
      </c>
      <c r="D3716" t="s">
        <v>3697</v>
      </c>
      <c r="E3716" t="b">
        <f>IF(COUNTIF(D3716,"*"&amp;'Keyword Search'!$C$5&amp;"*"),TRUE,FALSE)</f>
        <v>1</v>
      </c>
      <c r="G3716" t="str">
        <f t="shared" ref="G3716:G3779" si="242">CONCATENATE(C3716,": ",D3716)</f>
        <v>486-54: Floor Polishes and Waxes, Floor Sealer, and Dust Mop Treating Compound, Environmentally Certified Products</v>
      </c>
    </row>
    <row r="3717" spans="1:7" x14ac:dyDescent="0.25">
      <c r="A3717" s="1" t="str">
        <f t="shared" si="240"/>
        <v>486</v>
      </c>
      <c r="B3717" s="1" t="str">
        <f>TEXT(55,"00")</f>
        <v>55</v>
      </c>
      <c r="C3717" s="1" t="str">
        <f t="shared" si="241"/>
        <v>486-55</v>
      </c>
      <c r="D3717" t="s">
        <v>3698</v>
      </c>
      <c r="E3717" t="b">
        <f>IF(COUNTIF(D3717,"*"&amp;'Keyword Search'!$C$5&amp;"*"),TRUE,FALSE)</f>
        <v>1</v>
      </c>
      <c r="G3717" t="str">
        <f t="shared" si="242"/>
        <v>486-55: Floor Stripper and Cleaners, Environmentally Certified Products</v>
      </c>
    </row>
    <row r="3718" spans="1:7" x14ac:dyDescent="0.25">
      <c r="A3718" s="1" t="str">
        <f t="shared" si="240"/>
        <v>486</v>
      </c>
      <c r="B3718" s="1" t="str">
        <f>TEXT(56,"00")</f>
        <v>56</v>
      </c>
      <c r="C3718" s="1" t="str">
        <f t="shared" si="241"/>
        <v>486-56</v>
      </c>
      <c r="D3718" t="s">
        <v>3699</v>
      </c>
      <c r="E3718" t="b">
        <f>IF(COUNTIF(D3718,"*"&amp;'Keyword Search'!$C$5&amp;"*"),TRUE,FALSE)</f>
        <v>1</v>
      </c>
      <c r="G3718" t="str">
        <f t="shared" si="242"/>
        <v>486-56: Floor Sweeping Compound and Oil, Environmentally Certified Products</v>
      </c>
    </row>
    <row r="3719" spans="1:7" x14ac:dyDescent="0.25">
      <c r="A3719" s="1" t="str">
        <f t="shared" si="240"/>
        <v>486</v>
      </c>
      <c r="B3719" s="1" t="str">
        <f>TEXT(57,"00")</f>
        <v>57</v>
      </c>
      <c r="C3719" s="1" t="str">
        <f t="shared" si="241"/>
        <v>486-57</v>
      </c>
      <c r="D3719" t="s">
        <v>3700</v>
      </c>
      <c r="E3719" t="b">
        <f>IF(COUNTIF(D3719,"*"&amp;'Keyword Search'!$C$5&amp;"*"),TRUE,FALSE)</f>
        <v>1</v>
      </c>
      <c r="G3719" t="str">
        <f t="shared" si="242"/>
        <v>486-57: Fly-Swatters, Environmentally Certified Products</v>
      </c>
    </row>
    <row r="3720" spans="1:7" x14ac:dyDescent="0.25">
      <c r="A3720" s="1" t="str">
        <f t="shared" si="240"/>
        <v>486</v>
      </c>
      <c r="B3720" s="1" t="str">
        <f>TEXT(58,"00")</f>
        <v>58</v>
      </c>
      <c r="C3720" s="1" t="str">
        <f t="shared" si="241"/>
        <v>486-58</v>
      </c>
      <c r="D3720" t="s">
        <v>3701</v>
      </c>
      <c r="E3720" t="b">
        <f>IF(COUNTIF(D3720,"*"&amp;'Keyword Search'!$C$5&amp;"*"),TRUE,FALSE)</f>
        <v>1</v>
      </c>
      <c r="G3720" t="str">
        <f t="shared" si="242"/>
        <v>486-58: Furniture Polish, Environmentally Certified Products</v>
      </c>
    </row>
    <row r="3721" spans="1:7" x14ac:dyDescent="0.25">
      <c r="A3721" s="1" t="str">
        <f t="shared" si="240"/>
        <v>486</v>
      </c>
      <c r="B3721" s="1" t="str">
        <f>TEXT(59,"00")</f>
        <v>59</v>
      </c>
      <c r="C3721" s="1" t="str">
        <f t="shared" si="241"/>
        <v>486-59</v>
      </c>
      <c r="D3721" t="s">
        <v>3702</v>
      </c>
      <c r="E3721" t="b">
        <f>IF(COUNTIF(D3721,"*"&amp;'Keyword Search'!$C$5&amp;"*"),TRUE,FALSE)</f>
        <v>1</v>
      </c>
      <c r="G3721" t="str">
        <f t="shared" si="242"/>
        <v>486-59: Insect Control Units, Chemical or Electric, Lures and Traps, Environmentally Certified Products</v>
      </c>
    </row>
    <row r="3722" spans="1:7" x14ac:dyDescent="0.25">
      <c r="A3722" s="1" t="str">
        <f t="shared" si="240"/>
        <v>486</v>
      </c>
      <c r="B3722" s="1" t="str">
        <f>TEXT(60,"00")</f>
        <v>60</v>
      </c>
      <c r="C3722" s="1" t="str">
        <f t="shared" si="241"/>
        <v>486-60</v>
      </c>
      <c r="D3722" t="s">
        <v>3703</v>
      </c>
      <c r="E3722" t="b">
        <f>IF(COUNTIF(D3722,"*"&amp;'Keyword Search'!$C$5&amp;"*"),TRUE,FALSE)</f>
        <v>1</v>
      </c>
      <c r="G3722" t="str">
        <f t="shared" si="242"/>
        <v>486-60: Insecticides and Repellents, Household, Environmentally Certified Products</v>
      </c>
    </row>
    <row r="3723" spans="1:7" x14ac:dyDescent="0.25">
      <c r="A3723" s="1" t="str">
        <f t="shared" si="240"/>
        <v>486</v>
      </c>
      <c r="B3723" s="1" t="str">
        <f>TEXT(62,"00")</f>
        <v>62</v>
      </c>
      <c r="C3723" s="1" t="str">
        <f t="shared" si="241"/>
        <v>486-62</v>
      </c>
      <c r="D3723" t="s">
        <v>3704</v>
      </c>
      <c r="E3723" t="b">
        <f>IF(COUNTIF(D3723,"*"&amp;'Keyword Search'!$C$5&amp;"*"),TRUE,FALSE)</f>
        <v>1</v>
      </c>
      <c r="G3723" t="str">
        <f t="shared" si="242"/>
        <v>486-62: Insecticide Spraying Equipment, Household, Environmentally Certified Products</v>
      </c>
    </row>
    <row r="3724" spans="1:7" x14ac:dyDescent="0.25">
      <c r="A3724" s="1" t="str">
        <f t="shared" si="240"/>
        <v>486</v>
      </c>
      <c r="B3724" s="1" t="str">
        <f>TEXT(64,"00")</f>
        <v>64</v>
      </c>
      <c r="C3724" s="1" t="str">
        <f t="shared" si="241"/>
        <v>486-64</v>
      </c>
      <c r="D3724" t="s">
        <v>3705</v>
      </c>
      <c r="E3724" t="b">
        <f>IF(COUNTIF(D3724,"*"&amp;'Keyword Search'!$C$5&amp;"*"),TRUE,FALSE)</f>
        <v>1</v>
      </c>
      <c r="G3724" t="str">
        <f t="shared" si="242"/>
        <v>486-64: Janitor Carts and Bags, Environmentally Certified Products</v>
      </c>
    </row>
    <row r="3725" spans="1:7" x14ac:dyDescent="0.25">
      <c r="A3725" s="1" t="str">
        <f t="shared" si="240"/>
        <v>486</v>
      </c>
      <c r="B3725" s="1" t="str">
        <f>TEXT(65,"00")</f>
        <v>65</v>
      </c>
      <c r="C3725" s="1" t="str">
        <f t="shared" si="241"/>
        <v>486-65</v>
      </c>
      <c r="D3725" t="s">
        <v>3706</v>
      </c>
      <c r="E3725" t="b">
        <f>IF(COUNTIF(D3725,"*"&amp;'Keyword Search'!$C$5&amp;"*"),TRUE,FALSE)</f>
        <v>1</v>
      </c>
      <c r="G3725" t="str">
        <f t="shared" si="242"/>
        <v>486-65: Janitorial Equipment and Supplies (Not Otherwise Classified), Environmentally Certified Products</v>
      </c>
    </row>
    <row r="3726" spans="1:7" x14ac:dyDescent="0.25">
      <c r="A3726" s="1" t="str">
        <f t="shared" si="240"/>
        <v>486</v>
      </c>
      <c r="B3726" s="1" t="str">
        <f>TEXT(66,"00")</f>
        <v>66</v>
      </c>
      <c r="C3726" s="1" t="str">
        <f t="shared" si="241"/>
        <v>486-66</v>
      </c>
      <c r="D3726" t="s">
        <v>3707</v>
      </c>
      <c r="E3726" t="b">
        <f>IF(COUNTIF(D3726,"*"&amp;'Keyword Search'!$C$5&amp;"*"),TRUE,FALSE)</f>
        <v>1</v>
      </c>
      <c r="G3726" t="str">
        <f t="shared" si="242"/>
        <v>486-66: Linen Hampers and Bags, Environmentally Certified Products</v>
      </c>
    </row>
    <row r="3727" spans="1:7" x14ac:dyDescent="0.25">
      <c r="A3727" s="1" t="str">
        <f t="shared" si="240"/>
        <v>486</v>
      </c>
      <c r="B3727" s="1" t="str">
        <f>TEXT(67,"00")</f>
        <v>67</v>
      </c>
      <c r="C3727" s="1" t="str">
        <f t="shared" si="241"/>
        <v>486-67</v>
      </c>
      <c r="D3727" t="s">
        <v>3708</v>
      </c>
      <c r="E3727" t="b">
        <f>IF(COUNTIF(D3727,"*"&amp;'Keyword Search'!$C$5&amp;"*"),TRUE,FALSE)</f>
        <v>1</v>
      </c>
      <c r="G3727" t="str">
        <f t="shared" si="242"/>
        <v>486-67: Litter Pickup Devices, Environmentally Certified Products</v>
      </c>
    </row>
    <row r="3728" spans="1:7" x14ac:dyDescent="0.25">
      <c r="A3728" s="1" t="str">
        <f t="shared" si="240"/>
        <v>486</v>
      </c>
      <c r="B3728" s="1" t="str">
        <f>TEXT(68,"00")</f>
        <v>68</v>
      </c>
      <c r="C3728" s="1" t="str">
        <f t="shared" si="241"/>
        <v>486-68</v>
      </c>
      <c r="D3728" t="s">
        <v>3709</v>
      </c>
      <c r="E3728" t="b">
        <f>IF(COUNTIF(D3728,"*"&amp;'Keyword Search'!$C$5&amp;"*"),TRUE,FALSE)</f>
        <v>1</v>
      </c>
      <c r="G3728" t="str">
        <f t="shared" si="242"/>
        <v>486-68: Mop Buckets, Wringers, Bucket Trucks, and Attachments, Environmentally Certified Products</v>
      </c>
    </row>
    <row r="3729" spans="1:7" x14ac:dyDescent="0.25">
      <c r="A3729" s="1" t="str">
        <f t="shared" si="240"/>
        <v>486</v>
      </c>
      <c r="B3729" s="1" t="str">
        <f>TEXT(70,"00")</f>
        <v>70</v>
      </c>
      <c r="C3729" s="1" t="str">
        <f t="shared" si="241"/>
        <v>486-70</v>
      </c>
      <c r="D3729" t="s">
        <v>3710</v>
      </c>
      <c r="E3729" t="b">
        <f>IF(COUNTIF(D3729,"*"&amp;'Keyword Search'!$C$5&amp;"*"),TRUE,FALSE)</f>
        <v>1</v>
      </c>
      <c r="G3729" t="str">
        <f t="shared" si="242"/>
        <v>486-70: Mops, Heads, and Handles, Dry and Treated Types, Environmentally Certified Products</v>
      </c>
    </row>
    <row r="3730" spans="1:7" x14ac:dyDescent="0.25">
      <c r="A3730" s="1" t="str">
        <f t="shared" si="240"/>
        <v>486</v>
      </c>
      <c r="B3730" s="1" t="str">
        <f>TEXT(72,"00")</f>
        <v>72</v>
      </c>
      <c r="C3730" s="1" t="str">
        <f t="shared" si="241"/>
        <v>486-72</v>
      </c>
      <c r="D3730" t="s">
        <v>3711</v>
      </c>
      <c r="E3730" t="b">
        <f>IF(COUNTIF(D3730,"*"&amp;'Keyword Search'!$C$5&amp;"*"),TRUE,FALSE)</f>
        <v>1</v>
      </c>
      <c r="G3730" t="str">
        <f t="shared" si="242"/>
        <v>486-72: Mops, Heads, and Handles, Wet Types, Environmentally Certified Products</v>
      </c>
    </row>
    <row r="3731" spans="1:7" x14ac:dyDescent="0.25">
      <c r="A3731" s="1" t="str">
        <f t="shared" si="240"/>
        <v>486</v>
      </c>
      <c r="B3731" s="1" t="str">
        <f>TEXT(73,"00")</f>
        <v>73</v>
      </c>
      <c r="C3731" s="1" t="str">
        <f t="shared" si="241"/>
        <v>486-73</v>
      </c>
      <c r="D3731" t="s">
        <v>3712</v>
      </c>
      <c r="E3731" t="b">
        <f>IF(COUNTIF(D3731,"*"&amp;'Keyword Search'!$C$5&amp;"*"),TRUE,FALSE)</f>
        <v>1</v>
      </c>
      <c r="G3731" t="str">
        <f t="shared" si="242"/>
        <v>486-73: Protectant (For Furniture, Carpet, Fabrics, etc.), Environmentally Certified Products</v>
      </c>
    </row>
    <row r="3732" spans="1:7" x14ac:dyDescent="0.25">
      <c r="A3732" s="1" t="str">
        <f t="shared" si="240"/>
        <v>486</v>
      </c>
      <c r="B3732" s="1" t="str">
        <f>TEXT(74,"00")</f>
        <v>74</v>
      </c>
      <c r="C3732" s="1" t="str">
        <f t="shared" si="241"/>
        <v>486-74</v>
      </c>
      <c r="D3732" t="s">
        <v>3713</v>
      </c>
      <c r="E3732" t="b">
        <f>IF(COUNTIF(D3732,"*"&amp;'Keyword Search'!$C$5&amp;"*"),TRUE,FALSE)</f>
        <v>1</v>
      </c>
      <c r="G3732" t="str">
        <f t="shared" si="242"/>
        <v>486-74: Oil, Chemical, and Hazardous Material Spill Absorbents, Cleaners, Neutralizers, and Pads (Including Microorganisms, Live; Peat Moss)), Environmentally Certified Products</v>
      </c>
    </row>
    <row r="3733" spans="1:7" x14ac:dyDescent="0.25">
      <c r="A3733" s="1" t="str">
        <f t="shared" si="240"/>
        <v>486</v>
      </c>
      <c r="B3733" s="1" t="str">
        <f>TEXT(75,"00")</f>
        <v>75</v>
      </c>
      <c r="C3733" s="1" t="str">
        <f t="shared" si="241"/>
        <v>486-75</v>
      </c>
      <c r="D3733" t="s">
        <v>3714</v>
      </c>
      <c r="E3733" t="b">
        <f>IF(COUNTIF(D3733,"*"&amp;'Keyword Search'!$C$5&amp;"*"),TRUE,FALSE)</f>
        <v>1</v>
      </c>
      <c r="G3733" t="str">
        <f t="shared" si="242"/>
        <v>486-75: Receptacle Liners: Vinyl and Steel (See 665-24 For Plastic Type), Including Biodegradable, Environmentally Certified Products</v>
      </c>
    </row>
    <row r="3734" spans="1:7" x14ac:dyDescent="0.25">
      <c r="A3734" s="1" t="str">
        <f t="shared" si="240"/>
        <v>486</v>
      </c>
      <c r="B3734" s="1" t="str">
        <f>TEXT(76,"00")</f>
        <v>76</v>
      </c>
      <c r="C3734" s="1" t="str">
        <f t="shared" si="241"/>
        <v>486-76</v>
      </c>
      <c r="D3734" t="s">
        <v>3715</v>
      </c>
      <c r="E3734" t="b">
        <f>IF(COUNTIF(D3734,"*"&amp;'Keyword Search'!$C$5&amp;"*"),TRUE,FALSE)</f>
        <v>1</v>
      </c>
      <c r="G3734" t="str">
        <f t="shared" si="242"/>
        <v>486-76: Recycled Janitorial Supplies, Environmentally Certified Products</v>
      </c>
    </row>
    <row r="3735" spans="1:7" x14ac:dyDescent="0.25">
      <c r="A3735" s="1" t="str">
        <f t="shared" si="240"/>
        <v>486</v>
      </c>
      <c r="B3735" s="1" t="str">
        <f>TEXT(77,"00")</f>
        <v>77</v>
      </c>
      <c r="C3735" s="1" t="str">
        <f t="shared" si="241"/>
        <v>486-77</v>
      </c>
      <c r="D3735" t="s">
        <v>3716</v>
      </c>
      <c r="E3735" t="b">
        <f>IF(COUNTIF(D3735,"*"&amp;'Keyword Search'!$C$5&amp;"*"),TRUE,FALSE)</f>
        <v>1</v>
      </c>
      <c r="G3735" t="str">
        <f t="shared" si="242"/>
        <v>486-77: Rubber Cleaner, Environmentally Certified Products</v>
      </c>
    </row>
    <row r="3736" spans="1:7" x14ac:dyDescent="0.25">
      <c r="A3736" s="1" t="str">
        <f t="shared" ref="A3736:A3747" si="243">TEXT(486,"000")</f>
        <v>486</v>
      </c>
      <c r="B3736" s="1" t="str">
        <f>TEXT(78,"00")</f>
        <v>78</v>
      </c>
      <c r="C3736" s="1" t="str">
        <f t="shared" si="241"/>
        <v>486-78</v>
      </c>
      <c r="D3736" t="s">
        <v>3717</v>
      </c>
      <c r="E3736" t="b">
        <f>IF(COUNTIF(D3736,"*"&amp;'Keyword Search'!$C$5&amp;"*"),TRUE,FALSE)</f>
        <v>1</v>
      </c>
      <c r="G3736" t="str">
        <f t="shared" si="242"/>
        <v>486-78: Rug and Carpet Shampoo and Spot Remover Including Deodorizers, Environmentally Certified Products</v>
      </c>
    </row>
    <row r="3737" spans="1:7" x14ac:dyDescent="0.25">
      <c r="A3737" s="1" t="str">
        <f t="shared" si="243"/>
        <v>486</v>
      </c>
      <c r="B3737" s="1" t="str">
        <f>TEXT(80,"00")</f>
        <v>80</v>
      </c>
      <c r="C3737" s="1" t="str">
        <f t="shared" si="241"/>
        <v>486-80</v>
      </c>
      <c r="D3737" t="s">
        <v>3718</v>
      </c>
      <c r="E3737" t="b">
        <f>IF(COUNTIF(D3737,"*"&amp;'Keyword Search'!$C$5&amp;"*"),TRUE,FALSE)</f>
        <v>1</v>
      </c>
      <c r="G3737" t="str">
        <f t="shared" si="242"/>
        <v>486-80: Sand Urns, Filling Materials, Smoking Stands, Wall Mounted Ashtrays, and Cuspidors, Environmentally Certified Products</v>
      </c>
    </row>
    <row r="3738" spans="1:7" x14ac:dyDescent="0.25">
      <c r="A3738" s="1" t="str">
        <f t="shared" si="243"/>
        <v>486</v>
      </c>
      <c r="B3738" s="1" t="str">
        <f>TEXT(82,"00")</f>
        <v>82</v>
      </c>
      <c r="C3738" s="1" t="str">
        <f t="shared" si="241"/>
        <v>486-82</v>
      </c>
      <c r="D3738" t="s">
        <v>3719</v>
      </c>
      <c r="E3738" t="b">
        <f>IF(COUNTIF(D3738,"*"&amp;'Keyword Search'!$C$5&amp;"*"),TRUE,FALSE)</f>
        <v>1</v>
      </c>
      <c r="G3738" t="str">
        <f t="shared" si="242"/>
        <v>486-82: Sanitary Napkins and Tampons, Dispensable Type, Environmentally Certified Products</v>
      </c>
    </row>
    <row r="3739" spans="1:7" x14ac:dyDescent="0.25">
      <c r="A3739" s="1" t="str">
        <f t="shared" si="243"/>
        <v>486</v>
      </c>
      <c r="B3739" s="1" t="str">
        <f>TEXT(83,"00")</f>
        <v>83</v>
      </c>
      <c r="C3739" s="1" t="str">
        <f t="shared" si="241"/>
        <v>486-83</v>
      </c>
      <c r="D3739" t="s">
        <v>3720</v>
      </c>
      <c r="E3739" t="b">
        <f>IF(COUNTIF(D3739,"*"&amp;'Keyword Search'!$C$5&amp;"*"),TRUE,FALSE)</f>
        <v>1</v>
      </c>
      <c r="G3739" t="str">
        <f t="shared" si="242"/>
        <v>486-83: Sanitizing and Disinfecting Supplies, Janitorial, Environmentally Certified Products</v>
      </c>
    </row>
    <row r="3740" spans="1:7" x14ac:dyDescent="0.25">
      <c r="A3740" s="1" t="str">
        <f t="shared" si="243"/>
        <v>486</v>
      </c>
      <c r="B3740" s="1" t="str">
        <f>TEXT(84,"00")</f>
        <v>84</v>
      </c>
      <c r="C3740" s="1" t="str">
        <f t="shared" si="241"/>
        <v>486-84</v>
      </c>
      <c r="D3740" t="s">
        <v>3721</v>
      </c>
      <c r="E3740" t="b">
        <f>IF(COUNTIF(D3740,"*"&amp;'Keyword Search'!$C$5&amp;"*"),TRUE,FALSE)</f>
        <v>1</v>
      </c>
      <c r="G3740" t="str">
        <f t="shared" si="242"/>
        <v>486-84: Scale Remover, Acid Type Cleaners For Dishwashers, Steam Tables, etc., Environmentally Certified Products</v>
      </c>
    </row>
    <row r="3741" spans="1:7" x14ac:dyDescent="0.25">
      <c r="A3741" s="1" t="str">
        <f t="shared" si="243"/>
        <v>486</v>
      </c>
      <c r="B3741" s="1" t="str">
        <f>TEXT(85,"00")</f>
        <v>85</v>
      </c>
      <c r="C3741" s="1" t="str">
        <f t="shared" si="241"/>
        <v>486-85</v>
      </c>
      <c r="D3741" t="s">
        <v>3722</v>
      </c>
      <c r="E3741" t="b">
        <f>IF(COUNTIF(D3741,"*"&amp;'Keyword Search'!$C$5&amp;"*"),TRUE,FALSE)</f>
        <v>1</v>
      </c>
      <c r="G3741" t="str">
        <f t="shared" si="242"/>
        <v>486-85: Soap, Scrubbing Type (See 435-72 for Surgical Scrub), Environmentally Certified Products</v>
      </c>
    </row>
    <row r="3742" spans="1:7" x14ac:dyDescent="0.25">
      <c r="A3742" s="1" t="str">
        <f t="shared" si="243"/>
        <v>486</v>
      </c>
      <c r="B3742" s="1" t="str">
        <f>TEXT(86,"00")</f>
        <v>86</v>
      </c>
      <c r="C3742" s="1" t="str">
        <f t="shared" si="241"/>
        <v>486-86</v>
      </c>
      <c r="D3742" t="s">
        <v>3723</v>
      </c>
      <c r="E3742" t="b">
        <f>IF(COUNTIF(D3742,"*"&amp;'Keyword Search'!$C$5&amp;"*"),TRUE,FALSE)</f>
        <v>1</v>
      </c>
      <c r="G3742" t="str">
        <f t="shared" si="242"/>
        <v>486-86: Soap, Hand: Bar, Liquid, and Powdered, Environmentally Certified Products</v>
      </c>
    </row>
    <row r="3743" spans="1:7" x14ac:dyDescent="0.25">
      <c r="A3743" s="1" t="str">
        <f t="shared" si="243"/>
        <v>486</v>
      </c>
      <c r="B3743" s="1" t="str">
        <f>TEXT(87,"00")</f>
        <v>87</v>
      </c>
      <c r="C3743" s="1" t="str">
        <f t="shared" si="241"/>
        <v>486-87</v>
      </c>
      <c r="D3743" t="s">
        <v>3724</v>
      </c>
      <c r="E3743" t="b">
        <f>IF(COUNTIF(D3743,"*"&amp;'Keyword Search'!$C$5&amp;"*"),TRUE,FALSE)</f>
        <v>1</v>
      </c>
      <c r="G3743" t="str">
        <f t="shared" si="242"/>
        <v>486-87: Soil Retardant, For Carpets, Rugs, etc., Environmentally Certified Products</v>
      </c>
    </row>
    <row r="3744" spans="1:7" x14ac:dyDescent="0.25">
      <c r="A3744" s="1" t="str">
        <f t="shared" si="243"/>
        <v>486</v>
      </c>
      <c r="B3744" s="1" t="str">
        <f>TEXT(88,"00")</f>
        <v>88</v>
      </c>
      <c r="C3744" s="1" t="str">
        <f t="shared" si="241"/>
        <v>486-88</v>
      </c>
      <c r="D3744" t="s">
        <v>3725</v>
      </c>
      <c r="E3744" t="b">
        <f>IF(COUNTIF(D3744,"*"&amp;'Keyword Search'!$C$5&amp;"*"),TRUE,FALSE)</f>
        <v>1</v>
      </c>
      <c r="G3744" t="str">
        <f t="shared" si="242"/>
        <v>486-88: Squeegees, Sponges, and Scrubbing Pads, For Manual Hard Surface Cleaning, Environmentally Certified Products</v>
      </c>
    </row>
    <row r="3745" spans="1:7" x14ac:dyDescent="0.25">
      <c r="A3745" s="1" t="str">
        <f t="shared" si="243"/>
        <v>486</v>
      </c>
      <c r="B3745" s="1" t="str">
        <f>TEXT(90,"00")</f>
        <v>90</v>
      </c>
      <c r="C3745" s="1" t="str">
        <f t="shared" si="241"/>
        <v>486-90</v>
      </c>
      <c r="D3745" t="s">
        <v>3726</v>
      </c>
      <c r="E3745" t="b">
        <f>IF(COUNTIF(D3745,"*"&amp;'Keyword Search'!$C$5&amp;"*"),TRUE,FALSE)</f>
        <v>1</v>
      </c>
      <c r="G3745" t="str">
        <f t="shared" si="242"/>
        <v>486-90: Stain Remover, Active Chlorine or Oxygen Type, For Coffee Urns, Plastic Dishes, etc., Environmentally Certified Products</v>
      </c>
    </row>
    <row r="3746" spans="1:7" x14ac:dyDescent="0.25">
      <c r="A3746" s="1" t="str">
        <f t="shared" si="243"/>
        <v>486</v>
      </c>
      <c r="B3746" s="1" t="str">
        <f>TEXT(91,"00")</f>
        <v>91</v>
      </c>
      <c r="C3746" s="1" t="str">
        <f t="shared" si="241"/>
        <v>486-91</v>
      </c>
      <c r="D3746" t="s">
        <v>3727</v>
      </c>
      <c r="E3746" t="b">
        <f>IF(COUNTIF(D3746,"*"&amp;'Keyword Search'!$C$5&amp;"*"),TRUE,FALSE)</f>
        <v>1</v>
      </c>
      <c r="G3746" t="str">
        <f t="shared" si="242"/>
        <v>486-91: Stain Remover, Pet, Environmentally Certified Products</v>
      </c>
    </row>
    <row r="3747" spans="1:7" x14ac:dyDescent="0.25">
      <c r="A3747" s="1" t="str">
        <f t="shared" si="243"/>
        <v>486</v>
      </c>
      <c r="B3747" s="1" t="str">
        <f>TEXT(94,"00")</f>
        <v>94</v>
      </c>
      <c r="C3747" s="1" t="str">
        <f t="shared" si="241"/>
        <v>486-94</v>
      </c>
      <c r="D3747" t="s">
        <v>3728</v>
      </c>
      <c r="E3747" t="b">
        <f>IF(COUNTIF(D3747,"*"&amp;'Keyword Search'!$C$5&amp;"*"),TRUE,FALSE)</f>
        <v>1</v>
      </c>
      <c r="G3747" t="str">
        <f t="shared" si="242"/>
        <v>486-94: Waste Receptacles and Dust Pans, Environmentally Certified Products</v>
      </c>
    </row>
    <row r="3748" spans="1:7" x14ac:dyDescent="0.25">
      <c r="A3748" s="5" t="str">
        <f t="shared" ref="A3748:A3802" si="244">TEXT(490,"000")</f>
        <v>490</v>
      </c>
      <c r="B3748" s="5" t="str">
        <f>TEXT(0,"00")</f>
        <v>00</v>
      </c>
      <c r="C3748" s="1"/>
      <c r="D3748" s="2" t="s">
        <v>3729</v>
      </c>
    </row>
    <row r="3749" spans="1:7" x14ac:dyDescent="0.25">
      <c r="A3749" s="1" t="str">
        <f t="shared" si="244"/>
        <v>490</v>
      </c>
      <c r="B3749" s="1" t="str">
        <f>TEXT(6,"00")</f>
        <v>06</v>
      </c>
      <c r="C3749" s="1" t="str">
        <f t="shared" si="241"/>
        <v>490-06</v>
      </c>
      <c r="D3749" t="s">
        <v>3730</v>
      </c>
      <c r="E3749" t="b">
        <f>IF(COUNTIF(D3749,"*"&amp;'Keyword Search'!$C$5&amp;"*"),TRUE,FALSE)</f>
        <v>1</v>
      </c>
      <c r="G3749" t="str">
        <f t="shared" si="242"/>
        <v>490-06: Barometers and Manometers, Laboratory</v>
      </c>
    </row>
    <row r="3750" spans="1:7" x14ac:dyDescent="0.25">
      <c r="A3750" s="1" t="str">
        <f t="shared" si="244"/>
        <v>490</v>
      </c>
      <c r="B3750" s="1" t="str">
        <f>TEXT(7,"00")</f>
        <v>07</v>
      </c>
      <c r="C3750" s="1" t="str">
        <f t="shared" si="241"/>
        <v>490-07</v>
      </c>
      <c r="D3750" t="s">
        <v>3731</v>
      </c>
      <c r="E3750" t="b">
        <f>IF(COUNTIF(D3750,"*"&amp;'Keyword Search'!$C$5&amp;"*"),TRUE,FALSE)</f>
        <v>1</v>
      </c>
      <c r="G3750" t="str">
        <f t="shared" si="242"/>
        <v>490-07: Cabinets, Safety, Laboratory</v>
      </c>
    </row>
    <row r="3751" spans="1:7" x14ac:dyDescent="0.25">
      <c r="A3751" s="1" t="str">
        <f t="shared" si="244"/>
        <v>490</v>
      </c>
      <c r="B3751" s="1" t="str">
        <f>TEXT(8,"00")</f>
        <v>08</v>
      </c>
      <c r="C3751" s="1" t="str">
        <f t="shared" si="241"/>
        <v>490-08</v>
      </c>
      <c r="D3751" t="s">
        <v>3732</v>
      </c>
      <c r="E3751" t="b">
        <f>IF(COUNTIF(D3751,"*"&amp;'Keyword Search'!$C$5&amp;"*"),TRUE,FALSE)</f>
        <v>1</v>
      </c>
      <c r="G3751" t="str">
        <f t="shared" si="242"/>
        <v>490-08: Calorimeters and Accessories, Laboratory</v>
      </c>
    </row>
    <row r="3752" spans="1:7" x14ac:dyDescent="0.25">
      <c r="A3752" s="1" t="str">
        <f t="shared" si="244"/>
        <v>490</v>
      </c>
      <c r="B3752" s="1" t="str">
        <f>TEXT(9,"00")</f>
        <v>09</v>
      </c>
      <c r="C3752" s="1" t="str">
        <f t="shared" si="241"/>
        <v>490-09</v>
      </c>
      <c r="D3752" t="s">
        <v>3733</v>
      </c>
      <c r="E3752" t="b">
        <f>IF(COUNTIF(D3752,"*"&amp;'Keyword Search'!$C$5&amp;"*"),TRUE,FALSE)</f>
        <v>1</v>
      </c>
      <c r="G3752" t="str">
        <f t="shared" si="242"/>
        <v>490-09: Centrifuges, Desk Top and Free Standing, Laboratory</v>
      </c>
    </row>
    <row r="3753" spans="1:7" x14ac:dyDescent="0.25">
      <c r="A3753" s="1" t="str">
        <f t="shared" si="244"/>
        <v>490</v>
      </c>
      <c r="B3753" s="1" t="str">
        <f>TEXT(14,"00")</f>
        <v>14</v>
      </c>
      <c r="C3753" s="1" t="str">
        <f t="shared" si="241"/>
        <v>490-14</v>
      </c>
      <c r="D3753" t="s">
        <v>3734</v>
      </c>
      <c r="E3753" t="b">
        <f>IF(COUNTIF(D3753,"*"&amp;'Keyword Search'!$C$5&amp;"*"),TRUE,FALSE)</f>
        <v>1</v>
      </c>
      <c r="G3753" t="str">
        <f t="shared" si="242"/>
        <v>490-14: Cleaners, Ultrasonic, Laboratory ,</v>
      </c>
    </row>
    <row r="3754" spans="1:7" x14ac:dyDescent="0.25">
      <c r="A3754" s="1" t="str">
        <f t="shared" si="244"/>
        <v>490</v>
      </c>
      <c r="B3754" s="1" t="str">
        <f>TEXT(15,"00")</f>
        <v>15</v>
      </c>
      <c r="C3754" s="1" t="str">
        <f t="shared" si="241"/>
        <v>490-15</v>
      </c>
      <c r="D3754" t="s">
        <v>3735</v>
      </c>
      <c r="E3754" t="b">
        <f>IF(COUNTIF(D3754,"*"&amp;'Keyword Search'!$C$5&amp;"*"),TRUE,FALSE)</f>
        <v>1</v>
      </c>
      <c r="G3754" t="str">
        <f t="shared" si="242"/>
        <v>490-15: Colorimeters, Reflectance, Laboratory</v>
      </c>
    </row>
    <row r="3755" spans="1:7" x14ac:dyDescent="0.25">
      <c r="A3755" s="1" t="str">
        <f t="shared" si="244"/>
        <v>490</v>
      </c>
      <c r="B3755" s="1" t="str">
        <f>TEXT(16,"00")</f>
        <v>16</v>
      </c>
      <c r="C3755" s="1" t="str">
        <f t="shared" si="241"/>
        <v>490-16</v>
      </c>
      <c r="D3755" t="s">
        <v>3736</v>
      </c>
      <c r="E3755" t="b">
        <f>IF(COUNTIF(D3755,"*"&amp;'Keyword Search'!$C$5&amp;"*"),TRUE,FALSE)</f>
        <v>1</v>
      </c>
      <c r="G3755" t="str">
        <f t="shared" si="242"/>
        <v>490-16: Colorimeters, Optical, Comparators, Laboratory, (See Class 493 for Photoelectric Colorimeters)</v>
      </c>
    </row>
    <row r="3756" spans="1:7" x14ac:dyDescent="0.25">
      <c r="A3756" s="1" t="str">
        <f t="shared" si="244"/>
        <v>490</v>
      </c>
      <c r="B3756" s="1" t="str">
        <f>TEXT(17,"00")</f>
        <v>17</v>
      </c>
      <c r="C3756" s="1" t="str">
        <f t="shared" si="241"/>
        <v>490-17</v>
      </c>
      <c r="D3756" t="s">
        <v>3737</v>
      </c>
      <c r="E3756" t="b">
        <f>IF(COUNTIF(D3756,"*"&amp;'Keyword Search'!$C$5&amp;"*"),TRUE,FALSE)</f>
        <v>1</v>
      </c>
      <c r="G3756" t="str">
        <f t="shared" si="242"/>
        <v>490-17: Crystallography Equipment and Supplies, Laboratory, (Not Otherwise Classified)</v>
      </c>
    </row>
    <row r="3757" spans="1:7" x14ac:dyDescent="0.25">
      <c r="A3757" s="1" t="str">
        <f t="shared" si="244"/>
        <v>490</v>
      </c>
      <c r="B3757" s="1" t="str">
        <f>TEXT(19,"00")</f>
        <v>19</v>
      </c>
      <c r="C3757" s="1" t="str">
        <f t="shared" si="241"/>
        <v>490-19</v>
      </c>
      <c r="D3757" t="s">
        <v>3738</v>
      </c>
      <c r="E3757" t="b">
        <f>IF(COUNTIF(D3757,"*"&amp;'Keyword Search'!$C$5&amp;"*"),TRUE,FALSE)</f>
        <v>1</v>
      </c>
      <c r="G3757" t="str">
        <f t="shared" si="242"/>
        <v>490-19: Density Gradient Equipment, Laboratory: Fractionators, Mixers, etc.</v>
      </c>
    </row>
    <row r="3758" spans="1:7" x14ac:dyDescent="0.25">
      <c r="A3758" s="1" t="str">
        <f t="shared" si="244"/>
        <v>490</v>
      </c>
      <c r="B3758" s="1" t="str">
        <f>TEXT(21,"00")</f>
        <v>21</v>
      </c>
      <c r="C3758" s="1" t="str">
        <f t="shared" si="241"/>
        <v>490-21</v>
      </c>
      <c r="D3758" t="s">
        <v>3739</v>
      </c>
      <c r="E3758" t="b">
        <f>IF(COUNTIF(D3758,"*"&amp;'Keyword Search'!$C$5&amp;"*"),TRUE,FALSE)</f>
        <v>1</v>
      </c>
      <c r="G3758" t="str">
        <f t="shared" si="242"/>
        <v>490-21: Dry Boxes and Glove Boxes, Laboratory</v>
      </c>
    </row>
    <row r="3759" spans="1:7" x14ac:dyDescent="0.25">
      <c r="A3759" s="1" t="str">
        <f t="shared" si="244"/>
        <v>490</v>
      </c>
      <c r="B3759" s="1" t="str">
        <f>TEXT(24,"00")</f>
        <v>24</v>
      </c>
      <c r="C3759" s="1" t="str">
        <f t="shared" si="241"/>
        <v>490-24</v>
      </c>
      <c r="D3759" t="s">
        <v>3740</v>
      </c>
      <c r="E3759" t="b">
        <f>IF(COUNTIF(D3759,"*"&amp;'Keyword Search'!$C$5&amp;"*"),TRUE,FALSE)</f>
        <v>1</v>
      </c>
      <c r="G3759" t="str">
        <f t="shared" si="242"/>
        <v>490-24: Dynamometers, Laboratory, (See 075 For Automotive)</v>
      </c>
    </row>
    <row r="3760" spans="1:7" x14ac:dyDescent="0.25">
      <c r="A3760" s="1" t="str">
        <f t="shared" si="244"/>
        <v>490</v>
      </c>
      <c r="B3760" s="1" t="str">
        <f>TEXT(29,"00")</f>
        <v>29</v>
      </c>
      <c r="C3760" s="1" t="str">
        <f t="shared" si="241"/>
        <v>490-29</v>
      </c>
      <c r="D3760" t="s">
        <v>3741</v>
      </c>
      <c r="E3760" t="b">
        <f>IF(COUNTIF(D3760,"*"&amp;'Keyword Search'!$C$5&amp;"*"),TRUE,FALSE)</f>
        <v>1</v>
      </c>
      <c r="G3760" t="str">
        <f t="shared" si="242"/>
        <v>490-29: Electron Microscopy Equipment, Laboratory: Electron Microscopes, Vacuum Sputtering Systems, etc.</v>
      </c>
    </row>
    <row r="3761" spans="1:7" x14ac:dyDescent="0.25">
      <c r="A3761" s="1" t="str">
        <f t="shared" si="244"/>
        <v>490</v>
      </c>
      <c r="B3761" s="1" t="str">
        <f>TEXT(30,"00")</f>
        <v>30</v>
      </c>
      <c r="C3761" s="1" t="str">
        <f t="shared" si="241"/>
        <v>490-30</v>
      </c>
      <c r="D3761" t="s">
        <v>3742</v>
      </c>
      <c r="E3761" t="b">
        <f>IF(COUNTIF(D3761,"*"&amp;'Keyword Search'!$C$5&amp;"*"),TRUE,FALSE)</f>
        <v>1</v>
      </c>
      <c r="G3761" t="str">
        <f t="shared" si="242"/>
        <v>490-30: Electron Guns, Laboratory</v>
      </c>
    </row>
    <row r="3762" spans="1:7" x14ac:dyDescent="0.25">
      <c r="A3762" s="1" t="str">
        <f t="shared" si="244"/>
        <v>490</v>
      </c>
      <c r="B3762" s="1" t="str">
        <f>TEXT(32,"00")</f>
        <v>32</v>
      </c>
      <c r="C3762" s="1" t="str">
        <f t="shared" si="241"/>
        <v>490-32</v>
      </c>
      <c r="D3762" t="s">
        <v>3743</v>
      </c>
      <c r="E3762" t="b">
        <f>IF(COUNTIF(D3762,"*"&amp;'Keyword Search'!$C$5&amp;"*"),TRUE,FALSE)</f>
        <v>1</v>
      </c>
      <c r="G3762" t="str">
        <f t="shared" si="242"/>
        <v>490-32: Environmental Test Chambers and Rooms, Laboratory</v>
      </c>
    </row>
    <row r="3763" spans="1:7" x14ac:dyDescent="0.25">
      <c r="A3763" s="1" t="str">
        <f t="shared" si="244"/>
        <v>490</v>
      </c>
      <c r="B3763" s="1" t="str">
        <f>TEXT(34,"00")</f>
        <v>34</v>
      </c>
      <c r="C3763" s="1" t="str">
        <f t="shared" si="241"/>
        <v>490-34</v>
      </c>
      <c r="D3763" t="s">
        <v>3744</v>
      </c>
      <c r="E3763" t="b">
        <f>IF(COUNTIF(D3763,"*"&amp;'Keyword Search'!$C$5&amp;"*"),TRUE,FALSE)</f>
        <v>1</v>
      </c>
      <c r="G3763" t="str">
        <f t="shared" si="242"/>
        <v>490-34: Filters, Optical: IR Interference, etc., Laboratory</v>
      </c>
    </row>
    <row r="3764" spans="1:7" x14ac:dyDescent="0.25">
      <c r="A3764" s="1" t="str">
        <f t="shared" si="244"/>
        <v>490</v>
      </c>
      <c r="B3764" s="1" t="str">
        <f>TEXT(36,"00")</f>
        <v>36</v>
      </c>
      <c r="C3764" s="1" t="str">
        <f t="shared" si="241"/>
        <v>490-36</v>
      </c>
      <c r="D3764" t="s">
        <v>3745</v>
      </c>
      <c r="E3764" t="b">
        <f>IF(COUNTIF(D3764,"*"&amp;'Keyword Search'!$C$5&amp;"*"),TRUE,FALSE)</f>
        <v>1</v>
      </c>
      <c r="G3764" t="str">
        <f t="shared" si="242"/>
        <v>490-36: Glassware Washing Apparatus, Laboratory</v>
      </c>
    </row>
    <row r="3765" spans="1:7" x14ac:dyDescent="0.25">
      <c r="A3765" s="1" t="str">
        <f t="shared" si="244"/>
        <v>490</v>
      </c>
      <c r="B3765" s="1" t="str">
        <f>TEXT(39,"00")</f>
        <v>39</v>
      </c>
      <c r="C3765" s="1" t="str">
        <f t="shared" si="241"/>
        <v>490-39</v>
      </c>
      <c r="D3765" t="s">
        <v>3746</v>
      </c>
      <c r="E3765" t="b">
        <f>IF(COUNTIF(D3765,"*"&amp;'Keyword Search'!$C$5&amp;"*"),TRUE,FALSE)</f>
        <v>1</v>
      </c>
      <c r="G3765" t="str">
        <f t="shared" si="242"/>
        <v>490-39: High-Pressure Equipment and Accessories, Laboratory</v>
      </c>
    </row>
    <row r="3766" spans="1:7" x14ac:dyDescent="0.25">
      <c r="A3766" s="1" t="str">
        <f t="shared" si="244"/>
        <v>490</v>
      </c>
      <c r="B3766" s="1" t="str">
        <f>TEXT(40,"00")</f>
        <v>40</v>
      </c>
      <c r="C3766" s="1" t="str">
        <f t="shared" si="241"/>
        <v>490-40</v>
      </c>
      <c r="D3766" t="s">
        <v>3747</v>
      </c>
      <c r="E3766" t="b">
        <f>IF(COUNTIF(D3766,"*"&amp;'Keyword Search'!$C$5&amp;"*"),TRUE,FALSE)</f>
        <v>1</v>
      </c>
      <c r="G3766" t="str">
        <f t="shared" si="242"/>
        <v>490-40: High Vacuum Fittings, Valves, Supplies, etc., Laboratory .</v>
      </c>
    </row>
    <row r="3767" spans="1:7" x14ac:dyDescent="0.25">
      <c r="A3767" s="1" t="str">
        <f t="shared" si="244"/>
        <v>490</v>
      </c>
      <c r="B3767" s="1" t="str">
        <f>TEXT(43,"00")</f>
        <v>43</v>
      </c>
      <c r="C3767" s="1" t="str">
        <f t="shared" si="241"/>
        <v>490-43</v>
      </c>
      <c r="D3767" t="s">
        <v>3748</v>
      </c>
      <c r="E3767" t="b">
        <f>IF(COUNTIF(D3767,"*"&amp;'Keyword Search'!$C$5&amp;"*"),TRUE,FALSE)</f>
        <v>1</v>
      </c>
      <c r="G3767" t="str">
        <f t="shared" si="242"/>
        <v>490-43: Laboratory and Scientific Equipment and Supplies (Not Otherwise Classified)</v>
      </c>
    </row>
    <row r="3768" spans="1:7" x14ac:dyDescent="0.25">
      <c r="A3768" s="1" t="str">
        <f t="shared" si="244"/>
        <v>490</v>
      </c>
      <c r="B3768" s="1" t="str">
        <f>TEXT(44,"00")</f>
        <v>44</v>
      </c>
      <c r="C3768" s="1" t="str">
        <f t="shared" si="241"/>
        <v>490-44</v>
      </c>
      <c r="D3768" t="s">
        <v>3749</v>
      </c>
      <c r="E3768" t="b">
        <f>IF(COUNTIF(D3768,"*"&amp;'Keyword Search'!$C$5&amp;"*"),TRUE,FALSE)</f>
        <v>1</v>
      </c>
      <c r="G3768" t="str">
        <f t="shared" si="242"/>
        <v>490-44: Lamps and Other Radiation Sources, Specialized, Laboratory, Cathode, Infrared, and Ultraviolet Lamps, etc.</v>
      </c>
    </row>
    <row r="3769" spans="1:7" x14ac:dyDescent="0.25">
      <c r="A3769" s="1" t="str">
        <f t="shared" si="244"/>
        <v>490</v>
      </c>
      <c r="B3769" s="1" t="str">
        <f>TEXT(47,"00")</f>
        <v>47</v>
      </c>
      <c r="C3769" s="1" t="str">
        <f t="shared" si="241"/>
        <v>490-47</v>
      </c>
      <c r="D3769" t="s">
        <v>3750</v>
      </c>
      <c r="E3769" t="b">
        <f>IF(COUNTIF(D3769,"*"&amp;'Keyword Search'!$C$5&amp;"*"),TRUE,FALSE)</f>
        <v>1</v>
      </c>
      <c r="G3769" t="str">
        <f t="shared" si="242"/>
        <v>490-47: Liquid Scintillation Counting Systems, Laboratory</v>
      </c>
    </row>
    <row r="3770" spans="1:7" x14ac:dyDescent="0.25">
      <c r="A3770" s="1" t="str">
        <f t="shared" si="244"/>
        <v>490</v>
      </c>
      <c r="B3770" s="1" t="str">
        <f>TEXT(51,"00")</f>
        <v>51</v>
      </c>
      <c r="C3770" s="1" t="str">
        <f t="shared" si="241"/>
        <v>490-51</v>
      </c>
      <c r="D3770" t="s">
        <v>3751</v>
      </c>
      <c r="E3770" t="b">
        <f>IF(COUNTIF(D3770,"*"&amp;'Keyword Search'!$C$5&amp;"*"),TRUE,FALSE)</f>
        <v>1</v>
      </c>
      <c r="G3770" t="str">
        <f t="shared" si="242"/>
        <v>490-51: Lasers, Masers, and Accessories, Laboratory</v>
      </c>
    </row>
    <row r="3771" spans="1:7" x14ac:dyDescent="0.25">
      <c r="A3771" s="1" t="str">
        <f t="shared" si="244"/>
        <v>490</v>
      </c>
      <c r="B3771" s="1" t="str">
        <f>TEXT(52,"00")</f>
        <v>52</v>
      </c>
      <c r="C3771" s="1" t="str">
        <f t="shared" si="241"/>
        <v>490-52</v>
      </c>
      <c r="D3771" t="s">
        <v>3752</v>
      </c>
      <c r="E3771" t="b">
        <f>IF(COUNTIF(D3771,"*"&amp;'Keyword Search'!$C$5&amp;"*"),TRUE,FALSE)</f>
        <v>1</v>
      </c>
      <c r="G3771" t="str">
        <f t="shared" si="242"/>
        <v>490-52: Leak Detectors, Vacuum: Helium, Ultrasonic, etc., Laboratory</v>
      </c>
    </row>
    <row r="3772" spans="1:7" x14ac:dyDescent="0.25">
      <c r="A3772" s="1" t="str">
        <f t="shared" si="244"/>
        <v>490</v>
      </c>
      <c r="B3772" s="1" t="str">
        <f>TEXT(53,"00")</f>
        <v>53</v>
      </c>
      <c r="C3772" s="1" t="str">
        <f t="shared" si="241"/>
        <v>490-53</v>
      </c>
      <c r="D3772" t="s">
        <v>3753</v>
      </c>
      <c r="E3772" t="b">
        <f>IF(COUNTIF(D3772,"*"&amp;'Keyword Search'!$C$5&amp;"*"),TRUE,FALSE)</f>
        <v>1</v>
      </c>
      <c r="G3772" t="str">
        <f t="shared" si="242"/>
        <v>490-53: Magnetic Equipment, Laboratory: Demagnetizers, Electromagnets, Fluxmeters, Gaussmeters, Magnetometers, etc.</v>
      </c>
    </row>
    <row r="3773" spans="1:7" x14ac:dyDescent="0.25">
      <c r="A3773" s="1" t="str">
        <f t="shared" si="244"/>
        <v>490</v>
      </c>
      <c r="B3773" s="1" t="str">
        <f>TEXT(55,"00")</f>
        <v>55</v>
      </c>
      <c r="C3773" s="1" t="str">
        <f t="shared" si="241"/>
        <v>490-55</v>
      </c>
      <c r="D3773" t="s">
        <v>3754</v>
      </c>
      <c r="E3773" t="b">
        <f>IF(COUNTIF(D3773,"*"&amp;'Keyword Search'!$C$5&amp;"*"),TRUE,FALSE)</f>
        <v>1</v>
      </c>
      <c r="G3773" t="str">
        <f t="shared" si="242"/>
        <v>490-55: Mass Spectrometers and Accessories, Laboratory</v>
      </c>
    </row>
    <row r="3774" spans="1:7" x14ac:dyDescent="0.25">
      <c r="A3774" s="1" t="str">
        <f t="shared" si="244"/>
        <v>490</v>
      </c>
      <c r="B3774" s="1" t="str">
        <f>TEXT(56,"00")</f>
        <v>56</v>
      </c>
      <c r="C3774" s="1" t="str">
        <f t="shared" si="241"/>
        <v>490-56</v>
      </c>
      <c r="D3774" t="s">
        <v>3755</v>
      </c>
      <c r="E3774" t="b">
        <f>IF(COUNTIF(D3774,"*"&amp;'Keyword Search'!$C$5&amp;"*"),TRUE,FALSE)</f>
        <v>1</v>
      </c>
      <c r="G3774" t="str">
        <f t="shared" si="242"/>
        <v>490-56: Micromanipulator, Laboratory ,</v>
      </c>
    </row>
    <row r="3775" spans="1:7" x14ac:dyDescent="0.25">
      <c r="A3775" s="1" t="str">
        <f t="shared" si="244"/>
        <v>490</v>
      </c>
      <c r="B3775" s="1" t="str">
        <f>TEXT(57,"00")</f>
        <v>57</v>
      </c>
      <c r="C3775" s="1" t="str">
        <f t="shared" si="241"/>
        <v>490-57</v>
      </c>
      <c r="D3775" t="s">
        <v>3756</v>
      </c>
      <c r="E3775" t="b">
        <f>IF(COUNTIF(D3775,"*"&amp;'Keyword Search'!$C$5&amp;"*"),TRUE,FALSE)</f>
        <v>1</v>
      </c>
      <c r="G3775" t="str">
        <f t="shared" si="242"/>
        <v>490-57: Microscope Accessories: Adapters, Condensers, Filters, Illuminators, Lenses, etc., Laboratory</v>
      </c>
    </row>
    <row r="3776" spans="1:7" x14ac:dyDescent="0.25">
      <c r="A3776" s="1" t="str">
        <f t="shared" si="244"/>
        <v>490</v>
      </c>
      <c r="B3776" s="1" t="str">
        <f>TEXT(58,"00")</f>
        <v>58</v>
      </c>
      <c r="C3776" s="1" t="str">
        <f t="shared" si="241"/>
        <v>490-58</v>
      </c>
      <c r="D3776" t="s">
        <v>3757</v>
      </c>
      <c r="E3776" t="b">
        <f>IF(COUNTIF(D3776,"*"&amp;'Keyword Search'!$C$5&amp;"*"),TRUE,FALSE)</f>
        <v>1</v>
      </c>
      <c r="G3776" t="str">
        <f t="shared" si="242"/>
        <v>490-58: Microscopes, All Types, (See 490-29 For Electron and See 465 For Operating Room)</v>
      </c>
    </row>
    <row r="3777" spans="1:7" x14ac:dyDescent="0.25">
      <c r="A3777" s="1" t="str">
        <f t="shared" si="244"/>
        <v>490</v>
      </c>
      <c r="B3777" s="1" t="str">
        <f>TEXT(63,"00")</f>
        <v>63</v>
      </c>
      <c r="C3777" s="1" t="str">
        <f t="shared" si="241"/>
        <v>490-63</v>
      </c>
      <c r="D3777" t="s">
        <v>3758</v>
      </c>
      <c r="E3777" t="b">
        <f>IF(COUNTIF(D3777,"*"&amp;'Keyword Search'!$C$5&amp;"*"),TRUE,FALSE)</f>
        <v>1</v>
      </c>
      <c r="G3777" t="str">
        <f t="shared" si="242"/>
        <v>490-63: Natural Science Equipment and Supplies, Laboratory</v>
      </c>
    </row>
    <row r="3778" spans="1:7" x14ac:dyDescent="0.25">
      <c r="A3778" s="1" t="str">
        <f t="shared" si="244"/>
        <v>490</v>
      </c>
      <c r="B3778" s="1" t="str">
        <f>TEXT(65,"00")</f>
        <v>65</v>
      </c>
      <c r="C3778" s="1" t="str">
        <f t="shared" si="241"/>
        <v>490-65</v>
      </c>
      <c r="D3778" t="s">
        <v>3759</v>
      </c>
      <c r="E3778" t="b">
        <f>IF(COUNTIF(D3778,"*"&amp;'Keyword Search'!$C$5&amp;"*"),TRUE,FALSE)</f>
        <v>1</v>
      </c>
      <c r="G3778" t="str">
        <f t="shared" si="242"/>
        <v>490-65: Nuclear Equipment and Accessories, Laboratory: Magnetic Shielding, Particle Accelerators, Counters (Research Type), Scintillating Crystals, etc.</v>
      </c>
    </row>
    <row r="3779" spans="1:7" x14ac:dyDescent="0.25">
      <c r="A3779" s="1" t="str">
        <f t="shared" si="244"/>
        <v>490</v>
      </c>
      <c r="B3779" s="1" t="str">
        <f>TEXT(68,"00")</f>
        <v>68</v>
      </c>
      <c r="C3779" s="1" t="str">
        <f t="shared" ref="C3779:C3842" si="245">CONCATENATE(A3779,"-",B3779)</f>
        <v>490-68</v>
      </c>
      <c r="D3779" t="s">
        <v>3760</v>
      </c>
      <c r="E3779" t="b">
        <f>IF(COUNTIF(D3779,"*"&amp;'Keyword Search'!$C$5&amp;"*"),TRUE,FALSE)</f>
        <v>1</v>
      </c>
      <c r="G3779" t="str">
        <f t="shared" si="242"/>
        <v>490-68: Nuclear Magnetic Resonance (NMR) Apparatus, Laboratory</v>
      </c>
    </row>
    <row r="3780" spans="1:7" x14ac:dyDescent="0.25">
      <c r="A3780" s="1" t="str">
        <f t="shared" si="244"/>
        <v>490</v>
      </c>
      <c r="B3780" s="1" t="str">
        <f>TEXT(69,"00")</f>
        <v>69</v>
      </c>
      <c r="C3780" s="1" t="str">
        <f t="shared" si="245"/>
        <v>490-69</v>
      </c>
      <c r="D3780" t="s">
        <v>3761</v>
      </c>
      <c r="E3780" t="b">
        <f>IF(COUNTIF(D3780,"*"&amp;'Keyword Search'!$C$5&amp;"*"),TRUE,FALSE)</f>
        <v>1</v>
      </c>
      <c r="G3780" t="str">
        <f t="shared" ref="G3780:G3843" si="246">CONCATENATE(C3780,": ",D3780)</f>
        <v>490-69: Nuclear Radiation Sources, Laboratory, Not for Medical Use</v>
      </c>
    </row>
    <row r="3781" spans="1:7" x14ac:dyDescent="0.25">
      <c r="A3781" s="1" t="str">
        <f t="shared" si="244"/>
        <v>490</v>
      </c>
      <c r="B3781" s="1" t="str">
        <f>TEXT(71,"00")</f>
        <v>71</v>
      </c>
      <c r="C3781" s="1" t="str">
        <f t="shared" si="245"/>
        <v>490-71</v>
      </c>
      <c r="D3781" t="s">
        <v>3762</v>
      </c>
      <c r="E3781" t="b">
        <f>IF(COUNTIF(D3781,"*"&amp;'Keyword Search'!$C$5&amp;"*"),TRUE,FALSE)</f>
        <v>1</v>
      </c>
      <c r="G3781" t="str">
        <f t="shared" si="246"/>
        <v>490-71: Nuclear Safety Equipment and Supplies, Laboratory: Dosimeters, Film Badges, Lead Shielding, Radiation Monitors, Survey Meters, (See Class 832 For Warning Tape)</v>
      </c>
    </row>
    <row r="3782" spans="1:7" x14ac:dyDescent="0.25">
      <c r="A3782" s="1" t="str">
        <f t="shared" si="244"/>
        <v>490</v>
      </c>
      <c r="B3782" s="1" t="str">
        <f>TEXT(72,"00")</f>
        <v>72</v>
      </c>
      <c r="C3782" s="1" t="str">
        <f t="shared" si="245"/>
        <v>490-72</v>
      </c>
      <c r="D3782" t="s">
        <v>3763</v>
      </c>
      <c r="E3782" t="b">
        <f>IF(COUNTIF(D3782,"*"&amp;'Keyword Search'!$C$5&amp;"*"),TRUE,FALSE)</f>
        <v>1</v>
      </c>
      <c r="G3782" t="str">
        <f t="shared" si="246"/>
        <v>490-72: Optical Laboratory Equipment: Beam Splitters, Choppers, Diffraction Gratings, Interferometers, Monochromators, Optical Benches and Tables, etc.</v>
      </c>
    </row>
    <row r="3783" spans="1:7" x14ac:dyDescent="0.25">
      <c r="A3783" s="1" t="str">
        <f t="shared" si="244"/>
        <v>490</v>
      </c>
      <c r="B3783" s="1" t="str">
        <f>TEXT(73,"00")</f>
        <v>73</v>
      </c>
      <c r="C3783" s="1" t="str">
        <f t="shared" si="245"/>
        <v>490-73</v>
      </c>
      <c r="D3783" t="s">
        <v>3764</v>
      </c>
      <c r="E3783" t="b">
        <f>IF(COUNTIF(D3783,"*"&amp;'Keyword Search'!$C$5&amp;"*"),TRUE,FALSE)</f>
        <v>1</v>
      </c>
      <c r="G3783" t="str">
        <f t="shared" si="246"/>
        <v>490-73: Photometers, Reflectance, Laboratory</v>
      </c>
    </row>
    <row r="3784" spans="1:7" x14ac:dyDescent="0.25">
      <c r="A3784" s="1" t="str">
        <f t="shared" si="244"/>
        <v>490</v>
      </c>
      <c r="B3784" s="1" t="str">
        <f>TEXT(74,"00")</f>
        <v>74</v>
      </c>
      <c r="C3784" s="1" t="str">
        <f t="shared" si="245"/>
        <v>490-74</v>
      </c>
      <c r="D3784" t="s">
        <v>3765</v>
      </c>
      <c r="E3784" t="b">
        <f>IF(COUNTIF(D3784,"*"&amp;'Keyword Search'!$C$5&amp;"*"),TRUE,FALSE)</f>
        <v>1</v>
      </c>
      <c r="G3784" t="str">
        <f t="shared" si="246"/>
        <v>490-74: Physics Equipment, Laboratory, (Not Otherwise Classified)</v>
      </c>
    </row>
    <row r="3785" spans="1:7" x14ac:dyDescent="0.25">
      <c r="A3785" s="1" t="str">
        <f t="shared" si="244"/>
        <v>490</v>
      </c>
      <c r="B3785" s="1" t="str">
        <f>TEXT(75,"00")</f>
        <v>75</v>
      </c>
      <c r="C3785" s="1" t="str">
        <f t="shared" si="245"/>
        <v>490-75</v>
      </c>
      <c r="D3785" t="s">
        <v>3766</v>
      </c>
      <c r="E3785" t="b">
        <f>IF(COUNTIF(D3785,"*"&amp;'Keyword Search'!$C$5&amp;"*"),TRUE,FALSE)</f>
        <v>1</v>
      </c>
      <c r="G3785" t="str">
        <f t="shared" si="246"/>
        <v>490-75: Plasma Generators, Laboratory</v>
      </c>
    </row>
    <row r="3786" spans="1:7" x14ac:dyDescent="0.25">
      <c r="A3786" s="1" t="str">
        <f t="shared" si="244"/>
        <v>490</v>
      </c>
      <c r="B3786" s="1" t="str">
        <f>TEXT(76,"00")</f>
        <v>76</v>
      </c>
      <c r="C3786" s="1" t="str">
        <f t="shared" si="245"/>
        <v>490-76</v>
      </c>
      <c r="D3786" t="s">
        <v>3767</v>
      </c>
      <c r="E3786" t="b">
        <f>IF(COUNTIF(D3786,"*"&amp;'Keyword Search'!$C$5&amp;"*"),TRUE,FALSE)</f>
        <v>1</v>
      </c>
      <c r="G3786" t="str">
        <f t="shared" si="246"/>
        <v>490-76: Plasticizers, Laboratory: Agriculture Oils, Glutarates, Phthalates, Polymerics, Sulfonamides, Etc.</v>
      </c>
    </row>
    <row r="3787" spans="1:7" x14ac:dyDescent="0.25">
      <c r="A3787" s="1" t="str">
        <f t="shared" si="244"/>
        <v>490</v>
      </c>
      <c r="B3787" s="1" t="str">
        <f>TEXT(77,"00")</f>
        <v>77</v>
      </c>
      <c r="C3787" s="1" t="str">
        <f t="shared" si="245"/>
        <v>490-77</v>
      </c>
      <c r="D3787" t="s">
        <v>3768</v>
      </c>
      <c r="E3787" t="b">
        <f>IF(COUNTIF(D3787,"*"&amp;'Keyword Search'!$C$5&amp;"*"),TRUE,FALSE)</f>
        <v>1</v>
      </c>
      <c r="G3787" t="str">
        <f t="shared" si="246"/>
        <v>490-77: Pumps, Liquid, Laboratory: Metering, Peristaltic, Syringe, etc.</v>
      </c>
    </row>
    <row r="3788" spans="1:7" x14ac:dyDescent="0.25">
      <c r="A3788" s="1" t="str">
        <f t="shared" si="244"/>
        <v>490</v>
      </c>
      <c r="B3788" s="1" t="str">
        <f>TEXT(78,"00")</f>
        <v>78</v>
      </c>
      <c r="C3788" s="1" t="str">
        <f t="shared" si="245"/>
        <v>490-78</v>
      </c>
      <c r="D3788" t="s">
        <v>3769</v>
      </c>
      <c r="E3788" t="b">
        <f>IF(COUNTIF(D3788,"*"&amp;'Keyword Search'!$C$5&amp;"*"),TRUE,FALSE)</f>
        <v>1</v>
      </c>
      <c r="G3788" t="str">
        <f t="shared" si="246"/>
        <v>490-78: Pumps, Vacuum and Pressure Vacuum, Laboratory</v>
      </c>
    </row>
    <row r="3789" spans="1:7" x14ac:dyDescent="0.25">
      <c r="A3789" s="1" t="str">
        <f t="shared" si="244"/>
        <v>490</v>
      </c>
      <c r="B3789" s="1" t="str">
        <f>TEXT(79,"00")</f>
        <v>79</v>
      </c>
      <c r="C3789" s="1" t="str">
        <f t="shared" si="245"/>
        <v>490-79</v>
      </c>
      <c r="D3789" t="s">
        <v>3770</v>
      </c>
      <c r="E3789" t="b">
        <f>IF(COUNTIF(D3789,"*"&amp;'Keyword Search'!$C$5&amp;"*"),TRUE,FALSE)</f>
        <v>1</v>
      </c>
      <c r="G3789" t="str">
        <f t="shared" si="246"/>
        <v>490-79: Radioactive Waste Disposal Systems and Accessories, Laboratory</v>
      </c>
    </row>
    <row r="3790" spans="1:7" x14ac:dyDescent="0.25">
      <c r="A3790" s="1" t="str">
        <f t="shared" si="244"/>
        <v>490</v>
      </c>
      <c r="B3790" s="1" t="str">
        <f>TEXT(80,"00")</f>
        <v>80</v>
      </c>
      <c r="C3790" s="1" t="str">
        <f t="shared" si="245"/>
        <v>490-80</v>
      </c>
      <c r="D3790" t="s">
        <v>3771</v>
      </c>
      <c r="E3790" t="b">
        <f>IF(COUNTIF(D3790,"*"&amp;'Keyword Search'!$C$5&amp;"*"),TRUE,FALSE)</f>
        <v>1</v>
      </c>
      <c r="G3790" t="str">
        <f t="shared" si="246"/>
        <v>490-80: Sorption Measurement Systems, Laboratory, For Surface Area of Fine Particles, etc.</v>
      </c>
    </row>
    <row r="3791" spans="1:7" x14ac:dyDescent="0.25">
      <c r="A3791" s="1" t="str">
        <f t="shared" si="244"/>
        <v>490</v>
      </c>
      <c r="B3791" s="1" t="str">
        <f>TEXT(81,"00")</f>
        <v>81</v>
      </c>
      <c r="C3791" s="1" t="str">
        <f t="shared" si="245"/>
        <v>490-81</v>
      </c>
      <c r="D3791" t="s">
        <v>3772</v>
      </c>
      <c r="E3791" t="b">
        <f>IF(COUNTIF(D3791,"*"&amp;'Keyword Search'!$C$5&amp;"*"),TRUE,FALSE)</f>
        <v>1</v>
      </c>
      <c r="G3791" t="str">
        <f t="shared" si="246"/>
        <v>490-81: Semiconductor Devices, Laboratory</v>
      </c>
    </row>
    <row r="3792" spans="1:7" x14ac:dyDescent="0.25">
      <c r="A3792" s="1" t="str">
        <f t="shared" si="244"/>
        <v>490</v>
      </c>
      <c r="B3792" s="1" t="str">
        <f>TEXT(82,"00")</f>
        <v>82</v>
      </c>
      <c r="C3792" s="1" t="str">
        <f t="shared" si="245"/>
        <v>490-82</v>
      </c>
      <c r="D3792" t="s">
        <v>3773</v>
      </c>
      <c r="E3792" t="b">
        <f>IF(COUNTIF(D3792,"*"&amp;'Keyword Search'!$C$5&amp;"*"),TRUE,FALSE)</f>
        <v>1</v>
      </c>
      <c r="G3792" t="str">
        <f t="shared" si="246"/>
        <v>490-82: Separators, Laboratory</v>
      </c>
    </row>
    <row r="3793" spans="1:7" x14ac:dyDescent="0.25">
      <c r="A3793" s="1" t="str">
        <f t="shared" si="244"/>
        <v>490</v>
      </c>
      <c r="B3793" s="1" t="str">
        <f>TEXT(83,"00")</f>
        <v>83</v>
      </c>
      <c r="C3793" s="1" t="str">
        <f t="shared" si="245"/>
        <v>490-83</v>
      </c>
      <c r="D3793" t="s">
        <v>3774</v>
      </c>
      <c r="E3793" t="b">
        <f>IF(COUNTIF(D3793,"*"&amp;'Keyword Search'!$C$5&amp;"*"),TRUE,FALSE)</f>
        <v>1</v>
      </c>
      <c r="G3793" t="str">
        <f t="shared" si="246"/>
        <v>490-83: Spectrographs, Laboratory</v>
      </c>
    </row>
    <row r="3794" spans="1:7" x14ac:dyDescent="0.25">
      <c r="A3794" s="1" t="str">
        <f t="shared" si="244"/>
        <v>490</v>
      </c>
      <c r="B3794" s="1" t="str">
        <f>TEXT(84,"00")</f>
        <v>84</v>
      </c>
      <c r="C3794" s="1" t="str">
        <f t="shared" si="245"/>
        <v>490-84</v>
      </c>
      <c r="D3794" t="s">
        <v>3775</v>
      </c>
      <c r="E3794" t="b">
        <f>IF(COUNTIF(D3794,"*"&amp;'Keyword Search'!$C$5&amp;"*"),TRUE,FALSE)</f>
        <v>1</v>
      </c>
      <c r="G3794" t="str">
        <f t="shared" si="246"/>
        <v>490-84: Spectrometers, Laboratory: Auger, Electron Energy Loss, X-Ray Frequency, etc. (See 490-55 For Mass Spectrometers)</v>
      </c>
    </row>
    <row r="3795" spans="1:7" x14ac:dyDescent="0.25">
      <c r="A3795" s="1" t="str">
        <f t="shared" si="244"/>
        <v>490</v>
      </c>
      <c r="B3795" s="1" t="str">
        <f>TEXT(88,"00")</f>
        <v>88</v>
      </c>
      <c r="C3795" s="1" t="str">
        <f t="shared" si="245"/>
        <v>490-88</v>
      </c>
      <c r="D3795" t="s">
        <v>3776</v>
      </c>
      <c r="E3795" t="b">
        <f>IF(COUNTIF(D3795,"*"&amp;'Keyword Search'!$C$5&amp;"*"),TRUE,FALSE)</f>
        <v>1</v>
      </c>
      <c r="G3795" t="str">
        <f t="shared" si="246"/>
        <v>490-88: Spectroscopes, Direct Reading, Laboratory</v>
      </c>
    </row>
    <row r="3796" spans="1:7" x14ac:dyDescent="0.25">
      <c r="A3796" s="1" t="str">
        <f t="shared" si="244"/>
        <v>490</v>
      </c>
      <c r="B3796" s="1" t="str">
        <f>TEXT(90,"00")</f>
        <v>90</v>
      </c>
      <c r="C3796" s="1" t="str">
        <f t="shared" si="245"/>
        <v>490-90</v>
      </c>
      <c r="D3796" t="s">
        <v>3777</v>
      </c>
      <c r="E3796" t="b">
        <f>IF(COUNTIF(D3796,"*"&amp;'Keyword Search'!$C$5&amp;"*"),TRUE,FALSE)</f>
        <v>1</v>
      </c>
      <c r="G3796" t="str">
        <f t="shared" si="246"/>
        <v>490-90: Testing Instruments, Laboratory, (Not Otherwise Classified)</v>
      </c>
    </row>
    <row r="3797" spans="1:7" x14ac:dyDescent="0.25">
      <c r="A3797" s="1" t="str">
        <f t="shared" si="244"/>
        <v>490</v>
      </c>
      <c r="B3797" s="1" t="str">
        <f>TEXT(92,"00")</f>
        <v>92</v>
      </c>
      <c r="C3797" s="1" t="str">
        <f t="shared" si="245"/>
        <v>490-92</v>
      </c>
      <c r="D3797" t="s">
        <v>3778</v>
      </c>
      <c r="E3797" t="b">
        <f>IF(COUNTIF(D3797,"*"&amp;'Keyword Search'!$C$5&amp;"*"),TRUE,FALSE)</f>
        <v>1</v>
      </c>
      <c r="G3797" t="str">
        <f t="shared" si="246"/>
        <v>490-92: Thermal Analysis, Thermogravimetry, and Thermal Conductivity Apparatus, Laboratory</v>
      </c>
    </row>
    <row r="3798" spans="1:7" x14ac:dyDescent="0.25">
      <c r="A3798" s="1" t="str">
        <f t="shared" si="244"/>
        <v>490</v>
      </c>
      <c r="B3798" s="1" t="str">
        <f>TEXT(93,"00")</f>
        <v>93</v>
      </c>
      <c r="C3798" s="1" t="str">
        <f t="shared" si="245"/>
        <v>490-93</v>
      </c>
      <c r="D3798" t="s">
        <v>3779</v>
      </c>
      <c r="E3798" t="b">
        <f>IF(COUNTIF(D3798,"*"&amp;'Keyword Search'!$C$5&amp;"*"),TRUE,FALSE)</f>
        <v>1</v>
      </c>
      <c r="G3798" t="str">
        <f t="shared" si="246"/>
        <v>490-93: Ultrasonic Equipment, Laboratory, Research: Ultrasound Interferometers, Pulse Generators, etc.</v>
      </c>
    </row>
    <row r="3799" spans="1:7" x14ac:dyDescent="0.25">
      <c r="A3799" s="1" t="str">
        <f t="shared" si="244"/>
        <v>490</v>
      </c>
      <c r="B3799" s="1" t="str">
        <f>TEXT(94,"00")</f>
        <v>94</v>
      </c>
      <c r="C3799" s="1" t="str">
        <f t="shared" si="245"/>
        <v>490-94</v>
      </c>
      <c r="D3799" t="s">
        <v>3780</v>
      </c>
      <c r="E3799" t="b">
        <f>IF(COUNTIF(D3799,"*"&amp;'Keyword Search'!$C$5&amp;"*"),TRUE,FALSE)</f>
        <v>1</v>
      </c>
      <c r="G3799" t="str">
        <f t="shared" si="246"/>
        <v>490-94: Vibration Isolation Supports, Laboratory</v>
      </c>
    </row>
    <row r="3800" spans="1:7" x14ac:dyDescent="0.25">
      <c r="A3800" s="1" t="str">
        <f t="shared" si="244"/>
        <v>490</v>
      </c>
      <c r="B3800" s="1" t="str">
        <f>TEXT(95,"00")</f>
        <v>95</v>
      </c>
      <c r="C3800" s="1" t="str">
        <f t="shared" si="245"/>
        <v>490-95</v>
      </c>
      <c r="D3800" t="s">
        <v>3781</v>
      </c>
      <c r="E3800" t="b">
        <f>IF(COUNTIF(D3800,"*"&amp;'Keyword Search'!$C$5&amp;"*"),TRUE,FALSE)</f>
        <v>1</v>
      </c>
      <c r="G3800" t="str">
        <f t="shared" si="246"/>
        <v>490-95: Vacuum Equipment, Laboratory, (Not Otherwise Classified)</v>
      </c>
    </row>
    <row r="3801" spans="1:7" x14ac:dyDescent="0.25">
      <c r="A3801" s="1" t="str">
        <f t="shared" si="244"/>
        <v>490</v>
      </c>
      <c r="B3801" s="1" t="str">
        <f>TEXT(96,"00")</f>
        <v>96</v>
      </c>
      <c r="C3801" s="1" t="str">
        <f t="shared" si="245"/>
        <v>490-96</v>
      </c>
      <c r="D3801" t="s">
        <v>3782</v>
      </c>
      <c r="E3801" t="b">
        <f>IF(COUNTIF(D3801,"*"&amp;'Keyword Search'!$C$5&amp;"*"),TRUE,FALSE)</f>
        <v>1</v>
      </c>
      <c r="G3801" t="str">
        <f t="shared" si="246"/>
        <v>490-96: X-Ray Diffraction and Electron Diffraction Equipment, Laboratory</v>
      </c>
    </row>
    <row r="3802" spans="1:7" x14ac:dyDescent="0.25">
      <c r="A3802" s="1" t="str">
        <f t="shared" si="244"/>
        <v>490</v>
      </c>
      <c r="B3802" s="1" t="str">
        <f>TEXT(97,"00")</f>
        <v>97</v>
      </c>
      <c r="C3802" s="1" t="str">
        <f t="shared" si="245"/>
        <v>490-97</v>
      </c>
      <c r="D3802" t="s">
        <v>3783</v>
      </c>
      <c r="E3802" t="b">
        <f>IF(COUNTIF(D3802,"*"&amp;'Keyword Search'!$C$5&amp;"*"),TRUE,FALSE)</f>
        <v>1</v>
      </c>
      <c r="G3802" t="str">
        <f t="shared" si="246"/>
        <v>490-97: Recycled Nuclear, Optical and Physical Laboratory Equipment and Supplies</v>
      </c>
    </row>
    <row r="3803" spans="1:7" x14ac:dyDescent="0.25">
      <c r="A3803" s="5" t="str">
        <f t="shared" ref="A3803:A3844" si="247">TEXT(493,"000")</f>
        <v>493</v>
      </c>
      <c r="B3803" s="5" t="str">
        <f>TEXT(0,"00")</f>
        <v>00</v>
      </c>
      <c r="C3803" s="1"/>
      <c r="D3803" s="2" t="s">
        <v>3784</v>
      </c>
    </row>
    <row r="3804" spans="1:7" x14ac:dyDescent="0.25">
      <c r="A3804" s="1" t="str">
        <f t="shared" si="247"/>
        <v>493</v>
      </c>
      <c r="B3804" s="1" t="str">
        <f>TEXT(4,"00")</f>
        <v>04</v>
      </c>
      <c r="C3804" s="1" t="str">
        <f t="shared" si="245"/>
        <v>493-04</v>
      </c>
      <c r="D3804" t="s">
        <v>3785</v>
      </c>
      <c r="E3804" t="b">
        <f>IF(COUNTIF(D3804,"*"&amp;'Keyword Search'!$C$5&amp;"*"),TRUE,FALSE)</f>
        <v>1</v>
      </c>
      <c r="G3804" t="str">
        <f t="shared" si="246"/>
        <v>493-04: *Air Quality Monitoring Equipment and Accessories, Laboratory, Including Ozone Type</v>
      </c>
    </row>
    <row r="3805" spans="1:7" x14ac:dyDescent="0.25">
      <c r="A3805" s="1" t="str">
        <f t="shared" si="247"/>
        <v>493</v>
      </c>
      <c r="B3805" s="1" t="str">
        <f>TEXT(5,"00")</f>
        <v>05</v>
      </c>
      <c r="C3805" s="1" t="str">
        <f t="shared" si="245"/>
        <v>493-05</v>
      </c>
      <c r="D3805" t="s">
        <v>3786</v>
      </c>
      <c r="E3805" t="b">
        <f>IF(COUNTIF(D3805,"*"&amp;'Keyword Search'!$C$5&amp;"*"),TRUE,FALSE)</f>
        <v>1</v>
      </c>
      <c r="G3805" t="str">
        <f t="shared" si="246"/>
        <v>493-05: Airborne Bacteria and Virus Inactivation Equipment, Laboratory, Ozone Type</v>
      </c>
    </row>
    <row r="3806" spans="1:7" x14ac:dyDescent="0.25">
      <c r="A3806" s="1" t="str">
        <f t="shared" si="247"/>
        <v>493</v>
      </c>
      <c r="B3806" s="1" t="str">
        <f>TEXT(6,"00")</f>
        <v>06</v>
      </c>
      <c r="C3806" s="1" t="str">
        <f t="shared" si="245"/>
        <v>493-06</v>
      </c>
      <c r="D3806" t="s">
        <v>3787</v>
      </c>
      <c r="E3806" t="b">
        <f>IF(COUNTIF(D3806,"*"&amp;'Keyword Search'!$C$5&amp;"*"),TRUE,FALSE)</f>
        <v>1</v>
      </c>
      <c r="G3806" t="str">
        <f t="shared" si="246"/>
        <v>493-06: Baths, Constant Temperature, Hot or Cold , Laboratory, Recirculating, Shaking, etc.</v>
      </c>
    </row>
    <row r="3807" spans="1:7" x14ac:dyDescent="0.25">
      <c r="A3807" s="1" t="str">
        <f t="shared" si="247"/>
        <v>493</v>
      </c>
      <c r="B3807" s="1" t="str">
        <f>TEXT(8,"00")</f>
        <v>08</v>
      </c>
      <c r="C3807" s="1" t="str">
        <f t="shared" si="245"/>
        <v>493-08</v>
      </c>
      <c r="D3807" t="s">
        <v>3788</v>
      </c>
      <c r="E3807" t="b">
        <f>IF(COUNTIF(D3807,"*"&amp;'Keyword Search'!$C$5&amp;"*"),TRUE,FALSE)</f>
        <v>1</v>
      </c>
      <c r="G3807" t="str">
        <f t="shared" si="246"/>
        <v>493-08: Biochemical Research Equipment, Laboratory: DNA Synthesizers, Enzyme Analyzers, Respirometers, etc.</v>
      </c>
    </row>
    <row r="3808" spans="1:7" x14ac:dyDescent="0.25">
      <c r="A3808" s="1" t="str">
        <f t="shared" si="247"/>
        <v>493</v>
      </c>
      <c r="B3808" s="1" t="str">
        <f>TEXT(9,"00")</f>
        <v>09</v>
      </c>
      <c r="C3808" s="1" t="str">
        <f t="shared" si="245"/>
        <v>493-09</v>
      </c>
      <c r="D3808" t="s">
        <v>3789</v>
      </c>
      <c r="E3808" t="b">
        <f>IF(COUNTIF(D3808,"*"&amp;'Keyword Search'!$C$5&amp;"*"),TRUE,FALSE)</f>
        <v>1</v>
      </c>
      <c r="G3808" t="str">
        <f t="shared" si="246"/>
        <v>493-09: Chemical Analysis Systems, Automated, Laboratory: Ion-Sensing Electrode, Micro-Kjeldahl, Titration, etc.</v>
      </c>
    </row>
    <row r="3809" spans="1:7" x14ac:dyDescent="0.25">
      <c r="A3809" s="1" t="str">
        <f t="shared" si="247"/>
        <v>493</v>
      </c>
      <c r="B3809" s="1" t="str">
        <f>TEXT(10,"00")</f>
        <v>10</v>
      </c>
      <c r="C3809" s="1" t="str">
        <f t="shared" si="245"/>
        <v>493-10</v>
      </c>
      <c r="D3809" t="s">
        <v>3790</v>
      </c>
      <c r="E3809" t="b">
        <f>IF(COUNTIF(D3809,"*"&amp;'Keyword Search'!$C$5&amp;"*"),TRUE,FALSE)</f>
        <v>1</v>
      </c>
      <c r="G3809" t="str">
        <f t="shared" si="246"/>
        <v>493-10: Chemical Reactors, Laboratory: High Pressure, Autoclaves, Catalytic, Fluid-Bed, Photochemical, etc.</v>
      </c>
    </row>
    <row r="3810" spans="1:7" x14ac:dyDescent="0.25">
      <c r="A3810" s="1" t="str">
        <f t="shared" si="247"/>
        <v>493</v>
      </c>
      <c r="B3810" s="1" t="str">
        <f>TEXT(11,"00")</f>
        <v>11</v>
      </c>
      <c r="C3810" s="1" t="str">
        <f t="shared" si="245"/>
        <v>493-11</v>
      </c>
      <c r="D3810" t="s">
        <v>3791</v>
      </c>
      <c r="E3810" t="b">
        <f>IF(COUNTIF(D3810,"*"&amp;'Keyword Search'!$C$5&amp;"*"),TRUE,FALSE)</f>
        <v>1</v>
      </c>
      <c r="G3810" t="str">
        <f t="shared" si="246"/>
        <v>493-11: *Chromatographs, Laboratory, Gas</v>
      </c>
    </row>
    <row r="3811" spans="1:7" x14ac:dyDescent="0.25">
      <c r="A3811" s="1" t="str">
        <f t="shared" si="247"/>
        <v>493</v>
      </c>
      <c r="B3811" s="1" t="str">
        <f>TEXT(12,"00")</f>
        <v>12</v>
      </c>
      <c r="C3811" s="1" t="str">
        <f t="shared" si="245"/>
        <v>493-12</v>
      </c>
      <c r="D3811" t="s">
        <v>3792</v>
      </c>
      <c r="E3811" t="b">
        <f>IF(COUNTIF(D3811,"*"&amp;'Keyword Search'!$C$5&amp;"*"),TRUE,FALSE)</f>
        <v>1</v>
      </c>
      <c r="G3811" t="str">
        <f t="shared" si="246"/>
        <v>493-12: Chromatographs, Laboratory, Liquid: High-Performance (HPLC), Preparative, etc., and Major Accessories: Absorbance/Fluorescence Detectors and Monitors, etc.</v>
      </c>
    </row>
    <row r="3812" spans="1:7" x14ac:dyDescent="0.25">
      <c r="A3812" s="1" t="str">
        <f t="shared" si="247"/>
        <v>493</v>
      </c>
      <c r="B3812" s="1" t="str">
        <f>TEXT(13,"00")</f>
        <v>13</v>
      </c>
      <c r="C3812" s="1" t="str">
        <f t="shared" si="245"/>
        <v>493-13</v>
      </c>
      <c r="D3812" t="s">
        <v>3793</v>
      </c>
      <c r="E3812" t="b">
        <f>IF(COUNTIF(D3812,"*"&amp;'Keyword Search'!$C$5&amp;"*"),TRUE,FALSE)</f>
        <v>1</v>
      </c>
      <c r="G3812" t="str">
        <f t="shared" si="246"/>
        <v>493-13: Colloids, Laboratory: Aerosols, Emulsions, Gels, Suspensions, etc.</v>
      </c>
    </row>
    <row r="3813" spans="1:7" x14ac:dyDescent="0.25">
      <c r="A3813" s="1" t="str">
        <f t="shared" si="247"/>
        <v>493</v>
      </c>
      <c r="B3813" s="1" t="str">
        <f>TEXT(14,"00")</f>
        <v>14</v>
      </c>
      <c r="C3813" s="1" t="str">
        <f t="shared" si="245"/>
        <v>493-14</v>
      </c>
      <c r="D3813" t="s">
        <v>3794</v>
      </c>
      <c r="E3813" t="b">
        <f>IF(COUNTIF(D3813,"*"&amp;'Keyword Search'!$C$5&amp;"*"),TRUE,FALSE)</f>
        <v>1</v>
      </c>
      <c r="G3813" t="str">
        <f t="shared" si="246"/>
        <v>493-14: Combustion Analysis Equipment, Laboratory, Automatic, For Carbon, Nitrogen, Sulfur, etc.</v>
      </c>
    </row>
    <row r="3814" spans="1:7" x14ac:dyDescent="0.25">
      <c r="A3814" s="1" t="str">
        <f t="shared" si="247"/>
        <v>493</v>
      </c>
      <c r="B3814" s="1" t="str">
        <f>TEXT(16,"00")</f>
        <v>16</v>
      </c>
      <c r="C3814" s="1" t="str">
        <f t="shared" si="245"/>
        <v>493-16</v>
      </c>
      <c r="D3814" t="s">
        <v>3795</v>
      </c>
      <c r="E3814" t="b">
        <f>IF(COUNTIF(D3814,"*"&amp;'Keyword Search'!$C$5&amp;"*"),TRUE,FALSE)</f>
        <v>1</v>
      </c>
      <c r="G3814" t="str">
        <f t="shared" si="246"/>
        <v>493-16: Densitometers, Laboratory, Scanning, Gel or Plate Scanners</v>
      </c>
    </row>
    <row r="3815" spans="1:7" x14ac:dyDescent="0.25">
      <c r="A3815" s="1" t="str">
        <f t="shared" si="247"/>
        <v>493</v>
      </c>
      <c r="B3815" s="1" t="str">
        <f>TEXT(17,"00")</f>
        <v>17</v>
      </c>
      <c r="C3815" s="1" t="str">
        <f t="shared" si="245"/>
        <v>493-17</v>
      </c>
      <c r="D3815" t="s">
        <v>3796</v>
      </c>
      <c r="E3815" t="b">
        <f>IF(COUNTIF(D3815,"*"&amp;'Keyword Search'!$C$5&amp;"*"),TRUE,FALSE)</f>
        <v>1</v>
      </c>
      <c r="G3815" t="str">
        <f t="shared" si="246"/>
        <v>493-17: Deodorizers, Laboratory, Convection Type</v>
      </c>
    </row>
    <row r="3816" spans="1:7" x14ac:dyDescent="0.25">
      <c r="A3816" s="1" t="str">
        <f t="shared" si="247"/>
        <v>493</v>
      </c>
      <c r="B3816" s="1" t="str">
        <f>TEXT(18,"00")</f>
        <v>18</v>
      </c>
      <c r="C3816" s="1" t="str">
        <f t="shared" si="245"/>
        <v>493-18</v>
      </c>
      <c r="D3816" t="s">
        <v>3797</v>
      </c>
      <c r="E3816" t="b">
        <f>IF(COUNTIF(D3816,"*"&amp;'Keyword Search'!$C$5&amp;"*"),TRUE,FALSE)</f>
        <v>1</v>
      </c>
      <c r="G3816" t="str">
        <f t="shared" si="246"/>
        <v>493-18: Deodorizers and Room Air Fresheners, Laboratory, Ozone. Portable</v>
      </c>
    </row>
    <row r="3817" spans="1:7" x14ac:dyDescent="0.25">
      <c r="A3817" s="1" t="str">
        <f t="shared" si="247"/>
        <v>493</v>
      </c>
      <c r="B3817" s="1" t="str">
        <f>TEXT(24,"00")</f>
        <v>24</v>
      </c>
      <c r="C3817" s="1" t="str">
        <f t="shared" si="245"/>
        <v>493-24</v>
      </c>
      <c r="D3817" t="s">
        <v>3798</v>
      </c>
      <c r="E3817" t="b">
        <f>IF(COUNTIF(D3817,"*"&amp;'Keyword Search'!$C$5&amp;"*"),TRUE,FALSE)</f>
        <v>1</v>
      </c>
      <c r="G3817" t="str">
        <f t="shared" si="246"/>
        <v>493-24: Electrophoresis Equipment, Laboratory: Electrofocussing Cells, Gel Driers and Slicers, Power Supplies, etc.</v>
      </c>
    </row>
    <row r="3818" spans="1:7" x14ac:dyDescent="0.25">
      <c r="A3818" s="1" t="str">
        <f t="shared" si="247"/>
        <v>493</v>
      </c>
      <c r="B3818" s="1" t="str">
        <f>TEXT(25,"00")</f>
        <v>25</v>
      </c>
      <c r="C3818" s="1" t="str">
        <f t="shared" si="245"/>
        <v>493-25</v>
      </c>
      <c r="D3818" t="s">
        <v>3799</v>
      </c>
      <c r="E3818" t="b">
        <f>IF(COUNTIF(D3818,"*"&amp;'Keyword Search'!$C$5&amp;"*"),TRUE,FALSE)</f>
        <v>1</v>
      </c>
      <c r="G3818" t="str">
        <f t="shared" si="246"/>
        <v>493-25: Entomological Equipment and Accessories, Laboratory, Insect Science</v>
      </c>
    </row>
    <row r="3819" spans="1:7" x14ac:dyDescent="0.25">
      <c r="A3819" s="1" t="str">
        <f t="shared" si="247"/>
        <v>493</v>
      </c>
      <c r="B3819" s="1" t="str">
        <f>TEXT(30,"00")</f>
        <v>30</v>
      </c>
      <c r="C3819" s="1" t="str">
        <f t="shared" si="245"/>
        <v>493-30</v>
      </c>
      <c r="D3819" t="s">
        <v>3800</v>
      </c>
      <c r="E3819" t="b">
        <f>IF(COUNTIF(D3819,"*"&amp;'Keyword Search'!$C$5&amp;"*"),TRUE,FALSE)</f>
        <v>1</v>
      </c>
      <c r="G3819" t="str">
        <f t="shared" si="246"/>
        <v>493-30: Evaporators, Laboratory, Analytical, Air or Nitrogen Jet</v>
      </c>
    </row>
    <row r="3820" spans="1:7" x14ac:dyDescent="0.25">
      <c r="A3820" s="1" t="str">
        <f t="shared" si="247"/>
        <v>493</v>
      </c>
      <c r="B3820" s="1" t="str">
        <f>TEXT(32,"00")</f>
        <v>32</v>
      </c>
      <c r="C3820" s="1" t="str">
        <f t="shared" si="245"/>
        <v>493-32</v>
      </c>
      <c r="D3820" t="s">
        <v>3801</v>
      </c>
      <c r="E3820" t="b">
        <f>IF(COUNTIF(D3820,"*"&amp;'Keyword Search'!$C$5&amp;"*"),TRUE,FALSE)</f>
        <v>1</v>
      </c>
      <c r="G3820" t="str">
        <f t="shared" si="246"/>
        <v>493-32: Evaporators, Laboratory, Vacuum: Flash, Rotating, etc.</v>
      </c>
    </row>
    <row r="3821" spans="1:7" x14ac:dyDescent="0.25">
      <c r="A3821" s="1" t="str">
        <f t="shared" si="247"/>
        <v>493</v>
      </c>
      <c r="B3821" s="1" t="str">
        <f>TEXT(35,"00")</f>
        <v>35</v>
      </c>
      <c r="C3821" s="1" t="str">
        <f t="shared" si="245"/>
        <v>493-35</v>
      </c>
      <c r="D3821" t="s">
        <v>3802</v>
      </c>
      <c r="E3821" t="b">
        <f>IF(COUNTIF(D3821,"*"&amp;'Keyword Search'!$C$5&amp;"*"),TRUE,FALSE)</f>
        <v>1</v>
      </c>
      <c r="G3821" t="str">
        <f t="shared" si="246"/>
        <v>493-35: Fluorometers and Spectrofluorometers, Laboratory</v>
      </c>
    </row>
    <row r="3822" spans="1:7" x14ac:dyDescent="0.25">
      <c r="A3822" s="1" t="str">
        <f t="shared" si="247"/>
        <v>493</v>
      </c>
      <c r="B3822" s="1" t="str">
        <f>TEXT(38,"00")</f>
        <v>38</v>
      </c>
      <c r="C3822" s="1" t="str">
        <f t="shared" si="245"/>
        <v>493-38</v>
      </c>
      <c r="D3822" t="s">
        <v>3803</v>
      </c>
      <c r="E3822" t="b">
        <f>IF(COUNTIF(D3822,"*"&amp;'Keyword Search'!$C$5&amp;"*"),TRUE,FALSE)</f>
        <v>1</v>
      </c>
      <c r="G3822" t="str">
        <f t="shared" si="246"/>
        <v>493-38: Freeze-Drying and Critical-Point Drying Apparatus, Laboratory</v>
      </c>
    </row>
    <row r="3823" spans="1:7" x14ac:dyDescent="0.25">
      <c r="A3823" s="1" t="str">
        <f t="shared" si="247"/>
        <v>493</v>
      </c>
      <c r="B3823" s="1" t="str">
        <f>TEXT(42,"00")</f>
        <v>42</v>
      </c>
      <c r="C3823" s="1" t="str">
        <f t="shared" si="245"/>
        <v>493-42</v>
      </c>
      <c r="D3823" t="s">
        <v>3804</v>
      </c>
      <c r="E3823" t="b">
        <f>IF(COUNTIF(D3823,"*"&amp;'Keyword Search'!$C$5&amp;"*"),TRUE,FALSE)</f>
        <v>1</v>
      </c>
      <c r="G3823" t="str">
        <f t="shared" si="246"/>
        <v>493-42: Gas Analysis and Monitoring Equipment, Laboratory, For CO2 Oxygen, etc., in Gas Mixtures</v>
      </c>
    </row>
    <row r="3824" spans="1:7" x14ac:dyDescent="0.25">
      <c r="A3824" s="1" t="str">
        <f t="shared" si="247"/>
        <v>493</v>
      </c>
      <c r="B3824" s="1" t="str">
        <f>TEXT(44,"00")</f>
        <v>44</v>
      </c>
      <c r="C3824" s="1" t="str">
        <f t="shared" si="245"/>
        <v>493-44</v>
      </c>
      <c r="D3824" t="s">
        <v>3805</v>
      </c>
      <c r="E3824" t="b">
        <f>IF(COUNTIF(D3824,"*"&amp;'Keyword Search'!$C$5&amp;"*"),TRUE,FALSE)</f>
        <v>1</v>
      </c>
      <c r="G3824" t="str">
        <f t="shared" si="246"/>
        <v>493-44: Gas Generating and Purifying Equipment, Laboratory: Hydrogen, Oxygen, Ozone, Pure Air, etc.</v>
      </c>
    </row>
    <row r="3825" spans="1:7" x14ac:dyDescent="0.25">
      <c r="A3825" s="1" t="str">
        <f t="shared" si="247"/>
        <v>493</v>
      </c>
      <c r="B3825" s="1" t="str">
        <f>TEXT(45,"00")</f>
        <v>45</v>
      </c>
      <c r="C3825" s="1" t="str">
        <f t="shared" si="245"/>
        <v>493-45</v>
      </c>
      <c r="D3825" t="s">
        <v>3806</v>
      </c>
      <c r="E3825" t="b">
        <f>IF(COUNTIF(D3825,"*"&amp;'Keyword Search'!$C$5&amp;"*"),TRUE,FALSE)</f>
        <v>1</v>
      </c>
      <c r="G3825" t="str">
        <f t="shared" si="246"/>
        <v>493-45: Incubators, Laboratory, Bacteriological</v>
      </c>
    </row>
    <row r="3826" spans="1:7" x14ac:dyDescent="0.25">
      <c r="A3826" s="1" t="str">
        <f t="shared" si="247"/>
        <v>493</v>
      </c>
      <c r="B3826" s="1" t="str">
        <f>TEXT(46,"00")</f>
        <v>46</v>
      </c>
      <c r="C3826" s="1" t="str">
        <f t="shared" si="245"/>
        <v>493-46</v>
      </c>
      <c r="D3826" t="s">
        <v>3807</v>
      </c>
      <c r="E3826" t="b">
        <f>IF(COUNTIF(D3826,"*"&amp;'Keyword Search'!$C$5&amp;"*"),TRUE,FALSE)</f>
        <v>1</v>
      </c>
      <c r="G3826" t="str">
        <f t="shared" si="246"/>
        <v>493-46: Ion Chromatographs, Laboratory, Including Parts and Accessories</v>
      </c>
    </row>
    <row r="3827" spans="1:7" x14ac:dyDescent="0.25">
      <c r="A3827" s="1" t="str">
        <f t="shared" si="247"/>
        <v>493</v>
      </c>
      <c r="B3827" s="1" t="str">
        <f>TEXT(48,"00")</f>
        <v>48</v>
      </c>
      <c r="C3827" s="1" t="str">
        <f t="shared" si="245"/>
        <v>493-48</v>
      </c>
      <c r="D3827" t="s">
        <v>3808</v>
      </c>
      <c r="E3827" t="b">
        <f>IF(COUNTIF(D3827,"*"&amp;'Keyword Search'!$C$5&amp;"*"),TRUE,FALSE)</f>
        <v>1</v>
      </c>
      <c r="G3827" t="str">
        <f t="shared" si="246"/>
        <v>493-48: Odor Control Equipment, Laboratory, Duct Mount Ozonators</v>
      </c>
    </row>
    <row r="3828" spans="1:7" x14ac:dyDescent="0.25">
      <c r="A3828" s="1" t="str">
        <f t="shared" si="247"/>
        <v>493</v>
      </c>
      <c r="B3828" s="1" t="str">
        <f>TEXT(50,"00")</f>
        <v>50</v>
      </c>
      <c r="C3828" s="1" t="str">
        <f t="shared" si="245"/>
        <v>493-50</v>
      </c>
      <c r="D3828" t="s">
        <v>3809</v>
      </c>
      <c r="E3828" t="b">
        <f>IF(COUNTIF(D3828,"*"&amp;'Keyword Search'!$C$5&amp;"*"),TRUE,FALSE)</f>
        <v>1</v>
      </c>
      <c r="G3828" t="str">
        <f t="shared" si="246"/>
        <v>493-50: Osmometers, Laboratory</v>
      </c>
    </row>
    <row r="3829" spans="1:7" x14ac:dyDescent="0.25">
      <c r="A3829" s="1" t="str">
        <f t="shared" si="247"/>
        <v>493</v>
      </c>
      <c r="B3829" s="1" t="str">
        <f>TEXT(52,"00")</f>
        <v>52</v>
      </c>
      <c r="C3829" s="1" t="str">
        <f t="shared" si="245"/>
        <v>493-52</v>
      </c>
      <c r="D3829" t="s">
        <v>3810</v>
      </c>
      <c r="E3829" t="b">
        <f>IF(COUNTIF(D3829,"*"&amp;'Keyword Search'!$C$5&amp;"*"),TRUE,FALSE)</f>
        <v>1</v>
      </c>
      <c r="G3829" t="str">
        <f t="shared" si="246"/>
        <v>493-52: Photometers, Laboratory, Flame</v>
      </c>
    </row>
    <row r="3830" spans="1:7" x14ac:dyDescent="0.25">
      <c r="A3830" s="1" t="str">
        <f t="shared" si="247"/>
        <v>493</v>
      </c>
      <c r="B3830" s="1" t="str">
        <f>TEXT(54,"00")</f>
        <v>54</v>
      </c>
      <c r="C3830" s="1" t="str">
        <f t="shared" si="245"/>
        <v>493-54</v>
      </c>
      <c r="D3830" t="s">
        <v>3811</v>
      </c>
      <c r="E3830" t="b">
        <f>IF(COUNTIF(D3830,"*"&amp;'Keyword Search'!$C$5&amp;"*"),TRUE,FALSE)</f>
        <v>1</v>
      </c>
      <c r="G3830" t="str">
        <f t="shared" si="246"/>
        <v>493-54: Photometers, Laboratory, Photoelectric, Colorimeters, Transmittance</v>
      </c>
    </row>
    <row r="3831" spans="1:7" x14ac:dyDescent="0.25">
      <c r="A3831" s="1" t="str">
        <f t="shared" si="247"/>
        <v>493</v>
      </c>
      <c r="B3831" s="1" t="str">
        <f>TEXT(58,"00")</f>
        <v>58</v>
      </c>
      <c r="C3831" s="1" t="str">
        <f t="shared" si="245"/>
        <v>493-58</v>
      </c>
      <c r="D3831" t="s">
        <v>3812</v>
      </c>
      <c r="E3831" t="b">
        <f>IF(COUNTIF(D3831,"*"&amp;'Keyword Search'!$C$5&amp;"*"),TRUE,FALSE)</f>
        <v>1</v>
      </c>
      <c r="G3831" t="str">
        <f t="shared" si="246"/>
        <v>493-58: Polarimeters, Laboratory</v>
      </c>
    </row>
    <row r="3832" spans="1:7" x14ac:dyDescent="0.25">
      <c r="A3832" s="1" t="str">
        <f t="shared" si="247"/>
        <v>493</v>
      </c>
      <c r="B3832" s="1" t="str">
        <f>TEXT(60,"00")</f>
        <v>60</v>
      </c>
      <c r="C3832" s="1" t="str">
        <f t="shared" si="245"/>
        <v>493-60</v>
      </c>
      <c r="D3832" t="s">
        <v>3813</v>
      </c>
      <c r="E3832" t="b">
        <f>IF(COUNTIF(D3832,"*"&amp;'Keyword Search'!$C$5&amp;"*"),TRUE,FALSE)</f>
        <v>1</v>
      </c>
      <c r="G3832" t="str">
        <f t="shared" si="246"/>
        <v>493-60: Polarographs, Laboratory</v>
      </c>
    </row>
    <row r="3833" spans="1:7" x14ac:dyDescent="0.25">
      <c r="A3833" s="1" t="str">
        <f t="shared" si="247"/>
        <v>493</v>
      </c>
      <c r="B3833" s="1" t="str">
        <f>TEXT(62,"00")</f>
        <v>62</v>
      </c>
      <c r="C3833" s="1" t="str">
        <f t="shared" si="245"/>
        <v>493-62</v>
      </c>
      <c r="D3833" t="s">
        <v>3814</v>
      </c>
      <c r="E3833" t="b">
        <f>IF(COUNTIF(D3833,"*"&amp;'Keyword Search'!$C$5&amp;"*"),TRUE,FALSE)</f>
        <v>1</v>
      </c>
      <c r="G3833" t="str">
        <f t="shared" si="246"/>
        <v>493-62: Sample Collecting, Diluting and Multiple Dispensing Apparatus, Laboratory, Automatic: Pipetting Machines, etc.</v>
      </c>
    </row>
    <row r="3834" spans="1:7" x14ac:dyDescent="0.25">
      <c r="A3834" s="1" t="str">
        <f t="shared" si="247"/>
        <v>493</v>
      </c>
      <c r="B3834" s="1" t="str">
        <f>TEXT(63,"00")</f>
        <v>63</v>
      </c>
      <c r="C3834" s="1" t="str">
        <f t="shared" si="245"/>
        <v>493-63</v>
      </c>
      <c r="D3834" t="s">
        <v>3815</v>
      </c>
      <c r="E3834" t="b">
        <f>IF(COUNTIF(D3834,"*"&amp;'Keyword Search'!$C$5&amp;"*"),TRUE,FALSE)</f>
        <v>1</v>
      </c>
      <c r="G3834" t="str">
        <f t="shared" si="246"/>
        <v>493-63: Sample Concentrators, Laboratory, For Multiple Samples, Vacuum Type</v>
      </c>
    </row>
    <row r="3835" spans="1:7" x14ac:dyDescent="0.25">
      <c r="A3835" s="1" t="str">
        <f t="shared" si="247"/>
        <v>493</v>
      </c>
      <c r="B3835" s="1" t="str">
        <f>TEXT(64,"00")</f>
        <v>64</v>
      </c>
      <c r="C3835" s="1" t="str">
        <f t="shared" si="245"/>
        <v>493-64</v>
      </c>
      <c r="D3835" t="s">
        <v>3816</v>
      </c>
      <c r="E3835" t="b">
        <f>IF(COUNTIF(D3835,"*"&amp;'Keyword Search'!$C$5&amp;"*"),TRUE,FALSE)</f>
        <v>1</v>
      </c>
      <c r="G3835" t="str">
        <f t="shared" si="246"/>
        <v>493-64: Sample Preparation Systems, Laboratory</v>
      </c>
    </row>
    <row r="3836" spans="1:7" x14ac:dyDescent="0.25">
      <c r="A3836" s="1" t="str">
        <f t="shared" si="247"/>
        <v>493</v>
      </c>
      <c r="B3836" s="1" t="str">
        <f>TEXT(69,"00")</f>
        <v>69</v>
      </c>
      <c r="C3836" s="1" t="str">
        <f t="shared" si="245"/>
        <v>493-69</v>
      </c>
      <c r="D3836" t="s">
        <v>3817</v>
      </c>
      <c r="E3836" t="b">
        <f>IF(COUNTIF(D3836,"*"&amp;'Keyword Search'!$C$5&amp;"*"),TRUE,FALSE)</f>
        <v>1</v>
      </c>
      <c r="G3836" t="str">
        <f t="shared" si="246"/>
        <v>493-69: Spectrometers, Laboratory, Emission, Argon Plasma and Conventional</v>
      </c>
    </row>
    <row r="3837" spans="1:7" x14ac:dyDescent="0.25">
      <c r="A3837" s="1" t="str">
        <f t="shared" si="247"/>
        <v>493</v>
      </c>
      <c r="B3837" s="1" t="str">
        <f>TEXT(73,"00")</f>
        <v>73</v>
      </c>
      <c r="C3837" s="1" t="str">
        <f t="shared" si="245"/>
        <v>493-73</v>
      </c>
      <c r="D3837" t="s">
        <v>3818</v>
      </c>
      <c r="E3837" t="b">
        <f>IF(COUNTIF(D3837,"*"&amp;'Keyword Search'!$C$5&amp;"*"),TRUE,FALSE)</f>
        <v>1</v>
      </c>
      <c r="G3837" t="str">
        <f t="shared" si="246"/>
        <v>493-73: Spectrophotometers, Laboratory, Atomic Absorption</v>
      </c>
    </row>
    <row r="3838" spans="1:7" x14ac:dyDescent="0.25">
      <c r="A3838" s="1" t="str">
        <f t="shared" si="247"/>
        <v>493</v>
      </c>
      <c r="B3838" s="1" t="str">
        <f>TEXT(75,"00")</f>
        <v>75</v>
      </c>
      <c r="C3838" s="1" t="str">
        <f t="shared" si="245"/>
        <v>493-75</v>
      </c>
      <c r="D3838" t="s">
        <v>3819</v>
      </c>
      <c r="E3838" t="b">
        <f>IF(COUNTIF(D3838,"*"&amp;'Keyword Search'!$C$5&amp;"*"),TRUE,FALSE)</f>
        <v>1</v>
      </c>
      <c r="G3838" t="str">
        <f t="shared" si="246"/>
        <v>493-75: Spectrophotometers, Laboratory, Infrared</v>
      </c>
    </row>
    <row r="3839" spans="1:7" x14ac:dyDescent="0.25">
      <c r="A3839" s="1" t="str">
        <f t="shared" si="247"/>
        <v>493</v>
      </c>
      <c r="B3839" s="1" t="str">
        <f>TEXT(77,"00")</f>
        <v>77</v>
      </c>
      <c r="C3839" s="1" t="str">
        <f t="shared" si="245"/>
        <v>493-77</v>
      </c>
      <c r="D3839" t="s">
        <v>3820</v>
      </c>
      <c r="E3839" t="b">
        <f>IF(COUNTIF(D3839,"*"&amp;'Keyword Search'!$C$5&amp;"*"),TRUE,FALSE)</f>
        <v>1</v>
      </c>
      <c r="G3839" t="str">
        <f t="shared" si="246"/>
        <v>493-77: Spectrophotometers, Laboratory, Ultraviolet and Visible</v>
      </c>
    </row>
    <row r="3840" spans="1:7" x14ac:dyDescent="0.25">
      <c r="A3840" s="1" t="str">
        <f t="shared" si="247"/>
        <v>493</v>
      </c>
      <c r="B3840" s="1" t="str">
        <f>TEXT(80,"00")</f>
        <v>80</v>
      </c>
      <c r="C3840" s="1" t="str">
        <f t="shared" si="245"/>
        <v>493-80</v>
      </c>
      <c r="D3840" t="s">
        <v>3821</v>
      </c>
      <c r="E3840" t="b">
        <f>IF(COUNTIF(D3840,"*"&amp;'Keyword Search'!$C$5&amp;"*"),TRUE,FALSE)</f>
        <v>1</v>
      </c>
      <c r="G3840" t="str">
        <f t="shared" si="246"/>
        <v>493-80: Tensiometers, Laboratory, For Surface Tension Measurements</v>
      </c>
    </row>
    <row r="3841" spans="1:7" x14ac:dyDescent="0.25">
      <c r="A3841" s="1" t="str">
        <f t="shared" si="247"/>
        <v>493</v>
      </c>
      <c r="B3841" s="1" t="str">
        <f>TEXT(84,"00")</f>
        <v>84</v>
      </c>
      <c r="C3841" s="1" t="str">
        <f t="shared" si="245"/>
        <v>493-84</v>
      </c>
      <c r="D3841" t="s">
        <v>3822</v>
      </c>
      <c r="E3841" t="b">
        <f>IF(COUNTIF(D3841,"*"&amp;'Keyword Search'!$C$5&amp;"*"),TRUE,FALSE)</f>
        <v>1</v>
      </c>
      <c r="G3841" t="str">
        <f t="shared" si="246"/>
        <v>493-84: Tissue Disrupting, Grinding, and Homogenizing Equipment, Laboratory: Frozen Tissue Pulverizers, Ultrasonic Cell Disrupters, etc.</v>
      </c>
    </row>
    <row r="3842" spans="1:7" x14ac:dyDescent="0.25">
      <c r="A3842" s="1" t="str">
        <f t="shared" si="247"/>
        <v>493</v>
      </c>
      <c r="B3842" s="1" t="str">
        <f>TEXT(92,"00")</f>
        <v>92</v>
      </c>
      <c r="C3842" s="1" t="str">
        <f t="shared" si="245"/>
        <v>493-92</v>
      </c>
      <c r="D3842" t="s">
        <v>3823</v>
      </c>
      <c r="E3842" t="b">
        <f>IF(COUNTIF(D3842,"*"&amp;'Keyword Search'!$C$5&amp;"*"),TRUE,FALSE)</f>
        <v>1</v>
      </c>
      <c r="G3842" t="str">
        <f t="shared" si="246"/>
        <v>493-92: Vacuum Still, Laboratory: Short Path, Spinning Band, etc.</v>
      </c>
    </row>
    <row r="3843" spans="1:7" x14ac:dyDescent="0.25">
      <c r="A3843" s="1" t="str">
        <f t="shared" si="247"/>
        <v>493</v>
      </c>
      <c r="B3843" s="1" t="str">
        <f>TEXT(96,"00")</f>
        <v>96</v>
      </c>
      <c r="C3843" s="1" t="str">
        <f t="shared" ref="C3843:C3906" si="248">CONCATENATE(A3843,"-",B3843)</f>
        <v>493-96</v>
      </c>
      <c r="D3843" t="s">
        <v>3824</v>
      </c>
      <c r="E3843" t="b">
        <f>IF(COUNTIF(D3843,"*"&amp;'Keyword Search'!$C$5&amp;"*"),TRUE,FALSE)</f>
        <v>1</v>
      </c>
      <c r="G3843" t="str">
        <f t="shared" si="246"/>
        <v>493-96: Water Quality Monitoring Equipment, Laboratory: BOD Analyzers, Turbidimeters, Well Samplers, etc.</v>
      </c>
    </row>
    <row r="3844" spans="1:7" x14ac:dyDescent="0.25">
      <c r="A3844" s="1" t="str">
        <f t="shared" si="247"/>
        <v>493</v>
      </c>
      <c r="B3844" s="1" t="str">
        <f>TEXT(97,"00")</f>
        <v>97</v>
      </c>
      <c r="C3844" s="1" t="str">
        <f t="shared" si="248"/>
        <v>493-97</v>
      </c>
      <c r="D3844" t="s">
        <v>3825</v>
      </c>
      <c r="E3844" t="b">
        <f>IF(COUNTIF(D3844,"*"&amp;'Keyword Search'!$C$5&amp;"*"),TRUE,FALSE)</f>
        <v>1</v>
      </c>
      <c r="G3844" t="str">
        <f t="shared" ref="G3844:G3907" si="249">CONCATENATE(C3844,": ",D3844)</f>
        <v>493-97: Recycled Biochemistry, Chemistry, and Environmental Science Equipment and Supplies, Laboratory</v>
      </c>
    </row>
    <row r="3845" spans="1:7" x14ac:dyDescent="0.25">
      <c r="A3845" s="5" t="str">
        <f t="shared" ref="A3845:A3890" si="250">TEXT(495,"000")</f>
        <v>495</v>
      </c>
      <c r="B3845" s="5" t="str">
        <f>TEXT(0,"00")</f>
        <v>00</v>
      </c>
      <c r="C3845" s="1"/>
      <c r="D3845" s="2" t="s">
        <v>3826</v>
      </c>
    </row>
    <row r="3846" spans="1:7" x14ac:dyDescent="0.25">
      <c r="A3846" s="1" t="str">
        <f t="shared" si="250"/>
        <v>495</v>
      </c>
      <c r="B3846" s="1" t="str">
        <f>TEXT(5,"00")</f>
        <v>05</v>
      </c>
      <c r="C3846" s="1" t="str">
        <f t="shared" si="248"/>
        <v>495-05</v>
      </c>
      <c r="D3846" t="s">
        <v>3827</v>
      </c>
      <c r="E3846" t="b">
        <f>IF(COUNTIF(D3846,"*"&amp;'Keyword Search'!$C$5&amp;"*"),TRUE,FALSE)</f>
        <v>1</v>
      </c>
      <c r="G3846" t="str">
        <f t="shared" si="249"/>
        <v>495-05: Activity Cages, Mazes, and Other Animal Psychology Equipment</v>
      </c>
    </row>
    <row r="3847" spans="1:7" x14ac:dyDescent="0.25">
      <c r="A3847" s="1" t="str">
        <f t="shared" si="250"/>
        <v>495</v>
      </c>
      <c r="B3847" s="1" t="str">
        <f>TEXT(7,"00")</f>
        <v>07</v>
      </c>
      <c r="C3847" s="1" t="str">
        <f t="shared" si="248"/>
        <v>495-07</v>
      </c>
      <c r="D3847" t="s">
        <v>3828</v>
      </c>
      <c r="E3847" t="b">
        <f>IF(COUNTIF(D3847,"*"&amp;'Keyword Search'!$C$5&amp;"*"),TRUE,FALSE)</f>
        <v>1</v>
      </c>
      <c r="G3847" t="str">
        <f t="shared" si="249"/>
        <v>495-07: Agricultural Science Equipment: Diffusive Resistance Meters, Leaf Porometers and Water Potential Measuring Equipment, Seed Counters and Germinators, Soil Sterilizers, etc.</v>
      </c>
    </row>
    <row r="3848" spans="1:7" x14ac:dyDescent="0.25">
      <c r="A3848" s="1" t="str">
        <f t="shared" si="250"/>
        <v>495</v>
      </c>
      <c r="B3848" s="1" t="str">
        <f>TEXT(8,"00")</f>
        <v>08</v>
      </c>
      <c r="C3848" s="1" t="str">
        <f t="shared" si="248"/>
        <v>495-08</v>
      </c>
      <c r="D3848" t="s">
        <v>3829</v>
      </c>
      <c r="E3848" t="b">
        <f>IF(COUNTIF(D3848,"*"&amp;'Keyword Search'!$C$5&amp;"*"),TRUE,FALSE)</f>
        <v>1</v>
      </c>
      <c r="G3848" t="str">
        <f t="shared" si="249"/>
        <v>495-08: Amphibia For Laboratory Research, Preserved)</v>
      </c>
    </row>
    <row r="3849" spans="1:7" x14ac:dyDescent="0.25">
      <c r="A3849" s="1" t="str">
        <f t="shared" si="250"/>
        <v>495</v>
      </c>
      <c r="B3849" s="1" t="str">
        <f>TEXT(9,"00")</f>
        <v>09</v>
      </c>
      <c r="C3849" s="1" t="str">
        <f t="shared" si="248"/>
        <v>495-09</v>
      </c>
      <c r="D3849" t="s">
        <v>3830</v>
      </c>
      <c r="E3849" t="b">
        <f>IF(COUNTIF(D3849,"*"&amp;'Keyword Search'!$C$5&amp;"*"),TRUE,FALSE)</f>
        <v>1</v>
      </c>
      <c r="G3849" t="str">
        <f t="shared" si="249"/>
        <v>495-09: Animal Cage and Rack Washing Equipment</v>
      </c>
    </row>
    <row r="3850" spans="1:7" x14ac:dyDescent="0.25">
      <c r="A3850" s="1" t="str">
        <f t="shared" si="250"/>
        <v>495</v>
      </c>
      <c r="B3850" s="1" t="str">
        <f>TEXT(10,"00")</f>
        <v>10</v>
      </c>
      <c r="C3850" s="1" t="str">
        <f t="shared" si="248"/>
        <v>495-10</v>
      </c>
      <c r="D3850" t="s">
        <v>3831</v>
      </c>
      <c r="E3850" t="b">
        <f>IF(COUNTIF(D3850,"*"&amp;'Keyword Search'!$C$5&amp;"*"),TRUE,FALSE)</f>
        <v>1</v>
      </c>
      <c r="G3850" t="str">
        <f t="shared" si="249"/>
        <v>495-10: Animal Cages and Supplies, Including Litter, Laboratory</v>
      </c>
    </row>
    <row r="3851" spans="1:7" x14ac:dyDescent="0.25">
      <c r="A3851" s="1" t="str">
        <f t="shared" si="250"/>
        <v>495</v>
      </c>
      <c r="B3851" s="1" t="str">
        <f>TEXT(12,"00")</f>
        <v>12</v>
      </c>
      <c r="C3851" s="1" t="str">
        <f t="shared" si="248"/>
        <v>495-12</v>
      </c>
      <c r="D3851" t="s">
        <v>3832</v>
      </c>
      <c r="E3851" t="b">
        <f>IF(COUNTIF(D3851,"*"&amp;'Keyword Search'!$C$5&amp;"*"),TRUE,FALSE)</f>
        <v>1</v>
      </c>
      <c r="G3851" t="str">
        <f t="shared" si="249"/>
        <v>495-12: Animals, Experimental, Not Specially Bred</v>
      </c>
    </row>
    <row r="3852" spans="1:7" x14ac:dyDescent="0.25">
      <c r="A3852" s="1" t="str">
        <f t="shared" si="250"/>
        <v>495</v>
      </c>
      <c r="B3852" s="1" t="str">
        <f>TEXT(13,"00")</f>
        <v>13</v>
      </c>
      <c r="C3852" s="1" t="str">
        <f t="shared" si="248"/>
        <v>495-13</v>
      </c>
      <c r="D3852" t="s">
        <v>3833</v>
      </c>
      <c r="E3852" t="b">
        <f>IF(COUNTIF(D3852,"*"&amp;'Keyword Search'!$C$5&amp;"*"),TRUE,FALSE)</f>
        <v>1</v>
      </c>
      <c r="G3852" t="str">
        <f t="shared" si="249"/>
        <v>495-13: Animals, Experimental, Specially Bred or Selected (e.g., Albino Mice and Rats)</v>
      </c>
    </row>
    <row r="3853" spans="1:7" x14ac:dyDescent="0.25">
      <c r="A3853" s="1" t="str">
        <f t="shared" si="250"/>
        <v>495</v>
      </c>
      <c r="B3853" s="1" t="str">
        <f>TEXT(15,"00")</f>
        <v>15</v>
      </c>
      <c r="C3853" s="1" t="str">
        <f t="shared" si="248"/>
        <v>495-15</v>
      </c>
      <c r="D3853" t="s">
        <v>3834</v>
      </c>
      <c r="E3853" t="b">
        <f>IF(COUNTIF(D3853,"*"&amp;'Keyword Search'!$C$5&amp;"*"),TRUE,FALSE)</f>
        <v>1</v>
      </c>
      <c r="G3853" t="str">
        <f t="shared" si="249"/>
        <v>495-15: Aquariums and Supplies</v>
      </c>
    </row>
    <row r="3854" spans="1:7" x14ac:dyDescent="0.25">
      <c r="A3854" s="1" t="str">
        <f t="shared" si="250"/>
        <v>495</v>
      </c>
      <c r="B3854" s="1" t="str">
        <f>TEXT(20,"00")</f>
        <v>20</v>
      </c>
      <c r="C3854" s="1" t="str">
        <f t="shared" si="248"/>
        <v>495-20</v>
      </c>
      <c r="D3854" t="s">
        <v>3835</v>
      </c>
      <c r="E3854" t="b">
        <f>IF(COUNTIF(D3854,"*"&amp;'Keyword Search'!$C$5&amp;"*"),TRUE,FALSE)</f>
        <v>1</v>
      </c>
      <c r="G3854" t="str">
        <f t="shared" si="249"/>
        <v>495-20: Biology Equipment and Supplies (Not Otherwise Classified)</v>
      </c>
    </row>
    <row r="3855" spans="1:7" x14ac:dyDescent="0.25">
      <c r="A3855" s="1" t="str">
        <f t="shared" si="250"/>
        <v>495</v>
      </c>
      <c r="B3855" s="1" t="str">
        <f>TEXT(25,"00")</f>
        <v>25</v>
      </c>
      <c r="C3855" s="1" t="str">
        <f t="shared" si="248"/>
        <v>495-25</v>
      </c>
      <c r="D3855" t="s">
        <v>3836</v>
      </c>
      <c r="E3855" t="b">
        <f>IF(COUNTIF(D3855,"*"&amp;'Keyword Search'!$C$5&amp;"*"),TRUE,FALSE)</f>
        <v>1</v>
      </c>
      <c r="G3855" t="str">
        <f t="shared" si="249"/>
        <v>495-25: Biology Specimens and Cultures, Except Microbial</v>
      </c>
    </row>
    <row r="3856" spans="1:7" x14ac:dyDescent="0.25">
      <c r="A3856" s="1" t="str">
        <f t="shared" si="250"/>
        <v>495</v>
      </c>
      <c r="B3856" s="1" t="str">
        <f>TEXT(26,"00")</f>
        <v>26</v>
      </c>
      <c r="C3856" s="1" t="str">
        <f t="shared" si="248"/>
        <v>495-26</v>
      </c>
      <c r="D3856" t="s">
        <v>3837</v>
      </c>
      <c r="E3856" t="b">
        <f>IF(COUNTIF(D3856,"*"&amp;'Keyword Search'!$C$5&amp;"*"),TRUE,FALSE)</f>
        <v>1</v>
      </c>
      <c r="G3856" t="str">
        <f t="shared" si="249"/>
        <v>495-26: Biology Specimens and Cultures, Including Microbial: Complete Ecosystems, etc.</v>
      </c>
    </row>
    <row r="3857" spans="1:7" x14ac:dyDescent="0.25">
      <c r="A3857" s="1" t="str">
        <f t="shared" si="250"/>
        <v>495</v>
      </c>
      <c r="B3857" s="1" t="str">
        <f>TEXT(28,"00")</f>
        <v>28</v>
      </c>
      <c r="C3857" s="1" t="str">
        <f t="shared" si="248"/>
        <v>495-28</v>
      </c>
      <c r="D3857" t="s">
        <v>3838</v>
      </c>
      <c r="E3857" t="b">
        <f>IF(COUNTIF(D3857,"*"&amp;'Keyword Search'!$C$5&amp;"*"),TRUE,FALSE)</f>
        <v>1</v>
      </c>
      <c r="G3857" t="str">
        <f t="shared" si="249"/>
        <v>495-28: Biotechnology and Clinical Equipment and Supplies</v>
      </c>
    </row>
    <row r="3858" spans="1:7" x14ac:dyDescent="0.25">
      <c r="A3858" s="1" t="str">
        <f t="shared" si="250"/>
        <v>495</v>
      </c>
      <c r="B3858" s="1" t="str">
        <f>TEXT(29,"00")</f>
        <v>29</v>
      </c>
      <c r="C3858" s="1" t="str">
        <f t="shared" si="248"/>
        <v>495-29</v>
      </c>
      <c r="D3858" t="s">
        <v>3839</v>
      </c>
      <c r="E3858" t="b">
        <f>IF(COUNTIF(D3858,"*"&amp;'Keyword Search'!$C$5&amp;"*"),TRUE,FALSE)</f>
        <v>1</v>
      </c>
      <c r="G3858" t="str">
        <f t="shared" si="249"/>
        <v>495-29: Botanical Laboratory Equipment and Accessories</v>
      </c>
    </row>
    <row r="3859" spans="1:7" x14ac:dyDescent="0.25">
      <c r="A3859" s="1" t="str">
        <f t="shared" si="250"/>
        <v>495</v>
      </c>
      <c r="B3859" s="1" t="str">
        <f>TEXT(30,"00")</f>
        <v>30</v>
      </c>
      <c r="C3859" s="1" t="str">
        <f t="shared" si="248"/>
        <v>495-30</v>
      </c>
      <c r="D3859" t="s">
        <v>3840</v>
      </c>
      <c r="E3859" t="b">
        <f>IF(COUNTIF(D3859,"*"&amp;'Keyword Search'!$C$5&amp;"*"),TRUE,FALSE)</f>
        <v>1</v>
      </c>
      <c r="G3859" t="str">
        <f t="shared" si="249"/>
        <v>495-30: Botany Specimens</v>
      </c>
    </row>
    <row r="3860" spans="1:7" x14ac:dyDescent="0.25">
      <c r="A3860" s="1" t="str">
        <f t="shared" si="250"/>
        <v>495</v>
      </c>
      <c r="B3860" s="1" t="str">
        <f>TEXT(33,"00")</f>
        <v>33</v>
      </c>
      <c r="C3860" s="1" t="str">
        <f t="shared" si="248"/>
        <v>495-33</v>
      </c>
      <c r="D3860" t="s">
        <v>3841</v>
      </c>
      <c r="E3860" t="b">
        <f>IF(COUNTIF(D3860,"*"&amp;'Keyword Search'!$C$5&amp;"*"),TRUE,FALSE)</f>
        <v>1</v>
      </c>
      <c r="G3860" t="str">
        <f t="shared" si="249"/>
        <v>495-33: Breeding and Other Insect Equipment, Laboratory</v>
      </c>
    </row>
    <row r="3861" spans="1:7" x14ac:dyDescent="0.25">
      <c r="A3861" s="1" t="str">
        <f t="shared" si="250"/>
        <v>495</v>
      </c>
      <c r="B3861" s="1" t="str">
        <f>TEXT(35,"00")</f>
        <v>35</v>
      </c>
      <c r="C3861" s="1" t="str">
        <f t="shared" si="248"/>
        <v>495-35</v>
      </c>
      <c r="D3861" t="s">
        <v>3842</v>
      </c>
      <c r="E3861" t="b">
        <f>IF(COUNTIF(D3861,"*"&amp;'Keyword Search'!$C$5&amp;"*"),TRUE,FALSE)</f>
        <v>1</v>
      </c>
      <c r="G3861" t="str">
        <f t="shared" si="249"/>
        <v>495-35: Cabinets and Cases, Storage, For Slides and Specimens</v>
      </c>
    </row>
    <row r="3862" spans="1:7" x14ac:dyDescent="0.25">
      <c r="A3862" s="1" t="str">
        <f t="shared" si="250"/>
        <v>495</v>
      </c>
      <c r="B3862" s="1" t="str">
        <f>TEXT(36,"00")</f>
        <v>36</v>
      </c>
      <c r="C3862" s="1" t="str">
        <f t="shared" si="248"/>
        <v>495-36</v>
      </c>
      <c r="D3862" t="s">
        <v>3843</v>
      </c>
      <c r="E3862" t="b">
        <f>IF(COUNTIF(D3862,"*"&amp;'Keyword Search'!$C$5&amp;"*"),TRUE,FALSE)</f>
        <v>1</v>
      </c>
      <c r="G3862" t="str">
        <f t="shared" si="249"/>
        <v>495-36: Charts, Anatomical and Life Sciences</v>
      </c>
    </row>
    <row r="3863" spans="1:7" x14ac:dyDescent="0.25">
      <c r="A3863" s="1" t="str">
        <f t="shared" si="250"/>
        <v>495</v>
      </c>
      <c r="B3863" s="1" t="str">
        <f>TEXT(37,"00")</f>
        <v>37</v>
      </c>
      <c r="C3863" s="1" t="str">
        <f t="shared" si="248"/>
        <v>495-37</v>
      </c>
      <c r="D3863" t="s">
        <v>3844</v>
      </c>
      <c r="E3863" t="b">
        <f>IF(COUNTIF(D3863,"*"&amp;'Keyword Search'!$C$5&amp;"*"),TRUE,FALSE)</f>
        <v>1</v>
      </c>
      <c r="G3863" t="str">
        <f t="shared" si="249"/>
        <v>495-37: Counters and Counting Chambers, For Bacterial Colonies, Blood Cells, etc.: Hemacytometers, etc.</v>
      </c>
    </row>
    <row r="3864" spans="1:7" x14ac:dyDescent="0.25">
      <c r="A3864" s="1" t="str">
        <f t="shared" si="250"/>
        <v>495</v>
      </c>
      <c r="B3864" s="1" t="str">
        <f>TEXT(38,"00")</f>
        <v>38</v>
      </c>
      <c r="C3864" s="1" t="str">
        <f t="shared" si="248"/>
        <v>495-38</v>
      </c>
      <c r="D3864" t="s">
        <v>3845</v>
      </c>
      <c r="E3864" t="b">
        <f>IF(COUNTIF(D3864,"*"&amp;'Keyword Search'!$C$5&amp;"*"),TRUE,FALSE)</f>
        <v>1</v>
      </c>
      <c r="G3864" t="str">
        <f t="shared" si="249"/>
        <v>495-38: Cultures, Microbial, Living Organism</v>
      </c>
    </row>
    <row r="3865" spans="1:7" x14ac:dyDescent="0.25">
      <c r="A3865" s="1" t="str">
        <f t="shared" si="250"/>
        <v>495</v>
      </c>
      <c r="B3865" s="1" t="str">
        <f>TEXT(41,"00")</f>
        <v>41</v>
      </c>
      <c r="C3865" s="1" t="str">
        <f t="shared" si="248"/>
        <v>495-41</v>
      </c>
      <c r="D3865" t="s">
        <v>3846</v>
      </c>
      <c r="E3865" t="b">
        <f>IF(COUNTIF(D3865,"*"&amp;'Keyword Search'!$C$5&amp;"*"),TRUE,FALSE)</f>
        <v>1</v>
      </c>
      <c r="G3865" t="str">
        <f t="shared" si="249"/>
        <v>495-41: Fermentation Equipment: Chemostats, Chemotaxis Chambers, Fermenters, etc.</v>
      </c>
    </row>
    <row r="3866" spans="1:7" x14ac:dyDescent="0.25">
      <c r="A3866" s="1" t="str">
        <f t="shared" si="250"/>
        <v>495</v>
      </c>
      <c r="B3866" s="1" t="str">
        <f>TEXT(43,"00")</f>
        <v>43</v>
      </c>
      <c r="C3866" s="1" t="str">
        <f t="shared" si="248"/>
        <v>495-43</v>
      </c>
      <c r="D3866" t="s">
        <v>3847</v>
      </c>
      <c r="E3866" t="b">
        <f>IF(COUNTIF(D3866,"*"&amp;'Keyword Search'!$C$5&amp;"*"),TRUE,FALSE)</f>
        <v>1</v>
      </c>
      <c r="G3866" t="str">
        <f t="shared" si="249"/>
        <v>495-43: Geology, Earth Science</v>
      </c>
    </row>
    <row r="3867" spans="1:7" x14ac:dyDescent="0.25">
      <c r="A3867" s="1" t="str">
        <f t="shared" si="250"/>
        <v>495</v>
      </c>
      <c r="B3867" s="1" t="str">
        <f>TEXT(44,"00")</f>
        <v>44</v>
      </c>
      <c r="C3867" s="1" t="str">
        <f t="shared" si="248"/>
        <v>495-44</v>
      </c>
      <c r="D3867" t="s">
        <v>3848</v>
      </c>
      <c r="E3867" t="b">
        <f>IF(COUNTIF(D3867,"*"&amp;'Keyword Search'!$C$5&amp;"*"),TRUE,FALSE)</f>
        <v>1</v>
      </c>
      <c r="G3867" t="str">
        <f t="shared" si="249"/>
        <v>495-44: Geology Equipment and Supplies</v>
      </c>
    </row>
    <row r="3868" spans="1:7" x14ac:dyDescent="0.25">
      <c r="A3868" s="1" t="str">
        <f t="shared" si="250"/>
        <v>495</v>
      </c>
      <c r="B3868" s="1" t="str">
        <f>TEXT(45,"00")</f>
        <v>45</v>
      </c>
      <c r="C3868" s="1" t="str">
        <f t="shared" si="248"/>
        <v>495-45</v>
      </c>
      <c r="D3868" t="s">
        <v>3849</v>
      </c>
      <c r="E3868" t="b">
        <f>IF(COUNTIF(D3868,"*"&amp;'Keyword Search'!$C$5&amp;"*"),TRUE,FALSE)</f>
        <v>1</v>
      </c>
      <c r="G3868" t="str">
        <f t="shared" si="249"/>
        <v>495-45: Geology Specimens and Collections</v>
      </c>
    </row>
    <row r="3869" spans="1:7" x14ac:dyDescent="0.25">
      <c r="A3869" s="1" t="str">
        <f t="shared" si="250"/>
        <v>495</v>
      </c>
      <c r="B3869" s="1" t="str">
        <f>TEXT(48,"00")</f>
        <v>48</v>
      </c>
      <c r="C3869" s="1" t="str">
        <f t="shared" si="248"/>
        <v>495-48</v>
      </c>
      <c r="D3869" t="s">
        <v>3850</v>
      </c>
      <c r="E3869" t="b">
        <f>IF(COUNTIF(D3869,"*"&amp;'Keyword Search'!$C$5&amp;"*"),TRUE,FALSE)</f>
        <v>1</v>
      </c>
      <c r="G3869" t="str">
        <f t="shared" si="249"/>
        <v>495-48: Incubators: Convection, CO2, Anaerobic Chambers, etc., and Plant Growth Chambers</v>
      </c>
    </row>
    <row r="3870" spans="1:7" x14ac:dyDescent="0.25">
      <c r="A3870" s="1" t="str">
        <f t="shared" si="250"/>
        <v>495</v>
      </c>
      <c r="B3870" s="1" t="str">
        <f>TEXT(49,"00")</f>
        <v>49</v>
      </c>
      <c r="C3870" s="1" t="str">
        <f t="shared" si="248"/>
        <v>495-49</v>
      </c>
      <c r="D3870" t="s">
        <v>3851</v>
      </c>
      <c r="E3870" t="b">
        <f>IF(COUNTIF(D3870,"*"&amp;'Keyword Search'!$C$5&amp;"*"),TRUE,FALSE)</f>
        <v>1</v>
      </c>
      <c r="G3870" t="str">
        <f t="shared" si="249"/>
        <v>495-49: Invertebrates and Vertebrates, Preserved</v>
      </c>
    </row>
    <row r="3871" spans="1:7" x14ac:dyDescent="0.25">
      <c r="A3871" s="1" t="str">
        <f t="shared" si="250"/>
        <v>495</v>
      </c>
      <c r="B3871" s="1" t="str">
        <f>TEXT(50,"00")</f>
        <v>50</v>
      </c>
      <c r="C3871" s="1" t="str">
        <f t="shared" si="248"/>
        <v>495-50</v>
      </c>
      <c r="D3871" t="s">
        <v>3852</v>
      </c>
      <c r="E3871" t="b">
        <f>IF(COUNTIF(D3871,"*"&amp;'Keyword Search'!$C$5&amp;"*"),TRUE,FALSE)</f>
        <v>1</v>
      </c>
      <c r="G3871" t="str">
        <f t="shared" si="249"/>
        <v>495-50: Herbarium Equipment and Supplies: Drying Cases, etc.</v>
      </c>
    </row>
    <row r="3872" spans="1:7" x14ac:dyDescent="0.25">
      <c r="A3872" s="1" t="str">
        <f t="shared" si="250"/>
        <v>495</v>
      </c>
      <c r="B3872" s="1" t="str">
        <f>TEXT(54,"00")</f>
        <v>54</v>
      </c>
      <c r="C3872" s="1" t="str">
        <f t="shared" si="248"/>
        <v>495-54</v>
      </c>
      <c r="D3872" t="s">
        <v>3853</v>
      </c>
      <c r="E3872" t="b">
        <f>IF(COUNTIF(D3872,"*"&amp;'Keyword Search'!$C$5&amp;"*"),TRUE,FALSE)</f>
        <v>1</v>
      </c>
      <c r="G3872" t="str">
        <f t="shared" si="249"/>
        <v>495-54: Insects for Laboratory Research</v>
      </c>
    </row>
    <row r="3873" spans="1:7" x14ac:dyDescent="0.25">
      <c r="A3873" s="1" t="str">
        <f t="shared" si="250"/>
        <v>495</v>
      </c>
      <c r="B3873" s="1" t="str">
        <f>TEXT(55,"00")</f>
        <v>55</v>
      </c>
      <c r="C3873" s="1" t="str">
        <f t="shared" si="248"/>
        <v>495-55</v>
      </c>
      <c r="D3873" t="s">
        <v>3854</v>
      </c>
      <c r="E3873" t="b">
        <f>IF(COUNTIF(D3873,"*"&amp;'Keyword Search'!$C$5&amp;"*"),TRUE,FALSE)</f>
        <v>1</v>
      </c>
      <c r="G3873" t="str">
        <f t="shared" si="249"/>
        <v>495-55: Instruments, Dissecting</v>
      </c>
    </row>
    <row r="3874" spans="1:7" x14ac:dyDescent="0.25">
      <c r="A3874" s="1" t="str">
        <f t="shared" si="250"/>
        <v>495</v>
      </c>
      <c r="B3874" s="1" t="str">
        <f>TEXT(56,"00")</f>
        <v>56</v>
      </c>
      <c r="C3874" s="1" t="str">
        <f t="shared" si="248"/>
        <v>495-56</v>
      </c>
      <c r="D3874" t="s">
        <v>3855</v>
      </c>
      <c r="E3874" t="b">
        <f>IF(COUNTIF(D3874,"*"&amp;'Keyword Search'!$C$5&amp;"*"),TRUE,FALSE)</f>
        <v>1</v>
      </c>
      <c r="G3874" t="str">
        <f t="shared" si="249"/>
        <v>495-56: Microbiology Equipment and Accessories (Not Otherwise Classified)</v>
      </c>
    </row>
    <row r="3875" spans="1:7" x14ac:dyDescent="0.25">
      <c r="A3875" s="1" t="str">
        <f t="shared" si="250"/>
        <v>495</v>
      </c>
      <c r="B3875" s="1" t="str">
        <f>TEXT(57,"00")</f>
        <v>57</v>
      </c>
      <c r="C3875" s="1" t="str">
        <f t="shared" si="248"/>
        <v>495-57</v>
      </c>
      <c r="D3875" t="s">
        <v>3856</v>
      </c>
      <c r="E3875" t="b">
        <f>IF(COUNTIF(D3875,"*"&amp;'Keyword Search'!$C$5&amp;"*"),TRUE,FALSE)</f>
        <v>1</v>
      </c>
      <c r="G3875" t="str">
        <f t="shared" si="249"/>
        <v>495-57: Microscope Slide Preparation Equipment: Staining Racks and Trays, Slide Warmers, etc.</v>
      </c>
    </row>
    <row r="3876" spans="1:7" x14ac:dyDescent="0.25">
      <c r="A3876" s="1" t="str">
        <f t="shared" si="250"/>
        <v>495</v>
      </c>
      <c r="B3876" s="1" t="str">
        <f>TEXT(58,"00")</f>
        <v>58</v>
      </c>
      <c r="C3876" s="1" t="str">
        <f t="shared" si="248"/>
        <v>495-58</v>
      </c>
      <c r="D3876" t="s">
        <v>3857</v>
      </c>
      <c r="E3876" t="b">
        <f>IF(COUNTIF(D3876,"*"&amp;'Keyword Search'!$C$5&amp;"*"),TRUE,FALSE)</f>
        <v>1</v>
      </c>
      <c r="G3876" t="str">
        <f t="shared" si="249"/>
        <v>495-58: Microscopy Supplies: Cement, Immersion Oil, Slide Holders, Dispensers and Mailers, etc.</v>
      </c>
    </row>
    <row r="3877" spans="1:7" x14ac:dyDescent="0.25">
      <c r="A3877" s="1" t="str">
        <f t="shared" si="250"/>
        <v>495</v>
      </c>
      <c r="B3877" s="1" t="str">
        <f>TEXT(60,"00")</f>
        <v>60</v>
      </c>
      <c r="C3877" s="1" t="str">
        <f t="shared" si="248"/>
        <v>495-60</v>
      </c>
      <c r="D3877" t="s">
        <v>3858</v>
      </c>
      <c r="E3877" t="b">
        <f>IF(COUNTIF(D3877,"*"&amp;'Keyword Search'!$C$5&amp;"*"),TRUE,FALSE)</f>
        <v>1</v>
      </c>
      <c r="G3877" t="str">
        <f t="shared" si="249"/>
        <v>495-60: Mounts and Models</v>
      </c>
    </row>
    <row r="3878" spans="1:7" x14ac:dyDescent="0.25">
      <c r="A3878" s="1" t="str">
        <f t="shared" si="250"/>
        <v>495</v>
      </c>
      <c r="B3878" s="1" t="str">
        <f>TEXT(65,"00")</f>
        <v>65</v>
      </c>
      <c r="C3878" s="1" t="str">
        <f t="shared" si="248"/>
        <v>495-65</v>
      </c>
      <c r="D3878" t="s">
        <v>3859</v>
      </c>
      <c r="E3878" t="b">
        <f>IF(COUNTIF(D3878,"*"&amp;'Keyword Search'!$C$5&amp;"*"),TRUE,FALSE)</f>
        <v>1</v>
      </c>
      <c r="G3878" t="str">
        <f t="shared" si="249"/>
        <v>495-65: Museum Preparations and Supplies: Labels, etc.</v>
      </c>
    </row>
    <row r="3879" spans="1:7" x14ac:dyDescent="0.25">
      <c r="A3879" s="1" t="str">
        <f t="shared" si="250"/>
        <v>495</v>
      </c>
      <c r="B3879" s="1" t="str">
        <f>TEXT(69,"00")</f>
        <v>69</v>
      </c>
      <c r="C3879" s="1" t="str">
        <f t="shared" si="248"/>
        <v>495-69</v>
      </c>
      <c r="D3879" t="s">
        <v>3860</v>
      </c>
      <c r="E3879" t="b">
        <f>IF(COUNTIF(D3879,"*"&amp;'Keyword Search'!$C$5&amp;"*"),TRUE,FALSE)</f>
        <v>1</v>
      </c>
      <c r="G3879" t="str">
        <f t="shared" si="249"/>
        <v>495-69: Neuropsychological Testing Equipment: Reaction Time, Rotary Pursuit, etc.</v>
      </c>
    </row>
    <row r="3880" spans="1:7" x14ac:dyDescent="0.25">
      <c r="A3880" s="1" t="str">
        <f t="shared" si="250"/>
        <v>495</v>
      </c>
      <c r="B3880" s="1" t="str">
        <f>TEXT(70,"00")</f>
        <v>70</v>
      </c>
      <c r="C3880" s="1" t="str">
        <f t="shared" si="248"/>
        <v>495-70</v>
      </c>
      <c r="D3880" t="s">
        <v>3861</v>
      </c>
      <c r="E3880" t="b">
        <f>IF(COUNTIF(D3880,"*"&amp;'Keyword Search'!$C$5&amp;"*"),TRUE,FALSE)</f>
        <v>1</v>
      </c>
      <c r="G3880" t="str">
        <f t="shared" si="249"/>
        <v>495-70: Oceanography and Limnology Equipment: Dredges, Thermographs, etc.</v>
      </c>
    </row>
    <row r="3881" spans="1:7" x14ac:dyDescent="0.25">
      <c r="A3881" s="1" t="str">
        <f t="shared" si="250"/>
        <v>495</v>
      </c>
      <c r="B3881" s="1" t="str">
        <f>TEXT(73,"00")</f>
        <v>73</v>
      </c>
      <c r="C3881" s="1" t="str">
        <f t="shared" si="248"/>
        <v>495-73</v>
      </c>
      <c r="D3881" t="s">
        <v>3862</v>
      </c>
      <c r="E3881" t="b">
        <f>IF(COUNTIF(D3881,"*"&amp;'Keyword Search'!$C$5&amp;"*"),TRUE,FALSE)</f>
        <v>1</v>
      </c>
      <c r="G3881" t="str">
        <f t="shared" si="249"/>
        <v>495-73: Physiological Testing and Recording Equipment, Single and Multichannel, and Accessories: Electrodes, Monitors, Stimulators, etc.</v>
      </c>
    </row>
    <row r="3882" spans="1:7" x14ac:dyDescent="0.25">
      <c r="A3882" s="1" t="str">
        <f t="shared" si="250"/>
        <v>495</v>
      </c>
      <c r="B3882" s="1" t="str">
        <f>TEXT(75,"00")</f>
        <v>75</v>
      </c>
      <c r="C3882" s="1" t="str">
        <f t="shared" si="248"/>
        <v>495-75</v>
      </c>
      <c r="D3882" t="s">
        <v>3863</v>
      </c>
      <c r="E3882" t="b">
        <f>IF(COUNTIF(D3882,"*"&amp;'Keyword Search'!$C$5&amp;"*"),TRUE,FALSE)</f>
        <v>1</v>
      </c>
      <c r="G3882" t="str">
        <f t="shared" si="249"/>
        <v>495-75: Prepared Slides, Microscope</v>
      </c>
    </row>
    <row r="3883" spans="1:7" x14ac:dyDescent="0.25">
      <c r="A3883" s="1" t="str">
        <f t="shared" si="250"/>
        <v>495</v>
      </c>
      <c r="B3883" s="1" t="str">
        <f>TEXT(78,"00")</f>
        <v>78</v>
      </c>
      <c r="C3883" s="1" t="str">
        <f t="shared" si="248"/>
        <v>495-78</v>
      </c>
      <c r="D3883" t="s">
        <v>3864</v>
      </c>
      <c r="E3883" t="b">
        <f>IF(COUNTIF(D3883,"*"&amp;'Keyword Search'!$C$5&amp;"*"),TRUE,FALSE)</f>
        <v>1</v>
      </c>
      <c r="G3883" t="str">
        <f t="shared" si="249"/>
        <v>495-78: Reptiles, Preserved</v>
      </c>
    </row>
    <row r="3884" spans="1:7" x14ac:dyDescent="0.25">
      <c r="A3884" s="1" t="str">
        <f t="shared" si="250"/>
        <v>495</v>
      </c>
      <c r="B3884" s="1" t="str">
        <f>TEXT(82,"00")</f>
        <v>82</v>
      </c>
      <c r="C3884" s="1" t="str">
        <f t="shared" si="248"/>
        <v>495-82</v>
      </c>
      <c r="D3884" t="s">
        <v>3865</v>
      </c>
      <c r="E3884" t="b">
        <f>IF(COUNTIF(D3884,"*"&amp;'Keyword Search'!$C$5&amp;"*"),TRUE,FALSE)</f>
        <v>1</v>
      </c>
      <c r="G3884" t="str">
        <f t="shared" si="249"/>
        <v>495-82: Scales, Laboratory, Animal and Human: Autopsy Scales, Underwater Scales, etc.</v>
      </c>
    </row>
    <row r="3885" spans="1:7" x14ac:dyDescent="0.25">
      <c r="A3885" s="1" t="str">
        <f t="shared" si="250"/>
        <v>495</v>
      </c>
      <c r="B3885" s="1" t="str">
        <f>TEXT(84,"00")</f>
        <v>84</v>
      </c>
      <c r="C3885" s="1" t="str">
        <f t="shared" si="248"/>
        <v>495-84</v>
      </c>
      <c r="D3885" t="s">
        <v>3866</v>
      </c>
      <c r="E3885" t="b">
        <f>IF(COUNTIF(D3885,"*"&amp;'Keyword Search'!$C$5&amp;"*"),TRUE,FALSE)</f>
        <v>1</v>
      </c>
      <c r="G3885" t="str">
        <f t="shared" si="249"/>
        <v>495-84: Slide Stainer Equipment and Accessories (Not Otherwise Classified)</v>
      </c>
    </row>
    <row r="3886" spans="1:7" x14ac:dyDescent="0.25">
      <c r="A3886" s="1" t="str">
        <f t="shared" si="250"/>
        <v>495</v>
      </c>
      <c r="B3886" s="1" t="str">
        <f>TEXT(85,"00")</f>
        <v>85</v>
      </c>
      <c r="C3886" s="1" t="str">
        <f t="shared" si="248"/>
        <v>495-85</v>
      </c>
      <c r="D3886" t="s">
        <v>3867</v>
      </c>
      <c r="E3886" t="b">
        <f>IF(COUNTIF(D3886,"*"&amp;'Keyword Search'!$C$5&amp;"*"),TRUE,FALSE)</f>
        <v>1</v>
      </c>
      <c r="G3886" t="str">
        <f t="shared" si="249"/>
        <v>495-85: Skeletons: Mounted, Unmounted, and Partial</v>
      </c>
    </row>
    <row r="3887" spans="1:7" x14ac:dyDescent="0.25">
      <c r="A3887" s="1" t="str">
        <f t="shared" si="250"/>
        <v>495</v>
      </c>
      <c r="B3887" s="1" t="str">
        <f>TEXT(88,"00")</f>
        <v>88</v>
      </c>
      <c r="C3887" s="1" t="str">
        <f t="shared" si="248"/>
        <v>495-88</v>
      </c>
      <c r="D3887" t="s">
        <v>3868</v>
      </c>
      <c r="E3887" t="b">
        <f>IF(COUNTIF(D3887,"*"&amp;'Keyword Search'!$C$5&amp;"*"),TRUE,FALSE)</f>
        <v>1</v>
      </c>
      <c r="G3887" t="str">
        <f t="shared" si="249"/>
        <v>495-88: Tissue and Organ Culture Equipment: Cell Harvesters, Roller Drums, etc.</v>
      </c>
    </row>
    <row r="3888" spans="1:7" x14ac:dyDescent="0.25">
      <c r="A3888" s="1" t="str">
        <f t="shared" si="250"/>
        <v>495</v>
      </c>
      <c r="B3888" s="1" t="str">
        <f>TEXT(90,"00")</f>
        <v>90</v>
      </c>
      <c r="C3888" s="1" t="str">
        <f t="shared" si="248"/>
        <v>495-90</v>
      </c>
      <c r="D3888" t="s">
        <v>3869</v>
      </c>
      <c r="E3888" t="b">
        <f>IF(COUNTIF(D3888,"*"&amp;'Keyword Search'!$C$5&amp;"*"),TRUE,FALSE)</f>
        <v>1</v>
      </c>
      <c r="G3888" t="str">
        <f t="shared" si="249"/>
        <v>495-90: Tissue-Processing Equipment and Supplies, For Histology: Cryostats, Flotation Baths, Microtomes, Paraffin Embedment Systems, etc.</v>
      </c>
    </row>
    <row r="3889" spans="1:7" x14ac:dyDescent="0.25">
      <c r="A3889" s="1" t="str">
        <f t="shared" si="250"/>
        <v>495</v>
      </c>
      <c r="B3889" s="1" t="str">
        <f>TEXT(95,"00")</f>
        <v>95</v>
      </c>
      <c r="C3889" s="1" t="str">
        <f t="shared" si="248"/>
        <v>495-95</v>
      </c>
      <c r="D3889" t="s">
        <v>3870</v>
      </c>
      <c r="E3889" t="b">
        <f>IF(COUNTIF(D3889,"*"&amp;'Keyword Search'!$C$5&amp;"*"),TRUE,FALSE)</f>
        <v>1</v>
      </c>
      <c r="G3889" t="str">
        <f t="shared" si="249"/>
        <v>495-95: Zoology Specimens, Live and Injected</v>
      </c>
    </row>
    <row r="3890" spans="1:7" x14ac:dyDescent="0.25">
      <c r="A3890" s="1" t="str">
        <f t="shared" si="250"/>
        <v>495</v>
      </c>
      <c r="B3890" s="1" t="str">
        <f>TEXT(97,"00")</f>
        <v>97</v>
      </c>
      <c r="C3890" s="1" t="str">
        <f t="shared" si="248"/>
        <v>495-97</v>
      </c>
      <c r="D3890" t="s">
        <v>3871</v>
      </c>
      <c r="E3890" t="b">
        <f>IF(COUNTIF(D3890,"*"&amp;'Keyword Search'!$C$5&amp;"*"),TRUE,FALSE)</f>
        <v>1</v>
      </c>
      <c r="G3890" t="str">
        <f t="shared" si="249"/>
        <v>495-97: Recycled Biology, Botany, Geology, Microbiology and Zoology Equipment and Supplies</v>
      </c>
    </row>
    <row r="3891" spans="1:7" x14ac:dyDescent="0.25">
      <c r="A3891" s="5" t="str">
        <f t="shared" ref="A3891:A3915" si="251">TEXT(500,"000")</f>
        <v>500</v>
      </c>
      <c r="B3891" s="5" t="str">
        <f>TEXT(0,"00")</f>
        <v>00</v>
      </c>
      <c r="C3891" s="1"/>
      <c r="D3891" s="2" t="s">
        <v>3872</v>
      </c>
    </row>
    <row r="3892" spans="1:7" x14ac:dyDescent="0.25">
      <c r="A3892" s="1" t="str">
        <f t="shared" si="251"/>
        <v>500</v>
      </c>
      <c r="B3892" s="1" t="str">
        <f>TEXT(3,"00")</f>
        <v>03</v>
      </c>
      <c r="C3892" s="1" t="str">
        <f t="shared" si="248"/>
        <v>500-03</v>
      </c>
      <c r="D3892" t="s">
        <v>3873</v>
      </c>
      <c r="E3892" t="b">
        <f>IF(COUNTIF(D3892,"*"&amp;'Keyword Search'!$C$5&amp;"*"),TRUE,FALSE)</f>
        <v>1</v>
      </c>
      <c r="G3892" t="str">
        <f t="shared" si="249"/>
        <v>500-03: Conditioning and Finishing Equipment: Chambers, Tunnels, etc.</v>
      </c>
    </row>
    <row r="3893" spans="1:7" x14ac:dyDescent="0.25">
      <c r="A3893" s="1" t="str">
        <f t="shared" si="251"/>
        <v>500</v>
      </c>
      <c r="B3893" s="1" t="str">
        <f>TEXT(5,"00")</f>
        <v>05</v>
      </c>
      <c r="C3893" s="1" t="str">
        <f t="shared" si="248"/>
        <v>500-05</v>
      </c>
      <c r="D3893" t="s">
        <v>3874</v>
      </c>
      <c r="E3893" t="b">
        <f>IF(COUNTIF(D3893,"*"&amp;'Keyword Search'!$C$5&amp;"*"),TRUE,FALSE)</f>
        <v>1</v>
      </c>
      <c r="G3893" t="str">
        <f t="shared" si="249"/>
        <v>500-05: Dry Cleaning Plants, Petroleum Solvent</v>
      </c>
    </row>
    <row r="3894" spans="1:7" x14ac:dyDescent="0.25">
      <c r="A3894" s="1" t="str">
        <f t="shared" si="251"/>
        <v>500</v>
      </c>
      <c r="B3894" s="1" t="str">
        <f>TEXT(10,"00")</f>
        <v>10</v>
      </c>
      <c r="C3894" s="1" t="str">
        <f t="shared" si="248"/>
        <v>500-10</v>
      </c>
      <c r="D3894" t="s">
        <v>3875</v>
      </c>
      <c r="E3894" t="b">
        <f>IF(COUNTIF(D3894,"*"&amp;'Keyword Search'!$C$5&amp;"*"),TRUE,FALSE)</f>
        <v>1</v>
      </c>
      <c r="G3894" t="str">
        <f t="shared" si="249"/>
        <v>500-10: Dry Cleaning Plants, Synthetic Solvent</v>
      </c>
    </row>
    <row r="3895" spans="1:7" x14ac:dyDescent="0.25">
      <c r="A3895" s="1" t="str">
        <f t="shared" si="251"/>
        <v>500</v>
      </c>
      <c r="B3895" s="1" t="str">
        <f>TEXT(15,"00")</f>
        <v>15</v>
      </c>
      <c r="C3895" s="1" t="str">
        <f t="shared" si="248"/>
        <v>500-15</v>
      </c>
      <c r="D3895" t="s">
        <v>3876</v>
      </c>
      <c r="E3895" t="b">
        <f>IF(COUNTIF(D3895,"*"&amp;'Keyword Search'!$C$5&amp;"*"),TRUE,FALSE)</f>
        <v>1</v>
      </c>
      <c r="G3895" t="str">
        <f t="shared" si="249"/>
        <v>500-15: Drying Tumblers: Steam, Electric and Gas Fired</v>
      </c>
    </row>
    <row r="3896" spans="1:7" x14ac:dyDescent="0.25">
      <c r="A3896" s="1" t="str">
        <f t="shared" si="251"/>
        <v>500</v>
      </c>
      <c r="B3896" s="1" t="str">
        <f>TEXT(17,"00")</f>
        <v>17</v>
      </c>
      <c r="C3896" s="1" t="str">
        <f t="shared" si="248"/>
        <v>500-17</v>
      </c>
      <c r="D3896" t="s">
        <v>3877</v>
      </c>
      <c r="E3896" t="b">
        <f>IF(COUNTIF(D3896,"*"&amp;'Keyword Search'!$C$5&amp;"*"),TRUE,FALSE)</f>
        <v>1</v>
      </c>
      <c r="G3896" t="str">
        <f t="shared" si="249"/>
        <v>500-17: Drying Tumblers: Steam, Electric and Gas Fired, Up to Fifty Pounds</v>
      </c>
    </row>
    <row r="3897" spans="1:7" x14ac:dyDescent="0.25">
      <c r="A3897" s="1" t="str">
        <f t="shared" si="251"/>
        <v>500</v>
      </c>
      <c r="B3897" s="1" t="str">
        <f>TEXT(20,"00")</f>
        <v>20</v>
      </c>
      <c r="C3897" s="1" t="str">
        <f t="shared" si="248"/>
        <v>500-20</v>
      </c>
      <c r="D3897" t="s">
        <v>3878</v>
      </c>
      <c r="E3897" t="b">
        <f>IF(COUNTIF(D3897,"*"&amp;'Keyword Search'!$C$5&amp;"*"),TRUE,FALSE)</f>
        <v>1</v>
      </c>
      <c r="G3897" t="str">
        <f t="shared" si="249"/>
        <v>500-20: Extractors, Centrifugal</v>
      </c>
    </row>
    <row r="3898" spans="1:7" x14ac:dyDescent="0.25">
      <c r="A3898" s="1" t="str">
        <f t="shared" si="251"/>
        <v>500</v>
      </c>
      <c r="B3898" s="1" t="str">
        <f>TEXT(25,"00")</f>
        <v>25</v>
      </c>
      <c r="C3898" s="1" t="str">
        <f t="shared" si="248"/>
        <v>500-25</v>
      </c>
      <c r="D3898" t="s">
        <v>3879</v>
      </c>
      <c r="E3898" t="b">
        <f>IF(COUNTIF(D3898,"*"&amp;'Keyword Search'!$C$5&amp;"*"),TRUE,FALSE)</f>
        <v>1</v>
      </c>
      <c r="G3898" t="str">
        <f t="shared" si="249"/>
        <v>500-25: Extractors, Hydraulic</v>
      </c>
    </row>
    <row r="3899" spans="1:7" x14ac:dyDescent="0.25">
      <c r="A3899" s="1" t="str">
        <f t="shared" si="251"/>
        <v>500</v>
      </c>
      <c r="B3899" s="1" t="str">
        <f>TEXT(30,"00")</f>
        <v>30</v>
      </c>
      <c r="C3899" s="1" t="str">
        <f t="shared" si="248"/>
        <v>500-30</v>
      </c>
      <c r="D3899" t="s">
        <v>3880</v>
      </c>
      <c r="E3899" t="b">
        <f>IF(COUNTIF(D3899,"*"&amp;'Keyword Search'!$C$5&amp;"*"),TRUE,FALSE)</f>
        <v>1</v>
      </c>
      <c r="G3899" t="str">
        <f t="shared" si="249"/>
        <v>500-30: Folders and Folder-Stackers, Flatwork</v>
      </c>
    </row>
    <row r="3900" spans="1:7" x14ac:dyDescent="0.25">
      <c r="A3900" s="1" t="str">
        <f t="shared" si="251"/>
        <v>500</v>
      </c>
      <c r="B3900" s="1" t="str">
        <f>TEXT(40,"00")</f>
        <v>40</v>
      </c>
      <c r="C3900" s="1" t="str">
        <f t="shared" si="248"/>
        <v>500-40</v>
      </c>
      <c r="D3900" t="s">
        <v>3881</v>
      </c>
      <c r="E3900" t="b">
        <f>IF(COUNTIF(D3900,"*"&amp;'Keyword Search'!$C$5&amp;"*"),TRUE,FALSE)</f>
        <v>1</v>
      </c>
      <c r="G3900" t="str">
        <f t="shared" si="249"/>
        <v>500-40: Ironers and Accessories, Flatwork</v>
      </c>
    </row>
    <row r="3901" spans="1:7" x14ac:dyDescent="0.25">
      <c r="A3901" s="1" t="str">
        <f t="shared" si="251"/>
        <v>500</v>
      </c>
      <c r="B3901" s="1" t="str">
        <f>TEXT(45,"00")</f>
        <v>45</v>
      </c>
      <c r="C3901" s="1" t="str">
        <f t="shared" si="248"/>
        <v>500-45</v>
      </c>
      <c r="D3901" t="s">
        <v>3882</v>
      </c>
      <c r="E3901" t="b">
        <f>IF(COUNTIF(D3901,"*"&amp;'Keyword Search'!$C$5&amp;"*"),TRUE,FALSE)</f>
        <v>1</v>
      </c>
      <c r="G3901" t="str">
        <f t="shared" si="249"/>
        <v>500-45: Ironing Tables and Spray Guns</v>
      </c>
    </row>
    <row r="3902" spans="1:7" x14ac:dyDescent="0.25">
      <c r="A3902" s="1" t="str">
        <f t="shared" si="251"/>
        <v>500</v>
      </c>
      <c r="B3902" s="1" t="str">
        <f>TEXT(47,"00")</f>
        <v>47</v>
      </c>
      <c r="C3902" s="1" t="str">
        <f t="shared" si="248"/>
        <v>500-47</v>
      </c>
      <c r="D3902" t="s">
        <v>3883</v>
      </c>
      <c r="E3902" t="b">
        <f>IF(COUNTIF(D3902,"*"&amp;'Keyword Search'!$C$5&amp;"*"),TRUE,FALSE)</f>
        <v>1</v>
      </c>
      <c r="G3902" t="str">
        <f t="shared" si="249"/>
        <v>500-47: Lint Disposal and Removal Systems</v>
      </c>
    </row>
    <row r="3903" spans="1:7" x14ac:dyDescent="0.25">
      <c r="A3903" s="1" t="str">
        <f t="shared" si="251"/>
        <v>500</v>
      </c>
      <c r="B3903" s="1" t="str">
        <f>TEXT(50,"00")</f>
        <v>50</v>
      </c>
      <c r="C3903" s="1" t="str">
        <f t="shared" si="248"/>
        <v>500-50</v>
      </c>
      <c r="D3903" t="s">
        <v>3884</v>
      </c>
      <c r="E3903" t="b">
        <f>IF(COUNTIF(D3903,"*"&amp;'Keyword Search'!$C$5&amp;"*"),TRUE,FALSE)</f>
        <v>1</v>
      </c>
      <c r="G3903" t="str">
        <f t="shared" si="249"/>
        <v>500-50: Marking Machines</v>
      </c>
    </row>
    <row r="3904" spans="1:7" x14ac:dyDescent="0.25">
      <c r="A3904" s="1" t="str">
        <f t="shared" si="251"/>
        <v>500</v>
      </c>
      <c r="B3904" s="1" t="str">
        <f>TEXT(55,"00")</f>
        <v>55</v>
      </c>
      <c r="C3904" s="1" t="str">
        <f t="shared" si="248"/>
        <v>500-55</v>
      </c>
      <c r="D3904" t="s">
        <v>3885</v>
      </c>
      <c r="E3904" t="b">
        <f>IF(COUNTIF(D3904,"*"&amp;'Keyword Search'!$C$5&amp;"*"),TRUE,FALSE)</f>
        <v>1</v>
      </c>
      <c r="G3904" t="str">
        <f t="shared" si="249"/>
        <v>500-55: Patching Machines, Electric</v>
      </c>
    </row>
    <row r="3905" spans="1:7" x14ac:dyDescent="0.25">
      <c r="A3905" s="1" t="str">
        <f t="shared" si="251"/>
        <v>500</v>
      </c>
      <c r="B3905" s="1" t="str">
        <f>TEXT(60,"00")</f>
        <v>60</v>
      </c>
      <c r="C3905" s="1" t="str">
        <f t="shared" si="248"/>
        <v>500-60</v>
      </c>
      <c r="D3905" t="s">
        <v>3886</v>
      </c>
      <c r="E3905" t="b">
        <f>IF(COUNTIF(D3905,"*"&amp;'Keyword Search'!$C$5&amp;"*"),TRUE,FALSE)</f>
        <v>1</v>
      </c>
      <c r="G3905" t="str">
        <f t="shared" si="249"/>
        <v>500-60: Presses</v>
      </c>
    </row>
    <row r="3906" spans="1:7" x14ac:dyDescent="0.25">
      <c r="A3906" s="1" t="str">
        <f t="shared" si="251"/>
        <v>500</v>
      </c>
      <c r="B3906" s="1" t="str">
        <f>TEXT(63,"00")</f>
        <v>63</v>
      </c>
      <c r="C3906" s="1" t="str">
        <f t="shared" si="248"/>
        <v>500-63</v>
      </c>
      <c r="D3906" t="s">
        <v>3887</v>
      </c>
      <c r="E3906" t="b">
        <f>IF(COUNTIF(D3906,"*"&amp;'Keyword Search'!$C$5&amp;"*"),TRUE,FALSE)</f>
        <v>1</v>
      </c>
      <c r="G3906" t="str">
        <f t="shared" si="249"/>
        <v>500-63: Refurbished Laundry and Dry Cleaning Equipment and Supplies</v>
      </c>
    </row>
    <row r="3907" spans="1:7" x14ac:dyDescent="0.25">
      <c r="A3907" s="1" t="str">
        <f t="shared" si="251"/>
        <v>500</v>
      </c>
      <c r="B3907" s="1" t="str">
        <f>TEXT(65,"00")</f>
        <v>65</v>
      </c>
      <c r="C3907" s="1" t="str">
        <f t="shared" ref="C3907:C3970" si="252">CONCATENATE(A3907,"-",B3907)</f>
        <v>500-65</v>
      </c>
      <c r="D3907" t="s">
        <v>3888</v>
      </c>
      <c r="E3907" t="b">
        <f>IF(COUNTIF(D3907,"*"&amp;'Keyword Search'!$C$5&amp;"*"),TRUE,FALSE)</f>
        <v>1</v>
      </c>
      <c r="G3907" t="str">
        <f t="shared" si="249"/>
        <v>500-65: Soap Tanks and Automatic Supply Injection Systems</v>
      </c>
    </row>
    <row r="3908" spans="1:7" x14ac:dyDescent="0.25">
      <c r="A3908" s="1" t="str">
        <f t="shared" si="251"/>
        <v>500</v>
      </c>
      <c r="B3908" s="1" t="str">
        <f>TEXT(68,"00")</f>
        <v>68</v>
      </c>
      <c r="C3908" s="1" t="str">
        <f t="shared" si="252"/>
        <v>500-68</v>
      </c>
      <c r="D3908" t="s">
        <v>3889</v>
      </c>
      <c r="E3908" t="b">
        <f>IF(COUNTIF(D3908,"*"&amp;'Keyword Search'!$C$5&amp;"*"),TRUE,FALSE)</f>
        <v>1</v>
      </c>
      <c r="G3908" t="str">
        <f t="shared" ref="G3908:G3971" si="253">CONCATENATE(C3908,": ",D3908)</f>
        <v>500-68: Stands, Laundry Equipment</v>
      </c>
    </row>
    <row r="3909" spans="1:7" x14ac:dyDescent="0.25">
      <c r="A3909" s="1" t="str">
        <f t="shared" si="251"/>
        <v>500</v>
      </c>
      <c r="B3909" s="1" t="str">
        <f>TEXT(70,"00")</f>
        <v>70</v>
      </c>
      <c r="C3909" s="1" t="str">
        <f t="shared" si="252"/>
        <v>500-70</v>
      </c>
      <c r="D3909" t="s">
        <v>3890</v>
      </c>
      <c r="E3909" t="b">
        <f>IF(COUNTIF(D3909,"*"&amp;'Keyword Search'!$C$5&amp;"*"),TRUE,FALSE)</f>
        <v>1</v>
      </c>
      <c r="G3909" t="str">
        <f t="shared" si="253"/>
        <v>500-70: Starch Cookers</v>
      </c>
    </row>
    <row r="3910" spans="1:7" x14ac:dyDescent="0.25">
      <c r="A3910" s="1" t="str">
        <f t="shared" si="251"/>
        <v>500</v>
      </c>
      <c r="B3910" s="1" t="str">
        <f>TEXT(75,"00")</f>
        <v>75</v>
      </c>
      <c r="C3910" s="1" t="str">
        <f t="shared" si="252"/>
        <v>500-75</v>
      </c>
      <c r="D3910" t="s">
        <v>3891</v>
      </c>
      <c r="E3910" t="b">
        <f>IF(COUNTIF(D3910,"*"&amp;'Keyword Search'!$C$5&amp;"*"),TRUE,FALSE)</f>
        <v>1</v>
      </c>
      <c r="G3910" t="str">
        <f t="shared" si="253"/>
        <v>500-75: Tables, Shirt Finishing and Folding</v>
      </c>
    </row>
    <row r="3911" spans="1:7" x14ac:dyDescent="0.25">
      <c r="A3911" s="1" t="str">
        <f t="shared" si="251"/>
        <v>500</v>
      </c>
      <c r="B3911" s="1" t="str">
        <f>TEXT(87,"00")</f>
        <v>87</v>
      </c>
      <c r="C3911" s="1" t="str">
        <f t="shared" si="252"/>
        <v>500-87</v>
      </c>
      <c r="D3911" t="s">
        <v>3892</v>
      </c>
      <c r="E3911" t="b">
        <f>IF(COUNTIF(D3911,"*"&amp;'Keyword Search'!$C$5&amp;"*"),TRUE,FALSE)</f>
        <v>1</v>
      </c>
      <c r="G3911" t="str">
        <f t="shared" si="253"/>
        <v>500-87: Washer Extractors, Rated Under 100 Pound</v>
      </c>
    </row>
    <row r="3912" spans="1:7" x14ac:dyDescent="0.25">
      <c r="A3912" s="1" t="str">
        <f t="shared" si="251"/>
        <v>500</v>
      </c>
      <c r="B3912" s="1" t="str">
        <f>TEXT(90,"00")</f>
        <v>90</v>
      </c>
      <c r="C3912" s="1" t="str">
        <f t="shared" si="252"/>
        <v>500-90</v>
      </c>
      <c r="D3912" t="s">
        <v>3893</v>
      </c>
      <c r="E3912" t="b">
        <f>IF(COUNTIF(D3912,"*"&amp;'Keyword Search'!$C$5&amp;"*"),TRUE,FALSE)</f>
        <v>1</v>
      </c>
      <c r="G3912" t="str">
        <f t="shared" si="253"/>
        <v>500-90: Washer Extractors, Rated at 100 Pounds and Over</v>
      </c>
    </row>
    <row r="3913" spans="1:7" x14ac:dyDescent="0.25">
      <c r="A3913" s="1" t="str">
        <f t="shared" si="251"/>
        <v>500</v>
      </c>
      <c r="B3913" s="1" t="str">
        <f>TEXT(95,"00")</f>
        <v>95</v>
      </c>
      <c r="C3913" s="1" t="str">
        <f t="shared" si="252"/>
        <v>500-95</v>
      </c>
      <c r="D3913" t="s">
        <v>3894</v>
      </c>
      <c r="E3913" t="b">
        <f>IF(COUNTIF(D3913,"*"&amp;'Keyword Search'!$C$5&amp;"*"),TRUE,FALSE)</f>
        <v>1</v>
      </c>
      <c r="G3913" t="str">
        <f t="shared" si="253"/>
        <v>500-95: Washing Machines, Commercial</v>
      </c>
    </row>
    <row r="3914" spans="1:7" x14ac:dyDescent="0.25">
      <c r="A3914" s="1" t="str">
        <f t="shared" si="251"/>
        <v>500</v>
      </c>
      <c r="B3914" s="1" t="str">
        <f>TEXT(96,"00")</f>
        <v>96</v>
      </c>
      <c r="C3914" s="1" t="str">
        <f t="shared" si="252"/>
        <v>500-96</v>
      </c>
      <c r="D3914" t="s">
        <v>3895</v>
      </c>
      <c r="E3914" t="b">
        <f>IF(COUNTIF(D3914,"*"&amp;'Keyword Search'!$C$5&amp;"*"),TRUE,FALSE)</f>
        <v>1</v>
      </c>
      <c r="G3914" t="str">
        <f t="shared" si="253"/>
        <v>500-96: Washers and Dryers, Coin-Operated Type</v>
      </c>
    </row>
    <row r="3915" spans="1:7" x14ac:dyDescent="0.25">
      <c r="A3915" s="1" t="str">
        <f t="shared" si="251"/>
        <v>500</v>
      </c>
      <c r="B3915" s="1" t="str">
        <f>TEXT(97,"00")</f>
        <v>97</v>
      </c>
      <c r="C3915" s="1" t="str">
        <f t="shared" si="252"/>
        <v>500-97</v>
      </c>
      <c r="D3915" t="s">
        <v>3896</v>
      </c>
      <c r="E3915" t="b">
        <f>IF(COUNTIF(D3915,"*"&amp;'Keyword Search'!$C$5&amp;"*"),TRUE,FALSE)</f>
        <v>1</v>
      </c>
      <c r="G3915" t="str">
        <f t="shared" si="253"/>
        <v>500-97: Water Recovery System, Laundry</v>
      </c>
    </row>
    <row r="3916" spans="1:7" x14ac:dyDescent="0.25">
      <c r="A3916" s="5" t="str">
        <f t="shared" ref="A3916:A3939" si="254">TEXT(505,"000")</f>
        <v>505</v>
      </c>
      <c r="B3916" s="5" t="str">
        <f>TEXT(0,"00")</f>
        <v>00</v>
      </c>
      <c r="C3916" s="1"/>
      <c r="D3916" s="2" t="s">
        <v>3897</v>
      </c>
    </row>
    <row r="3917" spans="1:7" x14ac:dyDescent="0.25">
      <c r="A3917" s="1" t="str">
        <f t="shared" si="254"/>
        <v>505</v>
      </c>
      <c r="B3917" s="1" t="str">
        <f>TEXT(9,"00")</f>
        <v>09</v>
      </c>
      <c r="C3917" s="1" t="str">
        <f t="shared" si="252"/>
        <v>505-09</v>
      </c>
      <c r="D3917" t="s">
        <v>3898</v>
      </c>
      <c r="E3917" t="b">
        <f>IF(COUNTIF(D3917,"*"&amp;'Keyword Search'!$C$5&amp;"*"),TRUE,FALSE)</f>
        <v>1</v>
      </c>
      <c r="G3917" t="str">
        <f t="shared" si="253"/>
        <v>505-09: Additives, Rinse</v>
      </c>
    </row>
    <row r="3918" spans="1:7" x14ac:dyDescent="0.25">
      <c r="A3918" s="1" t="str">
        <f t="shared" si="254"/>
        <v>505</v>
      </c>
      <c r="B3918" s="1" t="str">
        <f>TEXT(15,"00")</f>
        <v>15</v>
      </c>
      <c r="C3918" s="1" t="str">
        <f t="shared" si="252"/>
        <v>505-15</v>
      </c>
      <c r="D3918" t="s">
        <v>3899</v>
      </c>
      <c r="E3918" t="b">
        <f>IF(COUNTIF(D3918,"*"&amp;'Keyword Search'!$C$5&amp;"*"),TRUE,FALSE)</f>
        <v>1</v>
      </c>
      <c r="G3918" t="str">
        <f t="shared" si="253"/>
        <v>505-15: Bluing, Inks, and Vat Dyes</v>
      </c>
    </row>
    <row r="3919" spans="1:7" x14ac:dyDescent="0.25">
      <c r="A3919" s="1" t="str">
        <f t="shared" si="254"/>
        <v>505</v>
      </c>
      <c r="B3919" s="1" t="str">
        <f>TEXT(20,"00")</f>
        <v>20</v>
      </c>
      <c r="C3919" s="1" t="str">
        <f t="shared" si="252"/>
        <v>505-20</v>
      </c>
      <c r="D3919" t="s">
        <v>3900</v>
      </c>
      <c r="E3919" t="b">
        <f>IF(COUNTIF(D3919,"*"&amp;'Keyword Search'!$C$5&amp;"*"),TRUE,FALSE)</f>
        <v>1</v>
      </c>
      <c r="G3919" t="str">
        <f t="shared" si="253"/>
        <v>505-20: Boron Compounds: Granulated Borax, Sodium Perborate, etc.</v>
      </c>
    </row>
    <row r="3920" spans="1:7" x14ac:dyDescent="0.25">
      <c r="A3920" s="1" t="str">
        <f t="shared" si="254"/>
        <v>505</v>
      </c>
      <c r="B3920" s="1" t="str">
        <f>TEXT(25,"00")</f>
        <v>25</v>
      </c>
      <c r="C3920" s="1" t="str">
        <f t="shared" si="252"/>
        <v>505-25</v>
      </c>
      <c r="D3920" t="s">
        <v>3901</v>
      </c>
      <c r="E3920" t="b">
        <f>IF(COUNTIF(D3920,"*"&amp;'Keyword Search'!$C$5&amp;"*"),TRUE,FALSE)</f>
        <v>1</v>
      </c>
      <c r="G3920" t="str">
        <f t="shared" si="253"/>
        <v>505-25: Bleach, Chlorine and Peroxide</v>
      </c>
    </row>
    <row r="3921" spans="1:7" x14ac:dyDescent="0.25">
      <c r="A3921" s="1" t="str">
        <f t="shared" si="254"/>
        <v>505</v>
      </c>
      <c r="B3921" s="1" t="str">
        <f>TEXT(30,"00")</f>
        <v>30</v>
      </c>
      <c r="C3921" s="1" t="str">
        <f t="shared" si="252"/>
        <v>505-30</v>
      </c>
      <c r="D3921" t="s">
        <v>3902</v>
      </c>
      <c r="E3921" t="b">
        <f>IF(COUNTIF(D3921,"*"&amp;'Keyword Search'!$C$5&amp;"*"),TRUE,FALSE)</f>
        <v>1</v>
      </c>
      <c r="G3921" t="str">
        <f t="shared" si="253"/>
        <v>505-30: Chemicals, Laundry (Not Otherwise Classified)</v>
      </c>
    </row>
    <row r="3922" spans="1:7" x14ac:dyDescent="0.25">
      <c r="A3922" s="1" t="str">
        <f t="shared" si="254"/>
        <v>505</v>
      </c>
      <c r="B3922" s="1" t="str">
        <f>TEXT(33,"00")</f>
        <v>33</v>
      </c>
      <c r="C3922" s="1" t="str">
        <f t="shared" si="252"/>
        <v>505-33</v>
      </c>
      <c r="D3922" t="s">
        <v>3903</v>
      </c>
      <c r="E3922" t="b">
        <f>IF(COUNTIF(D3922,"*"&amp;'Keyword Search'!$C$5&amp;"*"),TRUE,FALSE)</f>
        <v>1</v>
      </c>
      <c r="G3922" t="str">
        <f t="shared" si="253"/>
        <v>505-33: Detergents, Special Formula, For Removing Proteins, Tannin, and Other Soils</v>
      </c>
    </row>
    <row r="3923" spans="1:7" x14ac:dyDescent="0.25">
      <c r="A3923" s="1" t="str">
        <f t="shared" si="254"/>
        <v>505</v>
      </c>
      <c r="B3923" s="1" t="str">
        <f>TEXT(35,"00")</f>
        <v>35</v>
      </c>
      <c r="C3923" s="1" t="str">
        <f t="shared" si="252"/>
        <v>505-35</v>
      </c>
      <c r="D3923" t="s">
        <v>3904</v>
      </c>
      <c r="E3923" t="b">
        <f>IF(COUNTIF(D3923,"*"&amp;'Keyword Search'!$C$5&amp;"*"),TRUE,FALSE)</f>
        <v>1</v>
      </c>
      <c r="G3923" t="str">
        <f t="shared" si="253"/>
        <v>505-35: Detergents, Synthetic</v>
      </c>
    </row>
    <row r="3924" spans="1:7" x14ac:dyDescent="0.25">
      <c r="A3924" s="1" t="str">
        <f t="shared" si="254"/>
        <v>505</v>
      </c>
      <c r="B3924" s="1" t="str">
        <f>TEXT(37,"00")</f>
        <v>37</v>
      </c>
      <c r="C3924" s="1" t="str">
        <f t="shared" si="252"/>
        <v>505-37</v>
      </c>
      <c r="D3924" t="s">
        <v>3905</v>
      </c>
      <c r="E3924" t="b">
        <f>IF(COUNTIF(D3924,"*"&amp;'Keyword Search'!$C$5&amp;"*"),TRUE,FALSE)</f>
        <v>1</v>
      </c>
      <c r="G3924" t="str">
        <f t="shared" si="253"/>
        <v>505-37: Detergents, Synthetic, Germicidal</v>
      </c>
    </row>
    <row r="3925" spans="1:7" x14ac:dyDescent="0.25">
      <c r="A3925" s="1" t="str">
        <f t="shared" si="254"/>
        <v>505</v>
      </c>
      <c r="B3925" s="1" t="str">
        <f>TEXT(40,"00")</f>
        <v>40</v>
      </c>
      <c r="C3925" s="1" t="str">
        <f t="shared" si="252"/>
        <v>505-40</v>
      </c>
      <c r="D3925" t="s">
        <v>3906</v>
      </c>
      <c r="E3925" t="b">
        <f>IF(COUNTIF(D3925,"*"&amp;'Keyword Search'!$C$5&amp;"*"),TRUE,FALSE)</f>
        <v>1</v>
      </c>
      <c r="G3925" t="str">
        <f t="shared" si="253"/>
        <v>505-40: Dry Cleaning Materials: Detergents, Naphtha and Other Solvents, etc.</v>
      </c>
    </row>
    <row r="3926" spans="1:7" x14ac:dyDescent="0.25">
      <c r="A3926" s="1" t="str">
        <f t="shared" si="254"/>
        <v>505</v>
      </c>
      <c r="B3926" s="1" t="str">
        <f>TEXT(41,"00")</f>
        <v>41</v>
      </c>
      <c r="C3926" s="1" t="str">
        <f t="shared" si="252"/>
        <v>505-41</v>
      </c>
      <c r="D3926" t="s">
        <v>3907</v>
      </c>
      <c r="E3926" t="b">
        <f>IF(COUNTIF(D3926,"*"&amp;'Keyword Search'!$C$5&amp;"*"),TRUE,FALSE)</f>
        <v>1</v>
      </c>
      <c r="G3926" t="str">
        <f t="shared" si="253"/>
        <v>505-41: Dry Cleaning Solvent Regeneration Materials: Activated Carbon, Absorbent Powder, Diatomite, Filter Powder, etc.</v>
      </c>
    </row>
    <row r="3927" spans="1:7" x14ac:dyDescent="0.25">
      <c r="A3927" s="1" t="str">
        <f t="shared" si="254"/>
        <v>505</v>
      </c>
      <c r="B3927" s="1" t="str">
        <f>TEXT(42,"00")</f>
        <v>42</v>
      </c>
      <c r="C3927" s="1" t="str">
        <f t="shared" si="252"/>
        <v>505-42</v>
      </c>
      <c r="D3927" t="s">
        <v>3908</v>
      </c>
      <c r="E3927" t="b">
        <f>IF(COUNTIF(D3927,"*"&amp;'Keyword Search'!$C$5&amp;"*"),TRUE,FALSE)</f>
        <v>1</v>
      </c>
      <c r="G3927" t="str">
        <f t="shared" si="253"/>
        <v>505-42: Dry Cleaning Supplies: Bone Scrapers, Spotting Brushes, Spotting Tools, etc.</v>
      </c>
    </row>
    <row r="3928" spans="1:7" x14ac:dyDescent="0.25">
      <c r="A3928" s="1" t="str">
        <f t="shared" si="254"/>
        <v>505</v>
      </c>
      <c r="B3928" s="1" t="str">
        <f>TEXT(47,"00")</f>
        <v>47</v>
      </c>
      <c r="C3928" s="1" t="str">
        <f t="shared" si="252"/>
        <v>505-47</v>
      </c>
      <c r="D3928" t="s">
        <v>3909</v>
      </c>
      <c r="E3928" t="b">
        <f>IF(COUNTIF(D3928,"*"&amp;'Keyword Search'!$C$5&amp;"*"),TRUE,FALSE)</f>
        <v>1</v>
      </c>
      <c r="G3928" t="str">
        <f t="shared" si="253"/>
        <v>505-47: Fabric Softeners and Refreshers, Germicidal and Nongermicidal</v>
      </c>
    </row>
    <row r="3929" spans="1:7" x14ac:dyDescent="0.25">
      <c r="A3929" s="1" t="str">
        <f t="shared" si="254"/>
        <v>505</v>
      </c>
      <c r="B3929" s="1" t="str">
        <f>TEXT(57,"00")</f>
        <v>57</v>
      </c>
      <c r="C3929" s="1" t="str">
        <f t="shared" si="252"/>
        <v>505-57</v>
      </c>
      <c r="D3929" t="s">
        <v>3910</v>
      </c>
      <c r="E3929" t="b">
        <f>IF(COUNTIF(D3929,"*"&amp;'Keyword Search'!$C$5&amp;"*"),TRUE,FALSE)</f>
        <v>1</v>
      </c>
      <c r="G3929" t="str">
        <f t="shared" si="253"/>
        <v>505-57: Laundry Alkalis: Sodium Hydroxide, Caustic Soda, Sodium Metasilicate, Sodium Orthosilicate, etc.</v>
      </c>
    </row>
    <row r="3930" spans="1:7" x14ac:dyDescent="0.25">
      <c r="A3930" s="1" t="str">
        <f t="shared" si="254"/>
        <v>505</v>
      </c>
      <c r="B3930" s="1" t="str">
        <f>TEXT(63,"00")</f>
        <v>63</v>
      </c>
      <c r="C3930" s="1" t="str">
        <f t="shared" si="252"/>
        <v>505-63</v>
      </c>
      <c r="D3930" t="s">
        <v>3911</v>
      </c>
      <c r="E3930" t="b">
        <f>IF(COUNTIF(D3930,"*"&amp;'Keyword Search'!$C$5&amp;"*"),TRUE,FALSE)</f>
        <v>1</v>
      </c>
      <c r="G3930" t="str">
        <f t="shared" si="253"/>
        <v>505-63: Paper Goods: Shirt Bands and Boards, etc.</v>
      </c>
    </row>
    <row r="3931" spans="1:7" x14ac:dyDescent="0.25">
      <c r="A3931" s="1" t="str">
        <f t="shared" si="254"/>
        <v>505</v>
      </c>
      <c r="B3931" s="1" t="str">
        <f>TEXT(68,"00")</f>
        <v>68</v>
      </c>
      <c r="C3931" s="1" t="str">
        <f t="shared" si="252"/>
        <v>505-68</v>
      </c>
      <c r="D3931" t="s">
        <v>3912</v>
      </c>
      <c r="E3931" t="b">
        <f>IF(COUNTIF(D3931,"*"&amp;'Keyword Search'!$C$5&amp;"*"),TRUE,FALSE)</f>
        <v>1</v>
      </c>
      <c r="G3931" t="str">
        <f t="shared" si="253"/>
        <v>505-68: Paraffin Wax</v>
      </c>
    </row>
    <row r="3932" spans="1:7" x14ac:dyDescent="0.25">
      <c r="A3932" s="1" t="str">
        <f t="shared" si="254"/>
        <v>505</v>
      </c>
      <c r="B3932" s="1" t="str">
        <f>TEXT(70,"00")</f>
        <v>70</v>
      </c>
      <c r="C3932" s="1" t="str">
        <f t="shared" si="252"/>
        <v>505-70</v>
      </c>
      <c r="D3932" t="s">
        <v>3913</v>
      </c>
      <c r="E3932" t="b">
        <f>IF(COUNTIF(D3932,"*"&amp;'Keyword Search'!$C$5&amp;"*"),TRUE,FALSE)</f>
        <v>1</v>
      </c>
      <c r="G3932" t="str">
        <f t="shared" si="253"/>
        <v>505-70: Recycled Laundry and Dry Cleaning Compounds, Detergents, Solvents and Soaps, Environmentally Certified</v>
      </c>
    </row>
    <row r="3933" spans="1:7" x14ac:dyDescent="0.25">
      <c r="A3933" s="1" t="str">
        <f t="shared" si="254"/>
        <v>505</v>
      </c>
      <c r="B3933" s="1" t="str">
        <f>TEXT(73,"00")</f>
        <v>73</v>
      </c>
      <c r="C3933" s="1" t="str">
        <f t="shared" si="252"/>
        <v>505-73</v>
      </c>
      <c r="D3933" t="s">
        <v>3914</v>
      </c>
      <c r="E3933" t="b">
        <f>IF(COUNTIF(D3933,"*"&amp;'Keyword Search'!$C$5&amp;"*"),TRUE,FALSE)</f>
        <v>1</v>
      </c>
      <c r="G3933" t="str">
        <f t="shared" si="253"/>
        <v>505-73: Sizing, Textile Finishing</v>
      </c>
    </row>
    <row r="3934" spans="1:7" x14ac:dyDescent="0.25">
      <c r="A3934" s="1" t="str">
        <f t="shared" si="254"/>
        <v>505</v>
      </c>
      <c r="B3934" s="1" t="str">
        <f>TEXT(78,"00")</f>
        <v>78</v>
      </c>
      <c r="C3934" s="1" t="str">
        <f t="shared" si="252"/>
        <v>505-78</v>
      </c>
      <c r="D3934" t="s">
        <v>3915</v>
      </c>
      <c r="E3934" t="b">
        <f>IF(COUNTIF(D3934,"*"&amp;'Keyword Search'!$C$5&amp;"*"),TRUE,FALSE)</f>
        <v>1</v>
      </c>
      <c r="G3934" t="str">
        <f t="shared" si="253"/>
        <v>505-78: Soaps: Bar, Chip, Flake, and Granular</v>
      </c>
    </row>
    <row r="3935" spans="1:7" x14ac:dyDescent="0.25">
      <c r="A3935" s="1" t="str">
        <f t="shared" si="254"/>
        <v>505</v>
      </c>
      <c r="B3935" s="1" t="str">
        <f>TEXT(80,"00")</f>
        <v>80</v>
      </c>
      <c r="C3935" s="1" t="str">
        <f t="shared" si="252"/>
        <v>505-80</v>
      </c>
      <c r="D3935" t="s">
        <v>3916</v>
      </c>
      <c r="E3935" t="b">
        <f>IF(COUNTIF(D3935,"*"&amp;'Keyword Search'!$C$5&amp;"*"),TRUE,FALSE)</f>
        <v>1</v>
      </c>
      <c r="G3935" t="str">
        <f t="shared" si="253"/>
        <v>505-80: Soaps, Germicidal: Bar, Chip, Flake, and Granular</v>
      </c>
    </row>
    <row r="3936" spans="1:7" x14ac:dyDescent="0.25">
      <c r="A3936" s="1" t="str">
        <f t="shared" si="254"/>
        <v>505</v>
      </c>
      <c r="B3936" s="1" t="str">
        <f>TEXT(85,"00")</f>
        <v>85</v>
      </c>
      <c r="C3936" s="1" t="str">
        <f t="shared" si="252"/>
        <v>505-85</v>
      </c>
      <c r="D3936" t="s">
        <v>3917</v>
      </c>
      <c r="E3936" t="b">
        <f>IF(COUNTIF(D3936,"*"&amp;'Keyword Search'!$C$5&amp;"*"),TRUE,FALSE)</f>
        <v>1</v>
      </c>
      <c r="G3936" t="str">
        <f t="shared" si="253"/>
        <v>505-85: Sours, Laundry</v>
      </c>
    </row>
    <row r="3937" spans="1:7" x14ac:dyDescent="0.25">
      <c r="A3937" s="1" t="str">
        <f t="shared" si="254"/>
        <v>505</v>
      </c>
      <c r="B3937" s="1" t="str">
        <f>TEXT(88,"00")</f>
        <v>88</v>
      </c>
      <c r="C3937" s="1" t="str">
        <f t="shared" si="252"/>
        <v>505-88</v>
      </c>
      <c r="D3937" t="s">
        <v>3918</v>
      </c>
      <c r="E3937" t="b">
        <f>IF(COUNTIF(D3937,"*"&amp;'Keyword Search'!$C$5&amp;"*"),TRUE,FALSE)</f>
        <v>1</v>
      </c>
      <c r="G3937" t="str">
        <f t="shared" si="253"/>
        <v>505-88: Stain and Spot Remover, Fabric and Sours</v>
      </c>
    </row>
    <row r="3938" spans="1:7" x14ac:dyDescent="0.25">
      <c r="A3938" s="1" t="str">
        <f t="shared" si="254"/>
        <v>505</v>
      </c>
      <c r="B3938" s="1" t="str">
        <f>TEXT(90,"00")</f>
        <v>90</v>
      </c>
      <c r="C3938" s="1" t="str">
        <f t="shared" si="252"/>
        <v>505-90</v>
      </c>
      <c r="D3938" t="s">
        <v>3919</v>
      </c>
      <c r="E3938" t="b">
        <f>IF(COUNTIF(D3938,"*"&amp;'Keyword Search'!$C$5&amp;"*"),TRUE,FALSE)</f>
        <v>1</v>
      </c>
      <c r="G3938" t="str">
        <f t="shared" si="253"/>
        <v>505-90: Starches</v>
      </c>
    </row>
    <row r="3939" spans="1:7" x14ac:dyDescent="0.25">
      <c r="A3939" s="1" t="str">
        <f t="shared" si="254"/>
        <v>505</v>
      </c>
      <c r="B3939" s="1" t="str">
        <f>TEXT(95,"00")</f>
        <v>95</v>
      </c>
      <c r="C3939" s="1" t="str">
        <f t="shared" si="252"/>
        <v>505-95</v>
      </c>
      <c r="D3939" t="s">
        <v>3920</v>
      </c>
      <c r="E3939" t="b">
        <f>IF(COUNTIF(D3939,"*"&amp;'Keyword Search'!$C$5&amp;"*"),TRUE,FALSE)</f>
        <v>1</v>
      </c>
      <c r="G3939" t="str">
        <f t="shared" si="253"/>
        <v>505-95: Waxes and Cleaners, For Ironers, Presses, etc.</v>
      </c>
    </row>
    <row r="3940" spans="1:7" x14ac:dyDescent="0.25">
      <c r="A3940" s="5" t="str">
        <f t="shared" ref="A3940:A3955" si="255">TEXT(510,"000")</f>
        <v>510</v>
      </c>
      <c r="B3940" s="5" t="str">
        <f>TEXT(0,"00")</f>
        <v>00</v>
      </c>
      <c r="C3940" s="1"/>
      <c r="D3940" s="2" t="s">
        <v>3921</v>
      </c>
    </row>
    <row r="3941" spans="1:7" x14ac:dyDescent="0.25">
      <c r="A3941" s="1" t="str">
        <f t="shared" si="255"/>
        <v>510</v>
      </c>
      <c r="B3941" s="1" t="str">
        <f>TEXT(8,"00")</f>
        <v>08</v>
      </c>
      <c r="C3941" s="1" t="str">
        <f t="shared" si="252"/>
        <v>510-08</v>
      </c>
      <c r="D3941" t="s">
        <v>3922</v>
      </c>
      <c r="E3941" t="b">
        <f>IF(COUNTIF(D3941,"*"&amp;'Keyword Search'!$C$5&amp;"*"),TRUE,FALSE)</f>
        <v>1</v>
      </c>
      <c r="G3941" t="str">
        <f t="shared" si="253"/>
        <v>510-08: Aprons, Flatwork Ironer</v>
      </c>
    </row>
    <row r="3942" spans="1:7" x14ac:dyDescent="0.25">
      <c r="A3942" s="1" t="str">
        <f t="shared" si="255"/>
        <v>510</v>
      </c>
      <c r="B3942" s="1" t="str">
        <f>TEXT(16,"00")</f>
        <v>16</v>
      </c>
      <c r="C3942" s="1" t="str">
        <f t="shared" si="252"/>
        <v>510-16</v>
      </c>
      <c r="D3942" t="s">
        <v>3923</v>
      </c>
      <c r="E3942" t="b">
        <f>IF(COUNTIF(D3942,"*"&amp;'Keyword Search'!$C$5&amp;"*"),TRUE,FALSE)</f>
        <v>1</v>
      </c>
      <c r="G3942" t="str">
        <f t="shared" si="253"/>
        <v>510-16: Asbestos Covers and Pads</v>
      </c>
    </row>
    <row r="3943" spans="1:7" x14ac:dyDescent="0.25">
      <c r="A3943" s="1" t="str">
        <f t="shared" si="255"/>
        <v>510</v>
      </c>
      <c r="B3943" s="1" t="str">
        <f>TEXT(20,"00")</f>
        <v>20</v>
      </c>
      <c r="C3943" s="1" t="str">
        <f t="shared" si="252"/>
        <v>510-20</v>
      </c>
      <c r="D3943" t="s">
        <v>3924</v>
      </c>
      <c r="E3943" t="b">
        <f>IF(COUNTIF(D3943,"*"&amp;'Keyword Search'!$C$5&amp;"*"),TRUE,FALSE)</f>
        <v>1</v>
      </c>
      <c r="G3943" t="str">
        <f t="shared" si="253"/>
        <v>510-20: Bag Holders, Baskets, Carts, and Trucks</v>
      </c>
    </row>
    <row r="3944" spans="1:7" x14ac:dyDescent="0.25">
      <c r="A3944" s="1" t="str">
        <f t="shared" si="255"/>
        <v>510</v>
      </c>
      <c r="B3944" s="1" t="str">
        <f>TEXT(22,"00")</f>
        <v>22</v>
      </c>
      <c r="C3944" s="1" t="str">
        <f t="shared" si="252"/>
        <v>510-22</v>
      </c>
      <c r="D3944" t="s">
        <v>3925</v>
      </c>
      <c r="E3944" t="b">
        <f>IF(COUNTIF(D3944,"*"&amp;'Keyword Search'!$C$5&amp;"*"),TRUE,FALSE)</f>
        <v>1</v>
      </c>
      <c r="G3944" t="str">
        <f t="shared" si="253"/>
        <v>510-22: Bags, Laundry, Cloth</v>
      </c>
    </row>
    <row r="3945" spans="1:7" x14ac:dyDescent="0.25">
      <c r="A3945" s="1" t="str">
        <f t="shared" si="255"/>
        <v>510</v>
      </c>
      <c r="B3945" s="1" t="str">
        <f>TEXT(24,"00")</f>
        <v>24</v>
      </c>
      <c r="C3945" s="1" t="str">
        <f t="shared" si="252"/>
        <v>510-24</v>
      </c>
      <c r="D3945" t="s">
        <v>3926</v>
      </c>
      <c r="E3945" t="b">
        <f>IF(COUNTIF(D3945,"*"&amp;'Keyword Search'!$C$5&amp;"*"),TRUE,FALSE)</f>
        <v>1</v>
      </c>
      <c r="G3945" t="str">
        <f t="shared" si="253"/>
        <v>510-24: Bags, Laundry, Water Soluble</v>
      </c>
    </row>
    <row r="3946" spans="1:7" x14ac:dyDescent="0.25">
      <c r="A3946" s="1" t="str">
        <f t="shared" si="255"/>
        <v>510</v>
      </c>
      <c r="B3946" s="1" t="str">
        <f>TEXT(32,"00")</f>
        <v>32</v>
      </c>
      <c r="C3946" s="1" t="str">
        <f t="shared" si="252"/>
        <v>510-32</v>
      </c>
      <c r="D3946" t="s">
        <v>3927</v>
      </c>
      <c r="E3946" t="b">
        <f>IF(COUNTIF(D3946,"*"&amp;'Keyword Search'!$C$5&amp;"*"),TRUE,FALSE)</f>
        <v>1</v>
      </c>
      <c r="G3946" t="str">
        <f t="shared" si="253"/>
        <v>510-32: Bags and Liners, For Bag Holders, Baskets, and Trucks</v>
      </c>
    </row>
    <row r="3947" spans="1:7" x14ac:dyDescent="0.25">
      <c r="A3947" s="1" t="str">
        <f t="shared" si="255"/>
        <v>510</v>
      </c>
      <c r="B3947" s="1" t="str">
        <f>TEXT(48,"00")</f>
        <v>48</v>
      </c>
      <c r="C3947" s="1" t="str">
        <f t="shared" si="252"/>
        <v>510-48</v>
      </c>
      <c r="D3947" t="s">
        <v>3928</v>
      </c>
      <c r="E3947" t="b">
        <f>IF(COUNTIF(D3947,"*"&amp;'Keyword Search'!$C$5&amp;"*"),TRUE,FALSE)</f>
        <v>1</v>
      </c>
      <c r="G3947" t="str">
        <f t="shared" si="253"/>
        <v>510-48: Belts and Feed Ribbons</v>
      </c>
    </row>
    <row r="3948" spans="1:7" x14ac:dyDescent="0.25">
      <c r="A3948" s="1" t="str">
        <f t="shared" si="255"/>
        <v>510</v>
      </c>
      <c r="B3948" s="1" t="str">
        <f>TEXT(56,"00")</f>
        <v>56</v>
      </c>
      <c r="C3948" s="1" t="str">
        <f t="shared" si="252"/>
        <v>510-56</v>
      </c>
      <c r="D3948" t="s">
        <v>3929</v>
      </c>
      <c r="E3948" t="b">
        <f>IF(COUNTIF(D3948,"*"&amp;'Keyword Search'!$C$5&amp;"*"),TRUE,FALSE)</f>
        <v>1</v>
      </c>
      <c r="G3948" t="str">
        <f t="shared" si="253"/>
        <v>510-56: Covers and Cover Cloths</v>
      </c>
    </row>
    <row r="3949" spans="1:7" x14ac:dyDescent="0.25">
      <c r="A3949" s="1" t="str">
        <f t="shared" si="255"/>
        <v>510</v>
      </c>
      <c r="B3949" s="1" t="str">
        <f>TEXT(64,"00")</f>
        <v>64</v>
      </c>
      <c r="C3949" s="1" t="str">
        <f t="shared" si="252"/>
        <v>510-64</v>
      </c>
      <c r="D3949" t="s">
        <v>3930</v>
      </c>
      <c r="E3949" t="b">
        <f>IF(COUNTIF(D3949,"*"&amp;'Keyword Search'!$C$5&amp;"*"),TRUE,FALSE)</f>
        <v>1</v>
      </c>
      <c r="G3949" t="str">
        <f t="shared" si="253"/>
        <v>510-64: Identification Pins, Tags, etc.</v>
      </c>
    </row>
    <row r="3950" spans="1:7" x14ac:dyDescent="0.25">
      <c r="A3950" s="1" t="str">
        <f t="shared" si="255"/>
        <v>510</v>
      </c>
      <c r="B3950" s="1" t="str">
        <f>TEXT(72,"00")</f>
        <v>72</v>
      </c>
      <c r="C3950" s="1" t="str">
        <f t="shared" si="252"/>
        <v>510-72</v>
      </c>
      <c r="D3950" t="s">
        <v>3931</v>
      </c>
      <c r="E3950" t="b">
        <f>IF(COUNTIF(D3950,"*"&amp;'Keyword Search'!$C$5&amp;"*"),TRUE,FALSE)</f>
        <v>1</v>
      </c>
      <c r="G3950" t="str">
        <f t="shared" si="253"/>
        <v>510-72: Net Pins</v>
      </c>
    </row>
    <row r="3951" spans="1:7" x14ac:dyDescent="0.25">
      <c r="A3951" s="1" t="str">
        <f t="shared" si="255"/>
        <v>510</v>
      </c>
      <c r="B3951" s="1" t="str">
        <f>TEXT(80,"00")</f>
        <v>80</v>
      </c>
      <c r="C3951" s="1" t="str">
        <f t="shared" si="252"/>
        <v>510-80</v>
      </c>
      <c r="D3951" t="s">
        <v>3932</v>
      </c>
      <c r="E3951" t="b">
        <f>IF(COUNTIF(D3951,"*"&amp;'Keyword Search'!$C$5&amp;"*"),TRUE,FALSE)</f>
        <v>1</v>
      </c>
      <c r="G3951" t="str">
        <f t="shared" si="253"/>
        <v>510-80: Nets, Laundry</v>
      </c>
    </row>
    <row r="3952" spans="1:7" x14ac:dyDescent="0.25">
      <c r="A3952" s="1" t="str">
        <f t="shared" si="255"/>
        <v>510</v>
      </c>
      <c r="B3952" s="1" t="str">
        <f>TEXT(83,"00")</f>
        <v>83</v>
      </c>
      <c r="C3952" s="1" t="str">
        <f t="shared" si="252"/>
        <v>510-83</v>
      </c>
      <c r="D3952" t="s">
        <v>3933</v>
      </c>
      <c r="E3952" t="b">
        <f>IF(COUNTIF(D3952,"*"&amp;'Keyword Search'!$C$5&amp;"*"),TRUE,FALSE)</f>
        <v>1</v>
      </c>
      <c r="G3952" t="str">
        <f t="shared" si="253"/>
        <v>510-83: Pads and Padding, Textile</v>
      </c>
    </row>
    <row r="3953" spans="1:7" x14ac:dyDescent="0.25">
      <c r="A3953" s="1" t="str">
        <f t="shared" si="255"/>
        <v>510</v>
      </c>
      <c r="B3953" s="1" t="str">
        <f>TEXT(85,"00")</f>
        <v>85</v>
      </c>
      <c r="C3953" s="1" t="str">
        <f t="shared" si="252"/>
        <v>510-85</v>
      </c>
      <c r="D3953" t="s">
        <v>3934</v>
      </c>
      <c r="E3953" t="b">
        <f>IF(COUNTIF(D3953,"*"&amp;'Keyword Search'!$C$5&amp;"*"),TRUE,FALSE)</f>
        <v>1</v>
      </c>
      <c r="G3953" t="str">
        <f t="shared" si="253"/>
        <v>510-85: Press Pads, Metal</v>
      </c>
    </row>
    <row r="3954" spans="1:7" x14ac:dyDescent="0.25">
      <c r="A3954" s="1" t="str">
        <f t="shared" si="255"/>
        <v>510</v>
      </c>
      <c r="B3954" s="1" t="str">
        <f>TEXT(88,"00")</f>
        <v>88</v>
      </c>
      <c r="C3954" s="1" t="str">
        <f t="shared" si="252"/>
        <v>510-88</v>
      </c>
      <c r="D3954" t="s">
        <v>3935</v>
      </c>
      <c r="E3954" t="b">
        <f>IF(COUNTIF(D3954,"*"&amp;'Keyword Search'!$C$5&amp;"*"),TRUE,FALSE)</f>
        <v>1</v>
      </c>
      <c r="G3954" t="str">
        <f t="shared" si="253"/>
        <v>510-88: Recycled Laundry Textiles and Supplies</v>
      </c>
    </row>
    <row r="3955" spans="1:7" x14ac:dyDescent="0.25">
      <c r="A3955" s="1" t="str">
        <f t="shared" si="255"/>
        <v>510</v>
      </c>
      <c r="B3955" s="1" t="str">
        <f>TEXT(90,"00")</f>
        <v>90</v>
      </c>
      <c r="C3955" s="1" t="str">
        <f t="shared" si="252"/>
        <v>510-90</v>
      </c>
      <c r="D3955" t="s">
        <v>3936</v>
      </c>
      <c r="E3955" t="b">
        <f>IF(COUNTIF(D3955,"*"&amp;'Keyword Search'!$C$5&amp;"*"),TRUE,FALSE)</f>
        <v>1</v>
      </c>
      <c r="G3955" t="str">
        <f t="shared" si="253"/>
        <v>510-90: Slings, Laundry, For Conveyor Systems</v>
      </c>
    </row>
    <row r="3956" spans="1:7" x14ac:dyDescent="0.25">
      <c r="A3956" s="5" t="str">
        <f t="shared" ref="A3956:A3990" si="256">TEXT(515,"000")</f>
        <v>515</v>
      </c>
      <c r="B3956" s="5" t="str">
        <f>TEXT(0,"00")</f>
        <v>00</v>
      </c>
      <c r="C3956" s="1"/>
      <c r="D3956" s="2" t="s">
        <v>3937</v>
      </c>
    </row>
    <row r="3957" spans="1:7" x14ac:dyDescent="0.25">
      <c r="A3957" s="1" t="str">
        <f t="shared" si="256"/>
        <v>515</v>
      </c>
      <c r="B3957" s="1" t="str">
        <f>TEXT(5,"00")</f>
        <v>05</v>
      </c>
      <c r="C3957" s="1" t="str">
        <f t="shared" si="252"/>
        <v>515-05</v>
      </c>
      <c r="D3957" t="s">
        <v>3938</v>
      </c>
      <c r="E3957" t="b">
        <f>IF(COUNTIF(D3957,"*"&amp;'Keyword Search'!$C$5&amp;"*"),TRUE,FALSE)</f>
        <v>1</v>
      </c>
      <c r="G3957" t="str">
        <f t="shared" si="253"/>
        <v>515-05: Aerators, Pluggers, and Spikers</v>
      </c>
    </row>
    <row r="3958" spans="1:7" x14ac:dyDescent="0.25">
      <c r="A3958" s="1" t="str">
        <f t="shared" si="256"/>
        <v>515</v>
      </c>
      <c r="B3958" s="1" t="str">
        <f>TEXT(6,"00")</f>
        <v>06</v>
      </c>
      <c r="C3958" s="1" t="str">
        <f t="shared" si="252"/>
        <v>515-06</v>
      </c>
      <c r="D3958" t="s">
        <v>3939</v>
      </c>
      <c r="E3958" t="b">
        <f>IF(COUNTIF(D3958,"*"&amp;'Keyword Search'!$C$5&amp;"*"),TRUE,FALSE)</f>
        <v>1</v>
      </c>
      <c r="G3958" t="str">
        <f t="shared" si="253"/>
        <v>515-06: Baggers and Catchers, Grass, Lawn Mower</v>
      </c>
    </row>
    <row r="3959" spans="1:7" x14ac:dyDescent="0.25">
      <c r="A3959" s="1" t="str">
        <f t="shared" si="256"/>
        <v>515</v>
      </c>
      <c r="B3959" s="1" t="str">
        <f>TEXT(7,"00")</f>
        <v>07</v>
      </c>
      <c r="C3959" s="1" t="str">
        <f t="shared" si="252"/>
        <v>515-07</v>
      </c>
      <c r="D3959" t="s">
        <v>3940</v>
      </c>
      <c r="E3959" t="b">
        <f>IF(COUNTIF(D3959,"*"&amp;'Keyword Search'!$C$5&amp;"*"),TRUE,FALSE)</f>
        <v>1</v>
      </c>
      <c r="G3959" t="str">
        <f t="shared" si="253"/>
        <v>515-07: Blowers, Lawn, Power</v>
      </c>
    </row>
    <row r="3960" spans="1:7" x14ac:dyDescent="0.25">
      <c r="A3960" s="1" t="str">
        <f t="shared" si="256"/>
        <v>515</v>
      </c>
      <c r="B3960" s="1" t="str">
        <f>TEXT(8,"00")</f>
        <v>08</v>
      </c>
      <c r="C3960" s="1" t="str">
        <f t="shared" si="252"/>
        <v>515-08</v>
      </c>
      <c r="D3960" t="s">
        <v>3941</v>
      </c>
      <c r="E3960" t="b">
        <f>IF(COUNTIF(D3960,"*"&amp;'Keyword Search'!$C$5&amp;"*"),TRUE,FALSE)</f>
        <v>1</v>
      </c>
      <c r="G3960" t="str">
        <f t="shared" si="253"/>
        <v>515-08: Carts, Lawn</v>
      </c>
    </row>
    <row r="3961" spans="1:7" x14ac:dyDescent="0.25">
      <c r="A3961" s="1" t="str">
        <f t="shared" si="256"/>
        <v>515</v>
      </c>
      <c r="B3961" s="1" t="str">
        <f>TEXT(10,"00")</f>
        <v>10</v>
      </c>
      <c r="C3961" s="1" t="str">
        <f t="shared" si="252"/>
        <v>515-10</v>
      </c>
      <c r="D3961" t="s">
        <v>3942</v>
      </c>
      <c r="E3961" t="b">
        <f>IF(COUNTIF(D3961,"*"&amp;'Keyword Search'!$C$5&amp;"*"),TRUE,FALSE)</f>
        <v>1</v>
      </c>
      <c r="G3961" t="str">
        <f t="shared" si="253"/>
        <v>515-10: Edgers, Trimmers, and Weed Cutters</v>
      </c>
    </row>
    <row r="3962" spans="1:7" x14ac:dyDescent="0.25">
      <c r="A3962" s="1" t="str">
        <f t="shared" si="256"/>
        <v>515</v>
      </c>
      <c r="B3962" s="1" t="str">
        <f>TEXT(15,"00")</f>
        <v>15</v>
      </c>
      <c r="C3962" s="1" t="str">
        <f t="shared" si="252"/>
        <v>515-15</v>
      </c>
      <c r="D3962" t="s">
        <v>3943</v>
      </c>
      <c r="E3962" t="b">
        <f>IF(COUNTIF(D3962,"*"&amp;'Keyword Search'!$C$5&amp;"*"),TRUE,FALSE)</f>
        <v>1</v>
      </c>
      <c r="G3962" t="str">
        <f t="shared" si="253"/>
        <v>515-15: Engines, Motors, and Parts, For Lawn Equipment</v>
      </c>
    </row>
    <row r="3963" spans="1:7" x14ac:dyDescent="0.25">
      <c r="A3963" s="1" t="str">
        <f t="shared" si="256"/>
        <v>515</v>
      </c>
      <c r="B3963" s="1" t="str">
        <f>TEXT(18,"00")</f>
        <v>18</v>
      </c>
      <c r="C3963" s="1" t="str">
        <f t="shared" si="252"/>
        <v>515-18</v>
      </c>
      <c r="D3963" t="s">
        <v>3944</v>
      </c>
      <c r="E3963" t="b">
        <f>IF(COUNTIF(D3963,"*"&amp;'Keyword Search'!$C$5&amp;"*"),TRUE,FALSE)</f>
        <v>1</v>
      </c>
      <c r="G3963" t="str">
        <f t="shared" si="253"/>
        <v>515-18: Feeders, Root</v>
      </c>
    </row>
    <row r="3964" spans="1:7" x14ac:dyDescent="0.25">
      <c r="A3964" s="1" t="str">
        <f t="shared" si="256"/>
        <v>515</v>
      </c>
      <c r="B3964" s="1" t="str">
        <f>TEXT(20,"00")</f>
        <v>20</v>
      </c>
      <c r="C3964" s="1" t="str">
        <f t="shared" si="252"/>
        <v>515-20</v>
      </c>
      <c r="D3964" t="s">
        <v>3945</v>
      </c>
      <c r="E3964" t="b">
        <f>IF(COUNTIF(D3964,"*"&amp;'Keyword Search'!$C$5&amp;"*"),TRUE,FALSE)</f>
        <v>1</v>
      </c>
      <c r="G3964" t="str">
        <f t="shared" si="253"/>
        <v>515-20: Fertilizer Distributors, Lawn Type (See Class 020 for Commercial Distributors)</v>
      </c>
    </row>
    <row r="3965" spans="1:7" x14ac:dyDescent="0.25">
      <c r="A3965" s="1" t="str">
        <f t="shared" si="256"/>
        <v>515</v>
      </c>
      <c r="B3965" s="1" t="str">
        <f>TEXT(23,"00")</f>
        <v>23</v>
      </c>
      <c r="C3965" s="1" t="str">
        <f t="shared" si="252"/>
        <v>515-23</v>
      </c>
      <c r="D3965" t="s">
        <v>3946</v>
      </c>
      <c r="E3965" t="b">
        <f>IF(COUNTIF(D3965,"*"&amp;'Keyword Search'!$C$5&amp;"*"),TRUE,FALSE)</f>
        <v>1</v>
      </c>
      <c r="G3965" t="str">
        <f t="shared" si="253"/>
        <v>515-23: Gang Mowers for Lawns and Grounds, All Types</v>
      </c>
    </row>
    <row r="3966" spans="1:7" x14ac:dyDescent="0.25">
      <c r="A3966" s="1" t="str">
        <f t="shared" si="256"/>
        <v>515</v>
      </c>
      <c r="B3966" s="1" t="str">
        <f>TEXT(24,"00")</f>
        <v>24</v>
      </c>
      <c r="C3966" s="1" t="str">
        <f t="shared" si="252"/>
        <v>515-24</v>
      </c>
      <c r="D3966" t="s">
        <v>3947</v>
      </c>
      <c r="E3966" t="b">
        <f>IF(COUNTIF(D3966,"*"&amp;'Keyword Search'!$C$5&amp;"*"),TRUE,FALSE)</f>
        <v>1</v>
      </c>
      <c r="G3966" t="str">
        <f t="shared" si="253"/>
        <v>515-24: Garden Hand Tools, Including Sickles, (Not Otherwise Classified)</v>
      </c>
    </row>
    <row r="3967" spans="1:7" x14ac:dyDescent="0.25">
      <c r="A3967" s="1" t="str">
        <f t="shared" si="256"/>
        <v>515</v>
      </c>
      <c r="B3967" s="1" t="str">
        <f>TEXT(25,"00")</f>
        <v>25</v>
      </c>
      <c r="C3967" s="1" t="str">
        <f t="shared" si="252"/>
        <v>515-25</v>
      </c>
      <c r="D3967" t="s">
        <v>3948</v>
      </c>
      <c r="E3967" t="b">
        <f>IF(COUNTIF(D3967,"*"&amp;'Keyword Search'!$C$5&amp;"*"),TRUE,FALSE)</f>
        <v>1</v>
      </c>
      <c r="G3967" t="str">
        <f t="shared" si="253"/>
        <v>515-25: Irrigation Systems, Supplies, Parts, and Accessories</v>
      </c>
    </row>
    <row r="3968" spans="1:7" x14ac:dyDescent="0.25">
      <c r="A3968" s="1" t="str">
        <f t="shared" si="256"/>
        <v>515</v>
      </c>
      <c r="B3968" s="1" t="str">
        <f>TEXT(29,"00")</f>
        <v>29</v>
      </c>
      <c r="C3968" s="1" t="str">
        <f t="shared" si="252"/>
        <v>515-29</v>
      </c>
      <c r="D3968" t="s">
        <v>3949</v>
      </c>
      <c r="E3968" t="b">
        <f>IF(COUNTIF(D3968,"*"&amp;'Keyword Search'!$C$5&amp;"*"),TRUE,FALSE)</f>
        <v>1</v>
      </c>
      <c r="G3968" t="str">
        <f t="shared" si="253"/>
        <v>515-29: Lawn and Grounds Equipment Rollover Protection (ROPS)</v>
      </c>
    </row>
    <row r="3969" spans="1:7" x14ac:dyDescent="0.25">
      <c r="A3969" s="1" t="str">
        <f t="shared" si="256"/>
        <v>515</v>
      </c>
      <c r="B3969" s="1" t="str">
        <f>TEXT(30,"00")</f>
        <v>30</v>
      </c>
      <c r="C3969" s="1" t="str">
        <f t="shared" si="252"/>
        <v>515-30</v>
      </c>
      <c r="D3969" t="s">
        <v>3950</v>
      </c>
      <c r="E3969" t="b">
        <f>IF(COUNTIF(D3969,"*"&amp;'Keyword Search'!$C$5&amp;"*"),TRUE,FALSE)</f>
        <v>1</v>
      </c>
      <c r="G3969" t="str">
        <f t="shared" si="253"/>
        <v>515-30: Lawn Mowers, Hand, Reel Type, Manual</v>
      </c>
    </row>
    <row r="3970" spans="1:7" x14ac:dyDescent="0.25">
      <c r="A3970" s="1" t="str">
        <f t="shared" si="256"/>
        <v>515</v>
      </c>
      <c r="B3970" s="1" t="str">
        <f>TEXT(35,"00")</f>
        <v>35</v>
      </c>
      <c r="C3970" s="1" t="str">
        <f t="shared" si="252"/>
        <v>515-35</v>
      </c>
      <c r="D3970" t="s">
        <v>3951</v>
      </c>
      <c r="E3970" t="b">
        <f>IF(COUNTIF(D3970,"*"&amp;'Keyword Search'!$C$5&amp;"*"),TRUE,FALSE)</f>
        <v>1</v>
      </c>
      <c r="G3970" t="str">
        <f t="shared" si="253"/>
        <v>515-35: Lawn Mowers, Power, Heavy Duty, Flail Type (See Class 020 For Highway Type)</v>
      </c>
    </row>
    <row r="3971" spans="1:7" x14ac:dyDescent="0.25">
      <c r="A3971" s="1" t="str">
        <f t="shared" si="256"/>
        <v>515</v>
      </c>
      <c r="B3971" s="1" t="str">
        <f>TEXT(40,"00")</f>
        <v>40</v>
      </c>
      <c r="C3971" s="1" t="str">
        <f t="shared" ref="C3971:C4034" si="257">CONCATENATE(A3971,"-",B3971)</f>
        <v>515-40</v>
      </c>
      <c r="D3971" t="s">
        <v>3952</v>
      </c>
      <c r="E3971" t="b">
        <f>IF(COUNTIF(D3971,"*"&amp;'Keyword Search'!$C$5&amp;"*"),TRUE,FALSE)</f>
        <v>1</v>
      </c>
      <c r="G3971" t="str">
        <f t="shared" si="253"/>
        <v>515-40: Lawn Mowers, Power, Heavy Duty, Reel Type (See Class 020 For Highway Type)</v>
      </c>
    </row>
    <row r="3972" spans="1:7" x14ac:dyDescent="0.25">
      <c r="A3972" s="1" t="str">
        <f t="shared" si="256"/>
        <v>515</v>
      </c>
      <c r="B3972" s="1" t="str">
        <f>TEXT(45,"00")</f>
        <v>45</v>
      </c>
      <c r="C3972" s="1" t="str">
        <f t="shared" si="257"/>
        <v>515-45</v>
      </c>
      <c r="D3972" t="s">
        <v>3953</v>
      </c>
      <c r="E3972" t="b">
        <f>IF(COUNTIF(D3972,"*"&amp;'Keyword Search'!$C$5&amp;"*"),TRUE,FALSE)</f>
        <v>1</v>
      </c>
      <c r="G3972" t="str">
        <f t="shared" ref="G3972:G4035" si="258">CONCATENATE(C3972,": ",D3972)</f>
        <v>515-45: Lawn Mowers, Power, Heavy Duty, Rotary Type, Including Self-Propelled Types, (See Class 020 For Highway Type)</v>
      </c>
    </row>
    <row r="3973" spans="1:7" x14ac:dyDescent="0.25">
      <c r="A3973" s="1" t="str">
        <f t="shared" si="256"/>
        <v>515</v>
      </c>
      <c r="B3973" s="1" t="str">
        <f>TEXT(50,"00")</f>
        <v>50</v>
      </c>
      <c r="C3973" s="1" t="str">
        <f t="shared" si="257"/>
        <v>515-50</v>
      </c>
      <c r="D3973" t="s">
        <v>3954</v>
      </c>
      <c r="E3973" t="b">
        <f>IF(COUNTIF(D3973,"*"&amp;'Keyword Search'!$C$5&amp;"*"),TRUE,FALSE)</f>
        <v>1</v>
      </c>
      <c r="G3973" t="str">
        <f t="shared" si="258"/>
        <v>515-50: Lawn Mowers, Power, Light Duty, Reel Type, Yard Use</v>
      </c>
    </row>
    <row r="3974" spans="1:7" x14ac:dyDescent="0.25">
      <c r="A3974" s="1" t="str">
        <f t="shared" si="256"/>
        <v>515</v>
      </c>
      <c r="B3974" s="1" t="str">
        <f>TEXT(55,"00")</f>
        <v>55</v>
      </c>
      <c r="C3974" s="1" t="str">
        <f t="shared" si="257"/>
        <v>515-55</v>
      </c>
      <c r="D3974" t="s">
        <v>3955</v>
      </c>
      <c r="E3974" t="b">
        <f>IF(COUNTIF(D3974,"*"&amp;'Keyword Search'!$C$5&amp;"*"),TRUE,FALSE)</f>
        <v>1</v>
      </c>
      <c r="G3974" t="str">
        <f t="shared" si="258"/>
        <v>515-55: Lawn Mowers, Power, Light Duty, Rotary Type, Yard Use</v>
      </c>
    </row>
    <row r="3975" spans="1:7" x14ac:dyDescent="0.25">
      <c r="A3975" s="1" t="str">
        <f t="shared" si="256"/>
        <v>515</v>
      </c>
      <c r="B3975" s="1" t="str">
        <f>TEXT(56,"00")</f>
        <v>56</v>
      </c>
      <c r="C3975" s="1" t="str">
        <f t="shared" si="257"/>
        <v>515-56</v>
      </c>
      <c r="D3975" t="s">
        <v>3956</v>
      </c>
      <c r="E3975" t="b">
        <f>IF(COUNTIF(D3975,"*"&amp;'Keyword Search'!$C$5&amp;"*"),TRUE,FALSE)</f>
        <v>1</v>
      </c>
      <c r="G3975" t="str">
        <f t="shared" si="258"/>
        <v>515-56: Lawn Mowers, Riding Type, Including Parts and Accessories</v>
      </c>
    </row>
    <row r="3976" spans="1:7" x14ac:dyDescent="0.25">
      <c r="A3976" s="1" t="str">
        <f t="shared" si="256"/>
        <v>515</v>
      </c>
      <c r="B3976" s="1" t="str">
        <f>TEXT(59,"00")</f>
        <v>59</v>
      </c>
      <c r="C3976" s="1" t="str">
        <f t="shared" si="257"/>
        <v>515-59</v>
      </c>
      <c r="D3976" t="s">
        <v>3957</v>
      </c>
      <c r="E3976" t="b">
        <f>IF(COUNTIF(D3976,"*"&amp;'Keyword Search'!$C$5&amp;"*"),TRUE,FALSE)</f>
        <v>1</v>
      </c>
      <c r="G3976" t="str">
        <f t="shared" si="258"/>
        <v>515-59: Pads, Kneeling, Lawn and Garden</v>
      </c>
    </row>
    <row r="3977" spans="1:7" x14ac:dyDescent="0.25">
      <c r="A3977" s="1" t="str">
        <f t="shared" si="256"/>
        <v>515</v>
      </c>
      <c r="B3977" s="1" t="str">
        <f>TEXT(60,"00")</f>
        <v>60</v>
      </c>
      <c r="C3977" s="1" t="str">
        <f t="shared" si="257"/>
        <v>515-60</v>
      </c>
      <c r="D3977" t="s">
        <v>3958</v>
      </c>
      <c r="E3977" t="b">
        <f>IF(COUNTIF(D3977,"*"&amp;'Keyword Search'!$C$5&amp;"*"),TRUE,FALSE)</f>
        <v>1</v>
      </c>
      <c r="G3977" t="str">
        <f t="shared" si="258"/>
        <v>515-60: Pruners and Grass Clippers, Hand Type</v>
      </c>
    </row>
    <row r="3978" spans="1:7" x14ac:dyDescent="0.25">
      <c r="A3978" s="1" t="str">
        <f t="shared" si="256"/>
        <v>515</v>
      </c>
      <c r="B3978" s="1" t="str">
        <f>TEXT(63,"00")</f>
        <v>63</v>
      </c>
      <c r="C3978" s="1" t="str">
        <f t="shared" si="257"/>
        <v>515-63</v>
      </c>
      <c r="D3978" t="s">
        <v>3959</v>
      </c>
      <c r="E3978" t="b">
        <f>IF(COUNTIF(D3978,"*"&amp;'Keyword Search'!$C$5&amp;"*"),TRUE,FALSE)</f>
        <v>1</v>
      </c>
      <c r="G3978" t="str">
        <f t="shared" si="258"/>
        <v>515-63: Recycled Lawn Equipment, Including Parts and  Accessories</v>
      </c>
    </row>
    <row r="3979" spans="1:7" x14ac:dyDescent="0.25">
      <c r="A3979" s="1" t="str">
        <f t="shared" si="256"/>
        <v>515</v>
      </c>
      <c r="B3979" s="1" t="str">
        <f>TEXT(64,"00")</f>
        <v>64</v>
      </c>
      <c r="C3979" s="1" t="str">
        <f t="shared" si="257"/>
        <v>515-64</v>
      </c>
      <c r="D3979" t="s">
        <v>3960</v>
      </c>
      <c r="E3979" t="b">
        <f>IF(COUNTIF(D3979,"*"&amp;'Keyword Search'!$C$5&amp;"*"),TRUE,FALSE)</f>
        <v>1</v>
      </c>
      <c r="G3979" t="str">
        <f t="shared" si="258"/>
        <v>515-64: Rollers, Lawn, Including Parts and Accessories</v>
      </c>
    </row>
    <row r="3980" spans="1:7" x14ac:dyDescent="0.25">
      <c r="A3980" s="1" t="str">
        <f t="shared" si="256"/>
        <v>515</v>
      </c>
      <c r="B3980" s="1" t="str">
        <f>TEXT(65,"00")</f>
        <v>65</v>
      </c>
      <c r="C3980" s="1" t="str">
        <f t="shared" si="257"/>
        <v>515-65</v>
      </c>
      <c r="D3980" t="s">
        <v>3961</v>
      </c>
      <c r="E3980" t="b">
        <f>IF(COUNTIF(D3980,"*"&amp;'Keyword Search'!$C$5&amp;"*"),TRUE,FALSE)</f>
        <v>1</v>
      </c>
      <c r="G3980" t="str">
        <f t="shared" si="258"/>
        <v>515-65: Rakers and Combers, Lawn, Power</v>
      </c>
    </row>
    <row r="3981" spans="1:7" x14ac:dyDescent="0.25">
      <c r="A3981" s="1" t="str">
        <f t="shared" si="256"/>
        <v>515</v>
      </c>
      <c r="B3981" s="1" t="str">
        <f>TEXT(66,"00")</f>
        <v>66</v>
      </c>
      <c r="C3981" s="1" t="str">
        <f t="shared" si="257"/>
        <v>515-66</v>
      </c>
      <c r="D3981" t="s">
        <v>3962</v>
      </c>
      <c r="E3981" t="b">
        <f>IF(COUNTIF(D3981,"*"&amp;'Keyword Search'!$C$5&amp;"*"),TRUE,FALSE)</f>
        <v>1</v>
      </c>
      <c r="G3981" t="str">
        <f t="shared" si="258"/>
        <v>515-66: Shears: Grass, Hedge, Lopping, Pruning, etc.</v>
      </c>
    </row>
    <row r="3982" spans="1:7" x14ac:dyDescent="0.25">
      <c r="A3982" s="1" t="str">
        <f t="shared" si="256"/>
        <v>515</v>
      </c>
      <c r="B3982" s="1" t="str">
        <f>TEXT(67,"00")</f>
        <v>67</v>
      </c>
      <c r="C3982" s="1" t="str">
        <f t="shared" si="257"/>
        <v>515-67</v>
      </c>
      <c r="D3982" t="s">
        <v>3963</v>
      </c>
      <c r="E3982" t="b">
        <f>IF(COUNTIF(D3982,"*"&amp;'Keyword Search'!$C$5&amp;"*"),TRUE,FALSE)</f>
        <v>1</v>
      </c>
      <c r="G3982" t="str">
        <f t="shared" si="258"/>
        <v>515-67: Shredders and Screeners, For Conditioning Soil</v>
      </c>
    </row>
    <row r="3983" spans="1:7" x14ac:dyDescent="0.25">
      <c r="A3983" s="1" t="str">
        <f t="shared" si="256"/>
        <v>515</v>
      </c>
      <c r="B3983" s="1" t="str">
        <f>TEXT(68,"00")</f>
        <v>68</v>
      </c>
      <c r="C3983" s="1" t="str">
        <f t="shared" si="257"/>
        <v>515-68</v>
      </c>
      <c r="D3983" t="s">
        <v>3964</v>
      </c>
      <c r="E3983" t="b">
        <f>IF(COUNTIF(D3983,"*"&amp;'Keyword Search'!$C$5&amp;"*"),TRUE,FALSE)</f>
        <v>1</v>
      </c>
      <c r="G3983" t="str">
        <f t="shared" si="258"/>
        <v>515-68: Snowblowers and Snowthrowers, Tractor Mounted, Lawns and Grounds</v>
      </c>
    </row>
    <row r="3984" spans="1:7" x14ac:dyDescent="0.25">
      <c r="A3984" s="1" t="str">
        <f t="shared" si="256"/>
        <v>515</v>
      </c>
      <c r="B3984" s="1" t="str">
        <f>TEXT(69,"00")</f>
        <v>69</v>
      </c>
      <c r="C3984" s="1" t="str">
        <f t="shared" si="257"/>
        <v>515-69</v>
      </c>
      <c r="D3984" t="s">
        <v>3965</v>
      </c>
      <c r="E3984" t="b">
        <f>IF(COUNTIF(D3984,"*"&amp;'Keyword Search'!$C$5&amp;"*"),TRUE,FALSE)</f>
        <v>1</v>
      </c>
      <c r="G3984" t="str">
        <f t="shared" si="258"/>
        <v>515-69: Snowblowers and Snowthrowers, Walk Behind, Lawns and Grounds</v>
      </c>
    </row>
    <row r="3985" spans="1:7" x14ac:dyDescent="0.25">
      <c r="A3985" s="1" t="str">
        <f t="shared" si="256"/>
        <v>515</v>
      </c>
      <c r="B3985" s="1" t="str">
        <f>TEXT(70,"00")</f>
        <v>70</v>
      </c>
      <c r="C3985" s="1" t="str">
        <f t="shared" si="257"/>
        <v>515-70</v>
      </c>
      <c r="D3985" t="s">
        <v>3966</v>
      </c>
      <c r="E3985" t="b">
        <f>IF(COUNTIF(D3985,"*"&amp;'Keyword Search'!$C$5&amp;"*"),TRUE,FALSE)</f>
        <v>1</v>
      </c>
      <c r="G3985" t="str">
        <f t="shared" si="258"/>
        <v>515-70: Sod Cutters and Lifters</v>
      </c>
    </row>
    <row r="3986" spans="1:7" x14ac:dyDescent="0.25">
      <c r="A3986" s="1" t="str">
        <f t="shared" si="256"/>
        <v>515</v>
      </c>
      <c r="B3986" s="1" t="str">
        <f>TEXT(75,"00")</f>
        <v>75</v>
      </c>
      <c r="C3986" s="1" t="str">
        <f t="shared" si="257"/>
        <v>515-75</v>
      </c>
      <c r="D3986" t="s">
        <v>3967</v>
      </c>
      <c r="E3986" t="b">
        <f>IF(COUNTIF(D3986,"*"&amp;'Keyword Search'!$C$5&amp;"*"),TRUE,FALSE)</f>
        <v>1</v>
      </c>
      <c r="G3986" t="str">
        <f t="shared" si="258"/>
        <v>515-75: Spreaders: Broadcast, Fertilizer and Seed</v>
      </c>
    </row>
    <row r="3987" spans="1:7" x14ac:dyDescent="0.25">
      <c r="A3987" s="1" t="str">
        <f t="shared" si="256"/>
        <v>515</v>
      </c>
      <c r="B3987" s="1" t="str">
        <f>TEXT(80,"00")</f>
        <v>80</v>
      </c>
      <c r="C3987" s="1" t="str">
        <f t="shared" si="257"/>
        <v>515-80</v>
      </c>
      <c r="D3987" t="s">
        <v>3968</v>
      </c>
      <c r="E3987" t="b">
        <f>IF(COUNTIF(D3987,"*"&amp;'Keyword Search'!$C$5&amp;"*"),TRUE,FALSE)</f>
        <v>1</v>
      </c>
      <c r="G3987" t="str">
        <f t="shared" si="258"/>
        <v>515-80: Sprinklers, Portable</v>
      </c>
    </row>
    <row r="3988" spans="1:7" x14ac:dyDescent="0.25">
      <c r="A3988" s="1" t="str">
        <f t="shared" si="256"/>
        <v>515</v>
      </c>
      <c r="B3988" s="1" t="str">
        <f>TEXT(82,"00")</f>
        <v>82</v>
      </c>
      <c r="C3988" s="1" t="str">
        <f t="shared" si="257"/>
        <v>515-82</v>
      </c>
      <c r="D3988" t="s">
        <v>3969</v>
      </c>
      <c r="E3988" t="b">
        <f>IF(COUNTIF(D3988,"*"&amp;'Keyword Search'!$C$5&amp;"*"),TRUE,FALSE)</f>
        <v>1</v>
      </c>
      <c r="G3988" t="str">
        <f t="shared" si="258"/>
        <v>515-82: Sprinkler Systems, Lawn and Turf, Including Parts and Accessories</v>
      </c>
    </row>
    <row r="3989" spans="1:7" x14ac:dyDescent="0.25">
      <c r="A3989" s="1" t="str">
        <f t="shared" si="256"/>
        <v>515</v>
      </c>
      <c r="B3989" s="1" t="str">
        <f>TEXT(83,"00")</f>
        <v>83</v>
      </c>
      <c r="C3989" s="1" t="str">
        <f t="shared" si="257"/>
        <v>515-83</v>
      </c>
      <c r="D3989" t="s">
        <v>3970</v>
      </c>
      <c r="E3989" t="b">
        <f>IF(COUNTIF(D3989,"*"&amp;'Keyword Search'!$C$5&amp;"*"),TRUE,FALSE)</f>
        <v>1</v>
      </c>
      <c r="G3989" t="str">
        <f t="shared" si="258"/>
        <v>515-83: Tree Trimming and Pruning Equipment: Portable, Power Operated, Not Saws</v>
      </c>
    </row>
    <row r="3990" spans="1:7" x14ac:dyDescent="0.25">
      <c r="A3990" s="1" t="str">
        <f t="shared" si="256"/>
        <v>515</v>
      </c>
      <c r="B3990" s="1" t="str">
        <f>TEXT(85,"00")</f>
        <v>85</v>
      </c>
      <c r="C3990" s="1" t="str">
        <f t="shared" si="257"/>
        <v>515-85</v>
      </c>
      <c r="D3990" t="s">
        <v>3971</v>
      </c>
      <c r="E3990" t="b">
        <f>IF(COUNTIF(D3990,"*"&amp;'Keyword Search'!$C$5&amp;"*"),TRUE,FALSE)</f>
        <v>1</v>
      </c>
      <c r="G3990" t="str">
        <f t="shared" si="258"/>
        <v>515-85: Vacuum Cleaners and Other Litter Pickup Devices: Lawn, Parking Area, Sidewalk, etc.</v>
      </c>
    </row>
    <row r="3991" spans="1:7" x14ac:dyDescent="0.25">
      <c r="A3991" s="5" t="str">
        <f t="shared" ref="A3991:A4046" si="259">TEXT(520,"000")</f>
        <v>520</v>
      </c>
      <c r="B3991" s="5" t="str">
        <f>TEXT(0,"00")</f>
        <v>00</v>
      </c>
      <c r="C3991" s="1"/>
      <c r="D3991" s="2" t="s">
        <v>3972</v>
      </c>
    </row>
    <row r="3992" spans="1:7" x14ac:dyDescent="0.25">
      <c r="A3992" s="1" t="str">
        <f t="shared" si="259"/>
        <v>520</v>
      </c>
      <c r="B3992" s="1" t="str">
        <f>TEXT(6,"00")</f>
        <v>06</v>
      </c>
      <c r="C3992" s="1" t="str">
        <f t="shared" si="257"/>
        <v>520-06</v>
      </c>
      <c r="D3992" t="s">
        <v>3973</v>
      </c>
      <c r="E3992" t="b">
        <f>IF(COUNTIF(D3992,"*"&amp;'Keyword Search'!$C$5&amp;"*"),TRUE,FALSE)</f>
        <v>1</v>
      </c>
      <c r="G3992" t="str">
        <f t="shared" si="258"/>
        <v>520-06: Beeswax</v>
      </c>
    </row>
    <row r="3993" spans="1:7" x14ac:dyDescent="0.25">
      <c r="A3993" s="1" t="str">
        <f t="shared" si="259"/>
        <v>520</v>
      </c>
      <c r="B3993" s="1" t="str">
        <f>TEXT(8,"00")</f>
        <v>08</v>
      </c>
      <c r="C3993" s="1" t="str">
        <f t="shared" si="257"/>
        <v>520-08</v>
      </c>
      <c r="D3993" t="s">
        <v>3974</v>
      </c>
      <c r="E3993" t="b">
        <f>IF(COUNTIF(D3993,"*"&amp;'Keyword Search'!$C$5&amp;"*"),TRUE,FALSE)</f>
        <v>1</v>
      </c>
      <c r="G3993" t="str">
        <f t="shared" si="258"/>
        <v>520-08: Blankets, Bags, Cinches, and Pads, Saddle</v>
      </c>
    </row>
    <row r="3994" spans="1:7" x14ac:dyDescent="0.25">
      <c r="A3994" s="1" t="str">
        <f t="shared" si="259"/>
        <v>520</v>
      </c>
      <c r="B3994" s="1" t="str">
        <f>TEXT(10,"00")</f>
        <v>10</v>
      </c>
      <c r="C3994" s="1" t="str">
        <f t="shared" si="257"/>
        <v>520-10</v>
      </c>
      <c r="D3994" t="s">
        <v>3975</v>
      </c>
      <c r="E3994" t="b">
        <f>IF(COUNTIF(D3994,"*"&amp;'Keyword Search'!$C$5&amp;"*"),TRUE,FALSE)</f>
        <v>1</v>
      </c>
      <c r="G3994" t="str">
        <f t="shared" si="258"/>
        <v>520-10: Bottom fillers and Bottom Filler (See Class 010 For Cork) Materials For Shoe Manufacturing</v>
      </c>
    </row>
    <row r="3995" spans="1:7" x14ac:dyDescent="0.25">
      <c r="A3995" s="1" t="str">
        <f t="shared" si="259"/>
        <v>520</v>
      </c>
      <c r="B3995" s="1" t="str">
        <f>TEXT(12,"00")</f>
        <v>12</v>
      </c>
      <c r="C3995" s="1" t="str">
        <f t="shared" si="257"/>
        <v>520-12</v>
      </c>
      <c r="D3995" t="s">
        <v>3976</v>
      </c>
      <c r="E3995" t="b">
        <f>IF(COUNTIF(D3995,"*"&amp;'Keyword Search'!$C$5&amp;"*"),TRUE,FALSE)</f>
        <v>1</v>
      </c>
      <c r="G3995" t="str">
        <f t="shared" si="258"/>
        <v>520-12: Box Toes</v>
      </c>
    </row>
    <row r="3996" spans="1:7" x14ac:dyDescent="0.25">
      <c r="A3996" s="1" t="str">
        <f t="shared" si="259"/>
        <v>520</v>
      </c>
      <c r="B3996" s="1" t="str">
        <f>TEXT(13,"00")</f>
        <v>13</v>
      </c>
      <c r="C3996" s="1" t="str">
        <f t="shared" si="257"/>
        <v>520-13</v>
      </c>
      <c r="D3996" t="s">
        <v>3977</v>
      </c>
      <c r="E3996" t="b">
        <f>IF(COUNTIF(D3996,"*"&amp;'Keyword Search'!$C$5&amp;"*"),TRUE,FALSE)</f>
        <v>1</v>
      </c>
      <c r="G3996" t="str">
        <f t="shared" si="258"/>
        <v>520-13: Brushes, Shoe</v>
      </c>
    </row>
    <row r="3997" spans="1:7" x14ac:dyDescent="0.25">
      <c r="A3997" s="1" t="str">
        <f t="shared" si="259"/>
        <v>520</v>
      </c>
      <c r="B3997" s="1" t="str">
        <f>TEXT(14,"00")</f>
        <v>14</v>
      </c>
      <c r="C3997" s="1" t="str">
        <f t="shared" si="257"/>
        <v>520-14</v>
      </c>
      <c r="D3997" t="s">
        <v>3978</v>
      </c>
      <c r="E3997" t="b">
        <f>IF(COUNTIF(D3997,"*"&amp;'Keyword Search'!$C$5&amp;"*"),TRUE,FALSE)</f>
        <v>1</v>
      </c>
      <c r="G3997" t="str">
        <f t="shared" si="258"/>
        <v>520-14: Cement, Adhesives, and Thinner, For Leather and Rubber</v>
      </c>
    </row>
    <row r="3998" spans="1:7" x14ac:dyDescent="0.25">
      <c r="A3998" s="1" t="str">
        <f t="shared" si="259"/>
        <v>520</v>
      </c>
      <c r="B3998" s="1" t="str">
        <f>TEXT(16,"00")</f>
        <v>16</v>
      </c>
      <c r="C3998" s="1" t="str">
        <f t="shared" si="257"/>
        <v>520-16</v>
      </c>
      <c r="D3998" t="s">
        <v>3979</v>
      </c>
      <c r="E3998" t="b">
        <f>IF(COUNTIF(D3998,"*"&amp;'Keyword Search'!$C$5&amp;"*"),TRUE,FALSE)</f>
        <v>1</v>
      </c>
      <c r="G3998" t="str">
        <f t="shared" si="258"/>
        <v>520-16: Hand Tools, Leather Working</v>
      </c>
    </row>
    <row r="3999" spans="1:7" x14ac:dyDescent="0.25">
      <c r="A3999" s="1" t="str">
        <f t="shared" si="259"/>
        <v>520</v>
      </c>
      <c r="B3999" s="1" t="str">
        <f>TEXT(18,"00")</f>
        <v>18</v>
      </c>
      <c r="C3999" s="1" t="str">
        <f t="shared" si="257"/>
        <v>520-18</v>
      </c>
      <c r="D3999" t="s">
        <v>3980</v>
      </c>
      <c r="E3999" t="b">
        <f>IF(COUNTIF(D3999,"*"&amp;'Keyword Search'!$C$5&amp;"*"),TRUE,FALSE)</f>
        <v>1</v>
      </c>
      <c r="G3999" t="str">
        <f t="shared" si="258"/>
        <v>520-18: Hardware, Harness</v>
      </c>
    </row>
    <row r="4000" spans="1:7" x14ac:dyDescent="0.25">
      <c r="A4000" s="1" t="str">
        <f t="shared" si="259"/>
        <v>520</v>
      </c>
      <c r="B4000" s="1" t="str">
        <f>TEXT(20,"00")</f>
        <v>20</v>
      </c>
      <c r="C4000" s="1" t="str">
        <f t="shared" si="257"/>
        <v>520-20</v>
      </c>
      <c r="D4000" t="s">
        <v>3981</v>
      </c>
      <c r="E4000" t="b">
        <f>IF(COUNTIF(D4000,"*"&amp;'Keyword Search'!$C$5&amp;"*"),TRUE,FALSE)</f>
        <v>1</v>
      </c>
      <c r="G4000" t="str">
        <f t="shared" si="258"/>
        <v>520-20: Harness, Leather</v>
      </c>
    </row>
    <row r="4001" spans="1:7" x14ac:dyDescent="0.25">
      <c r="A4001" s="1" t="str">
        <f t="shared" si="259"/>
        <v>520</v>
      </c>
      <c r="B4001" s="1" t="str">
        <f>TEXT(22,"00")</f>
        <v>22</v>
      </c>
      <c r="C4001" s="1" t="str">
        <f t="shared" si="257"/>
        <v>520-22</v>
      </c>
      <c r="D4001" t="s">
        <v>3982</v>
      </c>
      <c r="E4001" t="b">
        <f>IF(COUNTIF(D4001,"*"&amp;'Keyword Search'!$C$5&amp;"*"),TRUE,FALSE)</f>
        <v>1</v>
      </c>
      <c r="G4001" t="str">
        <f t="shared" si="258"/>
        <v>520-22: Heel and Toe Plates</v>
      </c>
    </row>
    <row r="4002" spans="1:7" x14ac:dyDescent="0.25">
      <c r="A4002" s="1" t="str">
        <f t="shared" si="259"/>
        <v>520</v>
      </c>
      <c r="B4002" s="1" t="str">
        <f>TEXT(24,"00")</f>
        <v>24</v>
      </c>
      <c r="C4002" s="1" t="str">
        <f t="shared" si="257"/>
        <v>520-24</v>
      </c>
      <c r="D4002" t="s">
        <v>3983</v>
      </c>
      <c r="E4002" t="b">
        <f>IF(COUNTIF(D4002,"*"&amp;'Keyword Search'!$C$5&amp;"*"),TRUE,FALSE)</f>
        <v>1</v>
      </c>
      <c r="G4002" t="str">
        <f t="shared" si="258"/>
        <v>520-24: Heel Braces</v>
      </c>
    </row>
    <row r="4003" spans="1:7" x14ac:dyDescent="0.25">
      <c r="A4003" s="1" t="str">
        <f t="shared" si="259"/>
        <v>520</v>
      </c>
      <c r="B4003" s="1" t="str">
        <f>TEXT(26,"00")</f>
        <v>26</v>
      </c>
      <c r="C4003" s="1" t="str">
        <f t="shared" si="257"/>
        <v>520-26</v>
      </c>
      <c r="D4003" t="s">
        <v>3984</v>
      </c>
      <c r="E4003" t="b">
        <f>IF(COUNTIF(D4003,"*"&amp;'Keyword Search'!$C$5&amp;"*"),TRUE,FALSE)</f>
        <v>1</v>
      </c>
      <c r="G4003" t="str">
        <f t="shared" si="258"/>
        <v>520-26: Heel Fillers, Grippers, Liners, Scaphoid Pads, etc.</v>
      </c>
    </row>
    <row r="4004" spans="1:7" x14ac:dyDescent="0.25">
      <c r="A4004" s="1" t="str">
        <f t="shared" si="259"/>
        <v>520</v>
      </c>
      <c r="B4004" s="1" t="str">
        <f>TEXT(28,"00")</f>
        <v>28</v>
      </c>
      <c r="C4004" s="1" t="str">
        <f t="shared" si="257"/>
        <v>520-28</v>
      </c>
      <c r="D4004" t="s">
        <v>3985</v>
      </c>
      <c r="E4004" t="b">
        <f>IF(COUNTIF(D4004,"*"&amp;'Keyword Search'!$C$5&amp;"*"),TRUE,FALSE)</f>
        <v>1</v>
      </c>
      <c r="G4004" t="str">
        <f t="shared" si="258"/>
        <v>520-28: Heels, Leather and Wood</v>
      </c>
    </row>
    <row r="4005" spans="1:7" x14ac:dyDescent="0.25">
      <c r="A4005" s="1" t="str">
        <f t="shared" si="259"/>
        <v>520</v>
      </c>
      <c r="B4005" s="1" t="str">
        <f>TEXT(29,"00")</f>
        <v>29</v>
      </c>
      <c r="C4005" s="1" t="str">
        <f t="shared" si="257"/>
        <v>520-29</v>
      </c>
      <c r="D4005" t="s">
        <v>3986</v>
      </c>
      <c r="E4005" t="b">
        <f>IF(COUNTIF(D4005,"*"&amp;'Keyword Search'!$C$5&amp;"*"),TRUE,FALSE)</f>
        <v>1</v>
      </c>
      <c r="G4005" t="str">
        <f t="shared" si="258"/>
        <v>520-29: Heels, Soles, and Strips</v>
      </c>
    </row>
    <row r="4006" spans="1:7" x14ac:dyDescent="0.25">
      <c r="A4006" s="1" t="str">
        <f t="shared" si="259"/>
        <v>520</v>
      </c>
      <c r="B4006" s="1" t="str">
        <f>TEXT(30,"00")</f>
        <v>30</v>
      </c>
      <c r="C4006" s="1" t="str">
        <f t="shared" si="257"/>
        <v>520-30</v>
      </c>
      <c r="D4006" t="s">
        <v>3987</v>
      </c>
      <c r="E4006" t="b">
        <f>IF(COUNTIF(D4006,"*"&amp;'Keyword Search'!$C$5&amp;"*"),TRUE,FALSE)</f>
        <v>1</v>
      </c>
      <c r="G4006" t="str">
        <f t="shared" si="258"/>
        <v>520-30: Heels, Soles, and Strips, Composition</v>
      </c>
    </row>
    <row r="4007" spans="1:7" x14ac:dyDescent="0.25">
      <c r="A4007" s="1" t="str">
        <f t="shared" si="259"/>
        <v>520</v>
      </c>
      <c r="B4007" s="1" t="str">
        <f>TEXT(32,"00")</f>
        <v>32</v>
      </c>
      <c r="C4007" s="1" t="str">
        <f t="shared" si="257"/>
        <v>520-32</v>
      </c>
      <c r="D4007" t="s">
        <v>3988</v>
      </c>
      <c r="E4007" t="b">
        <f>IF(COUNTIF(D4007,"*"&amp;'Keyword Search'!$C$5&amp;"*"),TRUE,FALSE)</f>
        <v>1</v>
      </c>
      <c r="G4007" t="str">
        <f t="shared" si="258"/>
        <v>520-32: Heels, Soles, and Strips, Rubber</v>
      </c>
    </row>
    <row r="4008" spans="1:7" x14ac:dyDescent="0.25">
      <c r="A4008" s="1" t="str">
        <f t="shared" si="259"/>
        <v>520</v>
      </c>
      <c r="B4008" s="1" t="str">
        <f>TEXT(33,"00")</f>
        <v>33</v>
      </c>
      <c r="C4008" s="1" t="str">
        <f t="shared" si="257"/>
        <v>520-33</v>
      </c>
      <c r="D4008" t="s">
        <v>3989</v>
      </c>
      <c r="E4008" t="b">
        <f>IF(COUNTIF(D4008,"*"&amp;'Keyword Search'!$C$5&amp;"*"),TRUE,FALSE)</f>
        <v>1</v>
      </c>
      <c r="G4008" t="str">
        <f t="shared" si="258"/>
        <v>520-33: Heels, Soles, and Strips, Leather</v>
      </c>
    </row>
    <row r="4009" spans="1:7" x14ac:dyDescent="0.25">
      <c r="A4009" s="1" t="str">
        <f t="shared" si="259"/>
        <v>520</v>
      </c>
      <c r="B4009" s="1" t="str">
        <f>TEXT(34,"00")</f>
        <v>34</v>
      </c>
      <c r="C4009" s="1" t="str">
        <f t="shared" si="257"/>
        <v>520-34</v>
      </c>
      <c r="D4009" t="s">
        <v>3990</v>
      </c>
      <c r="E4009" t="b">
        <f>IF(COUNTIF(D4009,"*"&amp;'Keyword Search'!$C$5&amp;"*"),TRUE,FALSE)</f>
        <v>1</v>
      </c>
      <c r="G4009" t="str">
        <f t="shared" si="258"/>
        <v>520-34: Horse Collars, Harnesses, Reins, All Types, Including Hardware</v>
      </c>
    </row>
    <row r="4010" spans="1:7" x14ac:dyDescent="0.25">
      <c r="A4010" s="1" t="str">
        <f t="shared" si="259"/>
        <v>520</v>
      </c>
      <c r="B4010" s="1" t="str">
        <f>TEXT(36,"00")</f>
        <v>36</v>
      </c>
      <c r="C4010" s="1" t="str">
        <f t="shared" si="257"/>
        <v>520-36</v>
      </c>
      <c r="D4010" t="s">
        <v>3991</v>
      </c>
      <c r="E4010" t="b">
        <f>IF(COUNTIF(D4010,"*"&amp;'Keyword Search'!$C$5&amp;"*"),TRUE,FALSE)</f>
        <v>1</v>
      </c>
      <c r="G4010" t="str">
        <f t="shared" si="258"/>
        <v>520-36: Ink and Brushes, Leather Working</v>
      </c>
    </row>
    <row r="4011" spans="1:7" x14ac:dyDescent="0.25">
      <c r="A4011" s="1" t="str">
        <f t="shared" si="259"/>
        <v>520</v>
      </c>
      <c r="B4011" s="1" t="str">
        <f>TEXT(38,"00")</f>
        <v>38</v>
      </c>
      <c r="C4011" s="1" t="str">
        <f t="shared" si="257"/>
        <v>520-38</v>
      </c>
      <c r="D4011" t="s">
        <v>3992</v>
      </c>
      <c r="E4011" t="b">
        <f>IF(COUNTIF(D4011,"*"&amp;'Keyword Search'!$C$5&amp;"*"),TRUE,FALSE)</f>
        <v>1</v>
      </c>
      <c r="G4011" t="str">
        <f t="shared" si="258"/>
        <v>520-38: Insoles and Counters, Shoe</v>
      </c>
    </row>
    <row r="4012" spans="1:7" x14ac:dyDescent="0.25">
      <c r="A4012" s="1" t="str">
        <f t="shared" si="259"/>
        <v>520</v>
      </c>
      <c r="B4012" s="1" t="str">
        <f>TEXT(40,"00")</f>
        <v>40</v>
      </c>
      <c r="C4012" s="1" t="str">
        <f t="shared" si="257"/>
        <v>520-40</v>
      </c>
      <c r="D4012" t="s">
        <v>3993</v>
      </c>
      <c r="E4012" t="b">
        <f>IF(COUNTIF(D4012,"*"&amp;'Keyword Search'!$C$5&amp;"*"),TRUE,FALSE)</f>
        <v>1</v>
      </c>
      <c r="G4012" t="str">
        <f t="shared" si="258"/>
        <v>520-40: Leather, Belt</v>
      </c>
    </row>
    <row r="4013" spans="1:7" x14ac:dyDescent="0.25">
      <c r="A4013" s="1" t="str">
        <f t="shared" si="259"/>
        <v>520</v>
      </c>
      <c r="B4013" s="1" t="str">
        <f>TEXT(42,"00")</f>
        <v>42</v>
      </c>
      <c r="C4013" s="1" t="str">
        <f t="shared" si="257"/>
        <v>520-42</v>
      </c>
      <c r="D4013" t="s">
        <v>3994</v>
      </c>
      <c r="E4013" t="b">
        <f>IF(COUNTIF(D4013,"*"&amp;'Keyword Search'!$C$5&amp;"*"),TRUE,FALSE)</f>
        <v>1</v>
      </c>
      <c r="G4013" t="str">
        <f t="shared" si="258"/>
        <v>520-42: Leather, Harness</v>
      </c>
    </row>
    <row r="4014" spans="1:7" x14ac:dyDescent="0.25">
      <c r="A4014" s="1" t="str">
        <f t="shared" si="259"/>
        <v>520</v>
      </c>
      <c r="B4014" s="1" t="str">
        <f>TEXT(43,"00")</f>
        <v>43</v>
      </c>
      <c r="C4014" s="1" t="str">
        <f t="shared" si="257"/>
        <v>520-43</v>
      </c>
      <c r="D4014" t="s">
        <v>3995</v>
      </c>
      <c r="E4014" t="b">
        <f>IF(COUNTIF(D4014,"*"&amp;'Keyword Search'!$C$5&amp;"*"),TRUE,FALSE)</f>
        <v>1</v>
      </c>
      <c r="G4014" t="str">
        <f t="shared" si="258"/>
        <v>520-43: Leggings and Chaps, Leather</v>
      </c>
    </row>
    <row r="4015" spans="1:7" x14ac:dyDescent="0.25">
      <c r="A4015" s="1" t="str">
        <f t="shared" si="259"/>
        <v>520</v>
      </c>
      <c r="B4015" s="1" t="str">
        <f>TEXT(44,"00")</f>
        <v>44</v>
      </c>
      <c r="C4015" s="1" t="str">
        <f t="shared" si="257"/>
        <v>520-44</v>
      </c>
      <c r="D4015" t="s">
        <v>3996</v>
      </c>
      <c r="E4015" t="b">
        <f>IF(COUNTIF(D4015,"*"&amp;'Keyword Search'!$C$5&amp;"*"),TRUE,FALSE)</f>
        <v>1</v>
      </c>
      <c r="G4015" t="str">
        <f t="shared" si="258"/>
        <v>520-44: Leather, Shoe: Sole Bends, Split, and Upper</v>
      </c>
    </row>
    <row r="4016" spans="1:7" x14ac:dyDescent="0.25">
      <c r="A4016" s="1" t="str">
        <f t="shared" si="259"/>
        <v>520</v>
      </c>
      <c r="B4016" s="1" t="str">
        <f>TEXT(45,"00")</f>
        <v>45</v>
      </c>
      <c r="C4016" s="1" t="str">
        <f t="shared" si="257"/>
        <v>520-45</v>
      </c>
      <c r="D4016" t="s">
        <v>3997</v>
      </c>
      <c r="E4016" t="b">
        <f>IF(COUNTIF(D4016,"*"&amp;'Keyword Search'!$C$5&amp;"*"),TRUE,FALSE)</f>
        <v>1</v>
      </c>
      <c r="G4016" t="str">
        <f t="shared" si="258"/>
        <v>520-45: Leather Tanning and Finishing Equipment and Supplies</v>
      </c>
    </row>
    <row r="4017" spans="1:7" x14ac:dyDescent="0.25">
      <c r="A4017" s="1" t="str">
        <f t="shared" si="259"/>
        <v>520</v>
      </c>
      <c r="B4017" s="1" t="str">
        <f>TEXT(46,"00")</f>
        <v>46</v>
      </c>
      <c r="C4017" s="1" t="str">
        <f t="shared" si="257"/>
        <v>520-46</v>
      </c>
      <c r="D4017" t="s">
        <v>3998</v>
      </c>
      <c r="E4017" t="b">
        <f>IF(COUNTIF(D4017,"*"&amp;'Keyword Search'!$C$5&amp;"*"),TRUE,FALSE)</f>
        <v>1</v>
      </c>
      <c r="G4017" t="str">
        <f t="shared" si="258"/>
        <v>520-46: Leather Preparation, Repairing and Working Equipment</v>
      </c>
    </row>
    <row r="4018" spans="1:7" x14ac:dyDescent="0.25">
      <c r="A4018" s="1" t="str">
        <f t="shared" si="259"/>
        <v>520</v>
      </c>
      <c r="B4018" s="1" t="str">
        <f>TEXT(47,"00")</f>
        <v>47</v>
      </c>
      <c r="C4018" s="1" t="str">
        <f t="shared" si="257"/>
        <v>520-47</v>
      </c>
      <c r="D4018" t="s">
        <v>3999</v>
      </c>
      <c r="E4018" t="b">
        <f>IF(COUNTIF(D4018,"*"&amp;'Keyword Search'!$C$5&amp;"*"),TRUE,FALSE)</f>
        <v>1</v>
      </c>
      <c r="G4018" t="str">
        <f t="shared" si="258"/>
        <v>520-47: Lining, Base, Used in Shoe Manufacturing</v>
      </c>
    </row>
    <row r="4019" spans="1:7" x14ac:dyDescent="0.25">
      <c r="A4019" s="1" t="str">
        <f t="shared" si="259"/>
        <v>520</v>
      </c>
      <c r="B4019" s="1" t="str">
        <f>TEXT(48,"00")</f>
        <v>48</v>
      </c>
      <c r="C4019" s="1" t="str">
        <f t="shared" si="257"/>
        <v>520-48</v>
      </c>
      <c r="D4019" t="s">
        <v>4000</v>
      </c>
      <c r="E4019" t="b">
        <f>IF(COUNTIF(D4019,"*"&amp;'Keyword Search'!$C$5&amp;"*"),TRUE,FALSE)</f>
        <v>1</v>
      </c>
      <c r="G4019" t="str">
        <f t="shared" si="258"/>
        <v>520-48: Lining, Shoe Tongue</v>
      </c>
    </row>
    <row r="4020" spans="1:7" x14ac:dyDescent="0.25">
      <c r="A4020" s="1" t="str">
        <f t="shared" si="259"/>
        <v>520</v>
      </c>
      <c r="B4020" s="1" t="str">
        <f>TEXT(49,"00")</f>
        <v>49</v>
      </c>
      <c r="C4020" s="1" t="str">
        <f t="shared" si="257"/>
        <v>520-49</v>
      </c>
      <c r="D4020" t="s">
        <v>4001</v>
      </c>
      <c r="E4020" t="b">
        <f>IF(COUNTIF(D4020,"*"&amp;'Keyword Search'!$C$5&amp;"*"),TRUE,FALSE)</f>
        <v>1</v>
      </c>
      <c r="G4020" t="str">
        <f t="shared" si="258"/>
        <v>520-49: Measurement Devices, Foot</v>
      </c>
    </row>
    <row r="4021" spans="1:7" x14ac:dyDescent="0.25">
      <c r="A4021" s="1" t="str">
        <f t="shared" si="259"/>
        <v>520</v>
      </c>
      <c r="B4021" s="1" t="str">
        <f>TEXT(50,"00")</f>
        <v>50</v>
      </c>
      <c r="C4021" s="1" t="str">
        <f t="shared" si="257"/>
        <v>520-50</v>
      </c>
      <c r="D4021" t="s">
        <v>4002</v>
      </c>
      <c r="E4021" t="b">
        <f>IF(COUNTIF(D4021,"*"&amp;'Keyword Search'!$C$5&amp;"*"),TRUE,FALSE)</f>
        <v>1</v>
      </c>
      <c r="G4021" t="str">
        <f t="shared" si="258"/>
        <v>520-50: Metal Eyelets, For Leather</v>
      </c>
    </row>
    <row r="4022" spans="1:7" x14ac:dyDescent="0.25">
      <c r="A4022" s="1" t="str">
        <f t="shared" si="259"/>
        <v>520</v>
      </c>
      <c r="B4022" s="1" t="str">
        <f>TEXT(52,"00")</f>
        <v>52</v>
      </c>
      <c r="C4022" s="1" t="str">
        <f t="shared" si="257"/>
        <v>520-52</v>
      </c>
      <c r="D4022" t="s">
        <v>4003</v>
      </c>
      <c r="E4022" t="b">
        <f>IF(COUNTIF(D4022,"*"&amp;'Keyword Search'!$C$5&amp;"*"),TRUE,FALSE)</f>
        <v>1</v>
      </c>
      <c r="G4022" t="str">
        <f t="shared" si="258"/>
        <v>520-52: Nails, Tacks, and Wire, Shoe</v>
      </c>
    </row>
    <row r="4023" spans="1:7" x14ac:dyDescent="0.25">
      <c r="A4023" s="1" t="str">
        <f t="shared" si="259"/>
        <v>520</v>
      </c>
      <c r="B4023" s="1" t="str">
        <f>TEXT(54,"00")</f>
        <v>54</v>
      </c>
      <c r="C4023" s="1" t="str">
        <f t="shared" si="257"/>
        <v>520-54</v>
      </c>
      <c r="D4023" t="s">
        <v>4004</v>
      </c>
      <c r="E4023" t="b">
        <f>IF(COUNTIF(D4023,"*"&amp;'Keyword Search'!$C$5&amp;"*"),TRUE,FALSE)</f>
        <v>1</v>
      </c>
      <c r="G4023" t="str">
        <f t="shared" si="258"/>
        <v>520-54: Neat's Foot Oil</v>
      </c>
    </row>
    <row r="4024" spans="1:7" x14ac:dyDescent="0.25">
      <c r="A4024" s="1" t="str">
        <f t="shared" si="259"/>
        <v>520</v>
      </c>
      <c r="B4024" s="1" t="str">
        <f>TEXT(56,"00")</f>
        <v>56</v>
      </c>
      <c r="C4024" s="1" t="str">
        <f t="shared" si="257"/>
        <v>520-56</v>
      </c>
      <c r="D4024" t="s">
        <v>4005</v>
      </c>
      <c r="E4024" t="b">
        <f>IF(COUNTIF(D4024,"*"&amp;'Keyword Search'!$C$5&amp;"*"),TRUE,FALSE)</f>
        <v>1</v>
      </c>
      <c r="G4024" t="str">
        <f t="shared" si="258"/>
        <v>520-56: Needles and Awls, Shoe Machine</v>
      </c>
    </row>
    <row r="4025" spans="1:7" x14ac:dyDescent="0.25">
      <c r="A4025" s="1" t="str">
        <f t="shared" si="259"/>
        <v>520</v>
      </c>
      <c r="B4025" s="1" t="str">
        <f>TEXT(58,"00")</f>
        <v>58</v>
      </c>
      <c r="C4025" s="1" t="str">
        <f t="shared" si="257"/>
        <v>520-58</v>
      </c>
      <c r="D4025" t="s">
        <v>4006</v>
      </c>
      <c r="E4025" t="b">
        <f>IF(COUNTIF(D4025,"*"&amp;'Keyword Search'!$C$5&amp;"*"),TRUE,FALSE)</f>
        <v>1</v>
      </c>
      <c r="G4025" t="str">
        <f t="shared" si="258"/>
        <v>520-58: Patching and Upper Shoe Machine</v>
      </c>
    </row>
    <row r="4026" spans="1:7" x14ac:dyDescent="0.25">
      <c r="A4026" s="1" t="str">
        <f t="shared" si="259"/>
        <v>520</v>
      </c>
      <c r="B4026" s="1" t="str">
        <f>TEXT(59,"00")</f>
        <v>59</v>
      </c>
      <c r="C4026" s="1" t="str">
        <f t="shared" si="257"/>
        <v>520-59</v>
      </c>
      <c r="D4026" t="s">
        <v>4007</v>
      </c>
      <c r="E4026" t="b">
        <f>IF(COUNTIF(D4026,"*"&amp;'Keyword Search'!$C$5&amp;"*"),TRUE,FALSE)</f>
        <v>1</v>
      </c>
      <c r="G4026" t="str">
        <f t="shared" si="258"/>
        <v>520-59: Pellets, Shoe Sole</v>
      </c>
    </row>
    <row r="4027" spans="1:7" x14ac:dyDescent="0.25">
      <c r="A4027" s="1" t="str">
        <f t="shared" si="259"/>
        <v>520</v>
      </c>
      <c r="B4027" s="1" t="str">
        <f>TEXT(60,"00")</f>
        <v>60</v>
      </c>
      <c r="C4027" s="1" t="str">
        <f t="shared" si="257"/>
        <v>520-60</v>
      </c>
      <c r="D4027" t="s">
        <v>4008</v>
      </c>
      <c r="E4027" t="b">
        <f>IF(COUNTIF(D4027,"*"&amp;'Keyword Search'!$C$5&amp;"*"),TRUE,FALSE)</f>
        <v>1</v>
      </c>
      <c r="G4027" t="str">
        <f t="shared" si="258"/>
        <v>520-60: Polishes and Conditioners: Leather, Shoe, Boot, etc. (Incl. Dyes)</v>
      </c>
    </row>
    <row r="4028" spans="1:7" x14ac:dyDescent="0.25">
      <c r="A4028" s="1" t="str">
        <f t="shared" si="259"/>
        <v>520</v>
      </c>
      <c r="B4028" s="1" t="str">
        <f>TEXT(61,"00")</f>
        <v>61</v>
      </c>
      <c r="C4028" s="1" t="str">
        <f t="shared" si="257"/>
        <v>520-61</v>
      </c>
      <c r="D4028" t="s">
        <v>4009</v>
      </c>
      <c r="E4028" t="b">
        <f>IF(COUNTIF(D4028,"*"&amp;'Keyword Search'!$C$5&amp;"*"),TRUE,FALSE)</f>
        <v>1</v>
      </c>
      <c r="G4028" t="str">
        <f t="shared" si="258"/>
        <v>520-61: Recycled Leather Products</v>
      </c>
    </row>
    <row r="4029" spans="1:7" x14ac:dyDescent="0.25">
      <c r="A4029" s="1" t="str">
        <f t="shared" si="259"/>
        <v>520</v>
      </c>
      <c r="B4029" s="1" t="str">
        <f>TEXT(62,"00")</f>
        <v>62</v>
      </c>
      <c r="C4029" s="1" t="str">
        <f t="shared" si="257"/>
        <v>520-62</v>
      </c>
      <c r="D4029" t="s">
        <v>4010</v>
      </c>
      <c r="E4029" t="b">
        <f>IF(COUNTIF(D4029,"*"&amp;'Keyword Search'!$C$5&amp;"*"),TRUE,FALSE)</f>
        <v>1</v>
      </c>
      <c r="G4029" t="str">
        <f t="shared" si="258"/>
        <v>520-62: Saddles and Accessories</v>
      </c>
    </row>
    <row r="4030" spans="1:7" x14ac:dyDescent="0.25">
      <c r="A4030" s="1" t="str">
        <f t="shared" si="259"/>
        <v>520</v>
      </c>
      <c r="B4030" s="1" t="str">
        <f>TEXT(64,"00")</f>
        <v>64</v>
      </c>
      <c r="C4030" s="1" t="str">
        <f t="shared" si="257"/>
        <v>520-64</v>
      </c>
      <c r="D4030" t="s">
        <v>4011</v>
      </c>
      <c r="E4030" t="b">
        <f>IF(COUNTIF(D4030,"*"&amp;'Keyword Search'!$C$5&amp;"*"),TRUE,FALSE)</f>
        <v>1</v>
      </c>
      <c r="G4030" t="str">
        <f t="shared" si="258"/>
        <v>520-64: Saddle Trees</v>
      </c>
    </row>
    <row r="4031" spans="1:7" x14ac:dyDescent="0.25">
      <c r="A4031" s="1" t="str">
        <f t="shared" si="259"/>
        <v>520</v>
      </c>
      <c r="B4031" s="1" t="str">
        <f>TEXT(66,"00")</f>
        <v>66</v>
      </c>
      <c r="C4031" s="1" t="str">
        <f t="shared" si="257"/>
        <v>520-66</v>
      </c>
      <c r="D4031" t="s">
        <v>4012</v>
      </c>
      <c r="E4031" t="b">
        <f>IF(COUNTIF(D4031,"*"&amp;'Keyword Search'!$C$5&amp;"*"),TRUE,FALSE)</f>
        <v>1</v>
      </c>
      <c r="G4031" t="str">
        <f t="shared" si="258"/>
        <v>520-66: Shanks, Shoe, Steel and Fiber</v>
      </c>
    </row>
    <row r="4032" spans="1:7" x14ac:dyDescent="0.25">
      <c r="A4032" s="1" t="str">
        <f t="shared" si="259"/>
        <v>520</v>
      </c>
      <c r="B4032" s="1" t="str">
        <f>TEXT(67,"00")</f>
        <v>67</v>
      </c>
      <c r="C4032" s="1" t="str">
        <f t="shared" si="257"/>
        <v>520-67</v>
      </c>
      <c r="D4032" t="s">
        <v>4013</v>
      </c>
      <c r="E4032" t="b">
        <f>IF(COUNTIF(D4032,"*"&amp;'Keyword Search'!$C$5&amp;"*"),TRUE,FALSE)</f>
        <v>1</v>
      </c>
      <c r="G4032" t="str">
        <f t="shared" si="258"/>
        <v>520-67: Shoe Accessories (Not otherwise classified)</v>
      </c>
    </row>
    <row r="4033" spans="1:7" x14ac:dyDescent="0.25">
      <c r="A4033" s="1" t="str">
        <f t="shared" si="259"/>
        <v>520</v>
      </c>
      <c r="B4033" s="1" t="str">
        <f>TEXT(68,"00")</f>
        <v>68</v>
      </c>
      <c r="C4033" s="1" t="str">
        <f t="shared" si="257"/>
        <v>520-68</v>
      </c>
      <c r="D4033" t="s">
        <v>4014</v>
      </c>
      <c r="E4033" t="b">
        <f>IF(COUNTIF(D4033,"*"&amp;'Keyword Search'!$C$5&amp;"*"),TRUE,FALSE)</f>
        <v>1</v>
      </c>
      <c r="G4033" t="str">
        <f t="shared" si="258"/>
        <v>520-68: Shoe Lasts: Iron, Wood, and Plastic</v>
      </c>
    </row>
    <row r="4034" spans="1:7" x14ac:dyDescent="0.25">
      <c r="A4034" s="1" t="str">
        <f t="shared" si="259"/>
        <v>520</v>
      </c>
      <c r="B4034" s="1" t="str">
        <f>TEXT(70,"00")</f>
        <v>70</v>
      </c>
      <c r="C4034" s="1" t="str">
        <f t="shared" si="257"/>
        <v>520-70</v>
      </c>
      <c r="D4034" t="s">
        <v>4015</v>
      </c>
      <c r="E4034" t="b">
        <f>IF(COUNTIF(D4034,"*"&amp;'Keyword Search'!$C$5&amp;"*"),TRUE,FALSE)</f>
        <v>1</v>
      </c>
      <c r="G4034" t="str">
        <f t="shared" si="258"/>
        <v>520-70: Shoe Repair Supplies: Beading, Belting, Cleats, Elastic, Pads, Piping, etc.</v>
      </c>
    </row>
    <row r="4035" spans="1:7" x14ac:dyDescent="0.25">
      <c r="A4035" s="1" t="str">
        <f t="shared" si="259"/>
        <v>520</v>
      </c>
      <c r="B4035" s="1" t="str">
        <f>TEXT(72,"00")</f>
        <v>72</v>
      </c>
      <c r="C4035" s="1" t="str">
        <f t="shared" ref="C4035:C4098" si="260">CONCATENATE(A4035,"-",B4035)</f>
        <v>520-72</v>
      </c>
      <c r="D4035" t="s">
        <v>4016</v>
      </c>
      <c r="E4035" t="b">
        <f>IF(COUNTIF(D4035,"*"&amp;'Keyword Search'!$C$5&amp;"*"),TRUE,FALSE)</f>
        <v>1</v>
      </c>
      <c r="G4035" t="str">
        <f t="shared" si="258"/>
        <v>520-72: Shoe Shine Brushes and Cloths</v>
      </c>
    </row>
    <row r="4036" spans="1:7" x14ac:dyDescent="0.25">
      <c r="A4036" s="1" t="str">
        <f t="shared" si="259"/>
        <v>520</v>
      </c>
      <c r="B4036" s="1" t="str">
        <f>TEXT(74,"00")</f>
        <v>74</v>
      </c>
      <c r="C4036" s="1" t="str">
        <f t="shared" si="260"/>
        <v>520-74</v>
      </c>
      <c r="D4036" t="s">
        <v>4017</v>
      </c>
      <c r="E4036" t="b">
        <f>IF(COUNTIF(D4036,"*"&amp;'Keyword Search'!$C$5&amp;"*"),TRUE,FALSE)</f>
        <v>1</v>
      </c>
      <c r="G4036" t="str">
        <f t="shared" ref="G4036:G4099" si="261">CONCATENATE(C4036,": ",D4036)</f>
        <v>520-74: Shoe Shine Machines, Electric</v>
      </c>
    </row>
    <row r="4037" spans="1:7" x14ac:dyDescent="0.25">
      <c r="A4037" s="1" t="str">
        <f t="shared" si="259"/>
        <v>520</v>
      </c>
      <c r="B4037" s="1" t="str">
        <f>TEXT(76,"00")</f>
        <v>76</v>
      </c>
      <c r="C4037" s="1" t="str">
        <f t="shared" si="260"/>
        <v>520-76</v>
      </c>
      <c r="D4037" t="s">
        <v>4018</v>
      </c>
      <c r="E4037" t="b">
        <f>IF(COUNTIF(D4037,"*"&amp;'Keyword Search'!$C$5&amp;"*"),TRUE,FALSE)</f>
        <v>1</v>
      </c>
      <c r="G4037" t="str">
        <f t="shared" si="261"/>
        <v>520-76: Shoelaces, All Types</v>
      </c>
    </row>
    <row r="4038" spans="1:7" x14ac:dyDescent="0.25">
      <c r="A4038" s="1" t="str">
        <f t="shared" si="259"/>
        <v>520</v>
      </c>
      <c r="B4038" s="1" t="str">
        <f>TEXT(78,"00")</f>
        <v>78</v>
      </c>
      <c r="C4038" s="1" t="str">
        <f t="shared" si="260"/>
        <v>520-78</v>
      </c>
      <c r="D4038" t="s">
        <v>4019</v>
      </c>
      <c r="E4038" t="b">
        <f>IF(COUNTIF(D4038,"*"&amp;'Keyword Search'!$C$5&amp;"*"),TRUE,FALSE)</f>
        <v>1</v>
      </c>
      <c r="G4038" t="str">
        <f t="shared" si="261"/>
        <v>520-78: Skins, Skivers, and Pelts, For Shoe Manufacturing</v>
      </c>
    </row>
    <row r="4039" spans="1:7" x14ac:dyDescent="0.25">
      <c r="A4039" s="1" t="str">
        <f t="shared" si="259"/>
        <v>520</v>
      </c>
      <c r="B4039" s="1" t="str">
        <f>TEXT(80,"00")</f>
        <v>80</v>
      </c>
      <c r="C4039" s="1" t="str">
        <f t="shared" si="260"/>
        <v>520-80</v>
      </c>
      <c r="D4039" t="s">
        <v>4020</v>
      </c>
      <c r="E4039" t="b">
        <f>IF(COUNTIF(D4039,"*"&amp;'Keyword Search'!$C$5&amp;"*"),TRUE,FALSE)</f>
        <v>1</v>
      </c>
      <c r="G4039" t="str">
        <f t="shared" si="261"/>
        <v>520-80: Soap, Saddle</v>
      </c>
    </row>
    <row r="4040" spans="1:7" x14ac:dyDescent="0.25">
      <c r="A4040" s="1" t="str">
        <f t="shared" si="259"/>
        <v>520</v>
      </c>
      <c r="B4040" s="1" t="str">
        <f>TEXT(81,"00")</f>
        <v>81</v>
      </c>
      <c r="C4040" s="1" t="str">
        <f t="shared" si="260"/>
        <v>520-81</v>
      </c>
      <c r="D4040" t="s">
        <v>4021</v>
      </c>
      <c r="E4040" t="b">
        <f>IF(COUNTIF(D4040,"*"&amp;'Keyword Search'!$C$5&amp;"*"),TRUE,FALSE)</f>
        <v>1</v>
      </c>
      <c r="G4040" t="str">
        <f t="shared" si="261"/>
        <v>520-81: Stretchers, Shoe/Boot</v>
      </c>
    </row>
    <row r="4041" spans="1:7" x14ac:dyDescent="0.25">
      <c r="A4041" s="1" t="str">
        <f t="shared" si="259"/>
        <v>520</v>
      </c>
      <c r="B4041" s="1" t="str">
        <f>TEXT(82,"00")</f>
        <v>82</v>
      </c>
      <c r="C4041" s="1" t="str">
        <f t="shared" si="260"/>
        <v>520-82</v>
      </c>
      <c r="D4041" t="s">
        <v>4022</v>
      </c>
      <c r="E4041" t="b">
        <f>IF(COUNTIF(D4041,"*"&amp;'Keyword Search'!$C$5&amp;"*"),TRUE,FALSE)</f>
        <v>1</v>
      </c>
      <c r="G4041" t="str">
        <f t="shared" si="261"/>
        <v>520-82: Stirrups, Saddle</v>
      </c>
    </row>
    <row r="4042" spans="1:7" x14ac:dyDescent="0.25">
      <c r="A4042" s="1" t="str">
        <f t="shared" si="259"/>
        <v>520</v>
      </c>
      <c r="B4042" s="1" t="str">
        <f>TEXT(83,"00")</f>
        <v>83</v>
      </c>
      <c r="C4042" s="1" t="str">
        <f t="shared" si="260"/>
        <v>520-83</v>
      </c>
      <c r="D4042" t="s">
        <v>4023</v>
      </c>
      <c r="E4042" t="b">
        <f>IF(COUNTIF(D4042,"*"&amp;'Keyword Search'!$C$5&amp;"*"),TRUE,FALSE)</f>
        <v>1</v>
      </c>
      <c r="G4042" t="str">
        <f t="shared" si="261"/>
        <v>520-83: Taps, Shoe</v>
      </c>
    </row>
    <row r="4043" spans="1:7" x14ac:dyDescent="0.25">
      <c r="A4043" s="1" t="str">
        <f t="shared" si="259"/>
        <v>520</v>
      </c>
      <c r="B4043" s="1" t="str">
        <f>TEXT(84,"00")</f>
        <v>84</v>
      </c>
      <c r="C4043" s="1" t="str">
        <f t="shared" si="260"/>
        <v>520-84</v>
      </c>
      <c r="D4043" t="s">
        <v>4024</v>
      </c>
      <c r="E4043" t="b">
        <f>IF(COUNTIF(D4043,"*"&amp;'Keyword Search'!$C$5&amp;"*"),TRUE,FALSE)</f>
        <v>1</v>
      </c>
      <c r="G4043" t="str">
        <f t="shared" si="261"/>
        <v>520-84: Thread, Shoe Stitching</v>
      </c>
    </row>
    <row r="4044" spans="1:7" x14ac:dyDescent="0.25">
      <c r="A4044" s="1" t="str">
        <f t="shared" si="259"/>
        <v>520</v>
      </c>
      <c r="B4044" s="1" t="str">
        <f>TEXT(86,"00")</f>
        <v>86</v>
      </c>
      <c r="C4044" s="1" t="str">
        <f t="shared" si="260"/>
        <v>520-86</v>
      </c>
      <c r="D4044" t="s">
        <v>4025</v>
      </c>
      <c r="E4044" t="b">
        <f>IF(COUNTIF(D4044,"*"&amp;'Keyword Search'!$C$5&amp;"*"),TRUE,FALSE)</f>
        <v>1</v>
      </c>
      <c r="G4044" t="str">
        <f t="shared" si="261"/>
        <v>520-86: Wax, Stitching</v>
      </c>
    </row>
    <row r="4045" spans="1:7" x14ac:dyDescent="0.25">
      <c r="A4045" s="1" t="str">
        <f t="shared" si="259"/>
        <v>520</v>
      </c>
      <c r="B4045" s="1" t="str">
        <f>TEXT(88,"00")</f>
        <v>88</v>
      </c>
      <c r="C4045" s="1" t="str">
        <f t="shared" si="260"/>
        <v>520-88</v>
      </c>
      <c r="D4045" t="s">
        <v>4026</v>
      </c>
      <c r="E4045" t="b">
        <f>IF(COUNTIF(D4045,"*"&amp;'Keyword Search'!$C$5&amp;"*"),TRUE,FALSE)</f>
        <v>1</v>
      </c>
      <c r="G4045" t="str">
        <f t="shared" si="261"/>
        <v>520-88: Welting, Shoe</v>
      </c>
    </row>
    <row r="4046" spans="1:7" x14ac:dyDescent="0.25">
      <c r="A4046" s="1" t="str">
        <f t="shared" si="259"/>
        <v>520</v>
      </c>
      <c r="B4046" s="1" t="str">
        <f>TEXT(90,"00")</f>
        <v>90</v>
      </c>
      <c r="C4046" s="1" t="str">
        <f t="shared" si="260"/>
        <v>520-90</v>
      </c>
      <c r="D4046" t="s">
        <v>4027</v>
      </c>
      <c r="E4046" t="b">
        <f>IF(COUNTIF(D4046,"*"&amp;'Keyword Search'!$C$5&amp;"*"),TRUE,FALSE)</f>
        <v>1</v>
      </c>
      <c r="G4046" t="str">
        <f t="shared" si="261"/>
        <v>520-90: Wheel Covers, Cloth, Shoe Manufacturing, (See Class 005 For Abrasives)</v>
      </c>
    </row>
    <row r="4047" spans="1:7" x14ac:dyDescent="0.25">
      <c r="A4047" s="5" t="str">
        <f t="shared" ref="A4047:A4063" si="262">TEXT(525,"000")</f>
        <v>525</v>
      </c>
      <c r="B4047" s="5" t="str">
        <f>TEXT(0,"00")</f>
        <v>00</v>
      </c>
      <c r="C4047" s="1"/>
      <c r="D4047" s="2" t="s">
        <v>4028</v>
      </c>
    </row>
    <row r="4048" spans="1:7" x14ac:dyDescent="0.25">
      <c r="A4048" s="1" t="str">
        <f t="shared" si="262"/>
        <v>525</v>
      </c>
      <c r="B4048" s="1" t="str">
        <f>TEXT(5,"00")</f>
        <v>05</v>
      </c>
      <c r="C4048" s="1" t="str">
        <f t="shared" si="260"/>
        <v>525-05</v>
      </c>
      <c r="D4048" t="s">
        <v>4029</v>
      </c>
      <c r="E4048" t="b">
        <f>IF(COUNTIF(D4048,"*"&amp;'Keyword Search'!$C$5&amp;"*"),TRUE,FALSE)</f>
        <v>1</v>
      </c>
      <c r="G4048" t="str">
        <f t="shared" si="261"/>
        <v>525-05: Archival Storage Materials, Acid Free: Document Cases, Envelopes, File Folders, etc.</v>
      </c>
    </row>
    <row r="4049" spans="1:7" x14ac:dyDescent="0.25">
      <c r="A4049" s="1" t="str">
        <f t="shared" si="262"/>
        <v>525</v>
      </c>
      <c r="B4049" s="1" t="str">
        <f>TEXT(6,"00")</f>
        <v>06</v>
      </c>
      <c r="C4049" s="1" t="str">
        <f t="shared" si="260"/>
        <v>525-06</v>
      </c>
      <c r="D4049" t="s">
        <v>4030</v>
      </c>
      <c r="E4049" t="b">
        <f>IF(COUNTIF(D4049,"*"&amp;'Keyword Search'!$C$5&amp;"*"),TRUE,FALSE)</f>
        <v>1</v>
      </c>
      <c r="G4049" t="str">
        <f t="shared" si="261"/>
        <v>525-06: Automation Equipment, Used to Process or Transport Lending Materials</v>
      </c>
    </row>
    <row r="4050" spans="1:7" x14ac:dyDescent="0.25">
      <c r="A4050" s="1" t="str">
        <f t="shared" si="262"/>
        <v>525</v>
      </c>
      <c r="B4050" s="1" t="str">
        <f>TEXT(10,"00")</f>
        <v>10</v>
      </c>
      <c r="C4050" s="1" t="str">
        <f t="shared" si="260"/>
        <v>525-10</v>
      </c>
      <c r="D4050" t="s">
        <v>4031</v>
      </c>
      <c r="E4050" t="b">
        <f>IF(COUNTIF(D4050,"*"&amp;'Keyword Search'!$C$5&amp;"*"),TRUE,FALSE)</f>
        <v>1</v>
      </c>
      <c r="G4050" t="str">
        <f t="shared" si="261"/>
        <v>525-10: Binders, Covers, Jackets, Protectors, Sticks, etc.: Books, Magazines, Newspapers, Pamphlets, Photographs, etc.</v>
      </c>
    </row>
    <row r="4051" spans="1:7" x14ac:dyDescent="0.25">
      <c r="A4051" s="1" t="str">
        <f t="shared" si="262"/>
        <v>525</v>
      </c>
      <c r="B4051" s="1" t="str">
        <f>TEXT(20,"00")</f>
        <v>20</v>
      </c>
      <c r="C4051" s="1" t="str">
        <f t="shared" si="260"/>
        <v>525-20</v>
      </c>
      <c r="D4051" t="s">
        <v>4032</v>
      </c>
      <c r="E4051" t="b">
        <f>IF(COUNTIF(D4051,"*"&amp;'Keyword Search'!$C$5&amp;"*"),TRUE,FALSE)</f>
        <v>1</v>
      </c>
      <c r="G4051" t="str">
        <f t="shared" si="261"/>
        <v>525-20: Book Cards, Date Slips, Pockets, Protectors, etc.</v>
      </c>
    </row>
    <row r="4052" spans="1:7" x14ac:dyDescent="0.25">
      <c r="A4052" s="1" t="str">
        <f t="shared" si="262"/>
        <v>525</v>
      </c>
      <c r="B4052" s="1" t="str">
        <f>TEXT(25,"00")</f>
        <v>25</v>
      </c>
      <c r="C4052" s="1" t="str">
        <f t="shared" si="260"/>
        <v>525-25</v>
      </c>
      <c r="D4052" t="s">
        <v>4033</v>
      </c>
      <c r="E4052" t="b">
        <f>IF(COUNTIF(D4052,"*"&amp;'Keyword Search'!$C$5&amp;"*"),TRUE,FALSE)</f>
        <v>1</v>
      </c>
      <c r="G4052" t="str">
        <f t="shared" si="261"/>
        <v>525-25: Book Ends, Holders, Supports, etc.</v>
      </c>
    </row>
    <row r="4053" spans="1:7" x14ac:dyDescent="0.25">
      <c r="A4053" s="1" t="str">
        <f t="shared" si="262"/>
        <v>525</v>
      </c>
      <c r="B4053" s="1" t="str">
        <f>TEXT(30,"00")</f>
        <v>30</v>
      </c>
      <c r="C4053" s="1" t="str">
        <f t="shared" si="260"/>
        <v>525-30</v>
      </c>
      <c r="D4053" t="s">
        <v>4034</v>
      </c>
      <c r="E4053" t="b">
        <f>IF(COUNTIF(D4053,"*"&amp;'Keyword Search'!$C$5&amp;"*"),TRUE,FALSE)</f>
        <v>1</v>
      </c>
      <c r="G4053" t="str">
        <f t="shared" si="261"/>
        <v>525-30: Book Mending, Rebinding, and Repairing Supplies (See 590-68 for Binding Tape for Sewing Purposes)</v>
      </c>
    </row>
    <row r="4054" spans="1:7" x14ac:dyDescent="0.25">
      <c r="A4054" s="1" t="str">
        <f t="shared" si="262"/>
        <v>525</v>
      </c>
      <c r="B4054" s="1" t="str">
        <f>TEXT(40,"00")</f>
        <v>40</v>
      </c>
      <c r="C4054" s="1" t="str">
        <f t="shared" si="260"/>
        <v>525-40</v>
      </c>
      <c r="D4054" t="s">
        <v>4035</v>
      </c>
      <c r="E4054" t="b">
        <f>IF(COUNTIF(D4054,"*"&amp;'Keyword Search'!$C$5&amp;"*"),TRUE,FALSE)</f>
        <v>1</v>
      </c>
      <c r="G4054" t="str">
        <f t="shared" si="261"/>
        <v>525-40: Book Security Systems, Equipment, and Supplies</v>
      </c>
    </row>
    <row r="4055" spans="1:7" x14ac:dyDescent="0.25">
      <c r="A4055" s="1" t="str">
        <f t="shared" si="262"/>
        <v>525</v>
      </c>
      <c r="B4055" s="1" t="str">
        <f>TEXT(50,"00")</f>
        <v>50</v>
      </c>
      <c r="C4055" s="1" t="str">
        <f t="shared" si="260"/>
        <v>525-50</v>
      </c>
      <c r="D4055" t="s">
        <v>4036</v>
      </c>
      <c r="E4055" t="b">
        <f>IF(COUNTIF(D4055,"*"&amp;'Keyword Search'!$C$5&amp;"*"),TRUE,FALSE)</f>
        <v>1</v>
      </c>
      <c r="G4055" t="str">
        <f t="shared" si="261"/>
        <v>525-50: Books, Accession</v>
      </c>
    </row>
    <row r="4056" spans="1:7" x14ac:dyDescent="0.25">
      <c r="A4056" s="1" t="str">
        <f t="shared" si="262"/>
        <v>525</v>
      </c>
      <c r="B4056" s="1" t="str">
        <f>TEXT(51,"00")</f>
        <v>51</v>
      </c>
      <c r="C4056" s="1" t="str">
        <f t="shared" si="260"/>
        <v>525-51</v>
      </c>
      <c r="D4056" t="s">
        <v>4037</v>
      </c>
      <c r="E4056" t="b">
        <f>IF(COUNTIF(D4056,"*"&amp;'Keyword Search'!$C$5&amp;"*"),TRUE,FALSE)</f>
        <v>1</v>
      </c>
      <c r="G4056" t="str">
        <f t="shared" si="261"/>
        <v>525-51: Boxes, Drop, Library</v>
      </c>
    </row>
    <row r="4057" spans="1:7" x14ac:dyDescent="0.25">
      <c r="A4057" s="1" t="str">
        <f t="shared" si="262"/>
        <v>525</v>
      </c>
      <c r="B4057" s="1" t="str">
        <f>TEXT(55,"00")</f>
        <v>55</v>
      </c>
      <c r="C4057" s="1" t="str">
        <f t="shared" si="260"/>
        <v>525-55</v>
      </c>
      <c r="D4057" t="s">
        <v>4038</v>
      </c>
      <c r="E4057" t="b">
        <f>IF(COUNTIF(D4057,"*"&amp;'Keyword Search'!$C$5&amp;"*"),TRUE,FALSE)</f>
        <v>1</v>
      </c>
      <c r="G4057" t="str">
        <f t="shared" si="261"/>
        <v>525-55: Daters, Pencil and Band Type; and Supplies</v>
      </c>
    </row>
    <row r="4058" spans="1:7" x14ac:dyDescent="0.25">
      <c r="A4058" s="1" t="str">
        <f t="shared" si="262"/>
        <v>525</v>
      </c>
      <c r="B4058" s="1" t="str">
        <f>TEXT(60,"00")</f>
        <v>60</v>
      </c>
      <c r="C4058" s="1" t="str">
        <f t="shared" si="260"/>
        <v>525-60</v>
      </c>
      <c r="D4058" t="s">
        <v>4039</v>
      </c>
      <c r="E4058" t="b">
        <f>IF(COUNTIF(D4058,"*"&amp;'Keyword Search'!$C$5&amp;"*"),TRUE,FALSE)</f>
        <v>1</v>
      </c>
      <c r="G4058" t="str">
        <f t="shared" si="261"/>
        <v>525-60: Library Catalog Cards and Accessories, Cards, Guides, Protectors, Sorters, Trays, etc.</v>
      </c>
    </row>
    <row r="4059" spans="1:7" x14ac:dyDescent="0.25">
      <c r="A4059" s="1" t="str">
        <f t="shared" si="262"/>
        <v>525</v>
      </c>
      <c r="B4059" s="1" t="str">
        <f>TEXT(65,"00")</f>
        <v>65</v>
      </c>
      <c r="C4059" s="1" t="str">
        <f t="shared" si="260"/>
        <v>525-65</v>
      </c>
      <c r="D4059" t="s">
        <v>4040</v>
      </c>
      <c r="E4059" t="b">
        <f>IF(COUNTIF(D4059,"*"&amp;'Keyword Search'!$C$5&amp;"*"),TRUE,FALSE)</f>
        <v>1</v>
      </c>
      <c r="G4059" t="str">
        <f t="shared" si="261"/>
        <v>525-65: Library Forms, All Kinds: Circulation Record, Continuous, Strip, etc.</v>
      </c>
    </row>
    <row r="4060" spans="1:7" x14ac:dyDescent="0.25">
      <c r="A4060" s="1" t="str">
        <f t="shared" si="262"/>
        <v>525</v>
      </c>
      <c r="B4060" s="1" t="str">
        <f>TEXT(70,"00")</f>
        <v>70</v>
      </c>
      <c r="C4060" s="1" t="str">
        <f t="shared" si="260"/>
        <v>525-70</v>
      </c>
      <c r="D4060" t="s">
        <v>4041</v>
      </c>
      <c r="E4060" t="b">
        <f>IF(COUNTIF(D4060,"*"&amp;'Keyword Search'!$C$5&amp;"*"),TRUE,FALSE)</f>
        <v>1</v>
      </c>
      <c r="G4060" t="str">
        <f t="shared" si="261"/>
        <v>525-70: Library Labeling Supplies: Labels, Letters, Signals, etc.</v>
      </c>
    </row>
    <row r="4061" spans="1:7" x14ac:dyDescent="0.25">
      <c r="A4061" s="1" t="str">
        <f t="shared" si="262"/>
        <v>525</v>
      </c>
      <c r="B4061" s="1" t="str">
        <f>TEXT(75,"00")</f>
        <v>75</v>
      </c>
      <c r="C4061" s="1" t="str">
        <f t="shared" si="260"/>
        <v>525-75</v>
      </c>
      <c r="D4061" t="s">
        <v>4042</v>
      </c>
      <c r="E4061" t="b">
        <f>IF(COUNTIF(D4061,"*"&amp;'Keyword Search'!$C$5&amp;"*"),TRUE,FALSE)</f>
        <v>1</v>
      </c>
      <c r="G4061" t="str">
        <f t="shared" si="261"/>
        <v>525-75: Library Machines: Card Duplicators, Card Master Machines, Charging Machines, Pasting Machines, etc.</v>
      </c>
    </row>
    <row r="4062" spans="1:7" x14ac:dyDescent="0.25">
      <c r="A4062" s="1" t="str">
        <f t="shared" si="262"/>
        <v>525</v>
      </c>
      <c r="B4062" s="1" t="str">
        <f>TEXT(80,"00")</f>
        <v>80</v>
      </c>
      <c r="C4062" s="1" t="str">
        <f t="shared" si="260"/>
        <v>525-80</v>
      </c>
      <c r="D4062" t="s">
        <v>4043</v>
      </c>
      <c r="E4062" t="b">
        <f>IF(COUNTIF(D4062,"*"&amp;'Keyword Search'!$C$5&amp;"*"),TRUE,FALSE)</f>
        <v>1</v>
      </c>
      <c r="G4062" t="str">
        <f t="shared" si="261"/>
        <v>525-80: Library Supplies, Miscellaneous</v>
      </c>
    </row>
    <row r="4063" spans="1:7" x14ac:dyDescent="0.25">
      <c r="A4063" s="1" t="str">
        <f t="shared" si="262"/>
        <v>525</v>
      </c>
      <c r="B4063" s="1" t="str">
        <f>TEXT(95,"00")</f>
        <v>95</v>
      </c>
      <c r="C4063" s="1" t="str">
        <f t="shared" si="260"/>
        <v>525-95</v>
      </c>
      <c r="D4063" t="s">
        <v>4044</v>
      </c>
      <c r="E4063" t="b">
        <f>IF(COUNTIF(D4063,"*"&amp;'Keyword Search'!$C$5&amp;"*"),TRUE,FALSE)</f>
        <v>1</v>
      </c>
      <c r="G4063" t="str">
        <f t="shared" si="261"/>
        <v>525-95: Recycled Library Books, Equipment and Supplies</v>
      </c>
    </row>
    <row r="4064" spans="1:7" x14ac:dyDescent="0.25">
      <c r="A4064" s="5" t="str">
        <f t="shared" ref="A4064:A4075" si="263">TEXT(530,"000")</f>
        <v>530</v>
      </c>
      <c r="B4064" s="5" t="str">
        <f>TEXT(0,"00")</f>
        <v>00</v>
      </c>
      <c r="C4064" s="1"/>
      <c r="D4064" s="2" t="s">
        <v>4045</v>
      </c>
    </row>
    <row r="4065" spans="1:7" x14ac:dyDescent="0.25">
      <c r="A4065" s="1" t="str">
        <f t="shared" si="263"/>
        <v>530</v>
      </c>
      <c r="B4065" s="1" t="str">
        <f>TEXT(15,"00")</f>
        <v>15</v>
      </c>
      <c r="C4065" s="1" t="str">
        <f t="shared" si="260"/>
        <v>530-15</v>
      </c>
      <c r="D4065" t="s">
        <v>4046</v>
      </c>
      <c r="E4065" t="b">
        <f>IF(COUNTIF(D4065,"*"&amp;'Keyword Search'!$C$5&amp;"*"),TRUE,FALSE)</f>
        <v>1</v>
      </c>
      <c r="G4065" t="str">
        <f t="shared" si="261"/>
        <v>530-15: Attache Cases</v>
      </c>
    </row>
    <row r="4066" spans="1:7" x14ac:dyDescent="0.25">
      <c r="A4066" s="1" t="str">
        <f t="shared" si="263"/>
        <v>530</v>
      </c>
      <c r="B4066" s="1" t="str">
        <f>TEXT(25,"00")</f>
        <v>25</v>
      </c>
      <c r="C4066" s="1" t="str">
        <f t="shared" si="260"/>
        <v>530-25</v>
      </c>
      <c r="D4066" t="s">
        <v>4047</v>
      </c>
      <c r="E4066" t="b">
        <f>IF(COUNTIF(D4066,"*"&amp;'Keyword Search'!$C$5&amp;"*"),TRUE,FALSE)</f>
        <v>1</v>
      </c>
      <c r="G4066" t="str">
        <f t="shared" si="261"/>
        <v>530-25: Back and Fanny Packs</v>
      </c>
    </row>
    <row r="4067" spans="1:7" x14ac:dyDescent="0.25">
      <c r="A4067" s="1" t="str">
        <f t="shared" si="263"/>
        <v>530</v>
      </c>
      <c r="B4067" s="1" t="str">
        <f>TEXT(30,"00")</f>
        <v>30</v>
      </c>
      <c r="C4067" s="1" t="str">
        <f t="shared" si="260"/>
        <v>530-30</v>
      </c>
      <c r="D4067" t="s">
        <v>4048</v>
      </c>
      <c r="E4067" t="b">
        <f>IF(COUNTIF(D4067,"*"&amp;'Keyword Search'!$C$5&amp;"*"),TRUE,FALSE)</f>
        <v>1</v>
      </c>
      <c r="G4067" t="str">
        <f t="shared" si="261"/>
        <v>530-30: Brief Cases, Brief Bags, and Portfolios</v>
      </c>
    </row>
    <row r="4068" spans="1:7" x14ac:dyDescent="0.25">
      <c r="A4068" s="1" t="str">
        <f t="shared" si="263"/>
        <v>530</v>
      </c>
      <c r="B4068" s="1" t="str">
        <f>TEXT(39,"00")</f>
        <v>39</v>
      </c>
      <c r="C4068" s="1" t="str">
        <f t="shared" si="260"/>
        <v>530-39</v>
      </c>
      <c r="D4068" t="s">
        <v>4049</v>
      </c>
      <c r="E4068" t="b">
        <f>IF(COUNTIF(D4068,"*"&amp;'Keyword Search'!$C$5&amp;"*"),TRUE,FALSE)</f>
        <v>1</v>
      </c>
      <c r="G4068" t="str">
        <f t="shared" si="261"/>
        <v>530-39: Business and Credit Card Holders, Binders, Folders, etc.</v>
      </c>
    </row>
    <row r="4069" spans="1:7" x14ac:dyDescent="0.25">
      <c r="A4069" s="1" t="str">
        <f t="shared" si="263"/>
        <v>530</v>
      </c>
      <c r="B4069" s="1" t="str">
        <f>TEXT(45,"00")</f>
        <v>45</v>
      </c>
      <c r="C4069" s="1" t="str">
        <f t="shared" si="260"/>
        <v>530-45</v>
      </c>
      <c r="D4069" t="s">
        <v>4050</v>
      </c>
      <c r="E4069" t="b">
        <f>IF(COUNTIF(D4069,"*"&amp;'Keyword Search'!$C$5&amp;"*"),TRUE,FALSE)</f>
        <v>1</v>
      </c>
      <c r="G4069" t="str">
        <f t="shared" si="261"/>
        <v>530-45: Cases, Catalog, ID Card, Salesman's and Special</v>
      </c>
    </row>
    <row r="4070" spans="1:7" x14ac:dyDescent="0.25">
      <c r="A4070" s="1" t="str">
        <f t="shared" si="263"/>
        <v>530</v>
      </c>
      <c r="B4070" s="1" t="str">
        <f>TEXT(46,"00")</f>
        <v>46</v>
      </c>
      <c r="C4070" s="1" t="str">
        <f t="shared" si="260"/>
        <v>530-46</v>
      </c>
      <c r="D4070" t="s">
        <v>4051</v>
      </c>
      <c r="E4070" t="b">
        <f>IF(COUNTIF(D4070,"*"&amp;'Keyword Search'!$C$5&amp;"*"),TRUE,FALSE)</f>
        <v>1</v>
      </c>
      <c r="G4070" t="str">
        <f t="shared" si="261"/>
        <v>530-46: Cases, Computer, Tablets, Notebooks, MP3 Players etc.</v>
      </c>
    </row>
    <row r="4071" spans="1:7" x14ac:dyDescent="0.25">
      <c r="A4071" s="1" t="str">
        <f t="shared" si="263"/>
        <v>530</v>
      </c>
      <c r="B4071" s="1" t="str">
        <f>TEXT(50,"00")</f>
        <v>50</v>
      </c>
      <c r="C4071" s="1" t="str">
        <f t="shared" si="260"/>
        <v>530-50</v>
      </c>
      <c r="D4071" t="s">
        <v>4052</v>
      </c>
      <c r="E4071" t="b">
        <f>IF(COUNTIF(D4071,"*"&amp;'Keyword Search'!$C$5&amp;"*"),TRUE,FALSE)</f>
        <v>1</v>
      </c>
      <c r="G4071" t="str">
        <f t="shared" si="261"/>
        <v>530-50: Duffle and Tote Bags</v>
      </c>
    </row>
    <row r="4072" spans="1:7" x14ac:dyDescent="0.25">
      <c r="A4072" s="1" t="str">
        <f t="shared" si="263"/>
        <v>530</v>
      </c>
      <c r="B4072" s="1" t="str">
        <f>TEXT(60,"00")</f>
        <v>60</v>
      </c>
      <c r="C4072" s="1" t="str">
        <f t="shared" si="260"/>
        <v>530-60</v>
      </c>
      <c r="D4072" t="s">
        <v>4053</v>
      </c>
      <c r="E4072" t="b">
        <f>IF(COUNTIF(D4072,"*"&amp;'Keyword Search'!$C$5&amp;"*"),TRUE,FALSE)</f>
        <v>1</v>
      </c>
      <c r="G4072" t="str">
        <f t="shared" si="261"/>
        <v>530-60: Luggage and Trunks</v>
      </c>
    </row>
    <row r="4073" spans="1:7" x14ac:dyDescent="0.25">
      <c r="A4073" s="1" t="str">
        <f t="shared" si="263"/>
        <v>530</v>
      </c>
      <c r="B4073" s="1" t="str">
        <f>TEXT(65,"00")</f>
        <v>65</v>
      </c>
      <c r="C4073" s="1" t="str">
        <f t="shared" si="260"/>
        <v>530-65</v>
      </c>
      <c r="D4073" t="s">
        <v>4054</v>
      </c>
      <c r="E4073" t="b">
        <f>IF(COUNTIF(D4073,"*"&amp;'Keyword Search'!$C$5&amp;"*"),TRUE,FALSE)</f>
        <v>1</v>
      </c>
      <c r="G4073" t="str">
        <f t="shared" si="261"/>
        <v>530-65: Purses, Wallets, Key Cases, etc.</v>
      </c>
    </row>
    <row r="4074" spans="1:7" x14ac:dyDescent="0.25">
      <c r="A4074" s="1" t="str">
        <f t="shared" si="263"/>
        <v>530</v>
      </c>
      <c r="B4074" s="1" t="str">
        <f>TEXT(68,"00")</f>
        <v>68</v>
      </c>
      <c r="C4074" s="1" t="str">
        <f t="shared" si="260"/>
        <v>530-68</v>
      </c>
      <c r="D4074" t="s">
        <v>4055</v>
      </c>
      <c r="E4074" t="b">
        <f>IF(COUNTIF(D4074,"*"&amp;'Keyword Search'!$C$5&amp;"*"),TRUE,FALSE)</f>
        <v>1</v>
      </c>
      <c r="G4074" t="str">
        <f t="shared" si="261"/>
        <v>530-68: Recycled Luggage, Brief Cases, and Purses</v>
      </c>
    </row>
    <row r="4075" spans="1:7" x14ac:dyDescent="0.25">
      <c r="A4075" s="1" t="str">
        <f t="shared" si="263"/>
        <v>530</v>
      </c>
      <c r="B4075" s="1" t="str">
        <f>TEXT(75,"00")</f>
        <v>75</v>
      </c>
      <c r="C4075" s="1" t="str">
        <f t="shared" si="260"/>
        <v>530-75</v>
      </c>
      <c r="D4075" t="s">
        <v>4056</v>
      </c>
      <c r="E4075" t="b">
        <f>IF(COUNTIF(D4075,"*"&amp;'Keyword Search'!$C$5&amp;"*"),TRUE,FALSE)</f>
        <v>1</v>
      </c>
      <c r="G4075" t="str">
        <f t="shared" si="261"/>
        <v>530-75: Travel Kits and Accessories</v>
      </c>
    </row>
    <row r="4076" spans="1:7" x14ac:dyDescent="0.25">
      <c r="A4076" s="5" t="str">
        <f t="shared" ref="A4076:A4127" si="264">TEXT(540,"000")</f>
        <v>540</v>
      </c>
      <c r="B4076" s="5" t="str">
        <f>TEXT(0,"00")</f>
        <v>00</v>
      </c>
      <c r="C4076" s="1"/>
      <c r="D4076" s="2" t="s">
        <v>4057</v>
      </c>
    </row>
    <row r="4077" spans="1:7" x14ac:dyDescent="0.25">
      <c r="A4077" s="1" t="str">
        <f t="shared" si="264"/>
        <v>540</v>
      </c>
      <c r="B4077" s="1" t="str">
        <f>TEXT(5,"00")</f>
        <v>05</v>
      </c>
      <c r="C4077" s="1" t="str">
        <f t="shared" si="260"/>
        <v>540-05</v>
      </c>
      <c r="D4077" t="s">
        <v>4058</v>
      </c>
      <c r="E4077" t="b">
        <f>IF(COUNTIF(D4077,"*"&amp;'Keyword Search'!$C$5&amp;"*"),TRUE,FALSE)</f>
        <v>1</v>
      </c>
      <c r="G4077" t="str">
        <f t="shared" si="261"/>
        <v>540-05: Asbestos Sheets, All Types, Except Insulation and Roofing</v>
      </c>
    </row>
    <row r="4078" spans="1:7" x14ac:dyDescent="0.25">
      <c r="A4078" s="1" t="str">
        <f t="shared" si="264"/>
        <v>540</v>
      </c>
      <c r="B4078" s="1" t="str">
        <f>TEXT(8,"00")</f>
        <v>08</v>
      </c>
      <c r="C4078" s="1" t="str">
        <f t="shared" si="260"/>
        <v>540-08</v>
      </c>
      <c r="D4078" t="s">
        <v>4059</v>
      </c>
      <c r="E4078" t="b">
        <f>IF(COUNTIF(D4078,"*"&amp;'Keyword Search'!$C$5&amp;"*"),TRUE,FALSE)</f>
        <v>1</v>
      </c>
      <c r="G4078" t="str">
        <f t="shared" si="261"/>
        <v>540-08: Asbestos Siding, Flat</v>
      </c>
    </row>
    <row r="4079" spans="1:7" x14ac:dyDescent="0.25">
      <c r="A4079" s="1" t="str">
        <f t="shared" si="264"/>
        <v>540</v>
      </c>
      <c r="B4079" s="1" t="str">
        <f>TEXT(9,"00")</f>
        <v>09</v>
      </c>
      <c r="C4079" s="1" t="str">
        <f t="shared" si="260"/>
        <v>540-09</v>
      </c>
      <c r="D4079" t="s">
        <v>4060</v>
      </c>
      <c r="E4079" t="b">
        <f>IF(COUNTIF(D4079,"*"&amp;'Keyword Search'!$C$5&amp;"*"),TRUE,FALSE)</f>
        <v>1</v>
      </c>
      <c r="G4079" t="str">
        <f t="shared" si="261"/>
        <v>540-09: Blocking Wood</v>
      </c>
    </row>
    <row r="4080" spans="1:7" x14ac:dyDescent="0.25">
      <c r="A4080" s="1" t="str">
        <f t="shared" si="264"/>
        <v>540</v>
      </c>
      <c r="B4080" s="1" t="str">
        <f>TEXT(10,"00")</f>
        <v>10</v>
      </c>
      <c r="C4080" s="1" t="str">
        <f t="shared" si="260"/>
        <v>540-10</v>
      </c>
      <c r="D4080" t="s">
        <v>4061</v>
      </c>
      <c r="E4080" t="b">
        <f>IF(COUNTIF(D4080,"*"&amp;'Keyword Search'!$C$5&amp;"*"),TRUE,FALSE)</f>
        <v>1</v>
      </c>
      <c r="G4080" t="str">
        <f t="shared" si="261"/>
        <v>540-10: Bridge Timbers and Railroad Ties, Treated</v>
      </c>
    </row>
    <row r="4081" spans="1:7" x14ac:dyDescent="0.25">
      <c r="A4081" s="1" t="str">
        <f t="shared" si="264"/>
        <v>540</v>
      </c>
      <c r="B4081" s="1" t="str">
        <f>TEXT(11,"00")</f>
        <v>11</v>
      </c>
      <c r="C4081" s="1" t="str">
        <f t="shared" si="260"/>
        <v>540-11</v>
      </c>
      <c r="D4081" t="s">
        <v>4062</v>
      </c>
      <c r="E4081" t="b">
        <f>IF(COUNTIF(D4081,"*"&amp;'Keyword Search'!$C$5&amp;"*"),TRUE,FALSE)</f>
        <v>1</v>
      </c>
      <c r="G4081" t="str">
        <f t="shared" si="261"/>
        <v>540-11: Fiberboard, Medium Density (MDF)</v>
      </c>
    </row>
    <row r="4082" spans="1:7" x14ac:dyDescent="0.25">
      <c r="A4082" s="1" t="str">
        <f t="shared" si="264"/>
        <v>540</v>
      </c>
      <c r="B4082" s="1" t="str">
        <f>TEXT(12,"00")</f>
        <v>12</v>
      </c>
      <c r="C4082" s="1" t="str">
        <f t="shared" si="260"/>
        <v>540-12</v>
      </c>
      <c r="D4082" t="s">
        <v>4063</v>
      </c>
      <c r="E4082" t="b">
        <f>IF(COUNTIF(D4082,"*"&amp;'Keyword Search'!$C$5&amp;"*"),TRUE,FALSE)</f>
        <v>1</v>
      </c>
      <c r="G4082" t="str">
        <f t="shared" si="261"/>
        <v>540-12: Forms, Wood (See 210-13 and 755-73 for Concrete Forms)</v>
      </c>
    </row>
    <row r="4083" spans="1:7" x14ac:dyDescent="0.25">
      <c r="A4083" s="1" t="str">
        <f t="shared" si="264"/>
        <v>540</v>
      </c>
      <c r="B4083" s="1" t="str">
        <f>TEXT(14,"00")</f>
        <v>14</v>
      </c>
      <c r="C4083" s="1" t="str">
        <f t="shared" si="260"/>
        <v>540-14</v>
      </c>
      <c r="D4083" t="s">
        <v>4064</v>
      </c>
      <c r="E4083" t="b">
        <f>IF(COUNTIF(D4083,"*"&amp;'Keyword Search'!$C$5&amp;"*"),TRUE,FALSE)</f>
        <v>1</v>
      </c>
      <c r="G4083" t="str">
        <f t="shared" si="261"/>
        <v>540-14: Lumber, Cedar</v>
      </c>
    </row>
    <row r="4084" spans="1:7" x14ac:dyDescent="0.25">
      <c r="A4084" s="1" t="str">
        <f t="shared" si="264"/>
        <v>540</v>
      </c>
      <c r="B4084" s="1" t="str">
        <f>TEXT(17,"00")</f>
        <v>17</v>
      </c>
      <c r="C4084" s="1" t="str">
        <f t="shared" si="260"/>
        <v>540-17</v>
      </c>
      <c r="D4084" t="s">
        <v>4065</v>
      </c>
      <c r="E4084" t="b">
        <f>IF(COUNTIF(D4084,"*"&amp;'Keyword Search'!$C$5&amp;"*"),TRUE,FALSE)</f>
        <v>1</v>
      </c>
      <c r="G4084" t="str">
        <f t="shared" si="261"/>
        <v>540-17: Lumber, Cypress</v>
      </c>
    </row>
    <row r="4085" spans="1:7" x14ac:dyDescent="0.25">
      <c r="A4085" s="1" t="str">
        <f t="shared" si="264"/>
        <v>540</v>
      </c>
      <c r="B4085" s="1" t="str">
        <f>TEXT(20,"00")</f>
        <v>20</v>
      </c>
      <c r="C4085" s="1" t="str">
        <f t="shared" si="260"/>
        <v>540-20</v>
      </c>
      <c r="D4085" t="s">
        <v>4066</v>
      </c>
      <c r="E4085" t="b">
        <f>IF(COUNTIF(D4085,"*"&amp;'Keyword Search'!$C$5&amp;"*"),TRUE,FALSE)</f>
        <v>1</v>
      </c>
      <c r="G4085" t="str">
        <f t="shared" si="261"/>
        <v>540-20: Lumber, Fir</v>
      </c>
    </row>
    <row r="4086" spans="1:7" x14ac:dyDescent="0.25">
      <c r="A4086" s="1" t="str">
        <f t="shared" si="264"/>
        <v>540</v>
      </c>
      <c r="B4086" s="1" t="str">
        <f>TEXT(23,"00")</f>
        <v>23</v>
      </c>
      <c r="C4086" s="1" t="str">
        <f t="shared" si="260"/>
        <v>540-23</v>
      </c>
      <c r="D4086" t="s">
        <v>4067</v>
      </c>
      <c r="E4086" t="b">
        <f>IF(COUNTIF(D4086,"*"&amp;'Keyword Search'!$C$5&amp;"*"),TRUE,FALSE)</f>
        <v>1</v>
      </c>
      <c r="G4086" t="str">
        <f t="shared" si="261"/>
        <v>540-23: Lumber, Hardwood, All Kinds</v>
      </c>
    </row>
    <row r="4087" spans="1:7" x14ac:dyDescent="0.25">
      <c r="A4087" s="1" t="str">
        <f t="shared" si="264"/>
        <v>540</v>
      </c>
      <c r="B4087" s="1" t="str">
        <f>TEXT(26,"00")</f>
        <v>26</v>
      </c>
      <c r="C4087" s="1" t="str">
        <f t="shared" si="260"/>
        <v>540-26</v>
      </c>
      <c r="D4087" t="s">
        <v>4068</v>
      </c>
      <c r="E4087" t="b">
        <f>IF(COUNTIF(D4087,"*"&amp;'Keyword Search'!$C$5&amp;"*"),TRUE,FALSE)</f>
        <v>1</v>
      </c>
      <c r="G4087" t="str">
        <f t="shared" si="261"/>
        <v>540-26: Lumber, Parana Pine</v>
      </c>
    </row>
    <row r="4088" spans="1:7" x14ac:dyDescent="0.25">
      <c r="A4088" s="1" t="str">
        <f t="shared" si="264"/>
        <v>540</v>
      </c>
      <c r="B4088" s="1" t="str">
        <f>TEXT(29,"00")</f>
        <v>29</v>
      </c>
      <c r="C4088" s="1" t="str">
        <f t="shared" si="260"/>
        <v>540-29</v>
      </c>
      <c r="D4088" t="s">
        <v>4069</v>
      </c>
      <c r="E4088" t="b">
        <f>IF(COUNTIF(D4088,"*"&amp;'Keyword Search'!$C$5&amp;"*"),TRUE,FALSE)</f>
        <v>1</v>
      </c>
      <c r="G4088" t="str">
        <f t="shared" si="261"/>
        <v>540-29: Lumber, Poplar and Willow</v>
      </c>
    </row>
    <row r="4089" spans="1:7" x14ac:dyDescent="0.25">
      <c r="A4089" s="1" t="str">
        <f t="shared" si="264"/>
        <v>540</v>
      </c>
      <c r="B4089" s="1" t="str">
        <f>TEXT(32,"00")</f>
        <v>32</v>
      </c>
      <c r="C4089" s="1" t="str">
        <f t="shared" si="260"/>
        <v>540-32</v>
      </c>
      <c r="D4089" t="s">
        <v>4070</v>
      </c>
      <c r="E4089" t="b">
        <f>IF(COUNTIF(D4089,"*"&amp;'Keyword Search'!$C$5&amp;"*"),TRUE,FALSE)</f>
        <v>1</v>
      </c>
      <c r="G4089" t="str">
        <f t="shared" si="261"/>
        <v>540-32: Lumber, Redwood</v>
      </c>
    </row>
    <row r="4090" spans="1:7" x14ac:dyDescent="0.25">
      <c r="A4090" s="1" t="str">
        <f t="shared" si="264"/>
        <v>540</v>
      </c>
      <c r="B4090" s="1" t="str">
        <f>TEXT(34,"00")</f>
        <v>34</v>
      </c>
      <c r="C4090" s="1" t="str">
        <f t="shared" si="260"/>
        <v>540-34</v>
      </c>
      <c r="D4090" t="s">
        <v>4071</v>
      </c>
      <c r="E4090" t="b">
        <f>IF(COUNTIF(D4090,"*"&amp;'Keyword Search'!$C$5&amp;"*"),TRUE,FALSE)</f>
        <v>1</v>
      </c>
      <c r="G4090" t="str">
        <f t="shared" si="261"/>
        <v>540-34: Lumber, Softwood (SPF)</v>
      </c>
    </row>
    <row r="4091" spans="1:7" x14ac:dyDescent="0.25">
      <c r="A4091" s="1" t="str">
        <f t="shared" si="264"/>
        <v>540</v>
      </c>
      <c r="B4091" s="1" t="str">
        <f>TEXT(35,"00")</f>
        <v>35</v>
      </c>
      <c r="C4091" s="1" t="str">
        <f t="shared" si="260"/>
        <v>540-35</v>
      </c>
      <c r="D4091" t="s">
        <v>4072</v>
      </c>
      <c r="E4091" t="b">
        <f>IF(COUNTIF(D4091,"*"&amp;'Keyword Search'!$C$5&amp;"*"),TRUE,FALSE)</f>
        <v>1</v>
      </c>
      <c r="G4091" t="str">
        <f t="shared" si="261"/>
        <v>540-35: Lumber, Southern Pine, Laminated Structural Type</v>
      </c>
    </row>
    <row r="4092" spans="1:7" x14ac:dyDescent="0.25">
      <c r="A4092" s="1" t="str">
        <f t="shared" si="264"/>
        <v>540</v>
      </c>
      <c r="B4092" s="1" t="str">
        <f>TEXT(41,"00")</f>
        <v>41</v>
      </c>
      <c r="C4092" s="1" t="str">
        <f t="shared" si="260"/>
        <v>540-41</v>
      </c>
      <c r="D4092" t="s">
        <v>4073</v>
      </c>
      <c r="E4092" t="b">
        <f>IF(COUNTIF(D4092,"*"&amp;'Keyword Search'!$C$5&amp;"*"),TRUE,FALSE)</f>
        <v>1</v>
      </c>
      <c r="G4092" t="str">
        <f t="shared" si="261"/>
        <v>540-41: Lumber, Treated: Creosote, Penta, Wolmanized, etc.</v>
      </c>
    </row>
    <row r="4093" spans="1:7" x14ac:dyDescent="0.25">
      <c r="A4093" s="1" t="str">
        <f t="shared" si="264"/>
        <v>540</v>
      </c>
      <c r="B4093" s="1" t="str">
        <f>TEXT(42,"00")</f>
        <v>42</v>
      </c>
      <c r="C4093" s="1" t="str">
        <f t="shared" si="260"/>
        <v>540-42</v>
      </c>
      <c r="D4093" t="s">
        <v>4074</v>
      </c>
      <c r="E4093" t="b">
        <f>IF(COUNTIF(D4093,"*"&amp;'Keyword Search'!$C$5&amp;"*"),TRUE,FALSE)</f>
        <v>1</v>
      </c>
      <c r="G4093" t="str">
        <f t="shared" si="261"/>
        <v>540-42: Lumber, Treated: Fire Retardant</v>
      </c>
    </row>
    <row r="4094" spans="1:7" x14ac:dyDescent="0.25">
      <c r="A4094" s="1" t="str">
        <f t="shared" si="264"/>
        <v>540</v>
      </c>
      <c r="B4094" s="1" t="str">
        <f>TEXT(43,"00")</f>
        <v>43</v>
      </c>
      <c r="C4094" s="1" t="str">
        <f t="shared" si="260"/>
        <v>540-43</v>
      </c>
      <c r="D4094" t="s">
        <v>4075</v>
      </c>
      <c r="E4094" t="b">
        <f>IF(COUNTIF(D4094,"*"&amp;'Keyword Search'!$C$5&amp;"*"),TRUE,FALSE)</f>
        <v>1</v>
      </c>
      <c r="G4094" t="str">
        <f t="shared" si="261"/>
        <v>540-43: Lumber, Walnut</v>
      </c>
    </row>
    <row r="4095" spans="1:7" x14ac:dyDescent="0.25">
      <c r="A4095" s="1" t="str">
        <f t="shared" si="264"/>
        <v>540</v>
      </c>
      <c r="B4095" s="1" t="str">
        <f>TEXT(44,"00")</f>
        <v>44</v>
      </c>
      <c r="C4095" s="1" t="str">
        <f t="shared" si="260"/>
        <v>540-44</v>
      </c>
      <c r="D4095" t="s">
        <v>4076</v>
      </c>
      <c r="E4095" t="b">
        <f>IF(COUNTIF(D4095,"*"&amp;'Keyword Search'!$C$5&amp;"*"),TRUE,FALSE)</f>
        <v>1</v>
      </c>
      <c r="G4095" t="str">
        <f t="shared" si="261"/>
        <v>540-44: Lumber, White Pine, Including Ponderosa Pine</v>
      </c>
    </row>
    <row r="4096" spans="1:7" x14ac:dyDescent="0.25">
      <c r="A4096" s="1" t="str">
        <f t="shared" si="264"/>
        <v>540</v>
      </c>
      <c r="B4096" s="1" t="str">
        <f>TEXT(47,"00")</f>
        <v>47</v>
      </c>
      <c r="C4096" s="1" t="str">
        <f t="shared" si="260"/>
        <v>540-47</v>
      </c>
      <c r="D4096" t="s">
        <v>4077</v>
      </c>
      <c r="E4096" t="b">
        <f>IF(COUNTIF(D4096,"*"&amp;'Keyword Search'!$C$5&amp;"*"),TRUE,FALSE)</f>
        <v>1</v>
      </c>
      <c r="G4096" t="str">
        <f t="shared" si="261"/>
        <v>540-47: Lumber, Yellow Pine</v>
      </c>
    </row>
    <row r="4097" spans="1:7" x14ac:dyDescent="0.25">
      <c r="A4097" s="1" t="str">
        <f t="shared" si="264"/>
        <v>540</v>
      </c>
      <c r="B4097" s="1" t="str">
        <f>TEXT(49,"00")</f>
        <v>49</v>
      </c>
      <c r="C4097" s="1" t="str">
        <f t="shared" si="260"/>
        <v>540-49</v>
      </c>
      <c r="D4097" t="s">
        <v>4078</v>
      </c>
      <c r="E4097" t="b">
        <f>IF(COUNTIF(D4097,"*"&amp;'Keyword Search'!$C$5&amp;"*"),TRUE,FALSE)</f>
        <v>1</v>
      </c>
      <c r="G4097" t="str">
        <f t="shared" si="261"/>
        <v>540-49: Oriented Strand Board (OSB, Wafer Board)</v>
      </c>
    </row>
    <row r="4098" spans="1:7" x14ac:dyDescent="0.25">
      <c r="A4098" s="1" t="str">
        <f t="shared" si="264"/>
        <v>540</v>
      </c>
      <c r="B4098" s="1" t="str">
        <f>TEXT(50,"00")</f>
        <v>50</v>
      </c>
      <c r="C4098" s="1" t="str">
        <f t="shared" si="260"/>
        <v>540-50</v>
      </c>
      <c r="D4098" t="s">
        <v>4079</v>
      </c>
      <c r="E4098" t="b">
        <f>IF(COUNTIF(D4098,"*"&amp;'Keyword Search'!$C$5&amp;"*"),TRUE,FALSE)</f>
        <v>1</v>
      </c>
      <c r="G4098" t="str">
        <f t="shared" si="261"/>
        <v>540-50: Particleboard, All Types</v>
      </c>
    </row>
    <row r="4099" spans="1:7" x14ac:dyDescent="0.25">
      <c r="A4099" s="1" t="str">
        <f t="shared" si="264"/>
        <v>540</v>
      </c>
      <c r="B4099" s="1" t="str">
        <f>TEXT(52,"00")</f>
        <v>52</v>
      </c>
      <c r="C4099" s="1" t="str">
        <f t="shared" ref="C4099:C4162" si="265">CONCATENATE(A4099,"-",B4099)</f>
        <v>540-52</v>
      </c>
      <c r="D4099" t="s">
        <v>4080</v>
      </c>
      <c r="E4099" t="b">
        <f>IF(COUNTIF(D4099,"*"&amp;'Keyword Search'!$C$5&amp;"*"),TRUE,FALSE)</f>
        <v>1</v>
      </c>
      <c r="G4099" t="str">
        <f t="shared" si="261"/>
        <v>540-52: Lumber, Plastic, and Related Products</v>
      </c>
    </row>
    <row r="4100" spans="1:7" x14ac:dyDescent="0.25">
      <c r="A4100" s="1" t="str">
        <f t="shared" si="264"/>
        <v>540</v>
      </c>
      <c r="B4100" s="1" t="str">
        <f>TEXT(53,"00")</f>
        <v>53</v>
      </c>
      <c r="C4100" s="1" t="str">
        <f t="shared" si="265"/>
        <v>540-53</v>
      </c>
      <c r="D4100" t="s">
        <v>4081</v>
      </c>
      <c r="E4100" t="b">
        <f>IF(COUNTIF(D4100,"*"&amp;'Keyword Search'!$C$5&amp;"*"),TRUE,FALSE)</f>
        <v>1</v>
      </c>
      <c r="G4100" t="str">
        <f t="shared" ref="G4100:G4163" si="266">CONCATENATE(C4100,": ",D4100)</f>
        <v>540-53: Pressed Paper Sheets</v>
      </c>
    </row>
    <row r="4101" spans="1:7" x14ac:dyDescent="0.25">
      <c r="A4101" s="1" t="str">
        <f t="shared" si="264"/>
        <v>540</v>
      </c>
      <c r="B4101" s="1" t="str">
        <f>TEXT(56,"00")</f>
        <v>56</v>
      </c>
      <c r="C4101" s="1" t="str">
        <f t="shared" si="265"/>
        <v>540-56</v>
      </c>
      <c r="D4101" t="s">
        <v>4082</v>
      </c>
      <c r="E4101" t="b">
        <f>IF(COUNTIF(D4101,"*"&amp;'Keyword Search'!$C$5&amp;"*"),TRUE,FALSE)</f>
        <v>1</v>
      </c>
      <c r="G4101" t="str">
        <f t="shared" si="266"/>
        <v>540-56: Pressed Wood Sheets: Masonite, etc.</v>
      </c>
    </row>
    <row r="4102" spans="1:7" x14ac:dyDescent="0.25">
      <c r="A4102" s="1" t="str">
        <f t="shared" si="264"/>
        <v>540</v>
      </c>
      <c r="B4102" s="1" t="str">
        <f>TEXT(57,"00")</f>
        <v>57</v>
      </c>
      <c r="C4102" s="1" t="str">
        <f t="shared" si="265"/>
        <v>540-57</v>
      </c>
      <c r="D4102" t="s">
        <v>4083</v>
      </c>
      <c r="E4102" t="b">
        <f>IF(COUNTIF(D4102,"*"&amp;'Keyword Search'!$C$5&amp;"*"),TRUE,FALSE)</f>
        <v>1</v>
      </c>
      <c r="G4102" t="str">
        <f t="shared" si="266"/>
        <v>540-57: Pilings, Treated</v>
      </c>
    </row>
    <row r="4103" spans="1:7" x14ac:dyDescent="0.25">
      <c r="A4103" s="1" t="str">
        <f t="shared" si="264"/>
        <v>540</v>
      </c>
      <c r="B4103" s="1" t="str">
        <f>TEXT(58,"00")</f>
        <v>58</v>
      </c>
      <c r="C4103" s="1" t="str">
        <f t="shared" si="265"/>
        <v>540-58</v>
      </c>
      <c r="D4103" t="s">
        <v>4084</v>
      </c>
      <c r="E4103" t="b">
        <f>IF(COUNTIF(D4103,"*"&amp;'Keyword Search'!$C$5&amp;"*"),TRUE,FALSE)</f>
        <v>1</v>
      </c>
      <c r="G4103" t="str">
        <f t="shared" si="266"/>
        <v>540-58: Pipe Sticks, Wooden</v>
      </c>
    </row>
    <row r="4104" spans="1:7" x14ac:dyDescent="0.25">
      <c r="A4104" s="1" t="str">
        <f t="shared" si="264"/>
        <v>540</v>
      </c>
      <c r="B4104" s="1" t="str">
        <f>TEXT(59,"00")</f>
        <v>59</v>
      </c>
      <c r="C4104" s="1" t="str">
        <f t="shared" si="265"/>
        <v>540-59</v>
      </c>
      <c r="D4104" t="s">
        <v>4085</v>
      </c>
      <c r="E4104" t="b">
        <f>IF(COUNTIF(D4104,"*"&amp;'Keyword Search'!$C$5&amp;"*"),TRUE,FALSE)</f>
        <v>1</v>
      </c>
      <c r="G4104" t="str">
        <f t="shared" si="266"/>
        <v>540-59: Plywood, Softwood (SPF)</v>
      </c>
    </row>
    <row r="4105" spans="1:7" x14ac:dyDescent="0.25">
      <c r="A4105" s="1" t="str">
        <f t="shared" si="264"/>
        <v>540</v>
      </c>
      <c r="B4105" s="1" t="str">
        <f>TEXT(62,"00")</f>
        <v>62</v>
      </c>
      <c r="C4105" s="1" t="str">
        <f t="shared" si="265"/>
        <v>540-62</v>
      </c>
      <c r="D4105" t="s">
        <v>4086</v>
      </c>
      <c r="E4105" t="b">
        <f>IF(COUNTIF(D4105,"*"&amp;'Keyword Search'!$C$5&amp;"*"),TRUE,FALSE)</f>
        <v>1</v>
      </c>
      <c r="G4105" t="str">
        <f t="shared" si="266"/>
        <v>540-62: Plywood, Hardwood Type, Except Decorative and Plastic Faced</v>
      </c>
    </row>
    <row r="4106" spans="1:7" x14ac:dyDescent="0.25">
      <c r="A4106" s="1" t="str">
        <f t="shared" si="264"/>
        <v>540</v>
      </c>
      <c r="B4106" s="1" t="str">
        <f>TEXT(65,"00")</f>
        <v>65</v>
      </c>
      <c r="C4106" s="1" t="str">
        <f t="shared" si="265"/>
        <v>540-65</v>
      </c>
      <c r="D4106" t="s">
        <v>4087</v>
      </c>
      <c r="E4106" t="b">
        <f>IF(COUNTIF(D4106,"*"&amp;'Keyword Search'!$C$5&amp;"*"),TRUE,FALSE)</f>
        <v>1</v>
      </c>
      <c r="G4106" t="str">
        <f t="shared" si="266"/>
        <v>540-65: Plywood Panels, Decorative, Prefinished</v>
      </c>
    </row>
    <row r="4107" spans="1:7" x14ac:dyDescent="0.25">
      <c r="A4107" s="1" t="str">
        <f t="shared" si="264"/>
        <v>540</v>
      </c>
      <c r="B4107" s="1" t="str">
        <f>TEXT(66,"00")</f>
        <v>66</v>
      </c>
      <c r="C4107" s="1" t="str">
        <f t="shared" si="265"/>
        <v>540-66</v>
      </c>
      <c r="D4107" t="s">
        <v>4088</v>
      </c>
      <c r="E4107" t="b">
        <f>IF(COUNTIF(D4107,"*"&amp;'Keyword Search'!$C$5&amp;"*"),TRUE,FALSE)</f>
        <v>1</v>
      </c>
      <c r="G4107" t="str">
        <f t="shared" si="266"/>
        <v>540-66: Plywood Panels, Decorative, Unfinished</v>
      </c>
    </row>
    <row r="4108" spans="1:7" x14ac:dyDescent="0.25">
      <c r="A4108" s="1" t="str">
        <f t="shared" si="264"/>
        <v>540</v>
      </c>
      <c r="B4108" s="1" t="str">
        <f>TEXT(68,"00")</f>
        <v>68</v>
      </c>
      <c r="C4108" s="1" t="str">
        <f t="shared" si="265"/>
        <v>540-68</v>
      </c>
      <c r="D4108" t="s">
        <v>4089</v>
      </c>
      <c r="E4108" t="b">
        <f>IF(COUNTIF(D4108,"*"&amp;'Keyword Search'!$C$5&amp;"*"),TRUE,FALSE)</f>
        <v>1</v>
      </c>
      <c r="G4108" t="str">
        <f t="shared" si="266"/>
        <v>540-68: Plywood Panels, Plastic Faced, For Highway Signs, etc.</v>
      </c>
    </row>
    <row r="4109" spans="1:7" x14ac:dyDescent="0.25">
      <c r="A4109" s="1" t="str">
        <f t="shared" si="264"/>
        <v>540</v>
      </c>
      <c r="B4109" s="1" t="str">
        <f>TEXT(70,"00")</f>
        <v>70</v>
      </c>
      <c r="C4109" s="1" t="str">
        <f t="shared" si="265"/>
        <v>540-70</v>
      </c>
      <c r="D4109" t="s">
        <v>4090</v>
      </c>
      <c r="E4109" t="b">
        <f>IF(COUNTIF(D4109,"*"&amp;'Keyword Search'!$C$5&amp;"*"),TRUE,FALSE)</f>
        <v>1</v>
      </c>
      <c r="G4109" t="str">
        <f t="shared" si="266"/>
        <v>540-70: Poles, Treated and Untreated</v>
      </c>
    </row>
    <row r="4110" spans="1:7" x14ac:dyDescent="0.25">
      <c r="A4110" s="1" t="str">
        <f t="shared" si="264"/>
        <v>540</v>
      </c>
      <c r="B4110" s="1" t="str">
        <f>TEXT(71,"00")</f>
        <v>71</v>
      </c>
      <c r="C4110" s="1" t="str">
        <f t="shared" si="265"/>
        <v>540-71</v>
      </c>
      <c r="D4110" t="s">
        <v>4091</v>
      </c>
      <c r="E4110" t="b">
        <f>IF(COUNTIF(D4110,"*"&amp;'Keyword Search'!$C$5&amp;"*"),TRUE,FALSE)</f>
        <v>1</v>
      </c>
      <c r="G4110" t="str">
        <f t="shared" si="266"/>
        <v>540-71: Posts, Cedar</v>
      </c>
    </row>
    <row r="4111" spans="1:7" x14ac:dyDescent="0.25">
      <c r="A4111" s="1" t="str">
        <f t="shared" si="264"/>
        <v>540</v>
      </c>
      <c r="B4111" s="1" t="str">
        <f>TEXT(73,"00")</f>
        <v>73</v>
      </c>
      <c r="C4111" s="1" t="str">
        <f t="shared" si="265"/>
        <v>540-73</v>
      </c>
      <c r="D4111" t="s">
        <v>4092</v>
      </c>
      <c r="E4111" t="b">
        <f>IF(COUNTIF(D4111,"*"&amp;'Keyword Search'!$C$5&amp;"*"),TRUE,FALSE)</f>
        <v>1</v>
      </c>
      <c r="G4111" t="str">
        <f t="shared" si="266"/>
        <v>540-73: Posts, Treated and Untreated, Including Wooden Guard Rail Posts, (See 570-28 for Metal Posts)</v>
      </c>
    </row>
    <row r="4112" spans="1:7" x14ac:dyDescent="0.25">
      <c r="A4112" s="1" t="str">
        <f t="shared" si="264"/>
        <v>540</v>
      </c>
      <c r="B4112" s="1" t="str">
        <f>TEXT(75,"00")</f>
        <v>75</v>
      </c>
      <c r="C4112" s="1" t="str">
        <f t="shared" si="265"/>
        <v>540-75</v>
      </c>
      <c r="D4112" t="s">
        <v>4093</v>
      </c>
      <c r="E4112" t="b">
        <f>IF(COUNTIF(D4112,"*"&amp;'Keyword Search'!$C$5&amp;"*"),TRUE,FALSE)</f>
        <v>1</v>
      </c>
      <c r="G4112" t="str">
        <f t="shared" si="266"/>
        <v>540-75: Railings  (Inactive, please see commodity code 150-34 effective January 1, 2016)</v>
      </c>
    </row>
    <row r="4113" spans="1:7" x14ac:dyDescent="0.25">
      <c r="A4113" s="1" t="str">
        <f t="shared" si="264"/>
        <v>540</v>
      </c>
      <c r="B4113" s="1" t="str">
        <f>TEXT(77,"00")</f>
        <v>77</v>
      </c>
      <c r="C4113" s="1" t="str">
        <f t="shared" si="265"/>
        <v>540-77</v>
      </c>
      <c r="D4113" t="s">
        <v>4094</v>
      </c>
      <c r="E4113" t="b">
        <f>IF(COUNTIF(D4113,"*"&amp;'Keyword Search'!$C$5&amp;"*"),TRUE,FALSE)</f>
        <v>1</v>
      </c>
      <c r="G4113" t="str">
        <f t="shared" si="266"/>
        <v>540-77: Recycled Lumber</v>
      </c>
    </row>
    <row r="4114" spans="1:7" x14ac:dyDescent="0.25">
      <c r="A4114" s="1" t="str">
        <f t="shared" si="264"/>
        <v>540</v>
      </c>
      <c r="B4114" s="1" t="str">
        <f>TEXT(78,"00")</f>
        <v>78</v>
      </c>
      <c r="C4114" s="1" t="str">
        <f t="shared" si="265"/>
        <v>540-78</v>
      </c>
      <c r="D4114" t="s">
        <v>4095</v>
      </c>
      <c r="E4114" t="b">
        <f>IF(COUNTIF(D4114,"*"&amp;'Keyword Search'!$C$5&amp;"*"),TRUE,FALSE)</f>
        <v>1</v>
      </c>
      <c r="G4114" t="str">
        <f t="shared" si="266"/>
        <v>540-78: Sawdust and Shavings</v>
      </c>
    </row>
    <row r="4115" spans="1:7" x14ac:dyDescent="0.25">
      <c r="A4115" s="1" t="str">
        <f t="shared" si="264"/>
        <v>540</v>
      </c>
      <c r="B4115" s="1" t="str">
        <f>TEXT(79,"00")</f>
        <v>79</v>
      </c>
      <c r="C4115" s="1" t="str">
        <f t="shared" si="265"/>
        <v>540-79</v>
      </c>
      <c r="D4115" t="s">
        <v>4096</v>
      </c>
      <c r="E4115" t="b">
        <f>IF(COUNTIF(D4115,"*"&amp;'Keyword Search'!$C$5&amp;"*"),TRUE,FALSE)</f>
        <v>1</v>
      </c>
      <c r="G4115" t="str">
        <f t="shared" si="266"/>
        <v>540-79: Wood and Lumber Products, Scrap or Waste</v>
      </c>
    </row>
    <row r="4116" spans="1:7" x14ac:dyDescent="0.25">
      <c r="A4116" s="1" t="str">
        <f t="shared" si="264"/>
        <v>540</v>
      </c>
      <c r="B4116" s="1" t="str">
        <f>TEXT(81,"00")</f>
        <v>81</v>
      </c>
      <c r="C4116" s="1" t="str">
        <f t="shared" si="265"/>
        <v>540-81</v>
      </c>
      <c r="D4116" t="s">
        <v>4097</v>
      </c>
      <c r="E4116" t="b">
        <f>IF(COUNTIF(D4116,"*"&amp;'Keyword Search'!$C$5&amp;"*"),TRUE,FALSE)</f>
        <v>1</v>
      </c>
      <c r="G4116" t="str">
        <f t="shared" si="266"/>
        <v>540-81: Sheetrock and Accessories: Cement, Corners, Floating Compound, etc. (See Class 832 For Tape, Including Recycled Type</v>
      </c>
    </row>
    <row r="4117" spans="1:7" x14ac:dyDescent="0.25">
      <c r="A4117" s="1" t="str">
        <f t="shared" si="264"/>
        <v>540</v>
      </c>
      <c r="B4117" s="1" t="str">
        <f>TEXT(84,"00")</f>
        <v>84</v>
      </c>
      <c r="C4117" s="1" t="str">
        <f t="shared" si="265"/>
        <v>540-84</v>
      </c>
      <c r="D4117" t="s">
        <v>4098</v>
      </c>
      <c r="E4117" t="b">
        <f>IF(COUNTIF(D4117,"*"&amp;'Keyword Search'!$C$5&amp;"*"),TRUE,FALSE)</f>
        <v>1</v>
      </c>
      <c r="G4117" t="str">
        <f t="shared" si="266"/>
        <v>540-84: Shakes and Shims, Wood</v>
      </c>
    </row>
    <row r="4118" spans="1:7" x14ac:dyDescent="0.25">
      <c r="A4118" s="1" t="str">
        <f t="shared" si="264"/>
        <v>540</v>
      </c>
      <c r="B4118" s="1" t="str">
        <f>TEXT(87,"00")</f>
        <v>87</v>
      </c>
      <c r="C4118" s="1" t="str">
        <f t="shared" si="265"/>
        <v>540-87</v>
      </c>
      <c r="D4118" t="s">
        <v>4099</v>
      </c>
      <c r="E4118" t="b">
        <f>IF(COUNTIF(D4118,"*"&amp;'Keyword Search'!$C$5&amp;"*"),TRUE,FALSE)</f>
        <v>1</v>
      </c>
      <c r="G4118" t="str">
        <f t="shared" si="266"/>
        <v>540-87: Siding, Prefinished Particleboard</v>
      </c>
    </row>
    <row r="4119" spans="1:7" x14ac:dyDescent="0.25">
      <c r="A4119" s="1" t="str">
        <f t="shared" si="264"/>
        <v>540</v>
      </c>
      <c r="B4119" s="1" t="str">
        <f>TEXT(88,"00")</f>
        <v>88</v>
      </c>
      <c r="C4119" s="1" t="str">
        <f t="shared" si="265"/>
        <v>540-88</v>
      </c>
      <c r="D4119" t="s">
        <v>4100</v>
      </c>
      <c r="E4119" t="b">
        <f>IF(COUNTIF(D4119,"*"&amp;'Keyword Search'!$C$5&amp;"*"),TRUE,FALSE)</f>
        <v>1</v>
      </c>
      <c r="G4119" t="str">
        <f t="shared" si="266"/>
        <v>540-88: Siding, Vinyl Clad, Including Recycled Types</v>
      </c>
    </row>
    <row r="4120" spans="1:7" x14ac:dyDescent="0.25">
      <c r="A4120" s="1" t="str">
        <f t="shared" si="264"/>
        <v>540</v>
      </c>
      <c r="B4120" s="1" t="str">
        <f>TEXT(89,"00")</f>
        <v>89</v>
      </c>
      <c r="C4120" s="1" t="str">
        <f t="shared" si="265"/>
        <v>540-89</v>
      </c>
      <c r="D4120" t="s">
        <v>4101</v>
      </c>
      <c r="E4120" t="b">
        <f>IF(COUNTIF(D4120,"*"&amp;'Keyword Search'!$C$5&amp;"*"),TRUE,FALSE)</f>
        <v>1</v>
      </c>
      <c r="G4120" t="str">
        <f t="shared" si="266"/>
        <v>540-89: Siding, Wood, All Types</v>
      </c>
    </row>
    <row r="4121" spans="1:7" x14ac:dyDescent="0.25">
      <c r="A4121" s="1" t="str">
        <f t="shared" si="264"/>
        <v>540</v>
      </c>
      <c r="B4121" s="1" t="str">
        <f>TEXT(90,"00")</f>
        <v>90</v>
      </c>
      <c r="C4121" s="1" t="str">
        <f t="shared" si="265"/>
        <v>540-90</v>
      </c>
      <c r="D4121" t="s">
        <v>4102</v>
      </c>
      <c r="E4121" t="b">
        <f>IF(COUNTIF(D4121,"*"&amp;'Keyword Search'!$C$5&amp;"*"),TRUE,FALSE)</f>
        <v>1</v>
      </c>
      <c r="G4121" t="str">
        <f t="shared" si="266"/>
        <v>540-90: Stakes: Engineers', Agricultural, etc.</v>
      </c>
    </row>
    <row r="4122" spans="1:7" x14ac:dyDescent="0.25">
      <c r="A4122" s="1" t="str">
        <f t="shared" si="264"/>
        <v>540</v>
      </c>
      <c r="B4122" s="1" t="str">
        <f>TEXT(91,"00")</f>
        <v>91</v>
      </c>
      <c r="C4122" s="1" t="str">
        <f t="shared" si="265"/>
        <v>540-91</v>
      </c>
      <c r="D4122" t="s">
        <v>4103</v>
      </c>
      <c r="E4122" t="b">
        <f>IF(COUNTIF(D4122,"*"&amp;'Keyword Search'!$C$5&amp;"*"),TRUE,FALSE)</f>
        <v>1</v>
      </c>
      <c r="G4122" t="str">
        <f t="shared" si="266"/>
        <v>540-91: Structural Wood Products (Not Otherwise Classified): Beams, Framing Lumber, Planks, Joists, etc.</v>
      </c>
    </row>
    <row r="4123" spans="1:7" x14ac:dyDescent="0.25">
      <c r="A4123" s="1" t="str">
        <f t="shared" si="264"/>
        <v>540</v>
      </c>
      <c r="B4123" s="1" t="str">
        <f>TEXT(92,"00")</f>
        <v>92</v>
      </c>
      <c r="C4123" s="1" t="str">
        <f t="shared" si="265"/>
        <v>540-92</v>
      </c>
      <c r="D4123" t="s">
        <v>4104</v>
      </c>
      <c r="E4123" t="b">
        <f>IF(COUNTIF(D4123,"*"&amp;'Keyword Search'!$C$5&amp;"*"),TRUE,FALSE)</f>
        <v>1</v>
      </c>
      <c r="G4123" t="str">
        <f t="shared" si="266"/>
        <v>540-92: Timbers, Construction Type, Laminated, Treated and Untreated</v>
      </c>
    </row>
    <row r="4124" spans="1:7" x14ac:dyDescent="0.25">
      <c r="A4124" s="1" t="str">
        <f t="shared" si="264"/>
        <v>540</v>
      </c>
      <c r="B4124" s="1" t="str">
        <f>TEXT(94,"00")</f>
        <v>94</v>
      </c>
      <c r="C4124" s="1" t="str">
        <f t="shared" si="265"/>
        <v>540-94</v>
      </c>
      <c r="D4124" t="s">
        <v>4105</v>
      </c>
      <c r="E4124" t="b">
        <f>IF(COUNTIF(D4124,"*"&amp;'Keyword Search'!$C$5&amp;"*"),TRUE,FALSE)</f>
        <v>1</v>
      </c>
      <c r="G4124" t="str">
        <f t="shared" si="266"/>
        <v>540-94: Underlayment</v>
      </c>
    </row>
    <row r="4125" spans="1:7" x14ac:dyDescent="0.25">
      <c r="A4125" s="1" t="str">
        <f t="shared" si="264"/>
        <v>540</v>
      </c>
      <c r="B4125" s="1" t="str">
        <f>TEXT(95,"00")</f>
        <v>95</v>
      </c>
      <c r="C4125" s="1" t="str">
        <f t="shared" si="265"/>
        <v>540-95</v>
      </c>
      <c r="D4125" t="s">
        <v>4106</v>
      </c>
      <c r="E4125" t="b">
        <f>IF(COUNTIF(D4125,"*"&amp;'Keyword Search'!$C$5&amp;"*"),TRUE,FALSE)</f>
        <v>1</v>
      </c>
      <c r="G4125" t="str">
        <f t="shared" si="266"/>
        <v>540-95: Veneers, All Kinds</v>
      </c>
    </row>
    <row r="4126" spans="1:7" x14ac:dyDescent="0.25">
      <c r="A4126" s="1" t="str">
        <f t="shared" si="264"/>
        <v>540</v>
      </c>
      <c r="B4126" s="1" t="str">
        <f>TEXT(96,"00")</f>
        <v>96</v>
      </c>
      <c r="C4126" s="1" t="str">
        <f t="shared" si="265"/>
        <v>540-96</v>
      </c>
      <c r="D4126" t="s">
        <v>4107</v>
      </c>
      <c r="E4126" t="b">
        <f>IF(COUNTIF(D4126,"*"&amp;'Keyword Search'!$C$5&amp;"*"),TRUE,FALSE)</f>
        <v>1</v>
      </c>
      <c r="G4126" t="str">
        <f t="shared" si="266"/>
        <v>540-96: Wood Bi-Products (Not Otherwise Classified)</v>
      </c>
    </row>
    <row r="4127" spans="1:7" x14ac:dyDescent="0.25">
      <c r="A4127" s="1" t="str">
        <f t="shared" si="264"/>
        <v>540</v>
      </c>
      <c r="B4127" s="1" t="str">
        <f>TEXT(97,"00")</f>
        <v>97</v>
      </c>
      <c r="C4127" s="1" t="str">
        <f t="shared" si="265"/>
        <v>540-97</v>
      </c>
      <c r="D4127" t="s">
        <v>4108</v>
      </c>
      <c r="E4127" t="b">
        <f>IF(COUNTIF(D4127,"*"&amp;'Keyword Search'!$C$5&amp;"*"),TRUE,FALSE)</f>
        <v>1</v>
      </c>
      <c r="G4127" t="str">
        <f t="shared" si="266"/>
        <v>540-97: Wood, Fire</v>
      </c>
    </row>
    <row r="4128" spans="1:7" x14ac:dyDescent="0.25">
      <c r="A4128" s="5" t="str">
        <f t="shared" ref="A4128:A4191" si="267">TEXT(545,"000")</f>
        <v>545</v>
      </c>
      <c r="B4128" s="5" t="str">
        <f>TEXT(0,"00")</f>
        <v>00</v>
      </c>
      <c r="C4128" s="1"/>
      <c r="D4128" s="2" t="s">
        <v>4109</v>
      </c>
    </row>
    <row r="4129" spans="1:7" x14ac:dyDescent="0.25">
      <c r="A4129" s="1" t="str">
        <f t="shared" si="267"/>
        <v>545</v>
      </c>
      <c r="B4129" s="1" t="str">
        <f>TEXT(2,"00")</f>
        <v>02</v>
      </c>
      <c r="C4129" s="1" t="str">
        <f t="shared" si="265"/>
        <v>545-02</v>
      </c>
      <c r="D4129" t="s">
        <v>4110</v>
      </c>
      <c r="E4129" t="b">
        <f>IF(COUNTIF(D4129,"*"&amp;'Keyword Search'!$C$5&amp;"*"),TRUE,FALSE)</f>
        <v>1</v>
      </c>
      <c r="G4129" t="str">
        <f t="shared" si="266"/>
        <v>545-02: Bits, Dies, Reamers, Taps, etc., For Stationary Power Tools</v>
      </c>
    </row>
    <row r="4130" spans="1:7" x14ac:dyDescent="0.25">
      <c r="A4130" s="1" t="str">
        <f t="shared" si="267"/>
        <v>545</v>
      </c>
      <c r="B4130" s="1" t="str">
        <f>TEXT(3,"00")</f>
        <v>03</v>
      </c>
      <c r="C4130" s="1" t="str">
        <f t="shared" si="265"/>
        <v>545-03</v>
      </c>
      <c r="D4130" t="s">
        <v>4111</v>
      </c>
      <c r="E4130" t="b">
        <f>IF(COUNTIF(D4130,"*"&amp;'Keyword Search'!$C$5&amp;"*"),TRUE,FALSE)</f>
        <v>1</v>
      </c>
      <c r="G4130" t="str">
        <f t="shared" si="266"/>
        <v>545-03: Broaching Machines and Tools</v>
      </c>
    </row>
    <row r="4131" spans="1:7" x14ac:dyDescent="0.25">
      <c r="A4131" s="1" t="str">
        <f t="shared" si="267"/>
        <v>545</v>
      </c>
      <c r="B4131" s="1" t="str">
        <f>TEXT(4,"00")</f>
        <v>04</v>
      </c>
      <c r="C4131" s="1" t="str">
        <f t="shared" si="265"/>
        <v>545-04</v>
      </c>
      <c r="D4131" t="s">
        <v>4112</v>
      </c>
      <c r="E4131" t="b">
        <f>IF(COUNTIF(D4131,"*"&amp;'Keyword Search'!$C$5&amp;"*"),TRUE,FALSE)</f>
        <v>1</v>
      </c>
      <c r="G4131" t="str">
        <f t="shared" si="266"/>
        <v>545-04: Blades, Power Saw, Stationary: Circular and Reciprocating</v>
      </c>
    </row>
    <row r="4132" spans="1:7" x14ac:dyDescent="0.25">
      <c r="A4132" s="1" t="str">
        <f t="shared" si="267"/>
        <v>545</v>
      </c>
      <c r="B4132" s="1" t="str">
        <f>TEXT(5,"00")</f>
        <v>05</v>
      </c>
      <c r="C4132" s="1" t="str">
        <f t="shared" si="265"/>
        <v>545-05</v>
      </c>
      <c r="D4132" t="s">
        <v>4113</v>
      </c>
      <c r="E4132" t="b">
        <f>IF(COUNTIF(D4132,"*"&amp;'Keyword Search'!$C$5&amp;"*"),TRUE,FALSE)</f>
        <v>1</v>
      </c>
      <c r="G4132" t="str">
        <f t="shared" si="266"/>
        <v>545-05: Bushings, Machinery, (Not Otherwise Classified)</v>
      </c>
    </row>
    <row r="4133" spans="1:7" x14ac:dyDescent="0.25">
      <c r="A4133" s="1" t="str">
        <f t="shared" si="267"/>
        <v>545</v>
      </c>
      <c r="B4133" s="1" t="str">
        <f>TEXT(6,"00")</f>
        <v>06</v>
      </c>
      <c r="C4133" s="1" t="str">
        <f t="shared" si="265"/>
        <v>545-06</v>
      </c>
      <c r="D4133" t="s">
        <v>4114</v>
      </c>
      <c r="E4133" t="b">
        <f>IF(COUNTIF(D4133,"*"&amp;'Keyword Search'!$C$5&amp;"*"),TRUE,FALSE)</f>
        <v>1</v>
      </c>
      <c r="G4133" t="str">
        <f t="shared" si="266"/>
        <v>545-06: Chain Hoists and Cable Lifts</v>
      </c>
    </row>
    <row r="4134" spans="1:7" x14ac:dyDescent="0.25">
      <c r="A4134" s="1" t="str">
        <f t="shared" si="267"/>
        <v>545</v>
      </c>
      <c r="B4134" s="1" t="str">
        <f>TEXT(7,"00")</f>
        <v>07</v>
      </c>
      <c r="C4134" s="1" t="str">
        <f t="shared" si="265"/>
        <v>545-07</v>
      </c>
      <c r="D4134" t="s">
        <v>4115</v>
      </c>
      <c r="E4134" t="b">
        <f>IF(COUNTIF(D4134,"*"&amp;'Keyword Search'!$C$5&amp;"*"),TRUE,FALSE)</f>
        <v>1</v>
      </c>
      <c r="G4134" t="str">
        <f t="shared" si="266"/>
        <v>545-07: Can Crusher, Industrial: Paint, etc.</v>
      </c>
    </row>
    <row r="4135" spans="1:7" x14ac:dyDescent="0.25">
      <c r="A4135" s="1" t="str">
        <f t="shared" si="267"/>
        <v>545</v>
      </c>
      <c r="B4135" s="1" t="str">
        <f>TEXT(8,"00")</f>
        <v>08</v>
      </c>
      <c r="C4135" s="1" t="str">
        <f t="shared" si="265"/>
        <v>545-08</v>
      </c>
      <c r="D4135" t="s">
        <v>4116</v>
      </c>
      <c r="E4135" t="b">
        <f>IF(COUNTIF(D4135,"*"&amp;'Keyword Search'!$C$5&amp;"*"),TRUE,FALSE)</f>
        <v>1</v>
      </c>
      <c r="G4135" t="str">
        <f t="shared" si="266"/>
        <v>545-08: Can Puncturing and Biofiltration Unit, Aerosol</v>
      </c>
    </row>
    <row r="4136" spans="1:7" x14ac:dyDescent="0.25">
      <c r="A4136" s="1" t="str">
        <f t="shared" si="267"/>
        <v>545</v>
      </c>
      <c r="B4136" s="1" t="str">
        <f>TEXT(9,"00")</f>
        <v>09</v>
      </c>
      <c r="C4136" s="1" t="str">
        <f t="shared" si="265"/>
        <v>545-09</v>
      </c>
      <c r="D4136" t="s">
        <v>4117</v>
      </c>
      <c r="E4136" t="b">
        <f>IF(COUNTIF(D4136,"*"&amp;'Keyword Search'!$C$5&amp;"*"),TRUE,FALSE)</f>
        <v>1</v>
      </c>
      <c r="G4136" t="str">
        <f t="shared" si="266"/>
        <v>545-09: Chain Saws</v>
      </c>
    </row>
    <row r="4137" spans="1:7" x14ac:dyDescent="0.25">
      <c r="A4137" s="1" t="str">
        <f t="shared" si="267"/>
        <v>545</v>
      </c>
      <c r="B4137" s="1" t="str">
        <f>TEXT(10,"00")</f>
        <v>10</v>
      </c>
      <c r="C4137" s="1" t="str">
        <f t="shared" si="265"/>
        <v>545-10</v>
      </c>
      <c r="D4137" t="s">
        <v>4118</v>
      </c>
      <c r="E4137" t="b">
        <f>IF(COUNTIF(D4137,"*"&amp;'Keyword Search'!$C$5&amp;"*"),TRUE,FALSE)</f>
        <v>1</v>
      </c>
      <c r="G4137" t="str">
        <f t="shared" si="266"/>
        <v>545-10: Coating Machines, All Types</v>
      </c>
    </row>
    <row r="4138" spans="1:7" x14ac:dyDescent="0.25">
      <c r="A4138" s="1" t="str">
        <f t="shared" si="267"/>
        <v>545</v>
      </c>
      <c r="B4138" s="1" t="str">
        <f>TEXT(11,"00")</f>
        <v>11</v>
      </c>
      <c r="C4138" s="1" t="str">
        <f t="shared" si="265"/>
        <v>545-11</v>
      </c>
      <c r="D4138" t="s">
        <v>4119</v>
      </c>
      <c r="E4138" t="b">
        <f>IF(COUNTIF(D4138,"*"&amp;'Keyword Search'!$C$5&amp;"*"),TRUE,FALSE)</f>
        <v>1</v>
      </c>
      <c r="G4138" t="str">
        <f t="shared" si="266"/>
        <v>545-11: Compactors, Trash, Industrial, Stationary to Include Sanitary Landfill Type (See 045 and 165 for Other Types)</v>
      </c>
    </row>
    <row r="4139" spans="1:7" x14ac:dyDescent="0.25">
      <c r="A4139" s="1" t="str">
        <f t="shared" si="267"/>
        <v>545</v>
      </c>
      <c r="B4139" s="1" t="str">
        <f>TEXT(12,"00")</f>
        <v>12</v>
      </c>
      <c r="C4139" s="1" t="str">
        <f t="shared" si="265"/>
        <v>545-12</v>
      </c>
      <c r="D4139" t="s">
        <v>4120</v>
      </c>
      <c r="E4139" t="b">
        <f>IF(COUNTIF(D4139,"*"&amp;'Keyword Search'!$C$5&amp;"*"),TRUE,FALSE)</f>
        <v>1</v>
      </c>
      <c r="G4139" t="str">
        <f t="shared" si="266"/>
        <v>545-12: Compressors, Gas, All Types</v>
      </c>
    </row>
    <row r="4140" spans="1:7" x14ac:dyDescent="0.25">
      <c r="A4140" s="1" t="str">
        <f t="shared" si="267"/>
        <v>545</v>
      </c>
      <c r="B4140" s="1" t="str">
        <f>TEXT(13,"00")</f>
        <v>13</v>
      </c>
      <c r="C4140" s="1" t="str">
        <f t="shared" si="265"/>
        <v>545-13</v>
      </c>
      <c r="D4140" t="s">
        <v>4121</v>
      </c>
      <c r="E4140" t="b">
        <f>IF(COUNTIF(D4140,"*"&amp;'Keyword Search'!$C$5&amp;"*"),TRUE,FALSE)</f>
        <v>1</v>
      </c>
      <c r="G4140" t="str">
        <f t="shared" si="266"/>
        <v>545-13: Contaminated Air and Vapor Treatment Equipment</v>
      </c>
    </row>
    <row r="4141" spans="1:7" x14ac:dyDescent="0.25">
      <c r="A4141" s="1" t="str">
        <f t="shared" si="267"/>
        <v>545</v>
      </c>
      <c r="B4141" s="1" t="str">
        <f>TEXT(14,"00")</f>
        <v>14</v>
      </c>
      <c r="C4141" s="1" t="str">
        <f t="shared" si="265"/>
        <v>545-14</v>
      </c>
      <c r="D4141" t="s">
        <v>4122</v>
      </c>
      <c r="E4141" t="b">
        <f>IF(COUNTIF(D4141,"*"&amp;'Keyword Search'!$C$5&amp;"*"),TRUE,FALSE)</f>
        <v>1</v>
      </c>
      <c r="G4141" t="str">
        <f t="shared" si="266"/>
        <v>545-14: Contaminated Soil Treatment Equipment</v>
      </c>
    </row>
    <row r="4142" spans="1:7" x14ac:dyDescent="0.25">
      <c r="A4142" s="1" t="str">
        <f t="shared" si="267"/>
        <v>545</v>
      </c>
      <c r="B4142" s="1" t="str">
        <f>TEXT(15,"00")</f>
        <v>15</v>
      </c>
      <c r="C4142" s="1" t="str">
        <f t="shared" si="265"/>
        <v>545-15</v>
      </c>
      <c r="D4142" t="s">
        <v>4123</v>
      </c>
      <c r="E4142" t="b">
        <f>IF(COUNTIF(D4142,"*"&amp;'Keyword Search'!$C$5&amp;"*"),TRUE,FALSE)</f>
        <v>1</v>
      </c>
      <c r="G4142" t="str">
        <f t="shared" si="266"/>
        <v>545-15: Drills, Stationary, Air Powered: Arbor, Press, etc.</v>
      </c>
    </row>
    <row r="4143" spans="1:7" x14ac:dyDescent="0.25">
      <c r="A4143" s="1" t="str">
        <f t="shared" si="267"/>
        <v>545</v>
      </c>
      <c r="B4143" s="1" t="str">
        <f>TEXT(16,"00")</f>
        <v>16</v>
      </c>
      <c r="C4143" s="1" t="str">
        <f t="shared" si="265"/>
        <v>545-16</v>
      </c>
      <c r="D4143" t="s">
        <v>4124</v>
      </c>
      <c r="E4143" t="b">
        <f>IF(COUNTIF(D4143,"*"&amp;'Keyword Search'!$C$5&amp;"*"),TRUE,FALSE)</f>
        <v>1</v>
      </c>
      <c r="G4143" t="str">
        <f t="shared" si="266"/>
        <v>545-16: Drills, Stationary, Electric Powered: Arbor, Press, etc.</v>
      </c>
    </row>
    <row r="4144" spans="1:7" x14ac:dyDescent="0.25">
      <c r="A4144" s="1" t="str">
        <f t="shared" si="267"/>
        <v>545</v>
      </c>
      <c r="B4144" s="1" t="str">
        <f>TEXT(17,"00")</f>
        <v>17</v>
      </c>
      <c r="C4144" s="1" t="str">
        <f t="shared" si="265"/>
        <v>545-17</v>
      </c>
      <c r="D4144" t="s">
        <v>4125</v>
      </c>
      <c r="E4144" t="b">
        <f>IF(COUNTIF(D4144,"*"&amp;'Keyword Search'!$C$5&amp;"*"),TRUE,FALSE)</f>
        <v>1</v>
      </c>
      <c r="G4144" t="str">
        <f t="shared" si="266"/>
        <v>545-17: Drills, Stationary, Hydraulic Powered: Arbor, Press, etc.</v>
      </c>
    </row>
    <row r="4145" spans="1:7" x14ac:dyDescent="0.25">
      <c r="A4145" s="1" t="str">
        <f t="shared" si="267"/>
        <v>545</v>
      </c>
      <c r="B4145" s="1" t="str">
        <f>TEXT(18,"00")</f>
        <v>18</v>
      </c>
      <c r="C4145" s="1" t="str">
        <f t="shared" si="265"/>
        <v>545-18</v>
      </c>
      <c r="D4145" t="s">
        <v>4126</v>
      </c>
      <c r="E4145" t="b">
        <f>IF(COUNTIF(D4145,"*"&amp;'Keyword Search'!$C$5&amp;"*"),TRUE,FALSE)</f>
        <v>1</v>
      </c>
      <c r="G4145" t="str">
        <f t="shared" si="266"/>
        <v>545-18: Gin Machinery</v>
      </c>
    </row>
    <row r="4146" spans="1:7" x14ac:dyDescent="0.25">
      <c r="A4146" s="1" t="str">
        <f t="shared" si="267"/>
        <v>545</v>
      </c>
      <c r="B4146" s="1" t="str">
        <f>TEXT(19,"00")</f>
        <v>19</v>
      </c>
      <c r="C4146" s="1" t="str">
        <f t="shared" si="265"/>
        <v>545-19</v>
      </c>
      <c r="D4146" t="s">
        <v>4127</v>
      </c>
      <c r="E4146" t="b">
        <f>IF(COUNTIF(D4146,"*"&amp;'Keyword Search'!$C$5&amp;"*"),TRUE,FALSE)</f>
        <v>1</v>
      </c>
      <c r="G4146" t="str">
        <f t="shared" si="266"/>
        <v>545-19: Exploration Equipment, (Not Otherwise Classified)</v>
      </c>
    </row>
    <row r="4147" spans="1:7" x14ac:dyDescent="0.25">
      <c r="A4147" s="1" t="str">
        <f t="shared" si="267"/>
        <v>545</v>
      </c>
      <c r="B4147" s="1" t="str">
        <f>TEXT(20,"00")</f>
        <v>20</v>
      </c>
      <c r="C4147" s="1" t="str">
        <f t="shared" si="265"/>
        <v>545-20</v>
      </c>
      <c r="D4147" t="s">
        <v>4128</v>
      </c>
      <c r="E4147" t="b">
        <f>IF(COUNTIF(D4147,"*"&amp;'Keyword Search'!$C$5&amp;"*"),TRUE,FALSE)</f>
        <v>1</v>
      </c>
      <c r="G4147" t="str">
        <f t="shared" si="266"/>
        <v>545-20: Filtering Equipment and Machinery</v>
      </c>
    </row>
    <row r="4148" spans="1:7" x14ac:dyDescent="0.25">
      <c r="A4148" s="1" t="str">
        <f t="shared" si="267"/>
        <v>545</v>
      </c>
      <c r="B4148" s="1" t="str">
        <f>TEXT(21,"00")</f>
        <v>21</v>
      </c>
      <c r="C4148" s="1" t="str">
        <f t="shared" si="265"/>
        <v>545-21</v>
      </c>
      <c r="D4148" t="s">
        <v>4129</v>
      </c>
      <c r="E4148" t="b">
        <f>IF(COUNTIF(D4148,"*"&amp;'Keyword Search'!$C$5&amp;"*"),TRUE,FALSE)</f>
        <v>1</v>
      </c>
      <c r="G4148" t="str">
        <f t="shared" si="266"/>
        <v>545-21: Grinders and Buffers: Bench, Portable, and Stand</v>
      </c>
    </row>
    <row r="4149" spans="1:7" x14ac:dyDescent="0.25">
      <c r="A4149" s="1" t="str">
        <f t="shared" si="267"/>
        <v>545</v>
      </c>
      <c r="B4149" s="1" t="str">
        <f>TEXT(22,"00")</f>
        <v>22</v>
      </c>
      <c r="C4149" s="1" t="str">
        <f t="shared" si="265"/>
        <v>545-22</v>
      </c>
      <c r="D4149" t="s">
        <v>4130</v>
      </c>
      <c r="E4149" t="b">
        <f>IF(COUNTIF(D4149,"*"&amp;'Keyword Search'!$C$5&amp;"*"),TRUE,FALSE)</f>
        <v>1</v>
      </c>
      <c r="G4149" t="str">
        <f t="shared" si="266"/>
        <v>545-22: Heat Treating and Tracing Equipment, Electric, Including Parts and Accessories</v>
      </c>
    </row>
    <row r="4150" spans="1:7" x14ac:dyDescent="0.25">
      <c r="A4150" s="1" t="str">
        <f t="shared" si="267"/>
        <v>545</v>
      </c>
      <c r="B4150" s="1" t="str">
        <f>TEXT(23,"00")</f>
        <v>23</v>
      </c>
      <c r="C4150" s="1" t="str">
        <f t="shared" si="265"/>
        <v>545-23</v>
      </c>
      <c r="D4150" t="s">
        <v>4131</v>
      </c>
      <c r="E4150" t="b">
        <f>IF(COUNTIF(D4150,"*"&amp;'Keyword Search'!$C$5&amp;"*"),TRUE,FALSE)</f>
        <v>1</v>
      </c>
      <c r="G4150" t="str">
        <f t="shared" si="266"/>
        <v>545-23: Impact Tools, Air Powered, Not Road Building</v>
      </c>
    </row>
    <row r="4151" spans="1:7" x14ac:dyDescent="0.25">
      <c r="A4151" s="1" t="str">
        <f t="shared" si="267"/>
        <v>545</v>
      </c>
      <c r="B4151" s="1" t="str">
        <f>TEXT(24,"00")</f>
        <v>24</v>
      </c>
      <c r="C4151" s="1" t="str">
        <f t="shared" si="265"/>
        <v>545-24</v>
      </c>
      <c r="D4151" t="s">
        <v>4132</v>
      </c>
      <c r="E4151" t="b">
        <f>IF(COUNTIF(D4151,"*"&amp;'Keyword Search'!$C$5&amp;"*"),TRUE,FALSE)</f>
        <v>1</v>
      </c>
      <c r="G4151" t="str">
        <f t="shared" si="266"/>
        <v>545-24: Impact Tools, Electric Powered, Not Road Building</v>
      </c>
    </row>
    <row r="4152" spans="1:7" x14ac:dyDescent="0.25">
      <c r="A4152" s="1" t="str">
        <f t="shared" si="267"/>
        <v>545</v>
      </c>
      <c r="B4152" s="1" t="str">
        <f>TEXT(25,"00")</f>
        <v>25</v>
      </c>
      <c r="C4152" s="1" t="str">
        <f t="shared" si="265"/>
        <v>545-25</v>
      </c>
      <c r="D4152" t="s">
        <v>4133</v>
      </c>
      <c r="E4152" t="b">
        <f>IF(COUNTIF(D4152,"*"&amp;'Keyword Search'!$C$5&amp;"*"),TRUE,FALSE)</f>
        <v>1</v>
      </c>
      <c r="G4152" t="str">
        <f t="shared" si="266"/>
        <v>545-25: Impact Tools, Hydraulic Powered, Not Road Building</v>
      </c>
    </row>
    <row r="4153" spans="1:7" x14ac:dyDescent="0.25">
      <c r="A4153" s="1" t="str">
        <f t="shared" si="267"/>
        <v>545</v>
      </c>
      <c r="B4153" s="1" t="str">
        <f>TEXT(26,"00")</f>
        <v>26</v>
      </c>
      <c r="C4153" s="1" t="str">
        <f t="shared" si="265"/>
        <v>545-26</v>
      </c>
      <c r="D4153" t="s">
        <v>4134</v>
      </c>
      <c r="E4153" t="b">
        <f>IF(COUNTIF(D4153,"*"&amp;'Keyword Search'!$C$5&amp;"*"),TRUE,FALSE)</f>
        <v>1</v>
      </c>
      <c r="G4153" t="str">
        <f t="shared" si="266"/>
        <v>545-26: Industrial Type Steam and High Pressure Water Cleaning Equipment, Including Parts and Accessories</v>
      </c>
    </row>
    <row r="4154" spans="1:7" x14ac:dyDescent="0.25">
      <c r="A4154" s="1" t="str">
        <f t="shared" si="267"/>
        <v>545</v>
      </c>
      <c r="B4154" s="1" t="str">
        <f>TEXT(27,"00")</f>
        <v>27</v>
      </c>
      <c r="C4154" s="1" t="str">
        <f t="shared" si="265"/>
        <v>545-27</v>
      </c>
      <c r="D4154" t="s">
        <v>4135</v>
      </c>
      <c r="E4154" t="b">
        <f>IF(COUNTIF(D4154,"*"&amp;'Keyword Search'!$C$5&amp;"*"),TRUE,FALSE)</f>
        <v>1</v>
      </c>
      <c r="G4154" t="str">
        <f t="shared" si="266"/>
        <v>545-27: Jacks, Industrial: Hydraulic, Screw, and Track</v>
      </c>
    </row>
    <row r="4155" spans="1:7" x14ac:dyDescent="0.25">
      <c r="A4155" s="1" t="str">
        <f t="shared" si="267"/>
        <v>545</v>
      </c>
      <c r="B4155" s="1" t="str">
        <f>TEXT(28,"00")</f>
        <v>28</v>
      </c>
      <c r="C4155" s="1" t="str">
        <f t="shared" si="265"/>
        <v>545-28</v>
      </c>
      <c r="D4155" t="s">
        <v>4136</v>
      </c>
      <c r="E4155" t="b">
        <f>IF(COUNTIF(D4155,"*"&amp;'Keyword Search'!$C$5&amp;"*"),TRUE,FALSE)</f>
        <v>1</v>
      </c>
      <c r="G4155" t="str">
        <f t="shared" si="266"/>
        <v>545-28: Industrial Compressors, All Types.(Not Otherwise Classified)</v>
      </c>
    </row>
    <row r="4156" spans="1:7" x14ac:dyDescent="0.25">
      <c r="A4156" s="1" t="str">
        <f t="shared" si="267"/>
        <v>545</v>
      </c>
      <c r="B4156" s="1" t="str">
        <f>TEXT(29,"00")</f>
        <v>29</v>
      </c>
      <c r="C4156" s="1" t="str">
        <f t="shared" si="265"/>
        <v>545-29</v>
      </c>
      <c r="D4156" t="s">
        <v>4137</v>
      </c>
      <c r="E4156" t="b">
        <f>IF(COUNTIF(D4156,"*"&amp;'Keyword Search'!$C$5&amp;"*"),TRUE,FALSE)</f>
        <v>1</v>
      </c>
      <c r="G4156" t="str">
        <f t="shared" si="266"/>
        <v>545-29: Industrial Commercial and Professional Equipment and Supplies, (Not Otherwise Classified)</v>
      </c>
    </row>
    <row r="4157" spans="1:7" x14ac:dyDescent="0.25">
      <c r="A4157" s="1" t="str">
        <f t="shared" si="267"/>
        <v>545</v>
      </c>
      <c r="B4157" s="1" t="str">
        <f>TEXT(30,"00")</f>
        <v>30</v>
      </c>
      <c r="C4157" s="1" t="str">
        <f t="shared" si="265"/>
        <v>545-30</v>
      </c>
      <c r="D4157" t="s">
        <v>4138</v>
      </c>
      <c r="E4157" t="b">
        <f>IF(COUNTIF(D4157,"*"&amp;'Keyword Search'!$C$5&amp;"*"),TRUE,FALSE)</f>
        <v>1</v>
      </c>
      <c r="G4157" t="str">
        <f t="shared" si="266"/>
        <v>545-30: Key Duplicating Machines, Including Parts and Accessories</v>
      </c>
    </row>
    <row r="4158" spans="1:7" x14ac:dyDescent="0.25">
      <c r="A4158" s="1" t="str">
        <f t="shared" si="267"/>
        <v>545</v>
      </c>
      <c r="B4158" s="1" t="str">
        <f>TEXT(31,"00")</f>
        <v>31</v>
      </c>
      <c r="C4158" s="1" t="str">
        <f t="shared" si="265"/>
        <v>545-31</v>
      </c>
      <c r="D4158" t="s">
        <v>4139</v>
      </c>
      <c r="E4158" t="b">
        <f>IF(COUNTIF(D4158,"*"&amp;'Keyword Search'!$C$5&amp;"*"),TRUE,FALSE)</f>
        <v>1</v>
      </c>
      <c r="G4158" t="str">
        <f t="shared" si="266"/>
        <v>545-31: Industrial and Construction Machinery, Equipment, Components and Parts (Not Otherwise Classified)</v>
      </c>
    </row>
    <row r="4159" spans="1:7" x14ac:dyDescent="0.25">
      <c r="A4159" s="1" t="str">
        <f t="shared" si="267"/>
        <v>545</v>
      </c>
      <c r="B4159" s="1" t="str">
        <f>TEXT(32,"00")</f>
        <v>32</v>
      </c>
      <c r="C4159" s="1" t="str">
        <f t="shared" si="265"/>
        <v>545-32</v>
      </c>
      <c r="D4159" t="s">
        <v>4140</v>
      </c>
      <c r="E4159" t="b">
        <f>IF(COUNTIF(D4159,"*"&amp;'Keyword Search'!$C$5&amp;"*"),TRUE,FALSE)</f>
        <v>1</v>
      </c>
      <c r="G4159" t="str">
        <f t="shared" si="266"/>
        <v>545-32: Drilling and Boring Equipment, Horizontal Directional (HDD and HDB)</v>
      </c>
    </row>
    <row r="4160" spans="1:7" x14ac:dyDescent="0.25">
      <c r="A4160" s="1" t="str">
        <f t="shared" si="267"/>
        <v>545</v>
      </c>
      <c r="B4160" s="1" t="str">
        <f>TEXT(33,"00")</f>
        <v>33</v>
      </c>
      <c r="C4160" s="1" t="str">
        <f t="shared" si="265"/>
        <v>545-33</v>
      </c>
      <c r="D4160" t="s">
        <v>4141</v>
      </c>
      <c r="E4160" t="b">
        <f>IF(COUNTIF(D4160,"*"&amp;'Keyword Search'!$C$5&amp;"*"),TRUE,FALSE)</f>
        <v>1</v>
      </c>
      <c r="G4160" t="str">
        <f t="shared" si="266"/>
        <v>545-33: Lathe, Metalworking, Accessories and Supplies</v>
      </c>
    </row>
    <row r="4161" spans="1:7" x14ac:dyDescent="0.25">
      <c r="A4161" s="1" t="str">
        <f t="shared" si="267"/>
        <v>545</v>
      </c>
      <c r="B4161" s="1" t="str">
        <f>TEXT(36,"00")</f>
        <v>36</v>
      </c>
      <c r="C4161" s="1" t="str">
        <f t="shared" si="265"/>
        <v>545-36</v>
      </c>
      <c r="D4161" t="s">
        <v>4142</v>
      </c>
      <c r="E4161" t="b">
        <f>IF(COUNTIF(D4161,"*"&amp;'Keyword Search'!$C$5&amp;"*"),TRUE,FALSE)</f>
        <v>1</v>
      </c>
      <c r="G4161" t="str">
        <f t="shared" si="266"/>
        <v>545-36: Lathe, Woodworking</v>
      </c>
    </row>
    <row r="4162" spans="1:7" x14ac:dyDescent="0.25">
      <c r="A4162" s="1" t="str">
        <f t="shared" si="267"/>
        <v>545</v>
      </c>
      <c r="B4162" s="1" t="str">
        <f>TEXT(38,"00")</f>
        <v>38</v>
      </c>
      <c r="C4162" s="1" t="str">
        <f t="shared" si="265"/>
        <v>545-38</v>
      </c>
      <c r="D4162" t="s">
        <v>4143</v>
      </c>
      <c r="E4162" t="b">
        <f>IF(COUNTIF(D4162,"*"&amp;'Keyword Search'!$C$5&amp;"*"),TRUE,FALSE)</f>
        <v>1</v>
      </c>
      <c r="G4162" t="str">
        <f t="shared" si="266"/>
        <v>545-38: Lumber Equipment, Including Mills, Processing Machines, etc., (Not Otherwise Classified)</v>
      </c>
    </row>
    <row r="4163" spans="1:7" x14ac:dyDescent="0.25">
      <c r="A4163" s="1" t="str">
        <f t="shared" si="267"/>
        <v>545</v>
      </c>
      <c r="B4163" s="1" t="str">
        <f>TEXT(39,"00")</f>
        <v>39</v>
      </c>
      <c r="C4163" s="1" t="str">
        <f t="shared" ref="C4163:C4226" si="268">CONCATENATE(A4163,"-",B4163)</f>
        <v>545-39</v>
      </c>
      <c r="D4163" t="s">
        <v>4144</v>
      </c>
      <c r="E4163" t="b">
        <f>IF(COUNTIF(D4163,"*"&amp;'Keyword Search'!$C$5&amp;"*"),TRUE,FALSE)</f>
        <v>1</v>
      </c>
      <c r="G4163" t="str">
        <f t="shared" si="266"/>
        <v>545-39: Lifts, Platform: Telescoping and Laterally Powered, Including Capstones</v>
      </c>
    </row>
    <row r="4164" spans="1:7" x14ac:dyDescent="0.25">
      <c r="A4164" s="1" t="str">
        <f t="shared" si="267"/>
        <v>545</v>
      </c>
      <c r="B4164" s="1" t="str">
        <f>TEXT(40,"00")</f>
        <v>40</v>
      </c>
      <c r="C4164" s="1" t="str">
        <f t="shared" si="268"/>
        <v>545-40</v>
      </c>
      <c r="D4164" t="s">
        <v>4145</v>
      </c>
      <c r="E4164" t="b">
        <f>IF(COUNTIF(D4164,"*"&amp;'Keyword Search'!$C$5&amp;"*"),TRUE,FALSE)</f>
        <v>1</v>
      </c>
      <c r="G4164" t="str">
        <f t="shared" ref="G4164:G4227" si="269">CONCATENATE(C4164,": ",D4164)</f>
        <v>545-40: Machines, Roofing: Roof Scratchers, Rotary Spudders, etc.</v>
      </c>
    </row>
    <row r="4165" spans="1:7" x14ac:dyDescent="0.25">
      <c r="A4165" s="1" t="str">
        <f t="shared" si="267"/>
        <v>545</v>
      </c>
      <c r="B4165" s="1" t="str">
        <f>TEXT(41,"00")</f>
        <v>41</v>
      </c>
      <c r="C4165" s="1" t="str">
        <f t="shared" si="268"/>
        <v>545-41</v>
      </c>
      <c r="D4165" t="s">
        <v>4146</v>
      </c>
      <c r="E4165" t="b">
        <f>IF(COUNTIF(D4165,"*"&amp;'Keyword Search'!$C$5&amp;"*"),TRUE,FALSE)</f>
        <v>1</v>
      </c>
      <c r="G4165" t="str">
        <f t="shared" si="269"/>
        <v>545-41: Machine Work Station Center and Components: Tool Changing, Transfer, and Way-Type Machines</v>
      </c>
    </row>
    <row r="4166" spans="1:7" x14ac:dyDescent="0.25">
      <c r="A4166" s="1" t="str">
        <f t="shared" si="267"/>
        <v>545</v>
      </c>
      <c r="B4166" s="1" t="str">
        <f>TEXT(42,"00")</f>
        <v>42</v>
      </c>
      <c r="C4166" s="1" t="str">
        <f t="shared" si="268"/>
        <v>545-42</v>
      </c>
      <c r="D4166" t="s">
        <v>4147</v>
      </c>
      <c r="E4166" t="b">
        <f>IF(COUNTIF(D4166,"*"&amp;'Keyword Search'!$C$5&amp;"*"),TRUE,FALSE)</f>
        <v>1</v>
      </c>
      <c r="G4166" t="str">
        <f t="shared" si="269"/>
        <v>545-42: Masonry Saws and Blades (See Class 755 for Road and Highway Concrete Saws)</v>
      </c>
    </row>
    <row r="4167" spans="1:7" x14ac:dyDescent="0.25">
      <c r="A4167" s="1" t="str">
        <f t="shared" si="267"/>
        <v>545</v>
      </c>
      <c r="B4167" s="1" t="str">
        <f>TEXT(43,"00")</f>
        <v>43</v>
      </c>
      <c r="C4167" s="1" t="str">
        <f t="shared" si="268"/>
        <v>545-43</v>
      </c>
      <c r="D4167" t="s">
        <v>4148</v>
      </c>
      <c r="E4167" t="b">
        <f>IF(COUNTIF(D4167,"*"&amp;'Keyword Search'!$C$5&amp;"*"),TRUE,FALSE)</f>
        <v>1</v>
      </c>
      <c r="G4167" t="str">
        <f t="shared" si="269"/>
        <v>545-43: Metal Electroplating Machine, Including Parts and Accessories</v>
      </c>
    </row>
    <row r="4168" spans="1:7" x14ac:dyDescent="0.25">
      <c r="A4168" s="1" t="str">
        <f t="shared" si="267"/>
        <v>545</v>
      </c>
      <c r="B4168" s="1" t="str">
        <f>TEXT(44,"00")</f>
        <v>44</v>
      </c>
      <c r="C4168" s="1" t="str">
        <f t="shared" si="268"/>
        <v>545-44</v>
      </c>
      <c r="D4168" t="s">
        <v>4149</v>
      </c>
      <c r="E4168" t="b">
        <f>IF(COUNTIF(D4168,"*"&amp;'Keyword Search'!$C$5&amp;"*"),TRUE,FALSE)</f>
        <v>1</v>
      </c>
      <c r="G4168" t="str">
        <f t="shared" si="269"/>
        <v>545-44: *Manufacturing and Processing Equipment, (Not Otherwise Classified)</v>
      </c>
    </row>
    <row r="4169" spans="1:7" x14ac:dyDescent="0.25">
      <c r="A4169" s="1" t="str">
        <f t="shared" si="267"/>
        <v>545</v>
      </c>
      <c r="B4169" s="1" t="str">
        <f>TEXT(45,"00")</f>
        <v>45</v>
      </c>
      <c r="C4169" s="1" t="str">
        <f t="shared" si="268"/>
        <v>545-45</v>
      </c>
      <c r="D4169" t="s">
        <v>4150</v>
      </c>
      <c r="E4169" t="b">
        <f>IF(COUNTIF(D4169,"*"&amp;'Keyword Search'!$C$5&amp;"*"),TRUE,FALSE)</f>
        <v>1</v>
      </c>
      <c r="G4169" t="str">
        <f t="shared" si="269"/>
        <v>545-45: Metalworking Machines and Tools: Portable and Stationary, (Not Otherwise Classified)</v>
      </c>
    </row>
    <row r="4170" spans="1:7" x14ac:dyDescent="0.25">
      <c r="A4170" s="1" t="str">
        <f t="shared" si="267"/>
        <v>545</v>
      </c>
      <c r="B4170" s="1" t="str">
        <f>TEXT(46,"00")</f>
        <v>46</v>
      </c>
      <c r="C4170" s="1" t="str">
        <f t="shared" si="268"/>
        <v>545-46</v>
      </c>
      <c r="D4170" t="s">
        <v>4151</v>
      </c>
      <c r="E4170" t="b">
        <f>IF(COUNTIF(D4170,"*"&amp;'Keyword Search'!$C$5&amp;"*"),TRUE,FALSE)</f>
        <v>1</v>
      </c>
      <c r="G4170" t="str">
        <f t="shared" si="269"/>
        <v>545-46: Mills, Iron and Steel</v>
      </c>
    </row>
    <row r="4171" spans="1:7" x14ac:dyDescent="0.25">
      <c r="A4171" s="1" t="str">
        <f t="shared" si="267"/>
        <v>545</v>
      </c>
      <c r="B4171" s="1" t="str">
        <f>TEXT(47,"00")</f>
        <v>47</v>
      </c>
      <c r="C4171" s="1" t="str">
        <f t="shared" si="268"/>
        <v>545-47</v>
      </c>
      <c r="D4171" t="s">
        <v>4152</v>
      </c>
      <c r="E4171" t="b">
        <f>IF(COUNTIF(D4171,"*"&amp;'Keyword Search'!$C$5&amp;"*"),TRUE,FALSE)</f>
        <v>1</v>
      </c>
      <c r="G4171" t="str">
        <f t="shared" si="269"/>
        <v>545-47: Mining Machinery and Equipment (See 545-51 for Oil and Gas Equip.)</v>
      </c>
    </row>
    <row r="4172" spans="1:7" x14ac:dyDescent="0.25">
      <c r="A4172" s="1" t="str">
        <f t="shared" si="267"/>
        <v>545</v>
      </c>
      <c r="B4172" s="1" t="str">
        <f>TEXT(48,"00")</f>
        <v>48</v>
      </c>
      <c r="C4172" s="1" t="str">
        <f t="shared" si="268"/>
        <v>545-48</v>
      </c>
      <c r="D4172" t="s">
        <v>4153</v>
      </c>
      <c r="E4172" t="b">
        <f>IF(COUNTIF(D4172,"*"&amp;'Keyword Search'!$C$5&amp;"*"),TRUE,FALSE)</f>
        <v>1</v>
      </c>
      <c r="G4172" t="str">
        <f t="shared" si="269"/>
        <v>545-48: Milling Machines</v>
      </c>
    </row>
    <row r="4173" spans="1:7" x14ac:dyDescent="0.25">
      <c r="A4173" s="1" t="str">
        <f t="shared" si="267"/>
        <v>545</v>
      </c>
      <c r="B4173" s="1" t="str">
        <f>TEXT(49,"00")</f>
        <v>49</v>
      </c>
      <c r="C4173" s="1" t="str">
        <f t="shared" si="268"/>
        <v>545-49</v>
      </c>
      <c r="D4173" t="s">
        <v>4154</v>
      </c>
      <c r="E4173" t="b">
        <f>IF(COUNTIF(D4173,"*"&amp;'Keyword Search'!$C$5&amp;"*"),TRUE,FALSE)</f>
        <v>1</v>
      </c>
      <c r="G4173" t="str">
        <f t="shared" si="269"/>
        <v>545-49: Motors and Engines, Industrial, All Types, Not Automotive, Lawn or Marine, Including Parts and Accessories</v>
      </c>
    </row>
    <row r="4174" spans="1:7" x14ac:dyDescent="0.25">
      <c r="A4174" s="1" t="str">
        <f t="shared" si="267"/>
        <v>545</v>
      </c>
      <c r="B4174" s="1" t="str">
        <f>TEXT(50,"00")</f>
        <v>50</v>
      </c>
      <c r="C4174" s="1" t="str">
        <f t="shared" si="268"/>
        <v>545-50</v>
      </c>
      <c r="D4174" t="s">
        <v>4155</v>
      </c>
      <c r="E4174" t="b">
        <f>IF(COUNTIF(D4174,"*"&amp;'Keyword Search'!$C$5&amp;"*"),TRUE,FALSE)</f>
        <v>1</v>
      </c>
      <c r="G4174" t="str">
        <f t="shared" si="269"/>
        <v>545-50: Pulp and Paper Industries Machinery</v>
      </c>
    </row>
    <row r="4175" spans="1:7" x14ac:dyDescent="0.25">
      <c r="A4175" s="1" t="str">
        <f t="shared" si="267"/>
        <v>545</v>
      </c>
      <c r="B4175" s="1" t="str">
        <f>TEXT(51,"00")</f>
        <v>51</v>
      </c>
      <c r="C4175" s="1" t="str">
        <f t="shared" si="268"/>
        <v>545-51</v>
      </c>
      <c r="D4175" t="s">
        <v>4156</v>
      </c>
      <c r="E4175" t="b">
        <f>IF(COUNTIF(D4175,"*"&amp;'Keyword Search'!$C$5&amp;"*"),TRUE,FALSE)</f>
        <v>1</v>
      </c>
      <c r="G4175" t="str">
        <f t="shared" si="269"/>
        <v>545-51: Oil and Gas Machinery and Equipment: Drilling Rigs, etc.</v>
      </c>
    </row>
    <row r="4176" spans="1:7" x14ac:dyDescent="0.25">
      <c r="A4176" s="1" t="str">
        <f t="shared" si="267"/>
        <v>545</v>
      </c>
      <c r="B4176" s="1" t="str">
        <f>TEXT(52,"00")</f>
        <v>52</v>
      </c>
      <c r="C4176" s="1" t="str">
        <f t="shared" si="268"/>
        <v>545-52</v>
      </c>
      <c r="D4176" t="s">
        <v>4157</v>
      </c>
      <c r="E4176" t="b">
        <f>IF(COUNTIF(D4176,"*"&amp;'Keyword Search'!$C$5&amp;"*"),TRUE,FALSE)</f>
        <v>1</v>
      </c>
      <c r="G4176" t="str">
        <f t="shared" si="269"/>
        <v>545-52: Oil Spillage Containment, Purification, and Recovery Equipment</v>
      </c>
    </row>
    <row r="4177" spans="1:7" x14ac:dyDescent="0.25">
      <c r="A4177" s="1" t="str">
        <f t="shared" si="267"/>
        <v>545</v>
      </c>
      <c r="B4177" s="1" t="str">
        <f>TEXT(53,"00")</f>
        <v>53</v>
      </c>
      <c r="C4177" s="1" t="str">
        <f t="shared" si="268"/>
        <v>545-53</v>
      </c>
      <c r="D4177" t="s">
        <v>4158</v>
      </c>
      <c r="E4177" t="b">
        <f>IF(COUNTIF(D4177,"*"&amp;'Keyword Search'!$C$5&amp;"*"),TRUE,FALSE)</f>
        <v>1</v>
      </c>
      <c r="G4177" t="str">
        <f t="shared" si="269"/>
        <v>545-53: Ovens, Industrial Process and Heat Cleaning</v>
      </c>
    </row>
    <row r="4178" spans="1:7" x14ac:dyDescent="0.25">
      <c r="A4178" s="1" t="str">
        <f t="shared" si="267"/>
        <v>545</v>
      </c>
      <c r="B4178" s="1" t="str">
        <f>TEXT(54,"00")</f>
        <v>54</v>
      </c>
      <c r="C4178" s="1" t="str">
        <f t="shared" si="268"/>
        <v>545-54</v>
      </c>
      <c r="D4178" t="s">
        <v>4159</v>
      </c>
      <c r="E4178" t="b">
        <f>IF(COUNTIF(D4178,"*"&amp;'Keyword Search'!$C$5&amp;"*"),TRUE,FALSE)</f>
        <v>1</v>
      </c>
      <c r="G4178" t="str">
        <f t="shared" si="269"/>
        <v>545-54: Planers, Electric</v>
      </c>
    </row>
    <row r="4179" spans="1:7" x14ac:dyDescent="0.25">
      <c r="A4179" s="1" t="str">
        <f t="shared" si="267"/>
        <v>545</v>
      </c>
      <c r="B4179" s="1" t="str">
        <f>TEXT(55,"00")</f>
        <v>55</v>
      </c>
      <c r="C4179" s="1" t="str">
        <f t="shared" si="268"/>
        <v>545-55</v>
      </c>
      <c r="D4179" t="s">
        <v>4160</v>
      </c>
      <c r="E4179" t="b">
        <f>IF(COUNTIF(D4179,"*"&amp;'Keyword Search'!$C$5&amp;"*"),TRUE,FALSE)</f>
        <v>1</v>
      </c>
      <c r="G4179" t="str">
        <f t="shared" si="269"/>
        <v>545-55: Pollution Detection and Control Equipment, Other Than Oil Spill</v>
      </c>
    </row>
    <row r="4180" spans="1:7" x14ac:dyDescent="0.25">
      <c r="A4180" s="1" t="str">
        <f t="shared" si="267"/>
        <v>545</v>
      </c>
      <c r="B4180" s="1" t="str">
        <f>TEXT(56,"00")</f>
        <v>56</v>
      </c>
      <c r="C4180" s="1" t="str">
        <f t="shared" si="268"/>
        <v>545-56</v>
      </c>
      <c r="D4180" t="s">
        <v>4161</v>
      </c>
      <c r="E4180" t="b">
        <f>IF(COUNTIF(D4180,"*"&amp;'Keyword Search'!$C$5&amp;"*"),TRUE,FALSE)</f>
        <v>1</v>
      </c>
      <c r="G4180" t="str">
        <f t="shared" si="269"/>
        <v>545-56: Post Straighteners and Pullers, Hydraulic</v>
      </c>
    </row>
    <row r="4181" spans="1:7" x14ac:dyDescent="0.25">
      <c r="A4181" s="1" t="str">
        <f t="shared" si="267"/>
        <v>545</v>
      </c>
      <c r="B4181" s="1" t="str">
        <f>TEXT(57,"00")</f>
        <v>57</v>
      </c>
      <c r="C4181" s="1" t="str">
        <f t="shared" si="268"/>
        <v>545-57</v>
      </c>
      <c r="D4181" t="s">
        <v>4162</v>
      </c>
      <c r="E4181" t="b">
        <f>IF(COUNTIF(D4181,"*"&amp;'Keyword Search'!$C$5&amp;"*"),TRUE,FALSE)</f>
        <v>1</v>
      </c>
      <c r="G4181" t="str">
        <f t="shared" si="269"/>
        <v>545-57: Posthole Diggers and Earth Drills, Powered, Portable</v>
      </c>
    </row>
    <row r="4182" spans="1:7" x14ac:dyDescent="0.25">
      <c r="A4182" s="1" t="str">
        <f t="shared" si="267"/>
        <v>545</v>
      </c>
      <c r="B4182" s="1" t="str">
        <f>TEXT(58,"00")</f>
        <v>58</v>
      </c>
      <c r="C4182" s="1" t="str">
        <f t="shared" si="268"/>
        <v>545-58</v>
      </c>
      <c r="D4182" t="s">
        <v>4163</v>
      </c>
      <c r="E4182" t="b">
        <f>IF(COUNTIF(D4182,"*"&amp;'Keyword Search'!$C$5&amp;"*"),TRUE,FALSE)</f>
        <v>1</v>
      </c>
      <c r="G4182" t="str">
        <f t="shared" si="269"/>
        <v>545-58: Presses, All Capacities (Not Wastepaper or Other Paper Material)</v>
      </c>
    </row>
    <row r="4183" spans="1:7" x14ac:dyDescent="0.25">
      <c r="A4183" s="1" t="str">
        <f t="shared" si="267"/>
        <v>545</v>
      </c>
      <c r="B4183" s="1" t="str">
        <f>TEXT(59,"00")</f>
        <v>59</v>
      </c>
      <c r="C4183" s="1" t="str">
        <f t="shared" si="268"/>
        <v>545-59</v>
      </c>
      <c r="D4183" t="s">
        <v>4164</v>
      </c>
      <c r="E4183" t="b">
        <f>IF(COUNTIF(D4183,"*"&amp;'Keyword Search'!$C$5&amp;"*"),TRUE,FALSE)</f>
        <v>1</v>
      </c>
      <c r="G4183" t="str">
        <f t="shared" si="269"/>
        <v>545-59: Production Type Impregnation Equipment, Not for Clothing Impregnation</v>
      </c>
    </row>
    <row r="4184" spans="1:7" x14ac:dyDescent="0.25">
      <c r="A4184" s="1" t="str">
        <f t="shared" si="267"/>
        <v>545</v>
      </c>
      <c r="B4184" s="1" t="str">
        <f>TEXT(60,"00")</f>
        <v>60</v>
      </c>
      <c r="C4184" s="1" t="str">
        <f t="shared" si="268"/>
        <v>545-60</v>
      </c>
      <c r="D4184" t="s">
        <v>4165</v>
      </c>
      <c r="E4184" t="b">
        <f>IF(COUNTIF(D4184,"*"&amp;'Keyword Search'!$C$5&amp;"*"),TRUE,FALSE)</f>
        <v>1</v>
      </c>
      <c r="G4184" t="str">
        <f t="shared" si="269"/>
        <v>545-60: Presses: Wastepaper or Other Material, Not Automotive or Printing</v>
      </c>
    </row>
    <row r="4185" spans="1:7" x14ac:dyDescent="0.25">
      <c r="A4185" s="1" t="str">
        <f t="shared" si="267"/>
        <v>545</v>
      </c>
      <c r="B4185" s="1" t="str">
        <f>TEXT(61,"00")</f>
        <v>61</v>
      </c>
      <c r="C4185" s="1" t="str">
        <f t="shared" si="268"/>
        <v>545-61</v>
      </c>
      <c r="D4185" t="s">
        <v>4166</v>
      </c>
      <c r="E4185" t="b">
        <f>IF(COUNTIF(D4185,"*"&amp;'Keyword Search'!$C$5&amp;"*"),TRUE,FALSE)</f>
        <v>1</v>
      </c>
      <c r="G4185" t="str">
        <f t="shared" si="269"/>
        <v>545-61: Refuse and Garbage Burning Equipment</v>
      </c>
    </row>
    <row r="4186" spans="1:7" x14ac:dyDescent="0.25">
      <c r="A4186" s="1" t="str">
        <f t="shared" si="267"/>
        <v>545</v>
      </c>
      <c r="B4186" s="1" t="str">
        <f>TEXT(62,"00")</f>
        <v>62</v>
      </c>
      <c r="C4186" s="1" t="str">
        <f t="shared" si="268"/>
        <v>545-62</v>
      </c>
      <c r="D4186" t="s">
        <v>4167</v>
      </c>
      <c r="E4186" t="b">
        <f>IF(COUNTIF(D4186,"*"&amp;'Keyword Search'!$C$5&amp;"*"),TRUE,FALSE)</f>
        <v>1</v>
      </c>
      <c r="G4186" t="str">
        <f t="shared" si="269"/>
        <v>545-62: Routers, Air and Pneumatic</v>
      </c>
    </row>
    <row r="4187" spans="1:7" x14ac:dyDescent="0.25">
      <c r="A4187" s="1" t="str">
        <f t="shared" si="267"/>
        <v>545</v>
      </c>
      <c r="B4187" s="1" t="str">
        <f>TEXT(63,"00")</f>
        <v>63</v>
      </c>
      <c r="C4187" s="1" t="str">
        <f t="shared" si="268"/>
        <v>545-63</v>
      </c>
      <c r="D4187" t="s">
        <v>4168</v>
      </c>
      <c r="E4187" t="b">
        <f>IF(COUNTIF(D4187,"*"&amp;'Keyword Search'!$C$5&amp;"*"),TRUE,FALSE)</f>
        <v>1</v>
      </c>
      <c r="G4187" t="str">
        <f t="shared" si="269"/>
        <v>545-63: Routers, Electric</v>
      </c>
    </row>
    <row r="4188" spans="1:7" x14ac:dyDescent="0.25">
      <c r="A4188" s="1" t="str">
        <f t="shared" si="267"/>
        <v>545</v>
      </c>
      <c r="B4188" s="1" t="str">
        <f>TEXT(64,"00")</f>
        <v>64</v>
      </c>
      <c r="C4188" s="1" t="str">
        <f t="shared" si="268"/>
        <v>545-64</v>
      </c>
      <c r="D4188" t="s">
        <v>4169</v>
      </c>
      <c r="E4188" t="b">
        <f>IF(COUNTIF(D4188,"*"&amp;'Keyword Search'!$C$5&amp;"*"),TRUE,FALSE)</f>
        <v>1</v>
      </c>
      <c r="G4188" t="str">
        <f t="shared" si="269"/>
        <v>545-64: Rubber Processing and Working Equipment</v>
      </c>
    </row>
    <row r="4189" spans="1:7" x14ac:dyDescent="0.25">
      <c r="A4189" s="1" t="str">
        <f t="shared" si="267"/>
        <v>545</v>
      </c>
      <c r="B4189" s="1" t="str">
        <f>TEXT(65,"00")</f>
        <v>65</v>
      </c>
      <c r="C4189" s="1" t="str">
        <f t="shared" si="268"/>
        <v>545-65</v>
      </c>
      <c r="D4189" t="s">
        <v>4170</v>
      </c>
      <c r="E4189" t="b">
        <f>IF(COUNTIF(D4189,"*"&amp;'Keyword Search'!$C$5&amp;"*"),TRUE,FALSE)</f>
        <v>1</v>
      </c>
      <c r="G4189" t="str">
        <f t="shared" si="269"/>
        <v>545-65: Salt Brine Production Equipment</v>
      </c>
    </row>
    <row r="4190" spans="1:7" x14ac:dyDescent="0.25">
      <c r="A4190" s="1" t="str">
        <f t="shared" si="267"/>
        <v>545</v>
      </c>
      <c r="B4190" s="1" t="str">
        <f>TEXT(66,"00")</f>
        <v>66</v>
      </c>
      <c r="C4190" s="1" t="str">
        <f t="shared" si="268"/>
        <v>545-66</v>
      </c>
      <c r="D4190" t="s">
        <v>4171</v>
      </c>
      <c r="E4190" t="b">
        <f>IF(COUNTIF(D4190,"*"&amp;'Keyword Search'!$C$5&amp;"*"),TRUE,FALSE)</f>
        <v>1</v>
      </c>
      <c r="G4190" t="str">
        <f t="shared" si="269"/>
        <v>545-66: Sandblasting Equipment, Including Parts and Accessories</v>
      </c>
    </row>
    <row r="4191" spans="1:7" x14ac:dyDescent="0.25">
      <c r="A4191" s="1" t="str">
        <f t="shared" si="267"/>
        <v>545</v>
      </c>
      <c r="B4191" s="1" t="str">
        <f>TEXT(69,"00")</f>
        <v>69</v>
      </c>
      <c r="C4191" s="1" t="str">
        <f t="shared" si="268"/>
        <v>545-69</v>
      </c>
      <c r="D4191" t="s">
        <v>4172</v>
      </c>
      <c r="E4191" t="b">
        <f>IF(COUNTIF(D4191,"*"&amp;'Keyword Search'!$C$5&amp;"*"),TRUE,FALSE)</f>
        <v>1</v>
      </c>
      <c r="G4191" t="str">
        <f t="shared" si="269"/>
        <v>545-69: Sanders, Bench or Portable: Belt, Disc, and Finishing</v>
      </c>
    </row>
    <row r="4192" spans="1:7" x14ac:dyDescent="0.25">
      <c r="A4192" s="1" t="str">
        <f t="shared" ref="A4192:A4214" si="270">TEXT(545,"000")</f>
        <v>545</v>
      </c>
      <c r="B4192" s="1" t="str">
        <f>TEXT(75,"00")</f>
        <v>75</v>
      </c>
      <c r="C4192" s="1" t="str">
        <f t="shared" si="268"/>
        <v>545-75</v>
      </c>
      <c r="D4192" t="s">
        <v>4173</v>
      </c>
      <c r="E4192" t="b">
        <f>IF(COUNTIF(D4192,"*"&amp;'Keyword Search'!$C$5&amp;"*"),TRUE,FALSE)</f>
        <v>1</v>
      </c>
      <c r="G4192" t="str">
        <f t="shared" si="269"/>
        <v>545-75: Saws, Stationary, Powered: Band, Bench, Electric, Scroll, Radial Arm, Table, Veneer, etc. (See 755-65 for Concrete Saws)</v>
      </c>
    </row>
    <row r="4193" spans="1:7" x14ac:dyDescent="0.25">
      <c r="A4193" s="1" t="str">
        <f t="shared" si="270"/>
        <v>545</v>
      </c>
      <c r="B4193" s="1" t="str">
        <f>TEXT(76,"00")</f>
        <v>76</v>
      </c>
      <c r="C4193" s="1" t="str">
        <f t="shared" si="268"/>
        <v>545-76</v>
      </c>
      <c r="D4193" t="s">
        <v>4174</v>
      </c>
      <c r="E4193" t="b">
        <f>IF(COUNTIF(D4193,"*"&amp;'Keyword Search'!$C$5&amp;"*"),TRUE,FALSE)</f>
        <v>1</v>
      </c>
      <c r="G4193" t="str">
        <f t="shared" si="269"/>
        <v>545-76: Soil Measuring Equipment, (Not Otherwise Classified)</v>
      </c>
    </row>
    <row r="4194" spans="1:7" x14ac:dyDescent="0.25">
      <c r="A4194" s="1" t="str">
        <f t="shared" si="270"/>
        <v>545</v>
      </c>
      <c r="B4194" s="1" t="str">
        <f>TEXT(77,"00")</f>
        <v>77</v>
      </c>
      <c r="C4194" s="1" t="str">
        <f t="shared" si="268"/>
        <v>545-77</v>
      </c>
      <c r="D4194" t="s">
        <v>4175</v>
      </c>
      <c r="E4194" t="b">
        <f>IF(COUNTIF(D4194,"*"&amp;'Keyword Search'!$C$5&amp;"*"),TRUE,FALSE)</f>
        <v>1</v>
      </c>
      <c r="G4194" t="str">
        <f t="shared" si="269"/>
        <v>545-77: Spindle Centering Machine, Single</v>
      </c>
    </row>
    <row r="4195" spans="1:7" x14ac:dyDescent="0.25">
      <c r="A4195" s="1" t="str">
        <f t="shared" si="270"/>
        <v>545</v>
      </c>
      <c r="B4195" s="1" t="str">
        <f>TEXT(78,"00")</f>
        <v>78</v>
      </c>
      <c r="C4195" s="1" t="str">
        <f t="shared" si="268"/>
        <v>545-78</v>
      </c>
      <c r="D4195" t="s">
        <v>4176</v>
      </c>
      <c r="E4195" t="b">
        <f>IF(COUNTIF(D4195,"*"&amp;'Keyword Search'!$C$5&amp;"*"),TRUE,FALSE)</f>
        <v>1</v>
      </c>
      <c r="G4195" t="str">
        <f t="shared" si="269"/>
        <v>545-78: Shapers, Jointers, and Banders: Wood</v>
      </c>
    </row>
    <row r="4196" spans="1:7" x14ac:dyDescent="0.25">
      <c r="A4196" s="1" t="str">
        <f t="shared" si="270"/>
        <v>545</v>
      </c>
      <c r="B4196" s="1" t="str">
        <f>TEXT(79,"00")</f>
        <v>79</v>
      </c>
      <c r="C4196" s="1" t="str">
        <f t="shared" si="268"/>
        <v>545-79</v>
      </c>
      <c r="D4196" t="s">
        <v>4177</v>
      </c>
      <c r="E4196" t="b">
        <f>IF(COUNTIF(D4196,"*"&amp;'Keyword Search'!$C$5&amp;"*"),TRUE,FALSE)</f>
        <v>1</v>
      </c>
      <c r="G4196" t="str">
        <f t="shared" si="269"/>
        <v>545-79: Springs: Coil and Leaf. Industrial</v>
      </c>
    </row>
    <row r="4197" spans="1:7" x14ac:dyDescent="0.25">
      <c r="A4197" s="1" t="str">
        <f t="shared" si="270"/>
        <v>545</v>
      </c>
      <c r="B4197" s="1" t="str">
        <f>TEXT(80,"00")</f>
        <v>80</v>
      </c>
      <c r="C4197" s="1" t="str">
        <f t="shared" si="268"/>
        <v>545-80</v>
      </c>
      <c r="D4197" t="s">
        <v>4178</v>
      </c>
      <c r="E4197" t="b">
        <f>IF(COUNTIF(D4197,"*"&amp;'Keyword Search'!$C$5&amp;"*"),TRUE,FALSE)</f>
        <v>1</v>
      </c>
      <c r="G4197" t="str">
        <f t="shared" si="269"/>
        <v>545-80: Shield, Trench, Worker Protection</v>
      </c>
    </row>
    <row r="4198" spans="1:7" x14ac:dyDescent="0.25">
      <c r="A4198" s="1" t="str">
        <f t="shared" si="270"/>
        <v>545</v>
      </c>
      <c r="B4198" s="1" t="str">
        <f>TEXT(81,"00")</f>
        <v>81</v>
      </c>
      <c r="C4198" s="1" t="str">
        <f t="shared" si="268"/>
        <v>545-81</v>
      </c>
      <c r="D4198" t="s">
        <v>4179</v>
      </c>
      <c r="E4198" t="b">
        <f>IF(COUNTIF(D4198,"*"&amp;'Keyword Search'!$C$5&amp;"*"),TRUE,FALSE)</f>
        <v>1</v>
      </c>
      <c r="G4198" t="str">
        <f t="shared" si="269"/>
        <v>545-81: Sharpeners: Lawn Mower, Saw, etc.</v>
      </c>
    </row>
    <row r="4199" spans="1:7" x14ac:dyDescent="0.25">
      <c r="A4199" s="1" t="str">
        <f t="shared" si="270"/>
        <v>545</v>
      </c>
      <c r="B4199" s="1" t="str">
        <f>TEXT(82,"00")</f>
        <v>82</v>
      </c>
      <c r="C4199" s="1" t="str">
        <f t="shared" si="268"/>
        <v>545-82</v>
      </c>
      <c r="D4199" t="s">
        <v>4180</v>
      </c>
      <c r="E4199" t="b">
        <f>IF(COUNTIF(D4199,"*"&amp;'Keyword Search'!$C$5&amp;"*"),TRUE,FALSE)</f>
        <v>1</v>
      </c>
      <c r="G4199" t="str">
        <f t="shared" si="269"/>
        <v>545-82: Shredders: Metal, Wood</v>
      </c>
    </row>
    <row r="4200" spans="1:7" x14ac:dyDescent="0.25">
      <c r="A4200" s="1" t="str">
        <f t="shared" si="270"/>
        <v>545</v>
      </c>
      <c r="B4200" s="1" t="str">
        <f>TEXT(83,"00")</f>
        <v>83</v>
      </c>
      <c r="C4200" s="1" t="str">
        <f t="shared" si="268"/>
        <v>545-83</v>
      </c>
      <c r="D4200" t="s">
        <v>4181</v>
      </c>
      <c r="E4200" t="b">
        <f>IF(COUNTIF(D4200,"*"&amp;'Keyword Search'!$C$5&amp;"*"),TRUE,FALSE)</f>
        <v>1</v>
      </c>
      <c r="G4200" t="str">
        <f t="shared" si="269"/>
        <v>545-83: Shredders, Aerators, and Composters: Sludge</v>
      </c>
    </row>
    <row r="4201" spans="1:7" x14ac:dyDescent="0.25">
      <c r="A4201" s="1" t="str">
        <f t="shared" si="270"/>
        <v>545</v>
      </c>
      <c r="B4201" s="1" t="str">
        <f>TEXT(84,"00")</f>
        <v>84</v>
      </c>
      <c r="C4201" s="1" t="str">
        <f t="shared" si="268"/>
        <v>545-84</v>
      </c>
      <c r="D4201" t="s">
        <v>4182</v>
      </c>
      <c r="E4201" t="b">
        <f>IF(COUNTIF(D4201,"*"&amp;'Keyword Search'!$C$5&amp;"*"),TRUE,FALSE)</f>
        <v>1</v>
      </c>
      <c r="G4201" t="str">
        <f t="shared" si="269"/>
        <v>545-84: Shears, Metal</v>
      </c>
    </row>
    <row r="4202" spans="1:7" x14ac:dyDescent="0.25">
      <c r="A4202" s="1" t="str">
        <f t="shared" si="270"/>
        <v>545</v>
      </c>
      <c r="B4202" s="1" t="str">
        <f>TEXT(85,"00")</f>
        <v>85</v>
      </c>
      <c r="C4202" s="1" t="str">
        <f t="shared" si="268"/>
        <v>545-85</v>
      </c>
      <c r="D4202" t="s">
        <v>4183</v>
      </c>
      <c r="E4202" t="b">
        <f>IF(COUNTIF(D4202,"*"&amp;'Keyword Search'!$C$5&amp;"*"),TRUE,FALSE)</f>
        <v>1</v>
      </c>
      <c r="G4202" t="str">
        <f t="shared" si="269"/>
        <v>545-85: Tire Shredders</v>
      </c>
    </row>
    <row r="4203" spans="1:7" x14ac:dyDescent="0.25">
      <c r="A4203" s="1" t="str">
        <f t="shared" si="270"/>
        <v>545</v>
      </c>
      <c r="B4203" s="1" t="str">
        <f>TEXT(86,"00")</f>
        <v>86</v>
      </c>
      <c r="C4203" s="1" t="str">
        <f t="shared" si="268"/>
        <v>545-86</v>
      </c>
      <c r="D4203" t="s">
        <v>4184</v>
      </c>
      <c r="E4203" t="b">
        <f>IF(COUNTIF(D4203,"*"&amp;'Keyword Search'!$C$5&amp;"*"),TRUE,FALSE)</f>
        <v>1</v>
      </c>
      <c r="G4203" t="str">
        <f t="shared" si="269"/>
        <v>545-86: Trowlers, Concrete, Engine Driven</v>
      </c>
    </row>
    <row r="4204" spans="1:7" x14ac:dyDescent="0.25">
      <c r="A4204" s="1" t="str">
        <f t="shared" si="270"/>
        <v>545</v>
      </c>
      <c r="B4204" s="1" t="str">
        <f>TEXT(87,"00")</f>
        <v>87</v>
      </c>
      <c r="C4204" s="1" t="str">
        <f t="shared" si="268"/>
        <v>545-87</v>
      </c>
      <c r="D4204" t="s">
        <v>4185</v>
      </c>
      <c r="E4204" t="b">
        <f>IF(COUNTIF(D4204,"*"&amp;'Keyword Search'!$C$5&amp;"*"),TRUE,FALSE)</f>
        <v>1</v>
      </c>
      <c r="G4204" t="str">
        <f t="shared" si="269"/>
        <v>545-87: Windmills Including Parts and Accessories</v>
      </c>
    </row>
    <row r="4205" spans="1:7" x14ac:dyDescent="0.25">
      <c r="A4205" s="1" t="str">
        <f t="shared" si="270"/>
        <v>545</v>
      </c>
      <c r="B4205" s="1" t="str">
        <f>TEXT(88,"00")</f>
        <v>88</v>
      </c>
      <c r="C4205" s="1" t="str">
        <f t="shared" si="268"/>
        <v>545-88</v>
      </c>
      <c r="D4205" t="s">
        <v>4186</v>
      </c>
      <c r="E4205" t="b">
        <f>IF(COUNTIF(D4205,"*"&amp;'Keyword Search'!$C$5&amp;"*"),TRUE,FALSE)</f>
        <v>1</v>
      </c>
      <c r="G4205" t="str">
        <f t="shared" si="269"/>
        <v>545-88: Vacuum Cleaners and Dust Collectors for Hazardous Material</v>
      </c>
    </row>
    <row r="4206" spans="1:7" x14ac:dyDescent="0.25">
      <c r="A4206" s="1" t="str">
        <f t="shared" si="270"/>
        <v>545</v>
      </c>
      <c r="B4206" s="1" t="str">
        <f>TEXT(89,"00")</f>
        <v>89</v>
      </c>
      <c r="C4206" s="1" t="str">
        <f t="shared" si="268"/>
        <v>545-89</v>
      </c>
      <c r="D4206" t="s">
        <v>4187</v>
      </c>
      <c r="E4206" t="b">
        <f>IF(COUNTIF(D4206,"*"&amp;'Keyword Search'!$C$5&amp;"*"),TRUE,FALSE)</f>
        <v>1</v>
      </c>
      <c r="G4206" t="str">
        <f t="shared" si="269"/>
        <v>545-89: Vapor Extraction Equipment, Soil</v>
      </c>
    </row>
    <row r="4207" spans="1:7" x14ac:dyDescent="0.25">
      <c r="A4207" s="1" t="str">
        <f t="shared" si="270"/>
        <v>545</v>
      </c>
      <c r="B4207" s="1" t="str">
        <f>TEXT(90,"00")</f>
        <v>90</v>
      </c>
      <c r="C4207" s="1" t="str">
        <f t="shared" si="268"/>
        <v>545-90</v>
      </c>
      <c r="D4207" t="s">
        <v>4188</v>
      </c>
      <c r="E4207" t="b">
        <f>IF(COUNTIF(D4207,"*"&amp;'Keyword Search'!$C$5&amp;"*"),TRUE,FALSE)</f>
        <v>1</v>
      </c>
      <c r="G4207" t="str">
        <f t="shared" si="269"/>
        <v>545-90: Woodworking Machines and Tools: Portable and Stationary, (Not Otherwise Classified)</v>
      </c>
    </row>
    <row r="4208" spans="1:7" x14ac:dyDescent="0.25">
      <c r="A4208" s="1" t="str">
        <f t="shared" si="270"/>
        <v>545</v>
      </c>
      <c r="B4208" s="1" t="str">
        <f>TEXT(91,"00")</f>
        <v>91</v>
      </c>
      <c r="C4208" s="1" t="str">
        <f t="shared" si="268"/>
        <v>545-91</v>
      </c>
      <c r="D4208" t="s">
        <v>4189</v>
      </c>
      <c r="E4208" t="b">
        <f>IF(COUNTIF(D4208,"*"&amp;'Keyword Search'!$C$5&amp;"*"),TRUE,FALSE)</f>
        <v>1</v>
      </c>
      <c r="G4208" t="str">
        <f t="shared" si="269"/>
        <v>545-91: Wash System, Three-Stage, Industrial, Stainless Steel</v>
      </c>
    </row>
    <row r="4209" spans="1:7" x14ac:dyDescent="0.25">
      <c r="A4209" s="1" t="str">
        <f t="shared" si="270"/>
        <v>545</v>
      </c>
      <c r="B4209" s="1" t="str">
        <f>TEXT(92,"00")</f>
        <v>92</v>
      </c>
      <c r="C4209" s="1" t="str">
        <f t="shared" si="268"/>
        <v>545-92</v>
      </c>
      <c r="D4209" t="s">
        <v>4190</v>
      </c>
      <c r="E4209" t="b">
        <f>IF(COUNTIF(D4209,"*"&amp;'Keyword Search'!$C$5&amp;"*"),TRUE,FALSE)</f>
        <v>1</v>
      </c>
      <c r="G4209" t="str">
        <f t="shared" si="269"/>
        <v>545-92: Water Distillation Equipment: Marine and Industrial</v>
      </c>
    </row>
    <row r="4210" spans="1:7" x14ac:dyDescent="0.25">
      <c r="A4210" s="1" t="str">
        <f t="shared" si="270"/>
        <v>545</v>
      </c>
      <c r="B4210" s="1" t="str">
        <f>TEXT(93,"00")</f>
        <v>93</v>
      </c>
      <c r="C4210" s="1" t="str">
        <f t="shared" si="268"/>
        <v>545-93</v>
      </c>
      <c r="D4210" t="s">
        <v>4191</v>
      </c>
      <c r="E4210" t="b">
        <f>IF(COUNTIF(D4210,"*"&amp;'Keyword Search'!$C$5&amp;"*"),TRUE,FALSE)</f>
        <v>1</v>
      </c>
      <c r="G4210" t="str">
        <f t="shared" si="269"/>
        <v>545-93: Wire Dispenser Fabrication Equipment, Communication</v>
      </c>
    </row>
    <row r="4211" spans="1:7" x14ac:dyDescent="0.25">
      <c r="A4211" s="1" t="str">
        <f t="shared" si="270"/>
        <v>545</v>
      </c>
      <c r="B4211" s="1" t="str">
        <f>TEXT(94,"00")</f>
        <v>94</v>
      </c>
      <c r="C4211" s="1" t="str">
        <f t="shared" si="268"/>
        <v>545-94</v>
      </c>
      <c r="D4211" t="s">
        <v>4192</v>
      </c>
      <c r="E4211" t="b">
        <f>IF(COUNTIF(D4211,"*"&amp;'Keyword Search'!$C$5&amp;"*"),TRUE,FALSE)</f>
        <v>1</v>
      </c>
      <c r="G4211" t="str">
        <f t="shared" si="269"/>
        <v>545-94: Tunneling Equipment</v>
      </c>
    </row>
    <row r="4212" spans="1:7" x14ac:dyDescent="0.25">
      <c r="A4212" s="1" t="str">
        <f t="shared" si="270"/>
        <v>545</v>
      </c>
      <c r="B4212" s="1" t="str">
        <f>TEXT(95,"00")</f>
        <v>95</v>
      </c>
      <c r="C4212" s="1" t="str">
        <f t="shared" si="268"/>
        <v>545-95</v>
      </c>
      <c r="D4212" t="s">
        <v>4193</v>
      </c>
      <c r="E4212" t="b">
        <f>IF(COUNTIF(D4212,"*"&amp;'Keyword Search'!$C$5&amp;"*"),TRUE,FALSE)</f>
        <v>1</v>
      </c>
      <c r="G4212" t="str">
        <f t="shared" si="269"/>
        <v>545-95: Recycled Machinery and Hardware, Industrial</v>
      </c>
    </row>
    <row r="4213" spans="1:7" x14ac:dyDescent="0.25">
      <c r="A4213" s="1" t="str">
        <f t="shared" si="270"/>
        <v>545</v>
      </c>
      <c r="B4213" s="1" t="str">
        <f>TEXT(96,"00")</f>
        <v>96</v>
      </c>
      <c r="C4213" s="1" t="str">
        <f t="shared" si="268"/>
        <v>545-96</v>
      </c>
      <c r="D4213" t="s">
        <v>4194</v>
      </c>
      <c r="E4213" t="b">
        <f>IF(COUNTIF(D4213,"*"&amp;'Keyword Search'!$C$5&amp;"*"),TRUE,FALSE)</f>
        <v>1</v>
      </c>
      <c r="G4213" t="str">
        <f t="shared" si="269"/>
        <v>545-96: Water Well Drilling Equipment</v>
      </c>
    </row>
    <row r="4214" spans="1:7" x14ac:dyDescent="0.25">
      <c r="A4214" s="1" t="str">
        <f t="shared" si="270"/>
        <v>545</v>
      </c>
      <c r="B4214" s="1" t="str">
        <f>TEXT(97,"00")</f>
        <v>97</v>
      </c>
      <c r="C4214" s="1" t="str">
        <f t="shared" si="268"/>
        <v>545-97</v>
      </c>
      <c r="D4214" t="s">
        <v>4195</v>
      </c>
      <c r="E4214" t="b">
        <f>IF(COUNTIF(D4214,"*"&amp;'Keyword Search'!$C$5&amp;"*"),TRUE,FALSE)</f>
        <v>1</v>
      </c>
      <c r="G4214" t="str">
        <f t="shared" si="269"/>
        <v>545-97: Water, Potable (See 390-91 for Bottled Water)</v>
      </c>
    </row>
    <row r="4215" spans="1:7" x14ac:dyDescent="0.25">
      <c r="A4215" s="5" t="str">
        <f t="shared" ref="A4215:A4257" si="271">TEXT(550,"000")</f>
        <v>550</v>
      </c>
      <c r="B4215" s="5" t="str">
        <f>TEXT(0,"00")</f>
        <v>00</v>
      </c>
      <c r="C4215" s="1"/>
      <c r="D4215" s="2" t="s">
        <v>4196</v>
      </c>
    </row>
    <row r="4216" spans="1:7" x14ac:dyDescent="0.25">
      <c r="A4216" s="1" t="str">
        <f t="shared" si="271"/>
        <v>550</v>
      </c>
      <c r="B4216" s="1" t="str">
        <f>TEXT(4,"00")</f>
        <v>04</v>
      </c>
      <c r="C4216" s="1" t="str">
        <f t="shared" si="268"/>
        <v>550-04</v>
      </c>
      <c r="D4216" t="s">
        <v>4197</v>
      </c>
      <c r="E4216" t="b">
        <f>IF(COUNTIF(D4216,"*"&amp;'Keyword Search'!$C$5&amp;"*"),TRUE,FALSE)</f>
        <v>1</v>
      </c>
      <c r="G4216" t="str">
        <f t="shared" si="269"/>
        <v>550-04: Beads, Glass, Sign and Stripe</v>
      </c>
    </row>
    <row r="4217" spans="1:7" x14ac:dyDescent="0.25">
      <c r="A4217" s="1" t="str">
        <f t="shared" si="271"/>
        <v>550</v>
      </c>
      <c r="B4217" s="1" t="str">
        <f>TEXT(5,"00")</f>
        <v>05</v>
      </c>
      <c r="C4217" s="1" t="str">
        <f t="shared" si="268"/>
        <v>550-05</v>
      </c>
      <c r="D4217" t="s">
        <v>4198</v>
      </c>
      <c r="E4217" t="b">
        <f>IF(COUNTIF(D4217,"*"&amp;'Keyword Search'!$C$5&amp;"*"),TRUE,FALSE)</f>
        <v>1</v>
      </c>
      <c r="G4217" t="str">
        <f t="shared" si="269"/>
        <v>550-05: Beam and Barrier Handling Equipment</v>
      </c>
    </row>
    <row r="4218" spans="1:7" x14ac:dyDescent="0.25">
      <c r="A4218" s="1" t="str">
        <f t="shared" si="271"/>
        <v>550</v>
      </c>
      <c r="B4218" s="1" t="str">
        <f>TEXT(6,"00")</f>
        <v>06</v>
      </c>
      <c r="C4218" s="1" t="str">
        <f t="shared" si="268"/>
        <v>550-06</v>
      </c>
      <c r="D4218" t="s">
        <v>4199</v>
      </c>
      <c r="E4218" t="b">
        <f>IF(COUNTIF(D4218,"*"&amp;'Keyword Search'!$C$5&amp;"*"),TRUE,FALSE)</f>
        <v>1</v>
      </c>
      <c r="G4218" t="str">
        <f t="shared" si="269"/>
        <v>550-06: Gates, Bridge and Railroad Crossing</v>
      </c>
    </row>
    <row r="4219" spans="1:7" x14ac:dyDescent="0.25">
      <c r="A4219" s="1" t="str">
        <f t="shared" si="271"/>
        <v>550</v>
      </c>
      <c r="B4219" s="1" t="str">
        <f>TEXT(8,"00")</f>
        <v>08</v>
      </c>
      <c r="C4219" s="1" t="str">
        <f t="shared" si="268"/>
        <v>550-08</v>
      </c>
      <c r="D4219" t="s">
        <v>4200</v>
      </c>
      <c r="E4219" t="b">
        <f>IF(COUNTIF(D4219,"*"&amp;'Keyword Search'!$C$5&amp;"*"),TRUE,FALSE)</f>
        <v>1</v>
      </c>
      <c r="G4219" t="str">
        <f t="shared" si="269"/>
        <v>550-08: Buttons, Delineators, Reflectors, etc., Reflectorized</v>
      </c>
    </row>
    <row r="4220" spans="1:7" x14ac:dyDescent="0.25">
      <c r="A4220" s="1" t="str">
        <f t="shared" si="271"/>
        <v>550</v>
      </c>
      <c r="B4220" s="1" t="str">
        <f>TEXT(9,"00")</f>
        <v>09</v>
      </c>
      <c r="C4220" s="1" t="str">
        <f t="shared" si="268"/>
        <v>550-09</v>
      </c>
      <c r="D4220" t="s">
        <v>4201</v>
      </c>
      <c r="E4220" t="b">
        <f>IF(COUNTIF(D4220,"*"&amp;'Keyword Search'!$C$5&amp;"*"),TRUE,FALSE)</f>
        <v>1</v>
      </c>
      <c r="G4220" t="str">
        <f t="shared" si="269"/>
        <v>550-09: Cameras, Red Light (See Class 655 for other types)</v>
      </c>
    </row>
    <row r="4221" spans="1:7" x14ac:dyDescent="0.25">
      <c r="A4221" s="1" t="str">
        <f t="shared" si="271"/>
        <v>550</v>
      </c>
      <c r="B4221" s="1" t="str">
        <f>TEXT(10,"00")</f>
        <v>10</v>
      </c>
      <c r="C4221" s="1" t="str">
        <f t="shared" si="268"/>
        <v>550-10</v>
      </c>
      <c r="D4221" t="s">
        <v>4202</v>
      </c>
      <c r="E4221" t="b">
        <f>IF(COUNTIF(D4221,"*"&amp;'Keyword Search'!$C$5&amp;"*"),TRUE,FALSE)</f>
        <v>1</v>
      </c>
      <c r="G4221" t="str">
        <f t="shared" si="269"/>
        <v>550-10: Cement and Adhesives for Traffic Control Markers</v>
      </c>
    </row>
    <row r="4222" spans="1:7" x14ac:dyDescent="0.25">
      <c r="A4222" s="1" t="str">
        <f t="shared" si="271"/>
        <v>550</v>
      </c>
      <c r="B4222" s="1" t="str">
        <f>TEXT(12,"00")</f>
        <v>12</v>
      </c>
      <c r="C4222" s="1" t="str">
        <f t="shared" si="268"/>
        <v>550-12</v>
      </c>
      <c r="D4222" t="s">
        <v>4203</v>
      </c>
      <c r="E4222" t="b">
        <f>IF(COUNTIF(D4222,"*"&amp;'Keyword Search'!$C$5&amp;"*"),TRUE,FALSE)</f>
        <v>1</v>
      </c>
      <c r="G4222" t="str">
        <f t="shared" si="269"/>
        <v>550-12: Clamps and Bolts, U-Type, Large, For Highway Signs</v>
      </c>
    </row>
    <row r="4223" spans="1:7" x14ac:dyDescent="0.25">
      <c r="A4223" s="1" t="str">
        <f t="shared" si="271"/>
        <v>550</v>
      </c>
      <c r="B4223" s="1" t="str">
        <f>TEXT(14,"00")</f>
        <v>14</v>
      </c>
      <c r="C4223" s="1" t="str">
        <f t="shared" si="268"/>
        <v>550-14</v>
      </c>
      <c r="D4223" t="s">
        <v>4204</v>
      </c>
      <c r="E4223" t="b">
        <f>IF(COUNTIF(D4223,"*"&amp;'Keyword Search'!$C$5&amp;"*"),TRUE,FALSE)</f>
        <v>1</v>
      </c>
      <c r="G4223" t="str">
        <f t="shared" si="269"/>
        <v>550-14: Early Warning System, Engine Powered, Trailer Mounted Or for Truck Mounting</v>
      </c>
    </row>
    <row r="4224" spans="1:7" x14ac:dyDescent="0.25">
      <c r="A4224" s="1" t="str">
        <f t="shared" si="271"/>
        <v>550</v>
      </c>
      <c r="B4224" s="1" t="str">
        <f>TEXT(17,"00")</f>
        <v>17</v>
      </c>
      <c r="C4224" s="1" t="str">
        <f t="shared" si="268"/>
        <v>550-17</v>
      </c>
      <c r="D4224" t="s">
        <v>4205</v>
      </c>
      <c r="E4224" t="b">
        <f>IF(COUNTIF(D4224,"*"&amp;'Keyword Search'!$C$5&amp;"*"),TRUE,FALSE)</f>
        <v>1</v>
      </c>
      <c r="G4224" t="str">
        <f t="shared" si="269"/>
        <v>550-17: Encapsulate, Traffic Loop Detector</v>
      </c>
    </row>
    <row r="4225" spans="1:7" x14ac:dyDescent="0.25">
      <c r="A4225" s="1" t="str">
        <f t="shared" si="271"/>
        <v>550</v>
      </c>
      <c r="B4225" s="1" t="str">
        <f>TEXT(20,"00")</f>
        <v>20</v>
      </c>
      <c r="C4225" s="1" t="str">
        <f t="shared" si="268"/>
        <v>550-20</v>
      </c>
      <c r="D4225" t="s">
        <v>4206</v>
      </c>
      <c r="E4225" t="b">
        <f>IF(COUNTIF(D4225,"*"&amp;'Keyword Search'!$C$5&amp;"*"),TRUE,FALSE)</f>
        <v>1</v>
      </c>
      <c r="G4225" t="str">
        <f t="shared" si="269"/>
        <v>550-20: Flares and Fuses</v>
      </c>
    </row>
    <row r="4226" spans="1:7" x14ac:dyDescent="0.25">
      <c r="A4226" s="1" t="str">
        <f t="shared" si="271"/>
        <v>550</v>
      </c>
      <c r="B4226" s="1" t="str">
        <f>TEXT(22,"00")</f>
        <v>22</v>
      </c>
      <c r="C4226" s="1" t="str">
        <f t="shared" si="268"/>
        <v>550-22</v>
      </c>
      <c r="D4226" t="s">
        <v>4207</v>
      </c>
      <c r="E4226" t="b">
        <f>IF(COUNTIF(D4226,"*"&amp;'Keyword Search'!$C$5&amp;"*"),TRUE,FALSE)</f>
        <v>1</v>
      </c>
      <c r="G4226" t="str">
        <f t="shared" si="269"/>
        <v>550-22: Gaskets, Traffic Markers and Dividers</v>
      </c>
    </row>
    <row r="4227" spans="1:7" x14ac:dyDescent="0.25">
      <c r="A4227" s="1" t="str">
        <f t="shared" si="271"/>
        <v>550</v>
      </c>
      <c r="B4227" s="1" t="str">
        <f>TEXT(24,"00")</f>
        <v>24</v>
      </c>
      <c r="C4227" s="1" t="str">
        <f t="shared" ref="C4227:C4290" si="272">CONCATENATE(A4227,"-",B4227)</f>
        <v>550-24</v>
      </c>
      <c r="D4227" t="s">
        <v>4208</v>
      </c>
      <c r="E4227" t="b">
        <f>IF(COUNTIF(D4227,"*"&amp;'Keyword Search'!$C$5&amp;"*"),TRUE,FALSE)</f>
        <v>1</v>
      </c>
      <c r="G4227" t="str">
        <f t="shared" si="269"/>
        <v>550-24: Highway Pass and No-Pass Zone Determination Devices and Equipment</v>
      </c>
    </row>
    <row r="4228" spans="1:7" x14ac:dyDescent="0.25">
      <c r="A4228" s="1" t="str">
        <f t="shared" si="271"/>
        <v>550</v>
      </c>
      <c r="B4228" s="1" t="str">
        <f>TEXT(28,"00")</f>
        <v>28</v>
      </c>
      <c r="C4228" s="1" t="str">
        <f t="shared" si="272"/>
        <v>550-28</v>
      </c>
      <c r="D4228" t="s">
        <v>4209</v>
      </c>
      <c r="E4228" t="b">
        <f>IF(COUNTIF(D4228,"*"&amp;'Keyword Search'!$C$5&amp;"*"),TRUE,FALSE)</f>
        <v>1</v>
      </c>
      <c r="G4228" t="str">
        <f t="shared" ref="G4228:G4291" si="273">CONCATENATE(C4228,": ",D4228)</f>
        <v>550-28: Markers, Plaques, Placards and Tablets: Dedicational, Historical, Informational, etc.</v>
      </c>
    </row>
    <row r="4229" spans="1:7" x14ac:dyDescent="0.25">
      <c r="A4229" s="1" t="str">
        <f t="shared" si="271"/>
        <v>550</v>
      </c>
      <c r="B4229" s="1" t="str">
        <f>TEXT(29,"00")</f>
        <v>29</v>
      </c>
      <c r="C4229" s="1" t="str">
        <f t="shared" si="272"/>
        <v>550-29</v>
      </c>
      <c r="D4229" t="s">
        <v>4210</v>
      </c>
      <c r="E4229" t="b">
        <f>IF(COUNTIF(D4229,"*"&amp;'Keyword Search'!$C$5&amp;"*"),TRUE,FALSE)</f>
        <v>1</v>
      </c>
      <c r="G4229" t="str">
        <f t="shared" si="273"/>
        <v>550-29: Markers, Survey and Right-Of-Way</v>
      </c>
    </row>
    <row r="4230" spans="1:7" x14ac:dyDescent="0.25">
      <c r="A4230" s="1" t="str">
        <f t="shared" si="271"/>
        <v>550</v>
      </c>
      <c r="B4230" s="1" t="str">
        <f>TEXT(30,"00")</f>
        <v>30</v>
      </c>
      <c r="C4230" s="1" t="str">
        <f t="shared" si="272"/>
        <v>550-30</v>
      </c>
      <c r="D4230" t="s">
        <v>4211</v>
      </c>
      <c r="E4230" t="b">
        <f>IF(COUNTIF(D4230,"*"&amp;'Keyword Search'!$C$5&amp;"*"),TRUE,FALSE)</f>
        <v>1</v>
      </c>
      <c r="G4230" t="str">
        <f t="shared" si="273"/>
        <v>550-30: Markers, Traffic, Ceramic: Jiggle Bars, etc.</v>
      </c>
    </row>
    <row r="4231" spans="1:7" x14ac:dyDescent="0.25">
      <c r="A4231" s="1" t="str">
        <f t="shared" si="271"/>
        <v>550</v>
      </c>
      <c r="B4231" s="1" t="str">
        <f>TEXT(31,"00")</f>
        <v>31</v>
      </c>
      <c r="C4231" s="1" t="str">
        <f t="shared" si="272"/>
        <v>550-31</v>
      </c>
      <c r="D4231" t="s">
        <v>4212</v>
      </c>
      <c r="E4231" t="b">
        <f>IF(COUNTIF(D4231,"*"&amp;'Keyword Search'!$C$5&amp;"*"),TRUE,FALSE)</f>
        <v>1</v>
      </c>
      <c r="G4231" t="str">
        <f t="shared" si="273"/>
        <v>550-31: Markers, Traffic, Concrete</v>
      </c>
    </row>
    <row r="4232" spans="1:7" x14ac:dyDescent="0.25">
      <c r="A4232" s="1" t="str">
        <f t="shared" si="271"/>
        <v>550</v>
      </c>
      <c r="B4232" s="1" t="str">
        <f>TEXT(32,"00")</f>
        <v>32</v>
      </c>
      <c r="C4232" s="1" t="str">
        <f t="shared" si="272"/>
        <v>550-32</v>
      </c>
      <c r="D4232" t="s">
        <v>4213</v>
      </c>
      <c r="E4232" t="b">
        <f>IF(COUNTIF(D4232,"*"&amp;'Keyword Search'!$C$5&amp;"*"),TRUE,FALSE)</f>
        <v>1</v>
      </c>
      <c r="G4232" t="str">
        <f t="shared" si="273"/>
        <v>550-32: Markers, Traffic, Metal</v>
      </c>
    </row>
    <row r="4233" spans="1:7" x14ac:dyDescent="0.25">
      <c r="A4233" s="1" t="str">
        <f t="shared" si="271"/>
        <v>550</v>
      </c>
      <c r="B4233" s="1" t="str">
        <f>TEXT(33,"00")</f>
        <v>33</v>
      </c>
      <c r="C4233" s="1" t="str">
        <f t="shared" si="272"/>
        <v>550-33</v>
      </c>
      <c r="D4233" t="s">
        <v>4214</v>
      </c>
      <c r="E4233" t="b">
        <f>IF(COUNTIF(D4233,"*"&amp;'Keyword Search'!$C$5&amp;"*"),TRUE,FALSE)</f>
        <v>1</v>
      </c>
      <c r="G4233" t="str">
        <f t="shared" si="273"/>
        <v>550-33: Markers, Traffic, Fiberglass</v>
      </c>
    </row>
    <row r="4234" spans="1:7" x14ac:dyDescent="0.25">
      <c r="A4234" s="1" t="str">
        <f t="shared" si="271"/>
        <v>550</v>
      </c>
      <c r="B4234" s="1" t="str">
        <f>TEXT(34,"00")</f>
        <v>34</v>
      </c>
      <c r="C4234" s="1" t="str">
        <f t="shared" si="272"/>
        <v>550-34</v>
      </c>
      <c r="D4234" t="s">
        <v>4215</v>
      </c>
      <c r="E4234" t="b">
        <f>IF(COUNTIF(D4234,"*"&amp;'Keyword Search'!$C$5&amp;"*"),TRUE,FALSE)</f>
        <v>1</v>
      </c>
      <c r="G4234" t="str">
        <f t="shared" si="273"/>
        <v>550-34: Markers, Traffic, Plastic and Rubber</v>
      </c>
    </row>
    <row r="4235" spans="1:7" x14ac:dyDescent="0.25">
      <c r="A4235" s="1" t="str">
        <f t="shared" si="271"/>
        <v>550</v>
      </c>
      <c r="B4235" s="1" t="str">
        <f>TEXT(36,"00")</f>
        <v>36</v>
      </c>
      <c r="C4235" s="1" t="str">
        <f t="shared" si="272"/>
        <v>550-36</v>
      </c>
      <c r="D4235" t="s">
        <v>4216</v>
      </c>
      <c r="E4235" t="b">
        <f>IF(COUNTIF(D4235,"*"&amp;'Keyword Search'!$C$5&amp;"*"),TRUE,FALSE)</f>
        <v>1</v>
      </c>
      <c r="G4235" t="str">
        <f t="shared" si="273"/>
        <v>550-36: Marking Compound, Thermoplastic and Marking Powder</v>
      </c>
    </row>
    <row r="4236" spans="1:7" x14ac:dyDescent="0.25">
      <c r="A4236" s="1" t="str">
        <f t="shared" si="271"/>
        <v>550</v>
      </c>
      <c r="B4236" s="1" t="str">
        <f>TEXT(38,"00")</f>
        <v>38</v>
      </c>
      <c r="C4236" s="1" t="str">
        <f t="shared" si="272"/>
        <v>550-38</v>
      </c>
      <c r="D4236" t="s">
        <v>4217</v>
      </c>
      <c r="E4236" t="b">
        <f>IF(COUNTIF(D4236,"*"&amp;'Keyword Search'!$C$5&amp;"*"),TRUE,FALSE)</f>
        <v>1</v>
      </c>
      <c r="G4236" t="str">
        <f t="shared" si="273"/>
        <v>550-38: Parking Meters and Area Control Equipment</v>
      </c>
    </row>
    <row r="4237" spans="1:7" x14ac:dyDescent="0.25">
      <c r="A4237" s="1" t="str">
        <f t="shared" si="271"/>
        <v>550</v>
      </c>
      <c r="B4237" s="1" t="str">
        <f>TEXT(41,"00")</f>
        <v>41</v>
      </c>
      <c r="C4237" s="1" t="str">
        <f t="shared" si="272"/>
        <v>550-41</v>
      </c>
      <c r="D4237" t="s">
        <v>4218</v>
      </c>
      <c r="E4237" t="b">
        <f>IF(COUNTIF(D4237,"*"&amp;'Keyword Search'!$C$5&amp;"*"),TRUE,FALSE)</f>
        <v>1</v>
      </c>
      <c r="G4237" t="str">
        <f t="shared" si="273"/>
        <v>550-41: Posts, Flexible, For Delineator Markers</v>
      </c>
    </row>
    <row r="4238" spans="1:7" x14ac:dyDescent="0.25">
      <c r="A4238" s="1" t="str">
        <f t="shared" si="271"/>
        <v>550</v>
      </c>
      <c r="B4238" s="1" t="str">
        <f>TEXT(42,"00")</f>
        <v>42</v>
      </c>
      <c r="C4238" s="1" t="str">
        <f t="shared" si="272"/>
        <v>550-42</v>
      </c>
      <c r="D4238" t="s">
        <v>4219</v>
      </c>
      <c r="E4238" t="b">
        <f>IF(COUNTIF(D4238,"*"&amp;'Keyword Search'!$C$5&amp;"*"),TRUE,FALSE)</f>
        <v>1</v>
      </c>
      <c r="G4238" t="str">
        <f t="shared" si="273"/>
        <v>550-42: Safety Barriers, Traffic, Mobile: Energy Absorption Systems, Impact Attenuators, Crash Barriers, etc.</v>
      </c>
    </row>
    <row r="4239" spans="1:7" x14ac:dyDescent="0.25">
      <c r="A4239" s="1" t="str">
        <f t="shared" si="271"/>
        <v>550</v>
      </c>
      <c r="B4239" s="1" t="str">
        <f>TEXT(43,"00")</f>
        <v>43</v>
      </c>
      <c r="C4239" s="1" t="str">
        <f t="shared" si="272"/>
        <v>550-43</v>
      </c>
      <c r="D4239" t="s">
        <v>4220</v>
      </c>
      <c r="E4239" t="b">
        <f>IF(COUNTIF(D4239,"*"&amp;'Keyword Search'!$C$5&amp;"*"),TRUE,FALSE)</f>
        <v>1</v>
      </c>
      <c r="G4239" t="str">
        <f t="shared" si="273"/>
        <v>550-43: Safety Barriers, Traffic, Stationary: Energy Absorption Systems, Impact Attenuators, Crash Barriers, etc.</v>
      </c>
    </row>
    <row r="4240" spans="1:7" x14ac:dyDescent="0.25">
      <c r="A4240" s="1" t="str">
        <f t="shared" si="271"/>
        <v>550</v>
      </c>
      <c r="B4240" s="1" t="str">
        <f>TEXT(44,"00")</f>
        <v>44</v>
      </c>
      <c r="C4240" s="1" t="str">
        <f t="shared" si="272"/>
        <v>550-44</v>
      </c>
      <c r="D4240" t="s">
        <v>4221</v>
      </c>
      <c r="E4240" t="b">
        <f>IF(COUNTIF(D4240,"*"&amp;'Keyword Search'!$C$5&amp;"*"),TRUE,FALSE)</f>
        <v>1</v>
      </c>
      <c r="G4240" t="str">
        <f t="shared" si="273"/>
        <v>550-44: Sheeting, Reflectorized, For License Plates</v>
      </c>
    </row>
    <row r="4241" spans="1:7" x14ac:dyDescent="0.25">
      <c r="A4241" s="1" t="str">
        <f t="shared" si="271"/>
        <v>550</v>
      </c>
      <c r="B4241" s="1" t="str">
        <f>TEXT(45,"00")</f>
        <v>45</v>
      </c>
      <c r="C4241" s="1" t="str">
        <f t="shared" si="272"/>
        <v>550-45</v>
      </c>
      <c r="D4241" t="s">
        <v>4222</v>
      </c>
      <c r="E4241" t="b">
        <f>IF(COUNTIF(D4241,"*"&amp;'Keyword Search'!$C$5&amp;"*"),TRUE,FALSE)</f>
        <v>1</v>
      </c>
      <c r="G4241" t="str">
        <f t="shared" si="273"/>
        <v>550-45: Sheeting, Reflectorized, General, (See 801-49 for Reflective Sign Material)</v>
      </c>
    </row>
    <row r="4242" spans="1:7" x14ac:dyDescent="0.25">
      <c r="A4242" s="1" t="str">
        <f t="shared" si="271"/>
        <v>550</v>
      </c>
      <c r="B4242" s="1" t="str">
        <f>TEXT(58,"00")</f>
        <v>58</v>
      </c>
      <c r="C4242" s="1" t="str">
        <f t="shared" si="272"/>
        <v>550-58</v>
      </c>
      <c r="D4242" t="s">
        <v>4223</v>
      </c>
      <c r="E4242" t="b">
        <f>IF(COUNTIF(D4242,"*"&amp;'Keyword Search'!$C$5&amp;"*"),TRUE,FALSE)</f>
        <v>1</v>
      </c>
      <c r="G4242" t="str">
        <f t="shared" si="273"/>
        <v>550-58: Signal Torches, Kerosene</v>
      </c>
    </row>
    <row r="4243" spans="1:7" x14ac:dyDescent="0.25">
      <c r="A4243" s="1" t="str">
        <f t="shared" si="271"/>
        <v>550</v>
      </c>
      <c r="B4243" s="1" t="str">
        <f>TEXT(72,"00")</f>
        <v>72</v>
      </c>
      <c r="C4243" s="1" t="str">
        <f t="shared" si="272"/>
        <v>550-72</v>
      </c>
      <c r="D4243" t="s">
        <v>4224</v>
      </c>
      <c r="E4243" t="b">
        <f>IF(COUNTIF(D4243,"*"&amp;'Keyword Search'!$C$5&amp;"*"),TRUE,FALSE)</f>
        <v>1</v>
      </c>
      <c r="G4243" t="str">
        <f t="shared" si="273"/>
        <v>550-72: Stripes and Legends, Plastic, Prefabricated, Reflective, Including Pavement Marking Tape, (See 832-48 for Marking Tape other than for Pavement)</v>
      </c>
    </row>
    <row r="4244" spans="1:7" x14ac:dyDescent="0.25">
      <c r="A4244" s="1" t="str">
        <f t="shared" si="271"/>
        <v>550</v>
      </c>
      <c r="B4244" s="1" t="str">
        <f>TEXT(78,"00")</f>
        <v>78</v>
      </c>
      <c r="C4244" s="1" t="str">
        <f t="shared" si="272"/>
        <v>550-78</v>
      </c>
      <c r="D4244" t="s">
        <v>4225</v>
      </c>
      <c r="E4244" t="b">
        <f>IF(COUNTIF(D4244,"*"&amp;'Keyword Search'!$C$5&amp;"*"),TRUE,FALSE)</f>
        <v>1</v>
      </c>
      <c r="G4244" t="str">
        <f t="shared" si="273"/>
        <v>550-78: Traffic Cones, Lane Markers, and Barricades, Portable</v>
      </c>
    </row>
    <row r="4245" spans="1:7" x14ac:dyDescent="0.25">
      <c r="A4245" s="1" t="str">
        <f t="shared" si="271"/>
        <v>550</v>
      </c>
      <c r="B4245" s="1" t="str">
        <f>TEXT(79,"00")</f>
        <v>79</v>
      </c>
      <c r="C4245" s="1" t="str">
        <f t="shared" si="272"/>
        <v>550-79</v>
      </c>
      <c r="D4245" t="s">
        <v>4226</v>
      </c>
      <c r="E4245" t="b">
        <f>IF(COUNTIF(D4245,"*"&amp;'Keyword Search'!$C$5&amp;"*"),TRUE,FALSE)</f>
        <v>1</v>
      </c>
      <c r="G4245" t="str">
        <f t="shared" si="273"/>
        <v>550-79: Traffic Control Devices, Non-Electric. Including Rumble Strips, etc.</v>
      </c>
    </row>
    <row r="4246" spans="1:7" x14ac:dyDescent="0.25">
      <c r="A4246" s="1" t="str">
        <f t="shared" si="271"/>
        <v>550</v>
      </c>
      <c r="B4246" s="1" t="str">
        <f>TEXT(80,"00")</f>
        <v>80</v>
      </c>
      <c r="C4246" s="1" t="str">
        <f t="shared" si="272"/>
        <v>550-80</v>
      </c>
      <c r="D4246" t="s">
        <v>4227</v>
      </c>
      <c r="E4246" t="b">
        <f>IF(COUNTIF(D4246,"*"&amp;'Keyword Search'!$C$5&amp;"*"),TRUE,FALSE)</f>
        <v>1</v>
      </c>
      <c r="G4246" t="str">
        <f t="shared" si="273"/>
        <v>550-80: Traffic Controls and Equipment, Electric Systems</v>
      </c>
    </row>
    <row r="4247" spans="1:7" x14ac:dyDescent="0.25">
      <c r="A4247" s="1" t="str">
        <f t="shared" si="271"/>
        <v>550</v>
      </c>
      <c r="B4247" s="1" t="str">
        <f>TEXT(81,"00")</f>
        <v>81</v>
      </c>
      <c r="C4247" s="1" t="str">
        <f t="shared" si="272"/>
        <v>550-81</v>
      </c>
      <c r="D4247" t="s">
        <v>4228</v>
      </c>
      <c r="E4247" t="b">
        <f>IF(COUNTIF(D4247,"*"&amp;'Keyword Search'!$C$5&amp;"*"),TRUE,FALSE)</f>
        <v>1</v>
      </c>
      <c r="G4247" t="str">
        <f t="shared" si="273"/>
        <v>550-81: Traffic Controls and Equipment, Electric Parts</v>
      </c>
    </row>
    <row r="4248" spans="1:7" x14ac:dyDescent="0.25">
      <c r="A4248" s="1" t="str">
        <f t="shared" si="271"/>
        <v>550</v>
      </c>
      <c r="B4248" s="1" t="str">
        <f>TEXT(82,"00")</f>
        <v>82</v>
      </c>
      <c r="C4248" s="1" t="str">
        <f t="shared" si="272"/>
        <v>550-82</v>
      </c>
      <c r="D4248" t="s">
        <v>4229</v>
      </c>
      <c r="E4248" t="b">
        <f>IF(COUNTIF(D4248,"*"&amp;'Keyword Search'!$C$5&amp;"*"),TRUE,FALSE)</f>
        <v>1</v>
      </c>
      <c r="G4248" t="str">
        <f t="shared" si="273"/>
        <v>550-82: Traffic Counters, Monitors, and Accessories</v>
      </c>
    </row>
    <row r="4249" spans="1:7" x14ac:dyDescent="0.25">
      <c r="A4249" s="1" t="str">
        <f t="shared" si="271"/>
        <v>550</v>
      </c>
      <c r="B4249" s="1" t="str">
        <f>TEXT(83,"00")</f>
        <v>83</v>
      </c>
      <c r="C4249" s="1" t="str">
        <f t="shared" si="272"/>
        <v>550-83</v>
      </c>
      <c r="D4249" t="s">
        <v>4230</v>
      </c>
      <c r="E4249" t="b">
        <f>IF(COUNTIF(D4249,"*"&amp;'Keyword Search'!$C$5&amp;"*"),TRUE,FALSE)</f>
        <v>1</v>
      </c>
      <c r="G4249" t="str">
        <f t="shared" si="273"/>
        <v>550-83: Traffic Devices, Markers, Plaques, etc. Recycled</v>
      </c>
    </row>
    <row r="4250" spans="1:7" x14ac:dyDescent="0.25">
      <c r="A4250" s="1" t="str">
        <f t="shared" si="271"/>
        <v>550</v>
      </c>
      <c r="B4250" s="1" t="str">
        <f>TEXT(85,"00")</f>
        <v>85</v>
      </c>
      <c r="C4250" s="1" t="str">
        <f t="shared" si="272"/>
        <v>550-85</v>
      </c>
      <c r="D4250" t="s">
        <v>4231</v>
      </c>
      <c r="E4250" t="b">
        <f>IF(COUNTIF(D4250,"*"&amp;'Keyword Search'!$C$5&amp;"*"),TRUE,FALSE)</f>
        <v>1</v>
      </c>
      <c r="G4250" t="str">
        <f t="shared" si="273"/>
        <v>550-85: Traffic Signal Poles, Standards, and Brackets</v>
      </c>
    </row>
    <row r="4251" spans="1:7" x14ac:dyDescent="0.25">
      <c r="A4251" s="1" t="str">
        <f t="shared" si="271"/>
        <v>550</v>
      </c>
      <c r="B4251" s="1" t="str">
        <f>TEXT(88,"00")</f>
        <v>88</v>
      </c>
      <c r="C4251" s="1" t="str">
        <f t="shared" si="272"/>
        <v>550-88</v>
      </c>
      <c r="D4251" t="s">
        <v>4232</v>
      </c>
      <c r="E4251" t="b">
        <f>IF(COUNTIF(D4251,"*"&amp;'Keyword Search'!$C$5&amp;"*"),TRUE,FALSE)</f>
        <v>1</v>
      </c>
      <c r="G4251" t="str">
        <f t="shared" si="273"/>
        <v>550-88: Traffic Signals and Equipment, Electric Systems</v>
      </c>
    </row>
    <row r="4252" spans="1:7" x14ac:dyDescent="0.25">
      <c r="A4252" s="1" t="str">
        <f t="shared" si="271"/>
        <v>550</v>
      </c>
      <c r="B4252" s="1" t="str">
        <f>TEXT(89,"00")</f>
        <v>89</v>
      </c>
      <c r="C4252" s="1" t="str">
        <f t="shared" si="272"/>
        <v>550-89</v>
      </c>
      <c r="D4252" t="s">
        <v>4233</v>
      </c>
      <c r="E4252" t="b">
        <f>IF(COUNTIF(D4252,"*"&amp;'Keyword Search'!$C$5&amp;"*"),TRUE,FALSE)</f>
        <v>1</v>
      </c>
      <c r="G4252" t="str">
        <f t="shared" si="273"/>
        <v>550-89: Traffic Signals and Equipment, Electric Parts</v>
      </c>
    </row>
    <row r="4253" spans="1:7" x14ac:dyDescent="0.25">
      <c r="A4253" s="1" t="str">
        <f t="shared" si="271"/>
        <v>550</v>
      </c>
      <c r="B4253" s="1" t="str">
        <f>TEXT(90,"00")</f>
        <v>90</v>
      </c>
      <c r="C4253" s="1" t="str">
        <f t="shared" si="272"/>
        <v>550-90</v>
      </c>
      <c r="D4253" t="s">
        <v>4234</v>
      </c>
      <c r="E4253" t="b">
        <f>IF(COUNTIF(D4253,"*"&amp;'Keyword Search'!$C$5&amp;"*"),TRUE,FALSE)</f>
        <v>1</v>
      </c>
      <c r="G4253" t="str">
        <f t="shared" si="273"/>
        <v>550-90: *Transportation Systems, Intelligent (An automated information system which provides traffic management, communications, and analysis of data as a minimum)</v>
      </c>
    </row>
    <row r="4254" spans="1:7" x14ac:dyDescent="0.25">
      <c r="A4254" s="1" t="str">
        <f t="shared" si="271"/>
        <v>550</v>
      </c>
      <c r="B4254" s="1" t="str">
        <f>TEXT(91,"00")</f>
        <v>91</v>
      </c>
      <c r="C4254" s="1" t="str">
        <f t="shared" si="272"/>
        <v>550-91</v>
      </c>
      <c r="D4254" t="s">
        <v>4235</v>
      </c>
      <c r="E4254" t="b">
        <f>IF(COUNTIF(D4254,"*"&amp;'Keyword Search'!$C$5&amp;"*"),TRUE,FALSE)</f>
        <v>1</v>
      </c>
      <c r="G4254" t="str">
        <f t="shared" si="273"/>
        <v>550-91: Vehicle Detectors</v>
      </c>
    </row>
    <row r="4255" spans="1:7" x14ac:dyDescent="0.25">
      <c r="A4255" s="1" t="str">
        <f t="shared" si="271"/>
        <v>550</v>
      </c>
      <c r="B4255" s="1" t="str">
        <f>TEXT(92,"00")</f>
        <v>92</v>
      </c>
      <c r="C4255" s="1" t="str">
        <f t="shared" si="272"/>
        <v>550-92</v>
      </c>
      <c r="D4255" t="s">
        <v>4236</v>
      </c>
      <c r="E4255" t="b">
        <f>IF(COUNTIF(D4255,"*"&amp;'Keyword Search'!$C$5&amp;"*"),TRUE,FALSE)</f>
        <v>1</v>
      </c>
      <c r="G4255" t="str">
        <f t="shared" si="273"/>
        <v>550-92: Vehicle Identification Systems, Automated</v>
      </c>
    </row>
    <row r="4256" spans="1:7" x14ac:dyDescent="0.25">
      <c r="A4256" s="1" t="str">
        <f t="shared" si="271"/>
        <v>550</v>
      </c>
      <c r="B4256" s="1" t="str">
        <f>TEXT(93,"00")</f>
        <v>93</v>
      </c>
      <c r="C4256" s="1" t="str">
        <f t="shared" si="272"/>
        <v>550-93</v>
      </c>
      <c r="D4256" t="s">
        <v>4237</v>
      </c>
      <c r="E4256" t="b">
        <f>IF(COUNTIF(D4256,"*"&amp;'Keyword Search'!$C$5&amp;"*"),TRUE,FALSE)</f>
        <v>1</v>
      </c>
      <c r="G4256" t="str">
        <f t="shared" si="273"/>
        <v>550-93: Warning Devices, Telescoping or Fold Up Type; and Accessories</v>
      </c>
    </row>
    <row r="4257" spans="1:7" x14ac:dyDescent="0.25">
      <c r="A4257" s="1" t="str">
        <f t="shared" si="271"/>
        <v>550</v>
      </c>
      <c r="B4257" s="1" t="str">
        <f>TEXT(96,"00")</f>
        <v>96</v>
      </c>
      <c r="C4257" s="1" t="str">
        <f t="shared" si="272"/>
        <v>550-96</v>
      </c>
      <c r="D4257" t="s">
        <v>4238</v>
      </c>
      <c r="E4257" t="b">
        <f>IF(COUNTIF(D4257,"*"&amp;'Keyword Search'!$C$5&amp;"*"),TRUE,FALSE)</f>
        <v>1</v>
      </c>
      <c r="G4257" t="str">
        <f t="shared" si="273"/>
        <v>550-96: Warning Lights, Flashers, and Flashing Arrow Boards (See Class 285-76 for Streetlights and Standards)</v>
      </c>
    </row>
    <row r="4258" spans="1:7" x14ac:dyDescent="0.25">
      <c r="A4258" s="5" t="str">
        <f t="shared" ref="A4258:A4271" si="274">TEXT(553,"000")</f>
        <v>553</v>
      </c>
      <c r="B4258" s="5" t="str">
        <f>TEXT(0,"00")</f>
        <v>00</v>
      </c>
      <c r="C4258" s="1"/>
      <c r="D4258" s="2" t="s">
        <v>4239</v>
      </c>
    </row>
    <row r="4259" spans="1:7" x14ac:dyDescent="0.25">
      <c r="A4259" s="1" t="str">
        <f t="shared" si="274"/>
        <v>553</v>
      </c>
      <c r="B4259" s="1" t="str">
        <f>TEXT(30,"00")</f>
        <v>30</v>
      </c>
      <c r="C4259" s="1" t="str">
        <f t="shared" si="272"/>
        <v>553-30</v>
      </c>
      <c r="D4259" t="s">
        <v>4240</v>
      </c>
      <c r="E4259" t="b">
        <f>IF(COUNTIF(D4259,"*"&amp;'Keyword Search'!$C$5&amp;"*"),TRUE,FALSE)</f>
        <v>1</v>
      </c>
      <c r="G4259" t="str">
        <f t="shared" si="273"/>
        <v>553-30: Components, Manufacturing, Stamped, Formed, Welded</v>
      </c>
    </row>
    <row r="4260" spans="1:7" x14ac:dyDescent="0.25">
      <c r="A4260" s="1" t="str">
        <f t="shared" si="274"/>
        <v>553</v>
      </c>
      <c r="B4260" s="1" t="str">
        <f>TEXT(40,"00")</f>
        <v>40</v>
      </c>
      <c r="C4260" s="1" t="str">
        <f t="shared" si="272"/>
        <v>553-40</v>
      </c>
      <c r="D4260" t="s">
        <v>4241</v>
      </c>
      <c r="E4260" t="b">
        <f>IF(COUNTIF(D4260,"*"&amp;'Keyword Search'!$C$5&amp;"*"),TRUE,FALSE)</f>
        <v>1</v>
      </c>
      <c r="G4260" t="str">
        <f t="shared" si="273"/>
        <v>553-40: Extrusions, Cold, Impact, Profile</v>
      </c>
    </row>
    <row r="4261" spans="1:7" x14ac:dyDescent="0.25">
      <c r="A4261" s="1" t="str">
        <f t="shared" si="274"/>
        <v>553</v>
      </c>
      <c r="B4261" s="1" t="str">
        <f>TEXT(43,"00")</f>
        <v>43</v>
      </c>
      <c r="C4261" s="1" t="str">
        <f t="shared" si="272"/>
        <v>553-43</v>
      </c>
      <c r="D4261" t="s">
        <v>4242</v>
      </c>
      <c r="E4261" t="b">
        <f>IF(COUNTIF(D4261,"*"&amp;'Keyword Search'!$C$5&amp;"*"),TRUE,FALSE)</f>
        <v>1</v>
      </c>
      <c r="G4261" t="str">
        <f t="shared" si="273"/>
        <v>553-43: Forgings, Closed Die, Drop, Impression Die, Open Die, Rolled Ring</v>
      </c>
    </row>
    <row r="4262" spans="1:7" x14ac:dyDescent="0.25">
      <c r="A4262" s="1" t="str">
        <f t="shared" si="274"/>
        <v>553</v>
      </c>
      <c r="B4262" s="1" t="str">
        <f>TEXT(44,"00")</f>
        <v>44</v>
      </c>
      <c r="C4262" s="1" t="str">
        <f t="shared" si="272"/>
        <v>553-44</v>
      </c>
      <c r="D4262" t="s">
        <v>4243</v>
      </c>
      <c r="E4262" t="b">
        <f>IF(COUNTIF(D4262,"*"&amp;'Keyword Search'!$C$5&amp;"*"),TRUE,FALSE)</f>
        <v>1</v>
      </c>
      <c r="G4262" t="str">
        <f t="shared" si="273"/>
        <v>553-44: Hardware and Components, for Furniture Manufacturing</v>
      </c>
    </row>
    <row r="4263" spans="1:7" x14ac:dyDescent="0.25">
      <c r="A4263" s="1" t="str">
        <f t="shared" si="274"/>
        <v>553</v>
      </c>
      <c r="B4263" s="1" t="str">
        <f>TEXT(45,"00")</f>
        <v>45</v>
      </c>
      <c r="C4263" s="1" t="str">
        <f t="shared" si="272"/>
        <v>553-45</v>
      </c>
      <c r="D4263" t="s">
        <v>4244</v>
      </c>
      <c r="E4263" t="b">
        <f>IF(COUNTIF(D4263,"*"&amp;'Keyword Search'!$C$5&amp;"*"),TRUE,FALSE)</f>
        <v>1</v>
      </c>
      <c r="G4263" t="str">
        <f t="shared" si="273"/>
        <v>553-45: Hardware, Manufacturing (Not Otherwise Classified)</v>
      </c>
    </row>
    <row r="4264" spans="1:7" x14ac:dyDescent="0.25">
      <c r="A4264" s="1" t="str">
        <f t="shared" si="274"/>
        <v>553</v>
      </c>
      <c r="B4264" s="1" t="str">
        <f>TEXT(51,"00")</f>
        <v>51</v>
      </c>
      <c r="C4264" s="1" t="str">
        <f t="shared" si="272"/>
        <v>553-51</v>
      </c>
      <c r="D4264" t="s">
        <v>4245</v>
      </c>
      <c r="E4264" t="b">
        <f>IF(COUNTIF(D4264,"*"&amp;'Keyword Search'!$C$5&amp;"*"),TRUE,FALSE)</f>
        <v>1</v>
      </c>
      <c r="G4264" t="str">
        <f t="shared" si="273"/>
        <v>553-51: Machine-made Parts, Metal, Non-Metal, Screw, etc.</v>
      </c>
    </row>
    <row r="4265" spans="1:7" x14ac:dyDescent="0.25">
      <c r="A4265" s="1" t="str">
        <f t="shared" si="274"/>
        <v>553</v>
      </c>
      <c r="B4265" s="1" t="str">
        <f>TEXT(52,"00")</f>
        <v>52</v>
      </c>
      <c r="C4265" s="1" t="str">
        <f t="shared" si="272"/>
        <v>553-52</v>
      </c>
      <c r="D4265" t="s">
        <v>4246</v>
      </c>
      <c r="E4265" t="b">
        <f>IF(COUNTIF(D4265,"*"&amp;'Keyword Search'!$C$5&amp;"*"),TRUE,FALSE)</f>
        <v>1</v>
      </c>
      <c r="G4265" t="str">
        <f t="shared" si="273"/>
        <v>553-52: Metal Components, Ferrous and Non-Ferrous</v>
      </c>
    </row>
    <row r="4266" spans="1:7" x14ac:dyDescent="0.25">
      <c r="A4266" s="1" t="str">
        <f t="shared" si="274"/>
        <v>553</v>
      </c>
      <c r="B4266" s="1" t="str">
        <f>TEXT(54,"00")</f>
        <v>54</v>
      </c>
      <c r="C4266" s="1" t="str">
        <f t="shared" si="272"/>
        <v>553-54</v>
      </c>
      <c r="D4266" t="s">
        <v>4247</v>
      </c>
      <c r="E4266" t="b">
        <f>IF(COUNTIF(D4266,"*"&amp;'Keyword Search'!$C$5&amp;"*"),TRUE,FALSE)</f>
        <v>1</v>
      </c>
      <c r="G4266" t="str">
        <f t="shared" si="273"/>
        <v>553-54: Moldings, Blow, Injection, Reaction, Vacuum</v>
      </c>
    </row>
    <row r="4267" spans="1:7" x14ac:dyDescent="0.25">
      <c r="A4267" s="1" t="str">
        <f t="shared" si="274"/>
        <v>553</v>
      </c>
      <c r="B4267" s="1" t="str">
        <f>TEXT(56,"00")</f>
        <v>56</v>
      </c>
      <c r="C4267" s="1" t="str">
        <f t="shared" si="272"/>
        <v>553-56</v>
      </c>
      <c r="D4267" t="s">
        <v>4248</v>
      </c>
      <c r="E4267" t="b">
        <f>IF(COUNTIF(D4267,"*"&amp;'Keyword Search'!$C$5&amp;"*"),TRUE,FALSE)</f>
        <v>1</v>
      </c>
      <c r="G4267" t="str">
        <f t="shared" si="273"/>
        <v>553-56: Process Heating, Cooling and Drying</v>
      </c>
    </row>
    <row r="4268" spans="1:7" x14ac:dyDescent="0.25">
      <c r="A4268" s="1" t="str">
        <f t="shared" si="274"/>
        <v>553</v>
      </c>
      <c r="B4268" s="1" t="str">
        <f>TEXT(66,"00")</f>
        <v>66</v>
      </c>
      <c r="C4268" s="1" t="str">
        <f t="shared" si="272"/>
        <v>553-66</v>
      </c>
      <c r="D4268" t="s">
        <v>4249</v>
      </c>
      <c r="E4268" t="b">
        <f>IF(COUNTIF(D4268,"*"&amp;'Keyword Search'!$C$5&amp;"*"),TRUE,FALSE)</f>
        <v>1</v>
      </c>
      <c r="G4268" t="str">
        <f t="shared" si="273"/>
        <v>553-66: Raw Materials</v>
      </c>
    </row>
    <row r="4269" spans="1:7" x14ac:dyDescent="0.25">
      <c r="A4269" s="1" t="str">
        <f t="shared" si="274"/>
        <v>553</v>
      </c>
      <c r="B4269" s="1" t="str">
        <f>TEXT(75,"00")</f>
        <v>75</v>
      </c>
      <c r="C4269" s="1" t="str">
        <f t="shared" si="272"/>
        <v>553-75</v>
      </c>
      <c r="D4269" t="s">
        <v>4250</v>
      </c>
      <c r="E4269" t="b">
        <f>IF(COUNTIF(D4269,"*"&amp;'Keyword Search'!$C$5&amp;"*"),TRUE,FALSE)</f>
        <v>1</v>
      </c>
      <c r="G4269" t="str">
        <f t="shared" si="273"/>
        <v>553-75: Shells and Casings, Plastic, Metal, Steel</v>
      </c>
    </row>
    <row r="4270" spans="1:7" x14ac:dyDescent="0.25">
      <c r="A4270" s="1" t="str">
        <f t="shared" si="274"/>
        <v>553</v>
      </c>
      <c r="B4270" s="1" t="str">
        <f>TEXT(95,"00")</f>
        <v>95</v>
      </c>
      <c r="C4270" s="1" t="str">
        <f t="shared" si="272"/>
        <v>553-95</v>
      </c>
      <c r="D4270" t="s">
        <v>4251</v>
      </c>
      <c r="E4270" t="b">
        <f>IF(COUNTIF(D4270,"*"&amp;'Keyword Search'!$C$5&amp;"*"),TRUE,FALSE)</f>
        <v>1</v>
      </c>
      <c r="G4270" t="str">
        <f t="shared" si="273"/>
        <v>553-95: Recycled Manufacturing Components and Supplies</v>
      </c>
    </row>
    <row r="4271" spans="1:7" x14ac:dyDescent="0.25">
      <c r="A4271" s="1" t="str">
        <f t="shared" si="274"/>
        <v>553</v>
      </c>
      <c r="B4271" s="1" t="str">
        <f>TEXT(98,"00")</f>
        <v>98</v>
      </c>
      <c r="C4271" s="1" t="str">
        <f t="shared" si="272"/>
        <v>553-98</v>
      </c>
      <c r="D4271" t="s">
        <v>4252</v>
      </c>
      <c r="E4271" t="b">
        <f>IF(COUNTIF(D4271,"*"&amp;'Keyword Search'!$C$5&amp;"*"),TRUE,FALSE)</f>
        <v>1</v>
      </c>
      <c r="G4271" t="str">
        <f t="shared" si="273"/>
        <v>553-98: (CTE) Manufacturing Equipment &lt; $750</v>
      </c>
    </row>
    <row r="4272" spans="1:7" x14ac:dyDescent="0.25">
      <c r="A4272" s="5" t="str">
        <f t="shared" ref="A4272:A4282" si="275">TEXT(555,"000")</f>
        <v>555</v>
      </c>
      <c r="B4272" s="5" t="str">
        <f>TEXT(0,"00")</f>
        <v>00</v>
      </c>
      <c r="C4272" s="1"/>
      <c r="D4272" s="2" t="s">
        <v>4253</v>
      </c>
    </row>
    <row r="4273" spans="1:7" x14ac:dyDescent="0.25">
      <c r="A4273" s="1" t="str">
        <f t="shared" si="275"/>
        <v>555</v>
      </c>
      <c r="B4273" s="1" t="str">
        <f>TEXT(10,"00")</f>
        <v>10</v>
      </c>
      <c r="C4273" s="1" t="str">
        <f t="shared" si="272"/>
        <v>555-10</v>
      </c>
      <c r="D4273" t="s">
        <v>4254</v>
      </c>
      <c r="E4273" t="b">
        <f>IF(COUNTIF(D4273,"*"&amp;'Keyword Search'!$C$5&amp;"*"),TRUE,FALSE)</f>
        <v>1</v>
      </c>
      <c r="G4273" t="str">
        <f t="shared" si="273"/>
        <v>555-10: Stencil Board and Paper, Precut</v>
      </c>
    </row>
    <row r="4274" spans="1:7" x14ac:dyDescent="0.25">
      <c r="A4274" s="1" t="str">
        <f t="shared" si="275"/>
        <v>555</v>
      </c>
      <c r="B4274" s="1" t="str">
        <f>TEXT(20,"00")</f>
        <v>20</v>
      </c>
      <c r="C4274" s="1" t="str">
        <f t="shared" si="272"/>
        <v>555-20</v>
      </c>
      <c r="D4274" t="s">
        <v>4255</v>
      </c>
      <c r="E4274" t="b">
        <f>IF(COUNTIF(D4274,"*"&amp;'Keyword Search'!$C$5&amp;"*"),TRUE,FALSE)</f>
        <v>1</v>
      </c>
      <c r="G4274" t="str">
        <f t="shared" si="273"/>
        <v>555-20: Stencil Board and Paper, Rolls and Sheets</v>
      </c>
    </row>
    <row r="4275" spans="1:7" x14ac:dyDescent="0.25">
      <c r="A4275" s="1" t="str">
        <f t="shared" si="275"/>
        <v>555</v>
      </c>
      <c r="B4275" s="1" t="str">
        <f>TEXT(30,"00")</f>
        <v>30</v>
      </c>
      <c r="C4275" s="1" t="str">
        <f t="shared" si="272"/>
        <v>555-30</v>
      </c>
      <c r="D4275" t="s">
        <v>4256</v>
      </c>
      <c r="E4275" t="b">
        <f>IF(COUNTIF(D4275,"*"&amp;'Keyword Search'!$C$5&amp;"*"),TRUE,FALSE)</f>
        <v>1</v>
      </c>
      <c r="G4275" t="str">
        <f t="shared" si="273"/>
        <v>555-30: Stencil Cutting Machine</v>
      </c>
    </row>
    <row r="4276" spans="1:7" x14ac:dyDescent="0.25">
      <c r="A4276" s="1" t="str">
        <f t="shared" si="275"/>
        <v>555</v>
      </c>
      <c r="B4276" s="1" t="str">
        <f>TEXT(40,"00")</f>
        <v>40</v>
      </c>
      <c r="C4276" s="1" t="str">
        <f t="shared" si="272"/>
        <v>555-40</v>
      </c>
      <c r="D4276" t="s">
        <v>4257</v>
      </c>
      <c r="E4276" t="b">
        <f>IF(COUNTIF(D4276,"*"&amp;'Keyword Search'!$C$5&amp;"*"),TRUE,FALSE)</f>
        <v>1</v>
      </c>
      <c r="G4276" t="str">
        <f t="shared" si="273"/>
        <v>555-40: Stenciling Supplies: Brushes, Inks, etc.</v>
      </c>
    </row>
    <row r="4277" spans="1:7" x14ac:dyDescent="0.25">
      <c r="A4277" s="1" t="str">
        <f t="shared" si="275"/>
        <v>555</v>
      </c>
      <c r="B4277" s="1" t="str">
        <f>TEXT(50,"00")</f>
        <v>50</v>
      </c>
      <c r="C4277" s="1" t="str">
        <f t="shared" si="272"/>
        <v>555-50</v>
      </c>
      <c r="D4277" t="s">
        <v>4258</v>
      </c>
      <c r="E4277" t="b">
        <f>IF(COUNTIF(D4277,"*"&amp;'Keyword Search'!$C$5&amp;"*"),TRUE,FALSE)</f>
        <v>1</v>
      </c>
      <c r="G4277" t="str">
        <f t="shared" si="273"/>
        <v>555-50: Stenciling Rollers</v>
      </c>
    </row>
    <row r="4278" spans="1:7" x14ac:dyDescent="0.25">
      <c r="A4278" s="1" t="str">
        <f t="shared" si="275"/>
        <v>555</v>
      </c>
      <c r="B4278" s="1" t="str">
        <f>TEXT(70,"00")</f>
        <v>70</v>
      </c>
      <c r="C4278" s="1" t="str">
        <f t="shared" si="272"/>
        <v>555-70</v>
      </c>
      <c r="D4278" t="s">
        <v>4259</v>
      </c>
      <c r="E4278" t="b">
        <f>IF(COUNTIF(D4278,"*"&amp;'Keyword Search'!$C$5&amp;"*"),TRUE,FALSE)</f>
        <v>1</v>
      </c>
      <c r="G4278" t="str">
        <f t="shared" si="273"/>
        <v>555-70: Stencils, Metal Adjustable, Stock</v>
      </c>
    </row>
    <row r="4279" spans="1:7" x14ac:dyDescent="0.25">
      <c r="A4279" s="1" t="str">
        <f t="shared" si="275"/>
        <v>555</v>
      </c>
      <c r="B4279" s="1" t="str">
        <f>TEXT(80,"00")</f>
        <v>80</v>
      </c>
      <c r="C4279" s="1" t="str">
        <f t="shared" si="272"/>
        <v>555-80</v>
      </c>
      <c r="D4279" t="s">
        <v>4260</v>
      </c>
      <c r="E4279" t="b">
        <f>IF(COUNTIF(D4279,"*"&amp;'Keyword Search'!$C$5&amp;"*"),TRUE,FALSE)</f>
        <v>1</v>
      </c>
      <c r="G4279" t="str">
        <f t="shared" si="273"/>
        <v>555-80: Stencils, Metal, Not Cut</v>
      </c>
    </row>
    <row r="4280" spans="1:7" x14ac:dyDescent="0.25">
      <c r="A4280" s="1" t="str">
        <f t="shared" si="275"/>
        <v>555</v>
      </c>
      <c r="B4280" s="1" t="str">
        <f>TEXT(90,"00")</f>
        <v>90</v>
      </c>
      <c r="C4280" s="1" t="str">
        <f t="shared" si="272"/>
        <v>555-90</v>
      </c>
      <c r="D4280" t="s">
        <v>4261</v>
      </c>
      <c r="E4280" t="b">
        <f>IF(COUNTIF(D4280,"*"&amp;'Keyword Search'!$C$5&amp;"*"),TRUE,FALSE)</f>
        <v>1</v>
      </c>
      <c r="G4280" t="str">
        <f t="shared" si="273"/>
        <v>555-90: Stencils, Metal, Precut</v>
      </c>
    </row>
    <row r="4281" spans="1:7" x14ac:dyDescent="0.25">
      <c r="A4281" s="1" t="str">
        <f t="shared" si="275"/>
        <v>555</v>
      </c>
      <c r="B4281" s="1" t="str">
        <f>TEXT(92,"00")</f>
        <v>92</v>
      </c>
      <c r="C4281" s="1" t="str">
        <f t="shared" si="272"/>
        <v>555-92</v>
      </c>
      <c r="D4281" t="s">
        <v>4262</v>
      </c>
      <c r="E4281" t="b">
        <f>IF(COUNTIF(D4281,"*"&amp;'Keyword Search'!$C$5&amp;"*"),TRUE,FALSE)</f>
        <v>1</v>
      </c>
      <c r="G4281" t="str">
        <f t="shared" si="273"/>
        <v>555-92: Stencils, Plastic</v>
      </c>
    </row>
    <row r="4282" spans="1:7" x14ac:dyDescent="0.25">
      <c r="A4282" s="1" t="str">
        <f t="shared" si="275"/>
        <v>555</v>
      </c>
      <c r="B4282" s="1" t="str">
        <f>TEXT(95,"00")</f>
        <v>95</v>
      </c>
      <c r="C4282" s="1" t="str">
        <f t="shared" si="272"/>
        <v>555-95</v>
      </c>
      <c r="D4282" t="s">
        <v>4263</v>
      </c>
      <c r="E4282" t="b">
        <f>IF(COUNTIF(D4282,"*"&amp;'Keyword Search'!$C$5&amp;"*"),TRUE,FALSE)</f>
        <v>1</v>
      </c>
      <c r="G4282" t="str">
        <f t="shared" si="273"/>
        <v>555-95: Recycled Stencils and Stenciling Devices</v>
      </c>
    </row>
    <row r="4283" spans="1:7" x14ac:dyDescent="0.25">
      <c r="A4283" s="5" t="str">
        <f t="shared" ref="A4283:A4294" si="276">TEXT(556,"000")</f>
        <v>556</v>
      </c>
      <c r="B4283" s="5" t="str">
        <f>TEXT(0,"00")</f>
        <v>00</v>
      </c>
      <c r="C4283" s="1"/>
      <c r="D4283" s="2" t="s">
        <v>4264</v>
      </c>
    </row>
    <row r="4284" spans="1:7" x14ac:dyDescent="0.25">
      <c r="A4284" s="1" t="str">
        <f t="shared" si="276"/>
        <v>556</v>
      </c>
      <c r="B4284" s="1" t="str">
        <f>TEXT(10,"00")</f>
        <v>10</v>
      </c>
      <c r="C4284" s="1" t="str">
        <f t="shared" si="272"/>
        <v>556-10</v>
      </c>
      <c r="D4284" t="s">
        <v>4265</v>
      </c>
      <c r="E4284" t="b">
        <f>IF(COUNTIF(D4284,"*"&amp;'Keyword Search'!$C$5&amp;"*"),TRUE,FALSE)</f>
        <v>1</v>
      </c>
      <c r="G4284" t="str">
        <f t="shared" si="273"/>
        <v>556-10: Coach, Transit, Articulated</v>
      </c>
    </row>
    <row r="4285" spans="1:7" x14ac:dyDescent="0.25">
      <c r="A4285" s="1" t="str">
        <f t="shared" si="276"/>
        <v>556</v>
      </c>
      <c r="B4285" s="1" t="str">
        <f>TEXT(15,"00")</f>
        <v>15</v>
      </c>
      <c r="C4285" s="1" t="str">
        <f t="shared" si="272"/>
        <v>556-15</v>
      </c>
      <c r="D4285" t="s">
        <v>4266</v>
      </c>
      <c r="E4285" t="b">
        <f>IF(COUNTIF(D4285,"*"&amp;'Keyword Search'!$C$5&amp;"*"),TRUE,FALSE)</f>
        <v>1</v>
      </c>
      <c r="G4285" t="str">
        <f t="shared" si="273"/>
        <v>556-15: Coach, Transit, Double Door</v>
      </c>
    </row>
    <row r="4286" spans="1:7" x14ac:dyDescent="0.25">
      <c r="A4286" s="1" t="str">
        <f t="shared" si="276"/>
        <v>556</v>
      </c>
      <c r="B4286" s="1" t="str">
        <f>TEXT(20,"00")</f>
        <v>20</v>
      </c>
      <c r="C4286" s="1" t="str">
        <f t="shared" si="272"/>
        <v>556-20</v>
      </c>
      <c r="D4286" t="s">
        <v>4267</v>
      </c>
      <c r="E4286" t="b">
        <f>IF(COUNTIF(D4286,"*"&amp;'Keyword Search'!$C$5&amp;"*"),TRUE,FALSE)</f>
        <v>1</v>
      </c>
      <c r="G4286" t="str">
        <f t="shared" si="273"/>
        <v>556-20: Coach, Transit, Electric</v>
      </c>
    </row>
    <row r="4287" spans="1:7" x14ac:dyDescent="0.25">
      <c r="A4287" s="1" t="str">
        <f t="shared" si="276"/>
        <v>556</v>
      </c>
      <c r="B4287" s="1" t="str">
        <f>TEXT(30,"00")</f>
        <v>30</v>
      </c>
      <c r="C4287" s="1" t="str">
        <f t="shared" si="272"/>
        <v>556-30</v>
      </c>
      <c r="D4287" t="s">
        <v>4268</v>
      </c>
      <c r="E4287" t="b">
        <f>IF(COUNTIF(D4287,"*"&amp;'Keyword Search'!$C$5&amp;"*"),TRUE,FALSE)</f>
        <v>1</v>
      </c>
      <c r="G4287" t="str">
        <f t="shared" si="273"/>
        <v>556-30: Coach, Transit, Mini, Conventional</v>
      </c>
    </row>
    <row r="4288" spans="1:7" x14ac:dyDescent="0.25">
      <c r="A4288" s="1" t="str">
        <f t="shared" si="276"/>
        <v>556</v>
      </c>
      <c r="B4288" s="1" t="str">
        <f>TEXT(40,"00")</f>
        <v>40</v>
      </c>
      <c r="C4288" s="1" t="str">
        <f t="shared" si="272"/>
        <v>556-40</v>
      </c>
      <c r="D4288" t="s">
        <v>4269</v>
      </c>
      <c r="E4288" t="b">
        <f>IF(COUNTIF(D4288,"*"&amp;'Keyword Search'!$C$5&amp;"*"),TRUE,FALSE)</f>
        <v>1</v>
      </c>
      <c r="G4288" t="str">
        <f t="shared" si="273"/>
        <v>556-40: Coach, Transit, Mini, Handicapped</v>
      </c>
    </row>
    <row r="4289" spans="1:7" x14ac:dyDescent="0.25">
      <c r="A4289" s="1" t="str">
        <f t="shared" si="276"/>
        <v>556</v>
      </c>
      <c r="B4289" s="1" t="str">
        <f>TEXT(50,"00")</f>
        <v>50</v>
      </c>
      <c r="C4289" s="1" t="str">
        <f t="shared" si="272"/>
        <v>556-50</v>
      </c>
      <c r="D4289" t="s">
        <v>4270</v>
      </c>
      <c r="E4289" t="b">
        <f>IF(COUNTIF(D4289,"*"&amp;'Keyword Search'!$C$5&amp;"*"),TRUE,FALSE)</f>
        <v>1</v>
      </c>
      <c r="G4289" t="str">
        <f t="shared" si="273"/>
        <v>556-50: Coach, Transit, Single Door, under 35 feet</v>
      </c>
    </row>
    <row r="4290" spans="1:7" x14ac:dyDescent="0.25">
      <c r="A4290" s="1" t="str">
        <f t="shared" si="276"/>
        <v>556</v>
      </c>
      <c r="B4290" s="1" t="str">
        <f>TEXT(60,"00")</f>
        <v>60</v>
      </c>
      <c r="C4290" s="1" t="str">
        <f t="shared" si="272"/>
        <v>556-60</v>
      </c>
      <c r="D4290" t="s">
        <v>4271</v>
      </c>
      <c r="E4290" t="b">
        <f>IF(COUNTIF(D4290,"*"&amp;'Keyword Search'!$C$5&amp;"*"),TRUE,FALSE)</f>
        <v>1</v>
      </c>
      <c r="G4290" t="str">
        <f t="shared" si="273"/>
        <v>556-60: Coach, Transit, Touring, Conventional</v>
      </c>
    </row>
    <row r="4291" spans="1:7" x14ac:dyDescent="0.25">
      <c r="A4291" s="1" t="str">
        <f t="shared" si="276"/>
        <v>556</v>
      </c>
      <c r="B4291" s="1" t="str">
        <f>TEXT(70,"00")</f>
        <v>70</v>
      </c>
      <c r="C4291" s="1" t="str">
        <f t="shared" ref="C4291:C4354" si="277">CONCATENATE(A4291,"-",B4291)</f>
        <v>556-70</v>
      </c>
      <c r="D4291" t="s">
        <v>4272</v>
      </c>
      <c r="E4291" t="b">
        <f>IF(COUNTIF(D4291,"*"&amp;'Keyword Search'!$C$5&amp;"*"),TRUE,FALSE)</f>
        <v>1</v>
      </c>
      <c r="G4291" t="str">
        <f t="shared" si="273"/>
        <v>556-70: Coach, Transit, Touring, Custom</v>
      </c>
    </row>
    <row r="4292" spans="1:7" x14ac:dyDescent="0.25">
      <c r="A4292" s="1" t="str">
        <f t="shared" si="276"/>
        <v>556</v>
      </c>
      <c r="B4292" s="1" t="str">
        <f>TEXT(85,"00")</f>
        <v>85</v>
      </c>
      <c r="C4292" s="1" t="str">
        <f t="shared" si="277"/>
        <v>556-85</v>
      </c>
      <c r="D4292" t="s">
        <v>4273</v>
      </c>
      <c r="E4292" t="b">
        <f>IF(COUNTIF(D4292,"*"&amp;'Keyword Search'!$C$5&amp;"*"),TRUE,FALSE)</f>
        <v>1</v>
      </c>
      <c r="G4292" t="str">
        <f t="shared" ref="G4292:G4355" si="278">CONCATENATE(C4292,": ",D4292)</f>
        <v>556-85: Trolley, Transit, Rubber Tired, Compressed Natural Gas</v>
      </c>
    </row>
    <row r="4293" spans="1:7" x14ac:dyDescent="0.25">
      <c r="A4293" s="1" t="str">
        <f t="shared" si="276"/>
        <v>556</v>
      </c>
      <c r="B4293" s="1" t="str">
        <f>TEXT(86,"00")</f>
        <v>86</v>
      </c>
      <c r="C4293" s="1" t="str">
        <f t="shared" si="277"/>
        <v>556-86</v>
      </c>
      <c r="D4293" t="s">
        <v>4274</v>
      </c>
      <c r="E4293" t="b">
        <f>IF(COUNTIF(D4293,"*"&amp;'Keyword Search'!$C$5&amp;"*"),TRUE,FALSE)</f>
        <v>1</v>
      </c>
      <c r="G4293" t="str">
        <f t="shared" si="278"/>
        <v>556-86: Trolley, Transit, Rubber Tired, Diesel Powered</v>
      </c>
    </row>
    <row r="4294" spans="1:7" x14ac:dyDescent="0.25">
      <c r="A4294" s="1" t="str">
        <f t="shared" si="276"/>
        <v>556</v>
      </c>
      <c r="B4294" s="1" t="str">
        <f>TEXT(87,"00")</f>
        <v>87</v>
      </c>
      <c r="C4294" s="1" t="str">
        <f t="shared" si="277"/>
        <v>556-87</v>
      </c>
      <c r="D4294" t="s">
        <v>4275</v>
      </c>
      <c r="E4294" t="b">
        <f>IF(COUNTIF(D4294,"*"&amp;'Keyword Search'!$C$5&amp;"*"),TRUE,FALSE)</f>
        <v>1</v>
      </c>
      <c r="G4294" t="str">
        <f t="shared" si="278"/>
        <v>556-87: Trolley, Transit, Rubber Tired, Electric</v>
      </c>
    </row>
    <row r="4295" spans="1:7" x14ac:dyDescent="0.25">
      <c r="A4295" s="5" t="str">
        <f t="shared" ref="A4295:A4332" si="279">TEXT(557,"000")</f>
        <v>557</v>
      </c>
      <c r="B4295" s="5" t="str">
        <f>TEXT(0,"00")</f>
        <v>00</v>
      </c>
      <c r="C4295" s="1"/>
      <c r="D4295" s="2" t="s">
        <v>4276</v>
      </c>
    </row>
    <row r="4296" spans="1:7" x14ac:dyDescent="0.25">
      <c r="A4296" s="1" t="str">
        <f t="shared" si="279"/>
        <v>557</v>
      </c>
      <c r="B4296" s="1" t="str">
        <f>TEXT(5,"00")</f>
        <v>05</v>
      </c>
      <c r="C4296" s="1" t="str">
        <f t="shared" si="277"/>
        <v>557-05</v>
      </c>
      <c r="D4296" t="s">
        <v>4277</v>
      </c>
      <c r="E4296" t="b">
        <f>IF(COUNTIF(D4296,"*"&amp;'Keyword Search'!$C$5&amp;"*"),TRUE,FALSE)</f>
        <v>1</v>
      </c>
      <c r="G4296" t="str">
        <f t="shared" si="278"/>
        <v>557-05: Air Conditioning, Heating and Ventilation</v>
      </c>
    </row>
    <row r="4297" spans="1:7" x14ac:dyDescent="0.25">
      <c r="A4297" s="1" t="str">
        <f t="shared" si="279"/>
        <v>557</v>
      </c>
      <c r="B4297" s="1" t="str">
        <f>TEXT(10,"00")</f>
        <v>10</v>
      </c>
      <c r="C4297" s="1" t="str">
        <f t="shared" si="277"/>
        <v>557-10</v>
      </c>
      <c r="D4297" t="s">
        <v>4278</v>
      </c>
      <c r="E4297" t="b">
        <f>IF(COUNTIF(D4297,"*"&amp;'Keyword Search'!$C$5&amp;"*"),TRUE,FALSE)</f>
        <v>1</v>
      </c>
      <c r="G4297" t="str">
        <f t="shared" si="278"/>
        <v>557-10: Axles, Including Suspension, Springs, Shocks, Struts, etc.</v>
      </c>
    </row>
    <row r="4298" spans="1:7" x14ac:dyDescent="0.25">
      <c r="A4298" s="1" t="str">
        <f t="shared" si="279"/>
        <v>557</v>
      </c>
      <c r="B4298" s="1" t="str">
        <f>TEXT(12,"00")</f>
        <v>12</v>
      </c>
      <c r="C4298" s="1" t="str">
        <f t="shared" si="277"/>
        <v>557-12</v>
      </c>
      <c r="D4298" t="s">
        <v>4279</v>
      </c>
      <c r="E4298" t="b">
        <f>IF(COUNTIF(D4298,"*"&amp;'Keyword Search'!$C$5&amp;"*"),TRUE,FALSE)</f>
        <v>1</v>
      </c>
      <c r="G4298" t="str">
        <f t="shared" si="278"/>
        <v>557-12: Bicycle Racks for Transit Buses</v>
      </c>
    </row>
    <row r="4299" spans="1:7" x14ac:dyDescent="0.25">
      <c r="A4299" s="1" t="str">
        <f t="shared" si="279"/>
        <v>557</v>
      </c>
      <c r="B4299" s="1" t="str">
        <f>TEXT(15,"00")</f>
        <v>15</v>
      </c>
      <c r="C4299" s="1" t="str">
        <f t="shared" si="277"/>
        <v>557-15</v>
      </c>
      <c r="D4299" t="s">
        <v>4280</v>
      </c>
      <c r="E4299" t="b">
        <f>IF(COUNTIF(D4299,"*"&amp;'Keyword Search'!$C$5&amp;"*"),TRUE,FALSE)</f>
        <v>1</v>
      </c>
      <c r="G4299" t="str">
        <f t="shared" si="278"/>
        <v>557-15: Body Panels, Frames, Trim, and Parts</v>
      </c>
    </row>
    <row r="4300" spans="1:7" x14ac:dyDescent="0.25">
      <c r="A4300" s="1" t="str">
        <f t="shared" si="279"/>
        <v>557</v>
      </c>
      <c r="B4300" s="1" t="str">
        <f>TEXT(20,"00")</f>
        <v>20</v>
      </c>
      <c r="C4300" s="1" t="str">
        <f t="shared" si="277"/>
        <v>557-20</v>
      </c>
      <c r="D4300" t="s">
        <v>4281</v>
      </c>
      <c r="E4300" t="b">
        <f>IF(COUNTIF(D4300,"*"&amp;'Keyword Search'!$C$5&amp;"*"),TRUE,FALSE)</f>
        <v>1</v>
      </c>
      <c r="G4300" t="str">
        <f t="shared" si="278"/>
        <v>557-20: Brake Parts/Linings</v>
      </c>
    </row>
    <row r="4301" spans="1:7" x14ac:dyDescent="0.25">
      <c r="A4301" s="1" t="str">
        <f t="shared" si="279"/>
        <v>557</v>
      </c>
      <c r="B4301" s="1" t="str">
        <f>TEXT(22,"00")</f>
        <v>22</v>
      </c>
      <c r="C4301" s="1" t="str">
        <f t="shared" si="277"/>
        <v>557-22</v>
      </c>
      <c r="D4301" t="s">
        <v>4282</v>
      </c>
      <c r="E4301" t="b">
        <f>IF(COUNTIF(D4301,"*"&amp;'Keyword Search'!$C$5&amp;"*"),TRUE,FALSE)</f>
        <v>1</v>
      </c>
      <c r="G4301" t="str">
        <f t="shared" si="278"/>
        <v>557-22: Communications Equipment and Accessories, Transit Bus</v>
      </c>
    </row>
    <row r="4302" spans="1:7" x14ac:dyDescent="0.25">
      <c r="A4302" s="1" t="str">
        <f t="shared" si="279"/>
        <v>557</v>
      </c>
      <c r="B4302" s="1" t="str">
        <f>TEXT(23,"00")</f>
        <v>23</v>
      </c>
      <c r="C4302" s="1" t="str">
        <f t="shared" si="277"/>
        <v>557-23</v>
      </c>
      <c r="D4302" t="s">
        <v>4283</v>
      </c>
      <c r="E4302" t="b">
        <f>IF(COUNTIF(D4302,"*"&amp;'Keyword Search'!$C$5&amp;"*"),TRUE,FALSE)</f>
        <v>1</v>
      </c>
      <c r="G4302" t="str">
        <f t="shared" si="278"/>
        <v>557-23: Cooling System Parts and Accessories</v>
      </c>
    </row>
    <row r="4303" spans="1:7" x14ac:dyDescent="0.25">
      <c r="A4303" s="1" t="str">
        <f t="shared" si="279"/>
        <v>557</v>
      </c>
      <c r="B4303" s="1" t="str">
        <f>TEXT(25,"00")</f>
        <v>25</v>
      </c>
      <c r="C4303" s="1" t="str">
        <f t="shared" si="277"/>
        <v>557-25</v>
      </c>
      <c r="D4303" t="s">
        <v>4284</v>
      </c>
      <c r="E4303" t="b">
        <f>IF(COUNTIF(D4303,"*"&amp;'Keyword Search'!$C$5&amp;"*"),TRUE,FALSE)</f>
        <v>1</v>
      </c>
      <c r="G4303" t="str">
        <f t="shared" si="278"/>
        <v>557-25: Electrical Accessories and Parts, Not Lighting</v>
      </c>
    </row>
    <row r="4304" spans="1:7" x14ac:dyDescent="0.25">
      <c r="A4304" s="1" t="str">
        <f t="shared" si="279"/>
        <v>557</v>
      </c>
      <c r="B4304" s="1" t="str">
        <f>TEXT(30,"00")</f>
        <v>30</v>
      </c>
      <c r="C4304" s="1" t="str">
        <f t="shared" si="277"/>
        <v>557-30</v>
      </c>
      <c r="D4304" t="s">
        <v>4285</v>
      </c>
      <c r="E4304" t="b">
        <f>IF(COUNTIF(D4304,"*"&amp;'Keyword Search'!$C$5&amp;"*"),TRUE,FALSE)</f>
        <v>1</v>
      </c>
      <c r="G4304" t="str">
        <f t="shared" si="278"/>
        <v>557-30: Engines, Complete</v>
      </c>
    </row>
    <row r="4305" spans="1:7" x14ac:dyDescent="0.25">
      <c r="A4305" s="1" t="str">
        <f t="shared" si="279"/>
        <v>557</v>
      </c>
      <c r="B4305" s="1" t="str">
        <f>TEXT(32,"00")</f>
        <v>32</v>
      </c>
      <c r="C4305" s="1" t="str">
        <f t="shared" si="277"/>
        <v>557-32</v>
      </c>
      <c r="D4305" t="s">
        <v>4286</v>
      </c>
      <c r="E4305" t="b">
        <f>IF(COUNTIF(D4305,"*"&amp;'Keyword Search'!$C$5&amp;"*"),TRUE,FALSE)</f>
        <v>1</v>
      </c>
      <c r="G4305" t="str">
        <f t="shared" si="278"/>
        <v>557-32: Exhaust System Parts and Accessories</v>
      </c>
    </row>
    <row r="4306" spans="1:7" x14ac:dyDescent="0.25">
      <c r="A4306" s="1" t="str">
        <f t="shared" si="279"/>
        <v>557</v>
      </c>
      <c r="B4306" s="1" t="str">
        <f>TEXT(33,"00")</f>
        <v>33</v>
      </c>
      <c r="C4306" s="1" t="str">
        <f t="shared" si="277"/>
        <v>557-33</v>
      </c>
      <c r="D4306" t="s">
        <v>4287</v>
      </c>
      <c r="E4306" t="b">
        <f>IF(COUNTIF(D4306,"*"&amp;'Keyword Search'!$C$5&amp;"*"),TRUE,FALSE)</f>
        <v>1</v>
      </c>
      <c r="G4306" t="str">
        <f t="shared" si="278"/>
        <v>557-33: Engine Parts</v>
      </c>
    </row>
    <row r="4307" spans="1:7" x14ac:dyDescent="0.25">
      <c r="A4307" s="1" t="str">
        <f t="shared" si="279"/>
        <v>557</v>
      </c>
      <c r="B4307" s="1" t="str">
        <f>TEXT(34,"00")</f>
        <v>34</v>
      </c>
      <c r="C4307" s="1" t="str">
        <f t="shared" si="277"/>
        <v>557-34</v>
      </c>
      <c r="D4307" t="s">
        <v>4288</v>
      </c>
      <c r="E4307" t="b">
        <f>IF(COUNTIF(D4307,"*"&amp;'Keyword Search'!$C$5&amp;"*"),TRUE,FALSE)</f>
        <v>1</v>
      </c>
      <c r="G4307" t="str">
        <f t="shared" si="278"/>
        <v>557-34: Filters: Air, Fuel, Oil, etc.</v>
      </c>
    </row>
    <row r="4308" spans="1:7" x14ac:dyDescent="0.25">
      <c r="A4308" s="1" t="str">
        <f t="shared" si="279"/>
        <v>557</v>
      </c>
      <c r="B4308" s="1" t="str">
        <f>TEXT(35,"00")</f>
        <v>35</v>
      </c>
      <c r="C4308" s="1" t="str">
        <f t="shared" si="277"/>
        <v>557-35</v>
      </c>
      <c r="D4308" t="s">
        <v>4289</v>
      </c>
      <c r="E4308" t="b">
        <f>IF(COUNTIF(D4308,"*"&amp;'Keyword Search'!$C$5&amp;"*"),TRUE,FALSE)</f>
        <v>1</v>
      </c>
      <c r="G4308" t="str">
        <f t="shared" si="278"/>
        <v>557-35: Floors, Matting</v>
      </c>
    </row>
    <row r="4309" spans="1:7" x14ac:dyDescent="0.25">
      <c r="A4309" s="1" t="str">
        <f t="shared" si="279"/>
        <v>557</v>
      </c>
      <c r="B4309" s="1" t="str">
        <f>TEXT(36,"00")</f>
        <v>36</v>
      </c>
      <c r="C4309" s="1" t="str">
        <f t="shared" si="277"/>
        <v>557-36</v>
      </c>
      <c r="D4309" t="s">
        <v>4290</v>
      </c>
      <c r="E4309" t="b">
        <f>IF(COUNTIF(D4309,"*"&amp;'Keyword Search'!$C$5&amp;"*"),TRUE,FALSE)</f>
        <v>1</v>
      </c>
      <c r="G4309" t="str">
        <f t="shared" si="278"/>
        <v>557-36: Fuel System Parts and Accessories</v>
      </c>
    </row>
    <row r="4310" spans="1:7" x14ac:dyDescent="0.25">
      <c r="A4310" s="1" t="str">
        <f t="shared" si="279"/>
        <v>557</v>
      </c>
      <c r="B4310" s="1" t="str">
        <f>TEXT(37,"00")</f>
        <v>37</v>
      </c>
      <c r="C4310" s="1" t="str">
        <f t="shared" si="277"/>
        <v>557-37</v>
      </c>
      <c r="D4310" t="s">
        <v>4291</v>
      </c>
      <c r="E4310" t="b">
        <f>IF(COUNTIF(D4310,"*"&amp;'Keyword Search'!$C$5&amp;"*"),TRUE,FALSE)</f>
        <v>1</v>
      </c>
      <c r="G4310" t="str">
        <f t="shared" si="278"/>
        <v>557-37: Gauges and Meters, Including Speedometers</v>
      </c>
    </row>
    <row r="4311" spans="1:7" x14ac:dyDescent="0.25">
      <c r="A4311" s="1" t="str">
        <f t="shared" si="279"/>
        <v>557</v>
      </c>
      <c r="B4311" s="1" t="str">
        <f>TEXT(38,"00")</f>
        <v>38</v>
      </c>
      <c r="C4311" s="1" t="str">
        <f t="shared" si="277"/>
        <v>557-38</v>
      </c>
      <c r="D4311" t="s">
        <v>4292</v>
      </c>
      <c r="E4311" t="b">
        <f>IF(COUNTIF(D4311,"*"&amp;'Keyword Search'!$C$5&amp;"*"),TRUE,FALSE)</f>
        <v>1</v>
      </c>
      <c r="G4311" t="str">
        <f t="shared" si="278"/>
        <v>557-38: Hubodometers</v>
      </c>
    </row>
    <row r="4312" spans="1:7" x14ac:dyDescent="0.25">
      <c r="A4312" s="1" t="str">
        <f t="shared" si="279"/>
        <v>557</v>
      </c>
      <c r="B4312" s="1" t="str">
        <f>TEXT(40,"00")</f>
        <v>40</v>
      </c>
      <c r="C4312" s="1" t="str">
        <f t="shared" si="277"/>
        <v>557-40</v>
      </c>
      <c r="D4312" t="s">
        <v>4293</v>
      </c>
      <c r="E4312" t="b">
        <f>IF(COUNTIF(D4312,"*"&amp;'Keyword Search'!$C$5&amp;"*"),TRUE,FALSE)</f>
        <v>1</v>
      </c>
      <c r="G4312" t="str">
        <f t="shared" si="278"/>
        <v>557-40: Glazing and Mirrors: Window, Door and Windshield Glass</v>
      </c>
    </row>
    <row r="4313" spans="1:7" x14ac:dyDescent="0.25">
      <c r="A4313" s="1" t="str">
        <f t="shared" si="279"/>
        <v>557</v>
      </c>
      <c r="B4313" s="1" t="str">
        <f>TEXT(44,"00")</f>
        <v>44</v>
      </c>
      <c r="C4313" s="1" t="str">
        <f t="shared" si="277"/>
        <v>557-44</v>
      </c>
      <c r="D4313" t="s">
        <v>4294</v>
      </c>
      <c r="E4313" t="b">
        <f>IF(COUNTIF(D4313,"*"&amp;'Keyword Search'!$C$5&amp;"*"),TRUE,FALSE)</f>
        <v>1</v>
      </c>
      <c r="G4313" t="str">
        <f t="shared" si="278"/>
        <v>557-44: Insulation, Transit Bus</v>
      </c>
    </row>
    <row r="4314" spans="1:7" x14ac:dyDescent="0.25">
      <c r="A4314" s="1" t="str">
        <f t="shared" si="279"/>
        <v>557</v>
      </c>
      <c r="B4314" s="1" t="str">
        <f>TEXT(50,"00")</f>
        <v>50</v>
      </c>
      <c r="C4314" s="1" t="str">
        <f t="shared" si="277"/>
        <v>557-50</v>
      </c>
      <c r="D4314" t="s">
        <v>4295</v>
      </c>
      <c r="E4314" t="b">
        <f>IF(COUNTIF(D4314,"*"&amp;'Keyword Search'!$C$5&amp;"*"),TRUE,FALSE)</f>
        <v>1</v>
      </c>
      <c r="G4314" t="str">
        <f t="shared" si="278"/>
        <v>557-50: Lamps, Lighting, Lens, and Signals, Interior and Exterior</v>
      </c>
    </row>
    <row r="4315" spans="1:7" x14ac:dyDescent="0.25">
      <c r="A4315" s="1" t="str">
        <f t="shared" si="279"/>
        <v>557</v>
      </c>
      <c r="B4315" s="1" t="str">
        <f>TEXT(52,"00")</f>
        <v>52</v>
      </c>
      <c r="C4315" s="1" t="str">
        <f t="shared" si="277"/>
        <v>557-52</v>
      </c>
      <c r="D4315" t="s">
        <v>4296</v>
      </c>
      <c r="E4315" t="b">
        <f>IF(COUNTIF(D4315,"*"&amp;'Keyword Search'!$C$5&amp;"*"),TRUE,FALSE)</f>
        <v>1</v>
      </c>
      <c r="G4315" t="str">
        <f t="shared" si="278"/>
        <v>557-52: Lubricating Systems and Parts (See 557-34 for Filters)</v>
      </c>
    </row>
    <row r="4316" spans="1:7" x14ac:dyDescent="0.25">
      <c r="A4316" s="1" t="str">
        <f t="shared" si="279"/>
        <v>557</v>
      </c>
      <c r="B4316" s="1" t="str">
        <f>TEXT(53,"00")</f>
        <v>53</v>
      </c>
      <c r="C4316" s="1" t="str">
        <f t="shared" si="277"/>
        <v>557-53</v>
      </c>
      <c r="D4316" t="s">
        <v>4297</v>
      </c>
      <c r="E4316" t="b">
        <f>IF(COUNTIF(D4316,"*"&amp;'Keyword Search'!$C$5&amp;"*"),TRUE,FALSE)</f>
        <v>1</v>
      </c>
      <c r="G4316" t="str">
        <f t="shared" si="278"/>
        <v>557-53: Power and Drive Train Components and Parts, Transit Bus</v>
      </c>
    </row>
    <row r="4317" spans="1:7" x14ac:dyDescent="0.25">
      <c r="A4317" s="1" t="str">
        <f t="shared" si="279"/>
        <v>557</v>
      </c>
      <c r="B4317" s="1" t="str">
        <f>TEXT(54,"00")</f>
        <v>54</v>
      </c>
      <c r="C4317" s="1" t="str">
        <f t="shared" si="277"/>
        <v>557-54</v>
      </c>
      <c r="D4317" t="s">
        <v>4298</v>
      </c>
      <c r="E4317" t="b">
        <f>IF(COUNTIF(D4317,"*"&amp;'Keyword Search'!$C$5&amp;"*"),TRUE,FALSE)</f>
        <v>1</v>
      </c>
      <c r="G4317" t="str">
        <f t="shared" si="278"/>
        <v>557-54: Radiators, Heater Cores, etc.</v>
      </c>
    </row>
    <row r="4318" spans="1:7" x14ac:dyDescent="0.25">
      <c r="A4318" s="1" t="str">
        <f t="shared" si="279"/>
        <v>557</v>
      </c>
      <c r="B4318" s="1" t="str">
        <f>TEXT(55,"00")</f>
        <v>55</v>
      </c>
      <c r="C4318" s="1" t="str">
        <f t="shared" si="277"/>
        <v>557-55</v>
      </c>
      <c r="D4318" t="s">
        <v>4299</v>
      </c>
      <c r="E4318" t="b">
        <f>IF(COUNTIF(D4318,"*"&amp;'Keyword Search'!$C$5&amp;"*"),TRUE,FALSE)</f>
        <v>1</v>
      </c>
      <c r="G4318" t="str">
        <f t="shared" si="278"/>
        <v>557-55: Reflectors</v>
      </c>
    </row>
    <row r="4319" spans="1:7" x14ac:dyDescent="0.25">
      <c r="A4319" s="1" t="str">
        <f t="shared" si="279"/>
        <v>557</v>
      </c>
      <c r="B4319" s="1" t="str">
        <f>TEXT(56,"00")</f>
        <v>56</v>
      </c>
      <c r="C4319" s="1" t="str">
        <f t="shared" si="277"/>
        <v>557-56</v>
      </c>
      <c r="D4319" t="s">
        <v>4300</v>
      </c>
      <c r="E4319" t="b">
        <f>IF(COUNTIF(D4319,"*"&amp;'Keyword Search'!$C$5&amp;"*"),TRUE,FALSE)</f>
        <v>1</v>
      </c>
      <c r="G4319" t="str">
        <f t="shared" si="278"/>
        <v>557-56: Recycled Transit Bus Parts and Accessories</v>
      </c>
    </row>
    <row r="4320" spans="1:7" x14ac:dyDescent="0.25">
      <c r="A4320" s="1" t="str">
        <f t="shared" si="279"/>
        <v>557</v>
      </c>
      <c r="B4320" s="1" t="str">
        <f>TEXT(60,"00")</f>
        <v>60</v>
      </c>
      <c r="C4320" s="1" t="str">
        <f t="shared" si="277"/>
        <v>557-60</v>
      </c>
      <c r="D4320" t="s">
        <v>4301</v>
      </c>
      <c r="E4320" t="b">
        <f>IF(COUNTIF(D4320,"*"&amp;'Keyword Search'!$C$5&amp;"*"),TRUE,FALSE)</f>
        <v>1</v>
      </c>
      <c r="G4320" t="str">
        <f t="shared" si="278"/>
        <v>557-60: Seating and Upholstery</v>
      </c>
    </row>
    <row r="4321" spans="1:7" x14ac:dyDescent="0.25">
      <c r="A4321" s="1" t="str">
        <f t="shared" si="279"/>
        <v>557</v>
      </c>
      <c r="B4321" s="1" t="str">
        <f>TEXT(62,"00")</f>
        <v>62</v>
      </c>
      <c r="C4321" s="1" t="str">
        <f t="shared" si="277"/>
        <v>557-62</v>
      </c>
      <c r="D4321" t="s">
        <v>4302</v>
      </c>
      <c r="E4321" t="b">
        <f>IF(COUNTIF(D4321,"*"&amp;'Keyword Search'!$C$5&amp;"*"),TRUE,FALSE)</f>
        <v>1</v>
      </c>
      <c r="G4321" t="str">
        <f t="shared" si="278"/>
        <v>557-62: Signage, Advertising Type, Interior and Exterior</v>
      </c>
    </row>
    <row r="4322" spans="1:7" x14ac:dyDescent="0.25">
      <c r="A4322" s="1" t="str">
        <f t="shared" si="279"/>
        <v>557</v>
      </c>
      <c r="B4322" s="1" t="str">
        <f>TEXT(63,"00")</f>
        <v>63</v>
      </c>
      <c r="C4322" s="1" t="str">
        <f t="shared" si="277"/>
        <v>557-63</v>
      </c>
      <c r="D4322" t="s">
        <v>4303</v>
      </c>
      <c r="E4322" t="b">
        <f>IF(COUNTIF(D4322,"*"&amp;'Keyword Search'!$C$5&amp;"*"),TRUE,FALSE)</f>
        <v>1</v>
      </c>
      <c r="G4322" t="str">
        <f t="shared" si="278"/>
        <v>557-63: Signage, Destination and Route</v>
      </c>
    </row>
    <row r="4323" spans="1:7" x14ac:dyDescent="0.25">
      <c r="A4323" s="1" t="str">
        <f t="shared" si="279"/>
        <v>557</v>
      </c>
      <c r="B4323" s="1" t="str">
        <f>TEXT(64,"00")</f>
        <v>64</v>
      </c>
      <c r="C4323" s="1" t="str">
        <f t="shared" si="277"/>
        <v>557-64</v>
      </c>
      <c r="D4323" t="s">
        <v>4304</v>
      </c>
      <c r="E4323" t="b">
        <f>IF(COUNTIF(D4323,"*"&amp;'Keyword Search'!$C$5&amp;"*"),TRUE,FALSE)</f>
        <v>1</v>
      </c>
      <c r="G4323" t="str">
        <f t="shared" si="278"/>
        <v>557-64: Stanchions and Grab Rails</v>
      </c>
    </row>
    <row r="4324" spans="1:7" x14ac:dyDescent="0.25">
      <c r="A4324" s="1" t="str">
        <f t="shared" si="279"/>
        <v>557</v>
      </c>
      <c r="B4324" s="1" t="str">
        <f>TEXT(65,"00")</f>
        <v>65</v>
      </c>
      <c r="C4324" s="1" t="str">
        <f t="shared" si="277"/>
        <v>557-65</v>
      </c>
      <c r="D4324" t="s">
        <v>566</v>
      </c>
      <c r="E4324" t="b">
        <f>IF(COUNTIF(D4324,"*"&amp;'Keyword Search'!$C$5&amp;"*"),TRUE,FALSE)</f>
        <v>1</v>
      </c>
      <c r="G4324" t="str">
        <f t="shared" si="278"/>
        <v>557-65: Steering Components and Parts</v>
      </c>
    </row>
    <row r="4325" spans="1:7" x14ac:dyDescent="0.25">
      <c r="A4325" s="1" t="str">
        <f t="shared" si="279"/>
        <v>557</v>
      </c>
      <c r="B4325" s="1" t="str">
        <f>TEXT(70,"00")</f>
        <v>70</v>
      </c>
      <c r="C4325" s="1" t="str">
        <f t="shared" si="277"/>
        <v>557-70</v>
      </c>
      <c r="D4325" t="s">
        <v>4305</v>
      </c>
      <c r="E4325" t="b">
        <f>IF(COUNTIF(D4325,"*"&amp;'Keyword Search'!$C$5&amp;"*"),TRUE,FALSE)</f>
        <v>1</v>
      </c>
      <c r="G4325" t="str">
        <f t="shared" si="278"/>
        <v>557-70: Tanks: Air, Fuel, Water</v>
      </c>
    </row>
    <row r="4326" spans="1:7" x14ac:dyDescent="0.25">
      <c r="A4326" s="1" t="str">
        <f t="shared" si="279"/>
        <v>557</v>
      </c>
      <c r="B4326" s="1" t="str">
        <f>TEXT(75,"00")</f>
        <v>75</v>
      </c>
      <c r="C4326" s="1" t="str">
        <f t="shared" si="277"/>
        <v>557-75</v>
      </c>
      <c r="D4326" t="s">
        <v>4306</v>
      </c>
      <c r="E4326" t="b">
        <f>IF(COUNTIF(D4326,"*"&amp;'Keyword Search'!$C$5&amp;"*"),TRUE,FALSE)</f>
        <v>1</v>
      </c>
      <c r="G4326" t="str">
        <f t="shared" si="278"/>
        <v>557-75: Transmissions, Complete</v>
      </c>
    </row>
    <row r="4327" spans="1:7" x14ac:dyDescent="0.25">
      <c r="A4327" s="1" t="str">
        <f t="shared" si="279"/>
        <v>557</v>
      </c>
      <c r="B4327" s="1" t="str">
        <f>TEXT(78,"00")</f>
        <v>78</v>
      </c>
      <c r="C4327" s="1" t="str">
        <f t="shared" si="277"/>
        <v>557-78</v>
      </c>
      <c r="D4327" t="s">
        <v>4307</v>
      </c>
      <c r="E4327" t="b">
        <f>IF(COUNTIF(D4327,"*"&amp;'Keyword Search'!$C$5&amp;"*"),TRUE,FALSE)</f>
        <v>1</v>
      </c>
      <c r="G4327" t="str">
        <f t="shared" si="278"/>
        <v>557-78: Transmission Parts</v>
      </c>
    </row>
    <row r="4328" spans="1:7" x14ac:dyDescent="0.25">
      <c r="A4328" s="1" t="str">
        <f t="shared" si="279"/>
        <v>557</v>
      </c>
      <c r="B4328" s="1" t="str">
        <f>TEXT(80,"00")</f>
        <v>80</v>
      </c>
      <c r="C4328" s="1" t="str">
        <f t="shared" si="277"/>
        <v>557-80</v>
      </c>
      <c r="D4328" t="s">
        <v>4308</v>
      </c>
      <c r="E4328" t="b">
        <f>IF(COUNTIF(D4328,"*"&amp;'Keyword Search'!$C$5&amp;"*"),TRUE,FALSE)</f>
        <v>1</v>
      </c>
      <c r="G4328" t="str">
        <f t="shared" si="278"/>
        <v>557-80: Undercarriage and Frame, Including Alignment Parts</v>
      </c>
    </row>
    <row r="4329" spans="1:7" x14ac:dyDescent="0.25">
      <c r="A4329" s="1" t="str">
        <f t="shared" si="279"/>
        <v>557</v>
      </c>
      <c r="B4329" s="1" t="str">
        <f>TEXT(85,"00")</f>
        <v>85</v>
      </c>
      <c r="C4329" s="1" t="str">
        <f t="shared" si="277"/>
        <v>557-85</v>
      </c>
      <c r="D4329" t="s">
        <v>4309</v>
      </c>
      <c r="E4329" t="b">
        <f>IF(COUNTIF(D4329,"*"&amp;'Keyword Search'!$C$5&amp;"*"),TRUE,FALSE)</f>
        <v>1</v>
      </c>
      <c r="G4329" t="str">
        <f t="shared" si="278"/>
        <v>557-85: Wheels, Parts, and Accessories</v>
      </c>
    </row>
    <row r="4330" spans="1:7" x14ac:dyDescent="0.25">
      <c r="A4330" s="1" t="str">
        <f t="shared" si="279"/>
        <v>557</v>
      </c>
      <c r="B4330" s="1" t="str">
        <f>TEXT(90,"00")</f>
        <v>90</v>
      </c>
      <c r="C4330" s="1" t="str">
        <f t="shared" si="277"/>
        <v>557-90</v>
      </c>
      <c r="D4330" t="s">
        <v>4310</v>
      </c>
      <c r="E4330" t="b">
        <f>IF(COUNTIF(D4330,"*"&amp;'Keyword Search'!$C$5&amp;"*"),TRUE,FALSE)</f>
        <v>1</v>
      </c>
      <c r="G4330" t="str">
        <f t="shared" si="278"/>
        <v>557-90: Wheelchair Lifts and Accessories</v>
      </c>
    </row>
    <row r="4331" spans="1:7" x14ac:dyDescent="0.25">
      <c r="A4331" s="1" t="str">
        <f t="shared" si="279"/>
        <v>557</v>
      </c>
      <c r="B4331" s="1" t="str">
        <f>TEXT(92,"00")</f>
        <v>92</v>
      </c>
      <c r="C4331" s="1" t="str">
        <f t="shared" si="277"/>
        <v>557-92</v>
      </c>
      <c r="D4331" t="s">
        <v>4311</v>
      </c>
      <c r="E4331" t="b">
        <f>IF(COUNTIF(D4331,"*"&amp;'Keyword Search'!$C$5&amp;"*"),TRUE,FALSE)</f>
        <v>1</v>
      </c>
      <c r="G4331" t="str">
        <f t="shared" si="278"/>
        <v>557-92: Windows and Doors Including Parts and Accessories</v>
      </c>
    </row>
    <row r="4332" spans="1:7" x14ac:dyDescent="0.25">
      <c r="A4332" s="1" t="str">
        <f t="shared" si="279"/>
        <v>557</v>
      </c>
      <c r="B4332" s="1" t="str">
        <f>TEXT(93,"00")</f>
        <v>93</v>
      </c>
      <c r="C4332" s="1" t="str">
        <f t="shared" si="277"/>
        <v>557-93</v>
      </c>
      <c r="D4332" t="s">
        <v>4312</v>
      </c>
      <c r="E4332" t="b">
        <f>IF(COUNTIF(D4332,"*"&amp;'Keyword Search'!$C$5&amp;"*"),TRUE,FALSE)</f>
        <v>1</v>
      </c>
      <c r="G4332" t="str">
        <f t="shared" si="278"/>
        <v>557-93: Windshield Wipers, Washers, Parts and Accessories</v>
      </c>
    </row>
    <row r="4333" spans="1:7" x14ac:dyDescent="0.25">
      <c r="A4333" s="5" t="str">
        <f t="shared" ref="A4333:A4345" si="280">TEXT(558,"000")</f>
        <v>558</v>
      </c>
      <c r="B4333" s="5" t="str">
        <f>TEXT(0,"00")</f>
        <v>00</v>
      </c>
      <c r="C4333" s="1"/>
      <c r="D4333" s="2" t="s">
        <v>4313</v>
      </c>
    </row>
    <row r="4334" spans="1:7" x14ac:dyDescent="0.25">
      <c r="A4334" s="1" t="str">
        <f t="shared" si="280"/>
        <v>558</v>
      </c>
      <c r="B4334" s="1" t="str">
        <f>TEXT(14,"00")</f>
        <v>14</v>
      </c>
      <c r="C4334" s="1" t="str">
        <f t="shared" si="277"/>
        <v>558-14</v>
      </c>
      <c r="D4334" t="s">
        <v>4314</v>
      </c>
      <c r="E4334" t="b">
        <f>IF(COUNTIF(D4334,"*"&amp;'Keyword Search'!$C$5&amp;"*"),TRUE,FALSE)</f>
        <v>1</v>
      </c>
      <c r="G4334" t="str">
        <f t="shared" si="278"/>
        <v>558-14: Car Dumper System Including Electronics and Controls</v>
      </c>
    </row>
    <row r="4335" spans="1:7" x14ac:dyDescent="0.25">
      <c r="A4335" s="1" t="str">
        <f t="shared" si="280"/>
        <v>558</v>
      </c>
      <c r="B4335" s="1" t="str">
        <f>TEXT(20,"00")</f>
        <v>20</v>
      </c>
      <c r="C4335" s="1" t="str">
        <f t="shared" si="277"/>
        <v>558-20</v>
      </c>
      <c r="D4335" t="s">
        <v>4315</v>
      </c>
      <c r="E4335" t="b">
        <f>IF(COUNTIF(D4335,"*"&amp;'Keyword Search'!$C$5&amp;"*"),TRUE,FALSE)</f>
        <v>1</v>
      </c>
      <c r="G4335" t="str">
        <f t="shared" si="278"/>
        <v>558-20: Freight Cars</v>
      </c>
    </row>
    <row r="4336" spans="1:7" x14ac:dyDescent="0.25">
      <c r="A4336" s="1" t="str">
        <f t="shared" si="280"/>
        <v>558</v>
      </c>
      <c r="B4336" s="1" t="str">
        <f>TEXT(30,"00")</f>
        <v>30</v>
      </c>
      <c r="C4336" s="1" t="str">
        <f t="shared" si="277"/>
        <v>558-30</v>
      </c>
      <c r="D4336" t="s">
        <v>4316</v>
      </c>
      <c r="E4336" t="b">
        <f>IF(COUNTIF(D4336,"*"&amp;'Keyword Search'!$C$5&amp;"*"),TRUE,FALSE)</f>
        <v>1</v>
      </c>
      <c r="G4336" t="str">
        <f t="shared" si="278"/>
        <v>558-30: Locomotives, Diesel</v>
      </c>
    </row>
    <row r="4337" spans="1:7" x14ac:dyDescent="0.25">
      <c r="A4337" s="1" t="str">
        <f t="shared" si="280"/>
        <v>558</v>
      </c>
      <c r="B4337" s="1" t="str">
        <f>TEXT(35,"00")</f>
        <v>35</v>
      </c>
      <c r="C4337" s="1" t="str">
        <f t="shared" si="277"/>
        <v>558-35</v>
      </c>
      <c r="D4337" t="s">
        <v>4317</v>
      </c>
      <c r="E4337" t="b">
        <f>IF(COUNTIF(D4337,"*"&amp;'Keyword Search'!$C$5&amp;"*"),TRUE,FALSE)</f>
        <v>1</v>
      </c>
      <c r="G4337" t="str">
        <f t="shared" si="278"/>
        <v>558-35: Locomotives, Electric</v>
      </c>
    </row>
    <row r="4338" spans="1:7" x14ac:dyDescent="0.25">
      <c r="A4338" s="1" t="str">
        <f t="shared" si="280"/>
        <v>558</v>
      </c>
      <c r="B4338" s="1" t="str">
        <f>TEXT(37,"00")</f>
        <v>37</v>
      </c>
      <c r="C4338" s="1" t="str">
        <f t="shared" si="277"/>
        <v>558-37</v>
      </c>
      <c r="D4338" t="s">
        <v>4318</v>
      </c>
      <c r="E4338" t="b">
        <f>IF(COUNTIF(D4338,"*"&amp;'Keyword Search'!$C$5&amp;"*"),TRUE,FALSE)</f>
        <v>1</v>
      </c>
      <c r="G4338" t="str">
        <f t="shared" si="278"/>
        <v>558-37: Monorail System, Including Parts and Accessories</v>
      </c>
    </row>
    <row r="4339" spans="1:7" x14ac:dyDescent="0.25">
      <c r="A4339" s="1" t="str">
        <f t="shared" si="280"/>
        <v>558</v>
      </c>
      <c r="B4339" s="1" t="str">
        <f>TEXT(40,"00")</f>
        <v>40</v>
      </c>
      <c r="C4339" s="1" t="str">
        <f t="shared" si="277"/>
        <v>558-40</v>
      </c>
      <c r="D4339" t="s">
        <v>4319</v>
      </c>
      <c r="E4339" t="b">
        <f>IF(COUNTIF(D4339,"*"&amp;'Keyword Search'!$C$5&amp;"*"),TRUE,FALSE)</f>
        <v>1</v>
      </c>
      <c r="G4339" t="str">
        <f t="shared" si="278"/>
        <v>558-40: Passenger Cars, Light, Self-Propelled</v>
      </c>
    </row>
    <row r="4340" spans="1:7" x14ac:dyDescent="0.25">
      <c r="A4340" s="1" t="str">
        <f t="shared" si="280"/>
        <v>558</v>
      </c>
      <c r="B4340" s="1" t="str">
        <f>TEXT(45,"00")</f>
        <v>45</v>
      </c>
      <c r="C4340" s="1" t="str">
        <f t="shared" si="277"/>
        <v>558-45</v>
      </c>
      <c r="D4340" t="s">
        <v>4320</v>
      </c>
      <c r="E4340" t="b">
        <f>IF(COUNTIF(D4340,"*"&amp;'Keyword Search'!$C$5&amp;"*"),TRUE,FALSE)</f>
        <v>1</v>
      </c>
      <c r="G4340" t="str">
        <f t="shared" si="278"/>
        <v>558-45: Passenger Cars, Light, Non-Powered</v>
      </c>
    </row>
    <row r="4341" spans="1:7" x14ac:dyDescent="0.25">
      <c r="A4341" s="1" t="str">
        <f t="shared" si="280"/>
        <v>558</v>
      </c>
      <c r="B4341" s="1" t="str">
        <f>TEXT(50,"00")</f>
        <v>50</v>
      </c>
      <c r="C4341" s="1" t="str">
        <f t="shared" si="277"/>
        <v>558-50</v>
      </c>
      <c r="D4341" t="s">
        <v>4321</v>
      </c>
      <c r="E4341" t="b">
        <f>IF(COUNTIF(D4341,"*"&amp;'Keyword Search'!$C$5&amp;"*"),TRUE,FALSE)</f>
        <v>1</v>
      </c>
      <c r="G4341" t="str">
        <f t="shared" si="278"/>
        <v>558-50: Passenger Cars, Heavy, Self-Propelled</v>
      </c>
    </row>
    <row r="4342" spans="1:7" x14ac:dyDescent="0.25">
      <c r="A4342" s="1" t="str">
        <f t="shared" si="280"/>
        <v>558</v>
      </c>
      <c r="B4342" s="1" t="str">
        <f>TEXT(55,"00")</f>
        <v>55</v>
      </c>
      <c r="C4342" s="1" t="str">
        <f t="shared" si="277"/>
        <v>558-55</v>
      </c>
      <c r="D4342" t="s">
        <v>4322</v>
      </c>
      <c r="E4342" t="b">
        <f>IF(COUNTIF(D4342,"*"&amp;'Keyword Search'!$C$5&amp;"*"),TRUE,FALSE)</f>
        <v>1</v>
      </c>
      <c r="G4342" t="str">
        <f t="shared" si="278"/>
        <v>558-55: Passenger Cars, Heavy, Non-Powered</v>
      </c>
    </row>
    <row r="4343" spans="1:7" x14ac:dyDescent="0.25">
      <c r="A4343" s="1" t="str">
        <f t="shared" si="280"/>
        <v>558</v>
      </c>
      <c r="B4343" s="1" t="str">
        <f>TEXT(70,"00")</f>
        <v>70</v>
      </c>
      <c r="C4343" s="1" t="str">
        <f t="shared" si="277"/>
        <v>558-70</v>
      </c>
      <c r="D4343" t="s">
        <v>4323</v>
      </c>
      <c r="E4343" t="b">
        <f>IF(COUNTIF(D4343,"*"&amp;'Keyword Search'!$C$5&amp;"*"),TRUE,FALSE)</f>
        <v>1</v>
      </c>
      <c r="G4343" t="str">
        <f t="shared" si="278"/>
        <v>558-70: Specialized Vehicles, Self-Propelled, Rail Car Movers, etc.</v>
      </c>
    </row>
    <row r="4344" spans="1:7" x14ac:dyDescent="0.25">
      <c r="A4344" s="1" t="str">
        <f t="shared" si="280"/>
        <v>558</v>
      </c>
      <c r="B4344" s="1" t="str">
        <f>TEXT(75,"00")</f>
        <v>75</v>
      </c>
      <c r="C4344" s="1" t="str">
        <f t="shared" si="277"/>
        <v>558-75</v>
      </c>
      <c r="D4344" t="s">
        <v>4324</v>
      </c>
      <c r="E4344" t="b">
        <f>IF(COUNTIF(D4344,"*"&amp;'Keyword Search'!$C$5&amp;"*"),TRUE,FALSE)</f>
        <v>1</v>
      </c>
      <c r="G4344" t="str">
        <f t="shared" si="278"/>
        <v>558-75: Specialized Vehicles, Non-Powered</v>
      </c>
    </row>
    <row r="4345" spans="1:7" x14ac:dyDescent="0.25">
      <c r="A4345" s="1" t="str">
        <f t="shared" si="280"/>
        <v>558</v>
      </c>
      <c r="B4345" s="1" t="str">
        <f>TEXT(85,"00")</f>
        <v>85</v>
      </c>
      <c r="C4345" s="1" t="str">
        <f t="shared" si="277"/>
        <v>558-85</v>
      </c>
      <c r="D4345" t="s">
        <v>4325</v>
      </c>
      <c r="E4345" t="b">
        <f>IF(COUNTIF(D4345,"*"&amp;'Keyword Search'!$C$5&amp;"*"),TRUE,FALSE)</f>
        <v>1</v>
      </c>
      <c r="G4345" t="str">
        <f t="shared" si="278"/>
        <v>558-85: Trolleys, Including Parts and Accessories</v>
      </c>
    </row>
    <row r="4346" spans="1:7" x14ac:dyDescent="0.25">
      <c r="A4346" s="5" t="str">
        <f t="shared" ref="A4346:A4384" si="281">TEXT(559,"000")</f>
        <v>559</v>
      </c>
      <c r="B4346" s="5" t="str">
        <f>TEXT(0,"00")</f>
        <v>00</v>
      </c>
      <c r="C4346" s="1"/>
      <c r="D4346" s="2" t="s">
        <v>4326</v>
      </c>
    </row>
    <row r="4347" spans="1:7" x14ac:dyDescent="0.25">
      <c r="A4347" s="1" t="str">
        <f t="shared" si="281"/>
        <v>559</v>
      </c>
      <c r="B4347" s="1" t="str">
        <f>TEXT(5,"00")</f>
        <v>05</v>
      </c>
      <c r="C4347" s="1" t="str">
        <f t="shared" si="277"/>
        <v>559-05</v>
      </c>
      <c r="D4347" t="s">
        <v>4327</v>
      </c>
      <c r="E4347" t="b">
        <f>IF(COUNTIF(D4347,"*"&amp;'Keyword Search'!$C$5&amp;"*"),TRUE,FALSE)</f>
        <v>1</v>
      </c>
      <c r="G4347" t="str">
        <f t="shared" si="278"/>
        <v>559-05: Air Conditioning, Heating and Ventilation, Including Defrosters and Defoggers</v>
      </c>
    </row>
    <row r="4348" spans="1:7" x14ac:dyDescent="0.25">
      <c r="A4348" s="1" t="str">
        <f t="shared" si="281"/>
        <v>559</v>
      </c>
      <c r="B4348" s="1" t="str">
        <f>TEXT(10,"00")</f>
        <v>10</v>
      </c>
      <c r="C4348" s="1" t="str">
        <f t="shared" si="277"/>
        <v>559-10</v>
      </c>
      <c r="D4348" t="s">
        <v>4328</v>
      </c>
      <c r="E4348" t="b">
        <f>IF(COUNTIF(D4348,"*"&amp;'Keyword Search'!$C$5&amp;"*"),TRUE,FALSE)</f>
        <v>1</v>
      </c>
      <c r="G4348" t="str">
        <f t="shared" si="278"/>
        <v>559-10: Body Panels, Frames, and Parts</v>
      </c>
    </row>
    <row r="4349" spans="1:7" x14ac:dyDescent="0.25">
      <c r="A4349" s="1" t="str">
        <f t="shared" si="281"/>
        <v>559</v>
      </c>
      <c r="B4349" s="1" t="str">
        <f>TEXT(12,"00")</f>
        <v>12</v>
      </c>
      <c r="C4349" s="1" t="str">
        <f t="shared" si="277"/>
        <v>559-12</v>
      </c>
      <c r="D4349" t="s">
        <v>4329</v>
      </c>
      <c r="E4349" t="b">
        <f>IF(COUNTIF(D4349,"*"&amp;'Keyword Search'!$C$5&amp;"*"),TRUE,FALSE)</f>
        <v>1</v>
      </c>
      <c r="G4349" t="str">
        <f t="shared" si="278"/>
        <v>559-12: Bogie Assemblies</v>
      </c>
    </row>
    <row r="4350" spans="1:7" x14ac:dyDescent="0.25">
      <c r="A4350" s="1" t="str">
        <f t="shared" si="281"/>
        <v>559</v>
      </c>
      <c r="B4350" s="1" t="str">
        <f>TEXT(15,"00")</f>
        <v>15</v>
      </c>
      <c r="C4350" s="1" t="str">
        <f t="shared" si="277"/>
        <v>559-15</v>
      </c>
      <c r="D4350" t="s">
        <v>4330</v>
      </c>
      <c r="E4350" t="b">
        <f>IF(COUNTIF(D4350,"*"&amp;'Keyword Search'!$C$5&amp;"*"),TRUE,FALSE)</f>
        <v>1</v>
      </c>
      <c r="G4350" t="str">
        <f t="shared" si="278"/>
        <v>559-15: Brake Systems</v>
      </c>
    </row>
    <row r="4351" spans="1:7" x14ac:dyDescent="0.25">
      <c r="A4351" s="1" t="str">
        <f t="shared" si="281"/>
        <v>559</v>
      </c>
      <c r="B4351" s="1" t="str">
        <f>TEXT(17,"00")</f>
        <v>17</v>
      </c>
      <c r="C4351" s="1" t="str">
        <f t="shared" si="277"/>
        <v>559-17</v>
      </c>
      <c r="D4351" t="s">
        <v>4331</v>
      </c>
      <c r="E4351" t="b">
        <f>IF(COUNTIF(D4351,"*"&amp;'Keyword Search'!$C$5&amp;"*"),TRUE,FALSE)</f>
        <v>1</v>
      </c>
      <c r="G4351" t="str">
        <f t="shared" si="278"/>
        <v>559-17: Brushes, Carbon</v>
      </c>
    </row>
    <row r="4352" spans="1:7" x14ac:dyDescent="0.25">
      <c r="A4352" s="1" t="str">
        <f t="shared" si="281"/>
        <v>559</v>
      </c>
      <c r="B4352" s="1" t="str">
        <f>TEXT(18,"00")</f>
        <v>18</v>
      </c>
      <c r="C4352" s="1" t="str">
        <f t="shared" si="277"/>
        <v>559-18</v>
      </c>
      <c r="D4352" t="s">
        <v>4332</v>
      </c>
      <c r="E4352" t="b">
        <f>IF(COUNTIF(D4352,"*"&amp;'Keyword Search'!$C$5&amp;"*"),TRUE,FALSE)</f>
        <v>1</v>
      </c>
      <c r="G4352" t="str">
        <f t="shared" si="278"/>
        <v>559-18: Communications Equipment, Automated People Movers, Including Parts and Accessories</v>
      </c>
    </row>
    <row r="4353" spans="1:7" x14ac:dyDescent="0.25">
      <c r="A4353" s="1" t="str">
        <f t="shared" si="281"/>
        <v>559</v>
      </c>
      <c r="B4353" s="1" t="str">
        <f>TEXT(19,"00")</f>
        <v>19</v>
      </c>
      <c r="C4353" s="1" t="str">
        <f t="shared" si="277"/>
        <v>559-19</v>
      </c>
      <c r="D4353" t="s">
        <v>4333</v>
      </c>
      <c r="E4353" t="b">
        <f>IF(COUNTIF(D4353,"*"&amp;'Keyword Search'!$C$5&amp;"*"),TRUE,FALSE)</f>
        <v>1</v>
      </c>
      <c r="G4353" t="str">
        <f t="shared" si="278"/>
        <v>559-19: Communications Equipment, Train, Including Parts and Accessories</v>
      </c>
    </row>
    <row r="4354" spans="1:7" x14ac:dyDescent="0.25">
      <c r="A4354" s="1" t="str">
        <f t="shared" si="281"/>
        <v>559</v>
      </c>
      <c r="B4354" s="1" t="str">
        <f>TEXT(20,"00")</f>
        <v>20</v>
      </c>
      <c r="C4354" s="1" t="str">
        <f t="shared" si="277"/>
        <v>559-20</v>
      </c>
      <c r="D4354" t="s">
        <v>4334</v>
      </c>
      <c r="E4354" t="b">
        <f>IF(COUNTIF(D4354,"*"&amp;'Keyword Search'!$C$5&amp;"*"),TRUE,FALSE)</f>
        <v>1</v>
      </c>
      <c r="G4354" t="str">
        <f t="shared" si="278"/>
        <v>559-20: Couplers, Including Parts and Accessories</v>
      </c>
    </row>
    <row r="4355" spans="1:7" x14ac:dyDescent="0.25">
      <c r="A4355" s="1" t="str">
        <f t="shared" si="281"/>
        <v>559</v>
      </c>
      <c r="B4355" s="1" t="str">
        <f>TEXT(23,"00")</f>
        <v>23</v>
      </c>
      <c r="C4355" s="1" t="str">
        <f t="shared" ref="C4355:C4418" si="282">CONCATENATE(A4355,"-",B4355)</f>
        <v>559-23</v>
      </c>
      <c r="D4355" t="s">
        <v>4335</v>
      </c>
      <c r="E4355" t="b">
        <f>IF(COUNTIF(D4355,"*"&amp;'Keyword Search'!$C$5&amp;"*"),TRUE,FALSE)</f>
        <v>1</v>
      </c>
      <c r="G4355" t="str">
        <f t="shared" si="278"/>
        <v>559-23: Crossing Equipment, Railroad, Including Crossing Signs, Including Parts and Accessories</v>
      </c>
    </row>
    <row r="4356" spans="1:7" x14ac:dyDescent="0.25">
      <c r="A4356" s="1" t="str">
        <f t="shared" si="281"/>
        <v>559</v>
      </c>
      <c r="B4356" s="1" t="str">
        <f>TEXT(25,"00")</f>
        <v>25</v>
      </c>
      <c r="C4356" s="1" t="str">
        <f t="shared" si="282"/>
        <v>559-25</v>
      </c>
      <c r="D4356" t="s">
        <v>4336</v>
      </c>
      <c r="E4356" t="b">
        <f>IF(COUNTIF(D4356,"*"&amp;'Keyword Search'!$C$5&amp;"*"),TRUE,FALSE)</f>
        <v>1</v>
      </c>
      <c r="G4356" t="str">
        <f t="shared" ref="G4356:G4419" si="283">CONCATENATE(C4356,": ",D4356)</f>
        <v>559-25: Current Collecting Systems</v>
      </c>
    </row>
    <row r="4357" spans="1:7" x14ac:dyDescent="0.25">
      <c r="A4357" s="1" t="str">
        <f t="shared" si="281"/>
        <v>559</v>
      </c>
      <c r="B4357" s="1" t="str">
        <f>TEXT(30,"00")</f>
        <v>30</v>
      </c>
      <c r="C4357" s="1" t="str">
        <f t="shared" si="282"/>
        <v>559-30</v>
      </c>
      <c r="D4357" t="s">
        <v>4337</v>
      </c>
      <c r="E4357" t="b">
        <f>IF(COUNTIF(D4357,"*"&amp;'Keyword Search'!$C$5&amp;"*"),TRUE,FALSE)</f>
        <v>1</v>
      </c>
      <c r="G4357" t="str">
        <f t="shared" si="283"/>
        <v>559-30: Door Operators</v>
      </c>
    </row>
    <row r="4358" spans="1:7" x14ac:dyDescent="0.25">
      <c r="A4358" s="1" t="str">
        <f t="shared" si="281"/>
        <v>559</v>
      </c>
      <c r="B4358" s="1" t="str">
        <f>TEXT(31,"00")</f>
        <v>31</v>
      </c>
      <c r="C4358" s="1" t="str">
        <f t="shared" si="282"/>
        <v>559-31</v>
      </c>
      <c r="D4358" t="s">
        <v>4338</v>
      </c>
      <c r="E4358" t="b">
        <f>IF(COUNTIF(D4358,"*"&amp;'Keyword Search'!$C$5&amp;"*"),TRUE,FALSE)</f>
        <v>1</v>
      </c>
      <c r="G4358" t="str">
        <f t="shared" si="283"/>
        <v>559-31: Doors and Windows</v>
      </c>
    </row>
    <row r="4359" spans="1:7" x14ac:dyDescent="0.25">
      <c r="A4359" s="1" t="str">
        <f t="shared" si="281"/>
        <v>559</v>
      </c>
      <c r="B4359" s="1" t="str">
        <f>TEXT(35,"00")</f>
        <v>35</v>
      </c>
      <c r="C4359" s="1" t="str">
        <f t="shared" si="282"/>
        <v>559-35</v>
      </c>
      <c r="D4359" t="s">
        <v>4339</v>
      </c>
      <c r="E4359" t="b">
        <f>IF(COUNTIF(D4359,"*"&amp;'Keyword Search'!$C$5&amp;"*"),TRUE,FALSE)</f>
        <v>1</v>
      </c>
      <c r="G4359" t="str">
        <f t="shared" si="283"/>
        <v>559-35: Drive Motors and Accessories</v>
      </c>
    </row>
    <row r="4360" spans="1:7" x14ac:dyDescent="0.25">
      <c r="A4360" s="1" t="str">
        <f t="shared" si="281"/>
        <v>559</v>
      </c>
      <c r="B4360" s="1" t="str">
        <f>TEXT(40,"00")</f>
        <v>40</v>
      </c>
      <c r="C4360" s="1" t="str">
        <f t="shared" si="282"/>
        <v>559-40</v>
      </c>
      <c r="D4360" t="s">
        <v>4284</v>
      </c>
      <c r="E4360" t="b">
        <f>IF(COUNTIF(D4360,"*"&amp;'Keyword Search'!$C$5&amp;"*"),TRUE,FALSE)</f>
        <v>1</v>
      </c>
      <c r="G4360" t="str">
        <f t="shared" si="283"/>
        <v>559-40: Electrical Accessories and Parts, Not Lighting</v>
      </c>
    </row>
    <row r="4361" spans="1:7" x14ac:dyDescent="0.25">
      <c r="A4361" s="1" t="str">
        <f t="shared" si="281"/>
        <v>559</v>
      </c>
      <c r="B4361" s="1" t="str">
        <f>TEXT(45,"00")</f>
        <v>45</v>
      </c>
      <c r="C4361" s="1" t="str">
        <f t="shared" si="282"/>
        <v>559-45</v>
      </c>
      <c r="D4361" t="s">
        <v>4293</v>
      </c>
      <c r="E4361" t="b">
        <f>IF(COUNTIF(D4361,"*"&amp;'Keyword Search'!$C$5&amp;"*"),TRUE,FALSE)</f>
        <v>1</v>
      </c>
      <c r="G4361" t="str">
        <f t="shared" si="283"/>
        <v>559-45: Glazing and Mirrors: Window, Door and Windshield Glass</v>
      </c>
    </row>
    <row r="4362" spans="1:7" x14ac:dyDescent="0.25">
      <c r="A4362" s="1" t="str">
        <f t="shared" si="281"/>
        <v>559</v>
      </c>
      <c r="B4362" s="1" t="str">
        <f>TEXT(46,"00")</f>
        <v>46</v>
      </c>
      <c r="C4362" s="1" t="str">
        <f t="shared" si="282"/>
        <v>559-46</v>
      </c>
      <c r="D4362" t="s">
        <v>4340</v>
      </c>
      <c r="E4362" t="b">
        <f>IF(COUNTIF(D4362,"*"&amp;'Keyword Search'!$C$5&amp;"*"),TRUE,FALSE)</f>
        <v>1</v>
      </c>
      <c r="G4362" t="str">
        <f t="shared" si="283"/>
        <v>559-46: Governors and Speed Regulators</v>
      </c>
    </row>
    <row r="4363" spans="1:7" x14ac:dyDescent="0.25">
      <c r="A4363" s="1" t="str">
        <f t="shared" si="281"/>
        <v>559</v>
      </c>
      <c r="B4363" s="1" t="str">
        <f>TEXT(47,"00")</f>
        <v>47</v>
      </c>
      <c r="C4363" s="1" t="str">
        <f t="shared" si="282"/>
        <v>559-47</v>
      </c>
      <c r="D4363" t="s">
        <v>4341</v>
      </c>
      <c r="E4363" t="b">
        <f>IF(COUNTIF(D4363,"*"&amp;'Keyword Search'!$C$5&amp;"*"),TRUE,FALSE)</f>
        <v>1</v>
      </c>
      <c r="G4363" t="str">
        <f t="shared" si="283"/>
        <v>559-47: Heaters, Train Track</v>
      </c>
    </row>
    <row r="4364" spans="1:7" x14ac:dyDescent="0.25">
      <c r="A4364" s="1" t="str">
        <f t="shared" si="281"/>
        <v>559</v>
      </c>
      <c r="B4364" s="1" t="str">
        <f>TEXT(48,"00")</f>
        <v>48</v>
      </c>
      <c r="C4364" s="1" t="str">
        <f t="shared" si="282"/>
        <v>559-48</v>
      </c>
      <c r="D4364" t="s">
        <v>4342</v>
      </c>
      <c r="E4364" t="b">
        <f>IF(COUNTIF(D4364,"*"&amp;'Keyword Search'!$C$5&amp;"*"),TRUE,FALSE)</f>
        <v>1</v>
      </c>
      <c r="G4364" t="str">
        <f t="shared" si="283"/>
        <v>559-48: Hubodometers, Rail Car</v>
      </c>
    </row>
    <row r="4365" spans="1:7" x14ac:dyDescent="0.25">
      <c r="A4365" s="1" t="str">
        <f t="shared" si="281"/>
        <v>559</v>
      </c>
      <c r="B4365" s="1" t="str">
        <f>TEXT(49,"00")</f>
        <v>49</v>
      </c>
      <c r="C4365" s="1" t="str">
        <f t="shared" si="282"/>
        <v>559-49</v>
      </c>
      <c r="D4365" t="s">
        <v>4343</v>
      </c>
      <c r="E4365" t="b">
        <f>IF(COUNTIF(D4365,"*"&amp;'Keyword Search'!$C$5&amp;"*"),TRUE,FALSE)</f>
        <v>1</v>
      </c>
      <c r="G4365" t="str">
        <f t="shared" si="283"/>
        <v>559-49: Hydraulic Systems, Rail Car</v>
      </c>
    </row>
    <row r="4366" spans="1:7" x14ac:dyDescent="0.25">
      <c r="A4366" s="1" t="str">
        <f t="shared" si="281"/>
        <v>559</v>
      </c>
      <c r="B4366" s="1" t="str">
        <f>TEXT(51,"00")</f>
        <v>51</v>
      </c>
      <c r="C4366" s="1" t="str">
        <f t="shared" si="282"/>
        <v>559-51</v>
      </c>
      <c r="D4366" t="s">
        <v>4344</v>
      </c>
      <c r="E4366" t="b">
        <f>IF(COUNTIF(D4366,"*"&amp;'Keyword Search'!$C$5&amp;"*"),TRUE,FALSE)</f>
        <v>1</v>
      </c>
      <c r="G4366" t="str">
        <f t="shared" si="283"/>
        <v>559-51: Insulation, Train</v>
      </c>
    </row>
    <row r="4367" spans="1:7" x14ac:dyDescent="0.25">
      <c r="A4367" s="1" t="str">
        <f t="shared" si="281"/>
        <v>559</v>
      </c>
      <c r="B4367" s="1" t="str">
        <f>TEXT(55,"00")</f>
        <v>55</v>
      </c>
      <c r="C4367" s="1" t="str">
        <f t="shared" si="282"/>
        <v>559-55</v>
      </c>
      <c r="D4367" t="s">
        <v>4345</v>
      </c>
      <c r="E4367" t="b">
        <f>IF(COUNTIF(D4367,"*"&amp;'Keyword Search'!$C$5&amp;"*"),TRUE,FALSE)</f>
        <v>1</v>
      </c>
      <c r="G4367" t="str">
        <f t="shared" si="283"/>
        <v>559-55: Lamps and Lighting, Interior and Exterior</v>
      </c>
    </row>
    <row r="4368" spans="1:7" x14ac:dyDescent="0.25">
      <c r="A4368" s="1" t="str">
        <f t="shared" si="281"/>
        <v>559</v>
      </c>
      <c r="B4368" s="1" t="str">
        <f>TEXT(57,"00")</f>
        <v>57</v>
      </c>
      <c r="C4368" s="1" t="str">
        <f t="shared" si="282"/>
        <v>559-57</v>
      </c>
      <c r="D4368" t="s">
        <v>4346</v>
      </c>
      <c r="E4368" t="b">
        <f>IF(COUNTIF(D4368,"*"&amp;'Keyword Search'!$C$5&amp;"*"),TRUE,FALSE)</f>
        <v>1</v>
      </c>
      <c r="G4368" t="str">
        <f t="shared" si="283"/>
        <v>559-57: Lubricators, Train Track</v>
      </c>
    </row>
    <row r="4369" spans="1:7" x14ac:dyDescent="0.25">
      <c r="A4369" s="1" t="str">
        <f t="shared" si="281"/>
        <v>559</v>
      </c>
      <c r="B4369" s="1" t="str">
        <f>TEXT(59,"00")</f>
        <v>59</v>
      </c>
      <c r="C4369" s="1" t="str">
        <f t="shared" si="282"/>
        <v>559-59</v>
      </c>
      <c r="D4369" t="s">
        <v>4347</v>
      </c>
      <c r="E4369" t="b">
        <f>IF(COUNTIF(D4369,"*"&amp;'Keyword Search'!$C$5&amp;"*"),TRUE,FALSE)</f>
        <v>1</v>
      </c>
      <c r="G4369" t="str">
        <f t="shared" si="283"/>
        <v>559-59: Recycled Rail Vehicle Accessories and Parts</v>
      </c>
    </row>
    <row r="4370" spans="1:7" x14ac:dyDescent="0.25">
      <c r="A4370" s="1" t="str">
        <f t="shared" si="281"/>
        <v>559</v>
      </c>
      <c r="B4370" s="1" t="str">
        <f>TEXT(60,"00")</f>
        <v>60</v>
      </c>
      <c r="C4370" s="1" t="str">
        <f t="shared" si="282"/>
        <v>559-60</v>
      </c>
      <c r="D4370" t="s">
        <v>4299</v>
      </c>
      <c r="E4370" t="b">
        <f>IF(COUNTIF(D4370,"*"&amp;'Keyword Search'!$C$5&amp;"*"),TRUE,FALSE)</f>
        <v>1</v>
      </c>
      <c r="G4370" t="str">
        <f t="shared" si="283"/>
        <v>559-60: Reflectors</v>
      </c>
    </row>
    <row r="4371" spans="1:7" x14ac:dyDescent="0.25">
      <c r="A4371" s="1" t="str">
        <f t="shared" si="281"/>
        <v>559</v>
      </c>
      <c r="B4371" s="1" t="str">
        <f>TEXT(65,"00")</f>
        <v>65</v>
      </c>
      <c r="C4371" s="1" t="str">
        <f t="shared" si="282"/>
        <v>559-65</v>
      </c>
      <c r="D4371" t="s">
        <v>4301</v>
      </c>
      <c r="E4371" t="b">
        <f>IF(COUNTIF(D4371,"*"&amp;'Keyword Search'!$C$5&amp;"*"),TRUE,FALSE)</f>
        <v>1</v>
      </c>
      <c r="G4371" t="str">
        <f t="shared" si="283"/>
        <v>559-65: Seating and Upholstery</v>
      </c>
    </row>
    <row r="4372" spans="1:7" x14ac:dyDescent="0.25">
      <c r="A4372" s="1" t="str">
        <f t="shared" si="281"/>
        <v>559</v>
      </c>
      <c r="B4372" s="1" t="str">
        <f>TEXT(67,"00")</f>
        <v>67</v>
      </c>
      <c r="C4372" s="1" t="str">
        <f t="shared" si="282"/>
        <v>559-67</v>
      </c>
      <c r="D4372" t="s">
        <v>4348</v>
      </c>
      <c r="E4372" t="b">
        <f>IF(COUNTIF(D4372,"*"&amp;'Keyword Search'!$C$5&amp;"*"),TRUE,FALSE)</f>
        <v>1</v>
      </c>
      <c r="G4372" t="str">
        <f t="shared" si="283"/>
        <v>559-67: Shock Absorbers, Rail Vehicles</v>
      </c>
    </row>
    <row r="4373" spans="1:7" x14ac:dyDescent="0.25">
      <c r="A4373" s="1" t="str">
        <f t="shared" si="281"/>
        <v>559</v>
      </c>
      <c r="B4373" s="1" t="str">
        <f>TEXT(70,"00")</f>
        <v>70</v>
      </c>
      <c r="C4373" s="1" t="str">
        <f t="shared" si="282"/>
        <v>559-70</v>
      </c>
      <c r="D4373" t="s">
        <v>4349</v>
      </c>
      <c r="E4373" t="b">
        <f>IF(COUNTIF(D4373,"*"&amp;'Keyword Search'!$C$5&amp;"*"),TRUE,FALSE)</f>
        <v>1</v>
      </c>
      <c r="G4373" t="str">
        <f t="shared" si="283"/>
        <v>559-70: Signage: Destination, Routing and Advertising</v>
      </c>
    </row>
    <row r="4374" spans="1:7" x14ac:dyDescent="0.25">
      <c r="A4374" s="1" t="str">
        <f t="shared" si="281"/>
        <v>559</v>
      </c>
      <c r="B4374" s="1" t="str">
        <f>TEXT(71,"00")</f>
        <v>71</v>
      </c>
      <c r="C4374" s="1" t="str">
        <f t="shared" si="282"/>
        <v>559-71</v>
      </c>
      <c r="D4374" t="s">
        <v>4350</v>
      </c>
      <c r="E4374" t="b">
        <f>IF(COUNTIF(D4374,"*"&amp;'Keyword Search'!$C$5&amp;"*"),TRUE,FALSE)</f>
        <v>1</v>
      </c>
      <c r="G4374" t="str">
        <f t="shared" si="283"/>
        <v>559-71: Signals and Accessories, Train</v>
      </c>
    </row>
    <row r="4375" spans="1:7" x14ac:dyDescent="0.25">
      <c r="A4375" s="1" t="str">
        <f t="shared" si="281"/>
        <v>559</v>
      </c>
      <c r="B4375" s="1" t="str">
        <f>TEXT(74,"00")</f>
        <v>74</v>
      </c>
      <c r="C4375" s="1" t="str">
        <f t="shared" si="282"/>
        <v>559-74</v>
      </c>
      <c r="D4375" t="s">
        <v>4304</v>
      </c>
      <c r="E4375" t="b">
        <f>IF(COUNTIF(D4375,"*"&amp;'Keyword Search'!$C$5&amp;"*"),TRUE,FALSE)</f>
        <v>1</v>
      </c>
      <c r="G4375" t="str">
        <f t="shared" si="283"/>
        <v>559-74: Stanchions and Grab Rails</v>
      </c>
    </row>
    <row r="4376" spans="1:7" x14ac:dyDescent="0.25">
      <c r="A4376" s="1" t="str">
        <f t="shared" si="281"/>
        <v>559</v>
      </c>
      <c r="B4376" s="1" t="str">
        <f>TEXT(75,"00")</f>
        <v>75</v>
      </c>
      <c r="C4376" s="1" t="str">
        <f t="shared" si="282"/>
        <v>559-75</v>
      </c>
      <c r="D4376" t="s">
        <v>4351</v>
      </c>
      <c r="E4376" t="b">
        <f>IF(COUNTIF(D4376,"*"&amp;'Keyword Search'!$C$5&amp;"*"),TRUE,FALSE)</f>
        <v>1</v>
      </c>
      <c r="G4376" t="str">
        <f t="shared" si="283"/>
        <v>559-75: Special Parts (Not Otherwise Classified)</v>
      </c>
    </row>
    <row r="4377" spans="1:7" x14ac:dyDescent="0.25">
      <c r="A4377" s="1" t="str">
        <f t="shared" si="281"/>
        <v>559</v>
      </c>
      <c r="B4377" s="1" t="str">
        <f>TEXT(76,"00")</f>
        <v>76</v>
      </c>
      <c r="C4377" s="1" t="str">
        <f t="shared" si="282"/>
        <v>559-76</v>
      </c>
      <c r="D4377" t="s">
        <v>4352</v>
      </c>
      <c r="E4377" t="b">
        <f>IF(COUNTIF(D4377,"*"&amp;'Keyword Search'!$C$5&amp;"*"),TRUE,FALSE)</f>
        <v>1</v>
      </c>
      <c r="G4377" t="str">
        <f t="shared" si="283"/>
        <v>559-76: Switch Stands</v>
      </c>
    </row>
    <row r="4378" spans="1:7" x14ac:dyDescent="0.25">
      <c r="A4378" s="1" t="str">
        <f t="shared" si="281"/>
        <v>559</v>
      </c>
      <c r="B4378" s="1" t="str">
        <f>TEXT(77,"00")</f>
        <v>77</v>
      </c>
      <c r="C4378" s="1" t="str">
        <f t="shared" si="282"/>
        <v>559-77</v>
      </c>
      <c r="D4378" t="s">
        <v>4353</v>
      </c>
      <c r="E4378" t="b">
        <f>IF(COUNTIF(D4378,"*"&amp;'Keyword Search'!$C$5&amp;"*"),TRUE,FALSE)</f>
        <v>1</v>
      </c>
      <c r="G4378" t="str">
        <f t="shared" si="283"/>
        <v>559-77: Tools, Railroad, Power</v>
      </c>
    </row>
    <row r="4379" spans="1:7" x14ac:dyDescent="0.25">
      <c r="A4379" s="1" t="str">
        <f t="shared" si="281"/>
        <v>559</v>
      </c>
      <c r="B4379" s="1" t="str">
        <f>TEXT(78,"00")</f>
        <v>78</v>
      </c>
      <c r="C4379" s="1" t="str">
        <f t="shared" si="282"/>
        <v>559-78</v>
      </c>
      <c r="D4379" t="s">
        <v>4354</v>
      </c>
      <c r="E4379" t="b">
        <f>IF(COUNTIF(D4379,"*"&amp;'Keyword Search'!$C$5&amp;"*"),TRUE,FALSE)</f>
        <v>1</v>
      </c>
      <c r="G4379" t="str">
        <f t="shared" si="283"/>
        <v>559-78: Tools, Railroad, Non Powered</v>
      </c>
    </row>
    <row r="4380" spans="1:7" x14ac:dyDescent="0.25">
      <c r="A4380" s="1" t="str">
        <f t="shared" si="281"/>
        <v>559</v>
      </c>
      <c r="B4380" s="1" t="str">
        <f>TEXT(79,"00")</f>
        <v>79</v>
      </c>
      <c r="C4380" s="1" t="str">
        <f t="shared" si="282"/>
        <v>559-79</v>
      </c>
      <c r="D4380" t="s">
        <v>4355</v>
      </c>
      <c r="E4380" t="b">
        <f>IF(COUNTIF(D4380,"*"&amp;'Keyword Search'!$C$5&amp;"*"),TRUE,FALSE)</f>
        <v>1</v>
      </c>
      <c r="G4380" t="str">
        <f t="shared" si="283"/>
        <v>559-79: Track Hardware: Plates, Joint Bars, Spikes, Clips, Bolts, Nuts, etc., (See Class 570 For Rails)</v>
      </c>
    </row>
    <row r="4381" spans="1:7" x14ac:dyDescent="0.25">
      <c r="A4381" s="1" t="str">
        <f t="shared" si="281"/>
        <v>559</v>
      </c>
      <c r="B4381" s="1" t="str">
        <f>TEXT(80,"00")</f>
        <v>80</v>
      </c>
      <c r="C4381" s="1" t="str">
        <f t="shared" si="282"/>
        <v>559-80</v>
      </c>
      <c r="D4381" t="s">
        <v>4356</v>
      </c>
      <c r="E4381" t="b">
        <f>IF(COUNTIF(D4381,"*"&amp;'Keyword Search'!$C$5&amp;"*"),TRUE,FALSE)</f>
        <v>1</v>
      </c>
      <c r="G4381" t="str">
        <f t="shared" si="283"/>
        <v>559-80: Traction Power</v>
      </c>
    </row>
    <row r="4382" spans="1:7" x14ac:dyDescent="0.25">
      <c r="A4382" s="1" t="str">
        <f t="shared" si="281"/>
        <v>559</v>
      </c>
      <c r="B4382" s="1" t="str">
        <f>TEXT(90,"00")</f>
        <v>90</v>
      </c>
      <c r="C4382" s="1" t="str">
        <f t="shared" si="282"/>
        <v>559-90</v>
      </c>
      <c r="D4382" t="s">
        <v>4357</v>
      </c>
      <c r="E4382" t="b">
        <f>IF(COUNTIF(D4382,"*"&amp;'Keyword Search'!$C$5&amp;"*"),TRUE,FALSE)</f>
        <v>1</v>
      </c>
      <c r="G4382" t="str">
        <f t="shared" si="283"/>
        <v>559-90: Wheel and Axle Assemblies</v>
      </c>
    </row>
    <row r="4383" spans="1:7" x14ac:dyDescent="0.25">
      <c r="A4383" s="1" t="str">
        <f t="shared" si="281"/>
        <v>559</v>
      </c>
      <c r="B4383" s="1" t="str">
        <f>TEXT(91,"00")</f>
        <v>91</v>
      </c>
      <c r="C4383" s="1" t="str">
        <f t="shared" si="282"/>
        <v>559-91</v>
      </c>
      <c r="D4383" t="s">
        <v>4358</v>
      </c>
      <c r="E4383" t="b">
        <f>IF(COUNTIF(D4383,"*"&amp;'Keyword Search'!$C$5&amp;"*"),TRUE,FALSE)</f>
        <v>1</v>
      </c>
      <c r="G4383" t="str">
        <f t="shared" si="283"/>
        <v>559-91: Wheel Truing Equipment, Including Parts and Accessories</v>
      </c>
    </row>
    <row r="4384" spans="1:7" x14ac:dyDescent="0.25">
      <c r="A4384" s="1" t="str">
        <f t="shared" si="281"/>
        <v>559</v>
      </c>
      <c r="B4384" s="1" t="str">
        <f>TEXT(94,"00")</f>
        <v>94</v>
      </c>
      <c r="C4384" s="1" t="str">
        <f t="shared" si="282"/>
        <v>559-94</v>
      </c>
      <c r="D4384" t="s">
        <v>4359</v>
      </c>
      <c r="E4384" t="b">
        <f>IF(COUNTIF(D4384,"*"&amp;'Keyword Search'!$C$5&amp;"*"),TRUE,FALSE)</f>
        <v>1</v>
      </c>
      <c r="G4384" t="str">
        <f t="shared" si="283"/>
        <v>559-94: Windshield Wipers, Including Parts and Accessories</v>
      </c>
    </row>
    <row r="4385" spans="1:7" x14ac:dyDescent="0.25">
      <c r="A4385" s="5" t="str">
        <f t="shared" ref="A4385:A4427" si="284">TEXT(560,"000")</f>
        <v>560</v>
      </c>
      <c r="B4385" s="5" t="str">
        <f>TEXT(0,"00")</f>
        <v>00</v>
      </c>
      <c r="C4385" s="1"/>
      <c r="D4385" s="2" t="s">
        <v>4360</v>
      </c>
    </row>
    <row r="4386" spans="1:7" x14ac:dyDescent="0.25">
      <c r="A4386" s="1" t="str">
        <f t="shared" si="284"/>
        <v>560</v>
      </c>
      <c r="B4386" s="1" t="str">
        <f>TEXT(1,"00")</f>
        <v>01</v>
      </c>
      <c r="C4386" s="1" t="str">
        <f t="shared" si="282"/>
        <v>560-01</v>
      </c>
      <c r="D4386" t="s">
        <v>4361</v>
      </c>
      <c r="E4386" t="b">
        <f>IF(COUNTIF(D4386,"*"&amp;'Keyword Search'!$C$5&amp;"*"),TRUE,FALSE)</f>
        <v>1</v>
      </c>
      <c r="G4386" t="str">
        <f t="shared" si="283"/>
        <v>560-01: Cargo Handling Equipment</v>
      </c>
    </row>
    <row r="4387" spans="1:7" x14ac:dyDescent="0.25">
      <c r="A4387" s="1" t="str">
        <f t="shared" si="284"/>
        <v>560</v>
      </c>
      <c r="B4387" s="1" t="str">
        <f>TEXT(2,"00")</f>
        <v>02</v>
      </c>
      <c r="C4387" s="1" t="str">
        <f t="shared" si="282"/>
        <v>560-02</v>
      </c>
      <c r="D4387" t="s">
        <v>4362</v>
      </c>
      <c r="E4387" t="b">
        <f>IF(COUNTIF(D4387,"*"&amp;'Keyword Search'!$C$5&amp;"*"),TRUE,FALSE)</f>
        <v>1</v>
      </c>
      <c r="G4387" t="str">
        <f t="shared" si="283"/>
        <v>560-02: Carts, Industrial, All Kinds, Except Gas and Hospital</v>
      </c>
    </row>
    <row r="4388" spans="1:7" x14ac:dyDescent="0.25">
      <c r="A4388" s="1" t="str">
        <f t="shared" si="284"/>
        <v>560</v>
      </c>
      <c r="B4388" s="1" t="str">
        <f>TEXT(3,"00")</f>
        <v>03</v>
      </c>
      <c r="C4388" s="1" t="str">
        <f t="shared" si="282"/>
        <v>560-03</v>
      </c>
      <c r="D4388" t="s">
        <v>4363</v>
      </c>
      <c r="E4388" t="b">
        <f>IF(COUNTIF(D4388,"*"&amp;'Keyword Search'!$C$5&amp;"*"),TRUE,FALSE)</f>
        <v>1</v>
      </c>
      <c r="G4388" t="str">
        <f t="shared" si="283"/>
        <v>560-03: Conveying Systems, Food Processing</v>
      </c>
    </row>
    <row r="4389" spans="1:7" x14ac:dyDescent="0.25">
      <c r="A4389" s="1" t="str">
        <f t="shared" si="284"/>
        <v>560</v>
      </c>
      <c r="B4389" s="1" t="str">
        <f>TEXT(5,"00")</f>
        <v>05</v>
      </c>
      <c r="C4389" s="1" t="str">
        <f t="shared" si="282"/>
        <v>560-05</v>
      </c>
      <c r="D4389" t="s">
        <v>4232</v>
      </c>
      <c r="E4389" t="b">
        <f>IF(COUNTIF(D4389,"*"&amp;'Keyword Search'!$C$5&amp;"*"),TRUE,FALSE)</f>
        <v>1</v>
      </c>
      <c r="G4389" t="str">
        <f t="shared" si="283"/>
        <v>560-05: Traffic Signals and Equipment, Electric Systems</v>
      </c>
    </row>
    <row r="4390" spans="1:7" x14ac:dyDescent="0.25">
      <c r="A4390" s="1" t="str">
        <f t="shared" si="284"/>
        <v>560</v>
      </c>
      <c r="B4390" s="1" t="str">
        <f>TEXT(6,"00")</f>
        <v>06</v>
      </c>
      <c r="C4390" s="1" t="str">
        <f t="shared" si="282"/>
        <v>560-06</v>
      </c>
      <c r="D4390" t="s">
        <v>4364</v>
      </c>
      <c r="E4390" t="b">
        <f>IF(COUNTIF(D4390,"*"&amp;'Keyword Search'!$C$5&amp;"*"),TRUE,FALSE)</f>
        <v>1</v>
      </c>
      <c r="G4390" t="str">
        <f t="shared" si="283"/>
        <v>560-06: Conveyor Line Boosters, Powered</v>
      </c>
    </row>
    <row r="4391" spans="1:7" x14ac:dyDescent="0.25">
      <c r="A4391" s="1" t="str">
        <f t="shared" si="284"/>
        <v>560</v>
      </c>
      <c r="B4391" s="1" t="str">
        <f>TEXT(9,"00")</f>
        <v>09</v>
      </c>
      <c r="C4391" s="1" t="str">
        <f t="shared" si="282"/>
        <v>560-09</v>
      </c>
      <c r="D4391" t="s">
        <v>4365</v>
      </c>
      <c r="E4391" t="b">
        <f>IF(COUNTIF(D4391,"*"&amp;'Keyword Search'!$C$5&amp;"*"),TRUE,FALSE)</f>
        <v>1</v>
      </c>
      <c r="G4391" t="str">
        <f t="shared" si="283"/>
        <v>560-09: Conveyor Systems, Overhead</v>
      </c>
    </row>
    <row r="4392" spans="1:7" x14ac:dyDescent="0.25">
      <c r="A4392" s="1" t="str">
        <f t="shared" si="284"/>
        <v>560</v>
      </c>
      <c r="B4392" s="1" t="str">
        <f>TEXT(12,"00")</f>
        <v>12</v>
      </c>
      <c r="C4392" s="1" t="str">
        <f t="shared" si="282"/>
        <v>560-12</v>
      </c>
      <c r="D4392" t="s">
        <v>4366</v>
      </c>
      <c r="E4392" t="b">
        <f>IF(COUNTIF(D4392,"*"&amp;'Keyword Search'!$C$5&amp;"*"),TRUE,FALSE)</f>
        <v>1</v>
      </c>
      <c r="G4392" t="str">
        <f t="shared" si="283"/>
        <v>560-12: Conveyors and Hoists, Laundry Handling</v>
      </c>
    </row>
    <row r="4393" spans="1:7" x14ac:dyDescent="0.25">
      <c r="A4393" s="1" t="str">
        <f t="shared" si="284"/>
        <v>560</v>
      </c>
      <c r="B4393" s="1" t="str">
        <f>TEXT(15,"00")</f>
        <v>15</v>
      </c>
      <c r="C4393" s="1" t="str">
        <f t="shared" si="282"/>
        <v>560-15</v>
      </c>
      <c r="D4393" t="s">
        <v>4367</v>
      </c>
      <c r="E4393" t="b">
        <f>IF(COUNTIF(D4393,"*"&amp;'Keyword Search'!$C$5&amp;"*"),TRUE,FALSE)</f>
        <v>1</v>
      </c>
      <c r="G4393" t="str">
        <f t="shared" si="283"/>
        <v>560-15: Conveyors, Belt Type: Canvas, Metal, and Rubber</v>
      </c>
    </row>
    <row r="4394" spans="1:7" x14ac:dyDescent="0.25">
      <c r="A4394" s="1" t="str">
        <f t="shared" si="284"/>
        <v>560</v>
      </c>
      <c r="B4394" s="1" t="str">
        <f>TEXT(18,"00")</f>
        <v>18</v>
      </c>
      <c r="C4394" s="1" t="str">
        <f t="shared" si="282"/>
        <v>560-18</v>
      </c>
      <c r="D4394" t="s">
        <v>4368</v>
      </c>
      <c r="E4394" t="b">
        <f>IF(COUNTIF(D4394,"*"&amp;'Keyword Search'!$C$5&amp;"*"),TRUE,FALSE)</f>
        <v>1</v>
      </c>
      <c r="G4394" t="str">
        <f t="shared" si="283"/>
        <v>560-18: Conveyors, Bucket Type, Not Road Building</v>
      </c>
    </row>
    <row r="4395" spans="1:7" x14ac:dyDescent="0.25">
      <c r="A4395" s="1" t="str">
        <f t="shared" si="284"/>
        <v>560</v>
      </c>
      <c r="B4395" s="1" t="str">
        <f>TEXT(21,"00")</f>
        <v>21</v>
      </c>
      <c r="C4395" s="1" t="str">
        <f t="shared" si="282"/>
        <v>560-21</v>
      </c>
      <c r="D4395" t="s">
        <v>4369</v>
      </c>
      <c r="E4395" t="b">
        <f>IF(COUNTIF(D4395,"*"&amp;'Keyword Search'!$C$5&amp;"*"),TRUE,FALSE)</f>
        <v>1</v>
      </c>
      <c r="G4395" t="str">
        <f t="shared" si="283"/>
        <v>560-21: Conveyors, Gravity, Roller Type, Aluminum and Steel Frames</v>
      </c>
    </row>
    <row r="4396" spans="1:7" x14ac:dyDescent="0.25">
      <c r="A4396" s="1" t="str">
        <f t="shared" si="284"/>
        <v>560</v>
      </c>
      <c r="B4396" s="1" t="str">
        <f>TEXT(24,"00")</f>
        <v>24</v>
      </c>
      <c r="C4396" s="1" t="str">
        <f t="shared" si="282"/>
        <v>560-24</v>
      </c>
      <c r="D4396" t="s">
        <v>4370</v>
      </c>
      <c r="E4396" t="b">
        <f>IF(COUNTIF(D4396,"*"&amp;'Keyword Search'!$C$5&amp;"*"),TRUE,FALSE)</f>
        <v>1</v>
      </c>
      <c r="G4396" t="str">
        <f t="shared" si="283"/>
        <v>560-24: Conveyors, Gravity, Wheel Type, Aluminum and Steel Frames</v>
      </c>
    </row>
    <row r="4397" spans="1:7" x14ac:dyDescent="0.25">
      <c r="A4397" s="1" t="str">
        <f t="shared" si="284"/>
        <v>560</v>
      </c>
      <c r="B4397" s="1" t="str">
        <f>TEXT(27,"00")</f>
        <v>27</v>
      </c>
      <c r="C4397" s="1" t="str">
        <f t="shared" si="282"/>
        <v>560-27</v>
      </c>
      <c r="D4397" t="s">
        <v>4371</v>
      </c>
      <c r="E4397" t="b">
        <f>IF(COUNTIF(D4397,"*"&amp;'Keyword Search'!$C$5&amp;"*"),TRUE,FALSE)</f>
        <v>1</v>
      </c>
      <c r="G4397" t="str">
        <f t="shared" si="283"/>
        <v>560-27: Conveyors, Pneumatic</v>
      </c>
    </row>
    <row r="4398" spans="1:7" x14ac:dyDescent="0.25">
      <c r="A4398" s="1" t="str">
        <f t="shared" si="284"/>
        <v>560</v>
      </c>
      <c r="B4398" s="1" t="str">
        <f>TEXT(30,"00")</f>
        <v>30</v>
      </c>
      <c r="C4398" s="1" t="str">
        <f t="shared" si="282"/>
        <v>560-30</v>
      </c>
      <c r="D4398" t="s">
        <v>4372</v>
      </c>
      <c r="E4398" t="b">
        <f>IF(COUNTIF(D4398,"*"&amp;'Keyword Search'!$C$5&amp;"*"),TRUE,FALSE)</f>
        <v>1</v>
      </c>
      <c r="G4398" t="str">
        <f t="shared" si="283"/>
        <v>560-30: Conveyors, Powered, Roller Type</v>
      </c>
    </row>
    <row r="4399" spans="1:7" x14ac:dyDescent="0.25">
      <c r="A4399" s="1" t="str">
        <f t="shared" si="284"/>
        <v>560</v>
      </c>
      <c r="B4399" s="1" t="str">
        <f>TEXT(33,"00")</f>
        <v>33</v>
      </c>
      <c r="C4399" s="1" t="str">
        <f t="shared" si="282"/>
        <v>560-33</v>
      </c>
      <c r="D4399" t="s">
        <v>4373</v>
      </c>
      <c r="E4399" t="b">
        <f>IF(COUNTIF(D4399,"*"&amp;'Keyword Search'!$C$5&amp;"*"),TRUE,FALSE)</f>
        <v>1</v>
      </c>
      <c r="G4399" t="str">
        <f t="shared" si="283"/>
        <v>560-33: Conveyors, Screw Type</v>
      </c>
    </row>
    <row r="4400" spans="1:7" x14ac:dyDescent="0.25">
      <c r="A4400" s="1" t="str">
        <f t="shared" si="284"/>
        <v>560</v>
      </c>
      <c r="B4400" s="1" t="str">
        <f>TEXT(36,"00")</f>
        <v>36</v>
      </c>
      <c r="C4400" s="1" t="str">
        <f t="shared" si="282"/>
        <v>560-36</v>
      </c>
      <c r="D4400" t="s">
        <v>4374</v>
      </c>
      <c r="E4400" t="b">
        <f>IF(COUNTIF(D4400,"*"&amp;'Keyword Search'!$C$5&amp;"*"),TRUE,FALSE)</f>
        <v>1</v>
      </c>
      <c r="G4400" t="str">
        <f t="shared" si="283"/>
        <v>560-36: Conveyors, Vibrating</v>
      </c>
    </row>
    <row r="4401" spans="1:7" x14ac:dyDescent="0.25">
      <c r="A4401" s="1" t="str">
        <f t="shared" si="284"/>
        <v>560</v>
      </c>
      <c r="B4401" s="1" t="str">
        <f>TEXT(37,"00")</f>
        <v>37</v>
      </c>
      <c r="C4401" s="1" t="str">
        <f t="shared" si="282"/>
        <v>560-37</v>
      </c>
      <c r="D4401" t="s">
        <v>4375</v>
      </c>
      <c r="E4401" t="b">
        <f>IF(COUNTIF(D4401,"*"&amp;'Keyword Search'!$C$5&amp;"*"),TRUE,FALSE)</f>
        <v>1</v>
      </c>
      <c r="G4401" t="str">
        <f t="shared" si="283"/>
        <v>560-37: Conveyor, Vertical Reciprocating</v>
      </c>
    </row>
    <row r="4402" spans="1:7" x14ac:dyDescent="0.25">
      <c r="A4402" s="1" t="str">
        <f t="shared" si="284"/>
        <v>560</v>
      </c>
      <c r="B4402" s="1" t="str">
        <f>TEXT(39,"00")</f>
        <v>39</v>
      </c>
      <c r="C4402" s="1" t="str">
        <f t="shared" si="282"/>
        <v>560-39</v>
      </c>
      <c r="D4402" t="s">
        <v>4376</v>
      </c>
      <c r="E4402" t="b">
        <f>IF(COUNTIF(D4402,"*"&amp;'Keyword Search'!$C$5&amp;"*"),TRUE,FALSE)</f>
        <v>1</v>
      </c>
      <c r="G4402" t="str">
        <f t="shared" si="283"/>
        <v>560-39: Cranes, All Kinds, Except Automotive and Road and Bridge Building</v>
      </c>
    </row>
    <row r="4403" spans="1:7" x14ac:dyDescent="0.25">
      <c r="A4403" s="1" t="str">
        <f t="shared" si="284"/>
        <v>560</v>
      </c>
      <c r="B4403" s="1" t="str">
        <f>TEXT(45,"00")</f>
        <v>45</v>
      </c>
      <c r="C4403" s="1" t="str">
        <f t="shared" si="282"/>
        <v>560-45</v>
      </c>
      <c r="D4403" t="s">
        <v>4377</v>
      </c>
      <c r="E4403" t="b">
        <f>IF(COUNTIF(D4403,"*"&amp;'Keyword Search'!$C$5&amp;"*"),TRUE,FALSE)</f>
        <v>1</v>
      </c>
      <c r="G4403" t="str">
        <f t="shared" si="283"/>
        <v>560-45: Dock boards and Ramps, All Types</v>
      </c>
    </row>
    <row r="4404" spans="1:7" x14ac:dyDescent="0.25">
      <c r="A4404" s="1" t="str">
        <f t="shared" si="284"/>
        <v>560</v>
      </c>
      <c r="B4404" s="1" t="str">
        <f>TEXT(46,"00")</f>
        <v>46</v>
      </c>
      <c r="C4404" s="1" t="str">
        <f t="shared" si="282"/>
        <v>560-46</v>
      </c>
      <c r="D4404" t="s">
        <v>4378</v>
      </c>
      <c r="E4404" t="b">
        <f>IF(COUNTIF(D4404,"*"&amp;'Keyword Search'!$C$5&amp;"*"),TRUE,FALSE)</f>
        <v>1</v>
      </c>
      <c r="G4404" t="str">
        <f t="shared" si="283"/>
        <v>560-46: Drums and Other Container Handling Equipment (Not Otherwise Classified)</v>
      </c>
    </row>
    <row r="4405" spans="1:7" x14ac:dyDescent="0.25">
      <c r="A4405" s="1" t="str">
        <f t="shared" si="284"/>
        <v>560</v>
      </c>
      <c r="B4405" s="1" t="str">
        <f>TEXT(47,"00")</f>
        <v>47</v>
      </c>
      <c r="C4405" s="1" t="str">
        <f t="shared" si="282"/>
        <v>560-47</v>
      </c>
      <c r="D4405" t="s">
        <v>4379</v>
      </c>
      <c r="E4405" t="b">
        <f>IF(COUNTIF(D4405,"*"&amp;'Keyword Search'!$C$5&amp;"*"),TRUE,FALSE)</f>
        <v>1</v>
      </c>
      <c r="G4405" t="str">
        <f t="shared" si="283"/>
        <v>560-47: Fuel and Fuel Oil Handling Equipment</v>
      </c>
    </row>
    <row r="4406" spans="1:7" x14ac:dyDescent="0.25">
      <c r="A4406" s="1" t="str">
        <f t="shared" si="284"/>
        <v>560</v>
      </c>
      <c r="B4406" s="1" t="str">
        <f>TEXT(48,"00")</f>
        <v>48</v>
      </c>
      <c r="C4406" s="1" t="str">
        <f t="shared" si="282"/>
        <v>560-48</v>
      </c>
      <c r="D4406" t="s">
        <v>4380</v>
      </c>
      <c r="E4406" t="b">
        <f>IF(COUNTIF(D4406,"*"&amp;'Keyword Search'!$C$5&amp;"*"),TRUE,FALSE)</f>
        <v>1</v>
      </c>
      <c r="G4406" t="str">
        <f t="shared" si="283"/>
        <v>560-48: Lifters and Stackers: Hydraulic and Powered</v>
      </c>
    </row>
    <row r="4407" spans="1:7" x14ac:dyDescent="0.25">
      <c r="A4407" s="1" t="str">
        <f t="shared" si="284"/>
        <v>560</v>
      </c>
      <c r="B4407" s="1" t="str">
        <f>TEXT(49,"00")</f>
        <v>49</v>
      </c>
      <c r="C4407" s="1" t="str">
        <f t="shared" si="282"/>
        <v>560-49</v>
      </c>
      <c r="D4407" t="s">
        <v>4381</v>
      </c>
      <c r="E4407" t="b">
        <f>IF(COUNTIF(D4407,"*"&amp;'Keyword Search'!$C$5&amp;"*"),TRUE,FALSE)</f>
        <v>1</v>
      </c>
      <c r="G4407" t="str">
        <f t="shared" si="283"/>
        <v>560-49: Lifting and Loading Equipment, Including Parts and Accessories, (Not Otherwise Classified)</v>
      </c>
    </row>
    <row r="4408" spans="1:7" x14ac:dyDescent="0.25">
      <c r="A4408" s="1" t="str">
        <f t="shared" si="284"/>
        <v>560</v>
      </c>
      <c r="B4408" s="1" t="str">
        <f>TEXT(50,"00")</f>
        <v>50</v>
      </c>
      <c r="C4408" s="1" t="str">
        <f t="shared" si="282"/>
        <v>560-50</v>
      </c>
      <c r="D4408" t="s">
        <v>4382</v>
      </c>
      <c r="E4408" t="b">
        <f>IF(COUNTIF(D4408,"*"&amp;'Keyword Search'!$C$5&amp;"*"),TRUE,FALSE)</f>
        <v>1</v>
      </c>
      <c r="G4408" t="str">
        <f t="shared" si="283"/>
        <v>560-50: Liquid Mixing Equipment</v>
      </c>
    </row>
    <row r="4409" spans="1:7" x14ac:dyDescent="0.25">
      <c r="A4409" s="1" t="str">
        <f t="shared" si="284"/>
        <v>560</v>
      </c>
      <c r="B4409" s="1" t="str">
        <f>TEXT(51,"00")</f>
        <v>51</v>
      </c>
      <c r="C4409" s="1" t="str">
        <f t="shared" si="282"/>
        <v>560-51</v>
      </c>
      <c r="D4409" t="s">
        <v>4383</v>
      </c>
      <c r="E4409" t="b">
        <f>IF(COUNTIF(D4409,"*"&amp;'Keyword Search'!$C$5&amp;"*"),TRUE,FALSE)</f>
        <v>1</v>
      </c>
      <c r="G4409" t="str">
        <f t="shared" si="283"/>
        <v>560-51: Material Handling Equipment Batteries and Chargers</v>
      </c>
    </row>
    <row r="4410" spans="1:7" x14ac:dyDescent="0.25">
      <c r="A4410" s="1" t="str">
        <f t="shared" si="284"/>
        <v>560</v>
      </c>
      <c r="B4410" s="1" t="str">
        <f>TEXT(53,"00")</f>
        <v>53</v>
      </c>
      <c r="C4410" s="1" t="str">
        <f t="shared" si="282"/>
        <v>560-53</v>
      </c>
      <c r="D4410" t="s">
        <v>4384</v>
      </c>
      <c r="E4410" t="b">
        <f>IF(COUNTIF(D4410,"*"&amp;'Keyword Search'!$C$5&amp;"*"),TRUE,FALSE)</f>
        <v>1</v>
      </c>
      <c r="G4410" t="str">
        <f t="shared" si="283"/>
        <v>560-53: Pallet Storage Racks</v>
      </c>
    </row>
    <row r="4411" spans="1:7" x14ac:dyDescent="0.25">
      <c r="A4411" s="1" t="str">
        <f t="shared" si="284"/>
        <v>560</v>
      </c>
      <c r="B4411" s="1" t="str">
        <f>TEXT(54,"00")</f>
        <v>54</v>
      </c>
      <c r="C4411" s="1" t="str">
        <f t="shared" si="282"/>
        <v>560-54</v>
      </c>
      <c r="D4411" t="s">
        <v>4385</v>
      </c>
      <c r="E4411" t="b">
        <f>IF(COUNTIF(D4411,"*"&amp;'Keyword Search'!$C$5&amp;"*"),TRUE,FALSE)</f>
        <v>1</v>
      </c>
      <c r="G4411" t="str">
        <f t="shared" si="283"/>
        <v>560-54: Pallets and Skids: Metal, Plastic, Wood</v>
      </c>
    </row>
    <row r="4412" spans="1:7" x14ac:dyDescent="0.25">
      <c r="A4412" s="1" t="str">
        <f t="shared" si="284"/>
        <v>560</v>
      </c>
      <c r="B4412" s="1" t="str">
        <f>TEXT(55,"00")</f>
        <v>55</v>
      </c>
      <c r="C4412" s="1" t="str">
        <f t="shared" si="282"/>
        <v>560-55</v>
      </c>
      <c r="D4412" t="s">
        <v>4386</v>
      </c>
      <c r="E4412" t="b">
        <f>IF(COUNTIF(D4412,"*"&amp;'Keyword Search'!$C$5&amp;"*"),TRUE,FALSE)</f>
        <v>1</v>
      </c>
      <c r="G4412" t="str">
        <f t="shared" si="283"/>
        <v>560-55: Tow, Battery Powered</v>
      </c>
    </row>
    <row r="4413" spans="1:7" x14ac:dyDescent="0.25">
      <c r="A4413" s="1" t="str">
        <f t="shared" si="284"/>
        <v>560</v>
      </c>
      <c r="B4413" s="1" t="str">
        <f>TEXT(56,"00")</f>
        <v>56</v>
      </c>
      <c r="C4413" s="1" t="str">
        <f t="shared" si="282"/>
        <v>560-56</v>
      </c>
      <c r="D4413" t="s">
        <v>4387</v>
      </c>
      <c r="E4413" t="b">
        <f>IF(COUNTIF(D4413,"*"&amp;'Keyword Search'!$C$5&amp;"*"),TRUE,FALSE)</f>
        <v>1</v>
      </c>
      <c r="G4413" t="str">
        <f t="shared" si="283"/>
        <v>560-56: Tie-Downs, Straps, Bungee Cods, Protective Netting, etc.</v>
      </c>
    </row>
    <row r="4414" spans="1:7" x14ac:dyDescent="0.25">
      <c r="A4414" s="1" t="str">
        <f t="shared" si="284"/>
        <v>560</v>
      </c>
      <c r="B4414" s="1" t="str">
        <f>TEXT(57,"00")</f>
        <v>57</v>
      </c>
      <c r="C4414" s="1" t="str">
        <f t="shared" si="282"/>
        <v>560-57</v>
      </c>
      <c r="D4414" t="s">
        <v>4388</v>
      </c>
      <c r="E4414" t="b">
        <f>IF(COUNTIF(D4414,"*"&amp;'Keyword Search'!$C$5&amp;"*"),TRUE,FALSE)</f>
        <v>1</v>
      </c>
      <c r="G4414" t="str">
        <f t="shared" si="283"/>
        <v>560-57: Tractors, Warehouse</v>
      </c>
    </row>
    <row r="4415" spans="1:7" x14ac:dyDescent="0.25">
      <c r="A4415" s="1" t="str">
        <f t="shared" si="284"/>
        <v>560</v>
      </c>
      <c r="B4415" s="1" t="str">
        <f>TEXT(60,"00")</f>
        <v>60</v>
      </c>
      <c r="C4415" s="1" t="str">
        <f t="shared" si="282"/>
        <v>560-60</v>
      </c>
      <c r="D4415" t="s">
        <v>4389</v>
      </c>
      <c r="E4415" t="b">
        <f>IF(COUNTIF(D4415,"*"&amp;'Keyword Search'!$C$5&amp;"*"),TRUE,FALSE)</f>
        <v>1</v>
      </c>
      <c r="G4415" t="str">
        <f t="shared" si="283"/>
        <v>560-60: Trucks: Barrel, Cylinder, and Drum</v>
      </c>
    </row>
    <row r="4416" spans="1:7" x14ac:dyDescent="0.25">
      <c r="A4416" s="1" t="str">
        <f t="shared" si="284"/>
        <v>560</v>
      </c>
      <c r="B4416" s="1" t="str">
        <f>TEXT(61,"00")</f>
        <v>61</v>
      </c>
      <c r="C4416" s="1" t="str">
        <f t="shared" si="282"/>
        <v>560-61</v>
      </c>
      <c r="D4416" t="s">
        <v>4390</v>
      </c>
      <c r="E4416" t="b">
        <f>IF(COUNTIF(D4416,"*"&amp;'Keyword Search'!$C$5&amp;"*"),TRUE,FALSE)</f>
        <v>1</v>
      </c>
      <c r="G4416" t="str">
        <f t="shared" si="283"/>
        <v>560-61: Moving Devices, Equipment</v>
      </c>
    </row>
    <row r="4417" spans="1:7" x14ac:dyDescent="0.25">
      <c r="A4417" s="1" t="str">
        <f t="shared" si="284"/>
        <v>560</v>
      </c>
      <c r="B4417" s="1" t="str">
        <f>TEXT(63,"00")</f>
        <v>63</v>
      </c>
      <c r="C4417" s="1" t="str">
        <f t="shared" si="282"/>
        <v>560-63</v>
      </c>
      <c r="D4417" t="s">
        <v>4391</v>
      </c>
      <c r="E4417" t="b">
        <f>IF(COUNTIF(D4417,"*"&amp;'Keyword Search'!$C$5&amp;"*"),TRUE,FALSE)</f>
        <v>1</v>
      </c>
      <c r="G4417" t="str">
        <f t="shared" si="283"/>
        <v>560-63: Trucks, Dolly</v>
      </c>
    </row>
    <row r="4418" spans="1:7" x14ac:dyDescent="0.25">
      <c r="A4418" s="1" t="str">
        <f t="shared" si="284"/>
        <v>560</v>
      </c>
      <c r="B4418" s="1" t="str">
        <f>TEXT(66,"00")</f>
        <v>66</v>
      </c>
      <c r="C4418" s="1" t="str">
        <f t="shared" si="282"/>
        <v>560-66</v>
      </c>
      <c r="D4418" t="s">
        <v>4392</v>
      </c>
      <c r="E4418" t="b">
        <f>IF(COUNTIF(D4418,"*"&amp;'Keyword Search'!$C$5&amp;"*"),TRUE,FALSE)</f>
        <v>1</v>
      </c>
      <c r="G4418" t="str">
        <f t="shared" si="283"/>
        <v>560-66: Trucks, Hand, Shelf</v>
      </c>
    </row>
    <row r="4419" spans="1:7" x14ac:dyDescent="0.25">
      <c r="A4419" s="1" t="str">
        <f t="shared" si="284"/>
        <v>560</v>
      </c>
      <c r="B4419" s="1" t="str">
        <f>TEXT(69,"00")</f>
        <v>69</v>
      </c>
      <c r="C4419" s="1" t="str">
        <f t="shared" ref="C4419:C4482" si="285">CONCATENATE(A4419,"-",B4419)</f>
        <v>560-69</v>
      </c>
      <c r="D4419" t="s">
        <v>4393</v>
      </c>
      <c r="E4419" t="b">
        <f>IF(COUNTIF(D4419,"*"&amp;'Keyword Search'!$C$5&amp;"*"),TRUE,FALSE)</f>
        <v>1</v>
      </c>
      <c r="G4419" t="str">
        <f t="shared" si="283"/>
        <v>560-69: Trucks, Hand, Two-Wheeled</v>
      </c>
    </row>
    <row r="4420" spans="1:7" x14ac:dyDescent="0.25">
      <c r="A4420" s="1" t="str">
        <f t="shared" si="284"/>
        <v>560</v>
      </c>
      <c r="B4420" s="1" t="str">
        <f>TEXT(72,"00")</f>
        <v>72</v>
      </c>
      <c r="C4420" s="1" t="str">
        <f t="shared" si="285"/>
        <v>560-72</v>
      </c>
      <c r="D4420" t="s">
        <v>4394</v>
      </c>
      <c r="E4420" t="b">
        <f>IF(COUNTIF(D4420,"*"&amp;'Keyword Search'!$C$5&amp;"*"),TRUE,FALSE)</f>
        <v>1</v>
      </c>
      <c r="G4420" t="str">
        <f t="shared" ref="G4420:G4483" si="286">CONCATENATE(C4420,": ",D4420)</f>
        <v>560-72: Trucks, Lift, Hand Operated</v>
      </c>
    </row>
    <row r="4421" spans="1:7" x14ac:dyDescent="0.25">
      <c r="A4421" s="1" t="str">
        <f t="shared" si="284"/>
        <v>560</v>
      </c>
      <c r="B4421" s="1" t="str">
        <f>TEXT(75,"00")</f>
        <v>75</v>
      </c>
      <c r="C4421" s="1" t="str">
        <f t="shared" si="285"/>
        <v>560-75</v>
      </c>
      <c r="D4421" t="s">
        <v>4395</v>
      </c>
      <c r="E4421" t="b">
        <f>IF(COUNTIF(D4421,"*"&amp;'Keyword Search'!$C$5&amp;"*"),TRUE,FALSE)</f>
        <v>1</v>
      </c>
      <c r="G4421" t="str">
        <f t="shared" si="286"/>
        <v>560-75: Trucks, Lift, Powered: Forklifts, etc.</v>
      </c>
    </row>
    <row r="4422" spans="1:7" x14ac:dyDescent="0.25">
      <c r="A4422" s="1" t="str">
        <f t="shared" si="284"/>
        <v>560</v>
      </c>
      <c r="B4422" s="1" t="str">
        <f>TEXT(78,"00")</f>
        <v>78</v>
      </c>
      <c r="C4422" s="1" t="str">
        <f t="shared" si="285"/>
        <v>560-78</v>
      </c>
      <c r="D4422" t="s">
        <v>4396</v>
      </c>
      <c r="E4422" t="b">
        <f>IF(COUNTIF(D4422,"*"&amp;'Keyword Search'!$C$5&amp;"*"),TRUE,FALSE)</f>
        <v>1</v>
      </c>
      <c r="G4422" t="str">
        <f t="shared" si="286"/>
        <v>560-78: Trucks, Pallet, Hand Operated and Powered</v>
      </c>
    </row>
    <row r="4423" spans="1:7" x14ac:dyDescent="0.25">
      <c r="A4423" s="1" t="str">
        <f t="shared" si="284"/>
        <v>560</v>
      </c>
      <c r="B4423" s="1" t="str">
        <f>TEXT(81,"00")</f>
        <v>81</v>
      </c>
      <c r="C4423" s="1" t="str">
        <f t="shared" si="285"/>
        <v>560-81</v>
      </c>
      <c r="D4423" t="s">
        <v>4397</v>
      </c>
      <c r="E4423" t="b">
        <f>IF(COUNTIF(D4423,"*"&amp;'Keyword Search'!$C$5&amp;"*"),TRUE,FALSE)</f>
        <v>1</v>
      </c>
      <c r="G4423" t="str">
        <f t="shared" si="286"/>
        <v>560-81: Trucks, Platform</v>
      </c>
    </row>
    <row r="4424" spans="1:7" x14ac:dyDescent="0.25">
      <c r="A4424" s="1" t="str">
        <f t="shared" si="284"/>
        <v>560</v>
      </c>
      <c r="B4424" s="1" t="str">
        <f>TEXT(82,"00")</f>
        <v>82</v>
      </c>
      <c r="C4424" s="1" t="str">
        <f t="shared" si="285"/>
        <v>560-82</v>
      </c>
      <c r="D4424" t="s">
        <v>4398</v>
      </c>
      <c r="E4424" t="b">
        <f>IF(COUNTIF(D4424,"*"&amp;'Keyword Search'!$C$5&amp;"*"),TRUE,FALSE)</f>
        <v>1</v>
      </c>
      <c r="G4424" t="str">
        <f t="shared" si="286"/>
        <v>560-82: Storage, Shelving, Including Parts and Accessories, (Not Otherwise Classified)</v>
      </c>
    </row>
    <row r="4425" spans="1:7" x14ac:dyDescent="0.25">
      <c r="A4425" s="1" t="str">
        <f t="shared" si="284"/>
        <v>560</v>
      </c>
      <c r="B4425" s="1" t="str">
        <f>TEXT(83,"00")</f>
        <v>83</v>
      </c>
      <c r="C4425" s="1" t="str">
        <f t="shared" si="285"/>
        <v>560-83</v>
      </c>
      <c r="D4425" t="s">
        <v>4399</v>
      </c>
      <c r="E4425" t="b">
        <f>IF(COUNTIF(D4425,"*"&amp;'Keyword Search'!$C$5&amp;"*"),TRUE,FALSE)</f>
        <v>1</v>
      </c>
      <c r="G4425" t="str">
        <f t="shared" si="286"/>
        <v>560-83: Warehouse Equipment, Including Parts and Accessories, (Not Otherwise Classified)</v>
      </c>
    </row>
    <row r="4426" spans="1:7" x14ac:dyDescent="0.25">
      <c r="A4426" s="1" t="str">
        <f t="shared" si="284"/>
        <v>560</v>
      </c>
      <c r="B4426" s="1" t="str">
        <f>TEXT(84,"00")</f>
        <v>84</v>
      </c>
      <c r="C4426" s="1" t="str">
        <f t="shared" si="285"/>
        <v>560-84</v>
      </c>
      <c r="D4426" t="s">
        <v>4400</v>
      </c>
      <c r="E4426" t="b">
        <f>IF(COUNTIF(D4426,"*"&amp;'Keyword Search'!$C$5&amp;"*"),TRUE,FALSE)</f>
        <v>1</v>
      </c>
      <c r="G4426" t="str">
        <f t="shared" si="286"/>
        <v>560-84: Wheels, Industrial: Steel, Pneumatic, Rubber Tired Molded-on</v>
      </c>
    </row>
    <row r="4427" spans="1:7" x14ac:dyDescent="0.25">
      <c r="A4427" s="1" t="str">
        <f t="shared" si="284"/>
        <v>560</v>
      </c>
      <c r="B4427" s="1" t="str">
        <f>TEXT(95,"00")</f>
        <v>95</v>
      </c>
      <c r="C4427" s="1" t="str">
        <f t="shared" si="285"/>
        <v>560-95</v>
      </c>
      <c r="D4427" t="s">
        <v>4401</v>
      </c>
      <c r="E4427" t="b">
        <f>IF(COUNTIF(D4427,"*"&amp;'Keyword Search'!$C$5&amp;"*"),TRUE,FALSE)</f>
        <v>1</v>
      </c>
      <c r="G4427" t="str">
        <f t="shared" si="286"/>
        <v>560-95: Recycled Material Handling and Storage Equipment, Including Parts and Accessories</v>
      </c>
    </row>
    <row r="4428" spans="1:7" x14ac:dyDescent="0.25">
      <c r="A4428" s="5" t="str">
        <f t="shared" ref="A4428:A4451" si="287">TEXT(565,"000")</f>
        <v>565</v>
      </c>
      <c r="B4428" s="5" t="str">
        <f>TEXT(0,"00")</f>
        <v>00</v>
      </c>
      <c r="C4428" s="1"/>
      <c r="D4428" s="2" t="s">
        <v>4402</v>
      </c>
    </row>
    <row r="4429" spans="1:7" x14ac:dyDescent="0.25">
      <c r="A4429" s="1" t="str">
        <f t="shared" si="287"/>
        <v>565</v>
      </c>
      <c r="B4429" s="1" t="str">
        <f>TEXT(5,"00")</f>
        <v>05</v>
      </c>
      <c r="C4429" s="1" t="str">
        <f t="shared" si="285"/>
        <v>565-05</v>
      </c>
      <c r="D4429" t="s">
        <v>4403</v>
      </c>
      <c r="E4429" t="b">
        <f>IF(COUNTIF(D4429,"*"&amp;'Keyword Search'!$C$5&amp;"*"),TRUE,FALSE)</f>
        <v>1</v>
      </c>
      <c r="G4429" t="str">
        <f t="shared" si="286"/>
        <v>565-05: Border Backing, Cotton</v>
      </c>
    </row>
    <row r="4430" spans="1:7" x14ac:dyDescent="0.25">
      <c r="A4430" s="1" t="str">
        <f t="shared" si="287"/>
        <v>565</v>
      </c>
      <c r="B4430" s="1" t="str">
        <f>TEXT(10,"00")</f>
        <v>10</v>
      </c>
      <c r="C4430" s="1" t="str">
        <f t="shared" si="285"/>
        <v>565-10</v>
      </c>
      <c r="D4430" t="s">
        <v>4404</v>
      </c>
      <c r="E4430" t="b">
        <f>IF(COUNTIF(D4430,"*"&amp;'Keyword Search'!$C$5&amp;"*"),TRUE,FALSE)</f>
        <v>1</v>
      </c>
      <c r="G4430" t="str">
        <f t="shared" si="286"/>
        <v>565-10: Box Spring Units</v>
      </c>
    </row>
    <row r="4431" spans="1:7" x14ac:dyDescent="0.25">
      <c r="A4431" s="1" t="str">
        <f t="shared" si="287"/>
        <v>565</v>
      </c>
      <c r="B4431" s="1" t="str">
        <f>TEXT(12,"00")</f>
        <v>12</v>
      </c>
      <c r="C4431" s="1" t="str">
        <f t="shared" si="285"/>
        <v>565-12</v>
      </c>
      <c r="D4431" t="s">
        <v>4405</v>
      </c>
      <c r="E4431" t="b">
        <f>IF(COUNTIF(D4431,"*"&amp;'Keyword Search'!$C$5&amp;"*"),TRUE,FALSE)</f>
        <v>1</v>
      </c>
      <c r="G4431" t="str">
        <f t="shared" si="286"/>
        <v>565-12: Cores, Convoluted Foam, For Pillows</v>
      </c>
    </row>
    <row r="4432" spans="1:7" x14ac:dyDescent="0.25">
      <c r="A4432" s="1" t="str">
        <f t="shared" si="287"/>
        <v>565</v>
      </c>
      <c r="B4432" s="1" t="str">
        <f>TEXT(14,"00")</f>
        <v>14</v>
      </c>
      <c r="C4432" s="1" t="str">
        <f t="shared" si="285"/>
        <v>565-14</v>
      </c>
      <c r="D4432" t="s">
        <v>4406</v>
      </c>
      <c r="E4432" t="b">
        <f>IF(COUNTIF(D4432,"*"&amp;'Keyword Search'!$C$5&amp;"*"),TRUE,FALSE)</f>
        <v>1</v>
      </c>
      <c r="G4432" t="str">
        <f t="shared" si="286"/>
        <v>565-14: Cores, Neoprene</v>
      </c>
    </row>
    <row r="4433" spans="1:7" x14ac:dyDescent="0.25">
      <c r="A4433" s="1" t="str">
        <f t="shared" si="287"/>
        <v>565</v>
      </c>
      <c r="B4433" s="1" t="str">
        <f>TEXT(15,"00")</f>
        <v>15</v>
      </c>
      <c r="C4433" s="1" t="str">
        <f t="shared" si="285"/>
        <v>565-15</v>
      </c>
      <c r="D4433" t="s">
        <v>4407</v>
      </c>
      <c r="E4433" t="b">
        <f>IF(COUNTIF(D4433,"*"&amp;'Keyword Search'!$C$5&amp;"*"),TRUE,FALSE)</f>
        <v>1</v>
      </c>
      <c r="G4433" t="str">
        <f t="shared" si="286"/>
        <v>565-15: Cores, Polyurethane Foam</v>
      </c>
    </row>
    <row r="4434" spans="1:7" x14ac:dyDescent="0.25">
      <c r="A4434" s="1" t="str">
        <f t="shared" si="287"/>
        <v>565</v>
      </c>
      <c r="B4434" s="1" t="str">
        <f>TEXT(16,"00")</f>
        <v>16</v>
      </c>
      <c r="C4434" s="1" t="str">
        <f t="shared" si="285"/>
        <v>565-16</v>
      </c>
      <c r="D4434" t="s">
        <v>4408</v>
      </c>
      <c r="E4434" t="b">
        <f>IF(COUNTIF(D4434,"*"&amp;'Keyword Search'!$C$5&amp;"*"),TRUE,FALSE)</f>
        <v>1</v>
      </c>
      <c r="G4434" t="str">
        <f t="shared" si="286"/>
        <v>565-16: Cores, Polyurethane  and Vonar</v>
      </c>
    </row>
    <row r="4435" spans="1:7" x14ac:dyDescent="0.25">
      <c r="A4435" s="1" t="str">
        <f t="shared" si="287"/>
        <v>565</v>
      </c>
      <c r="B4435" s="1" t="str">
        <f>TEXT(20,"00")</f>
        <v>20</v>
      </c>
      <c r="C4435" s="1" t="str">
        <f t="shared" si="285"/>
        <v>565-20</v>
      </c>
      <c r="D4435" t="s">
        <v>4409</v>
      </c>
      <c r="E4435" t="b">
        <f>IF(COUNTIF(D4435,"*"&amp;'Keyword Search'!$C$5&amp;"*"),TRUE,FALSE)</f>
        <v>1</v>
      </c>
      <c r="G4435" t="str">
        <f t="shared" si="286"/>
        <v>565-20: Cores, Rubber, Foam</v>
      </c>
    </row>
    <row r="4436" spans="1:7" x14ac:dyDescent="0.25">
      <c r="A4436" s="1" t="str">
        <f t="shared" si="287"/>
        <v>565</v>
      </c>
      <c r="B4436" s="1" t="str">
        <f>TEXT(23,"00")</f>
        <v>23</v>
      </c>
      <c r="C4436" s="1" t="str">
        <f t="shared" si="285"/>
        <v>565-23</v>
      </c>
      <c r="D4436" t="s">
        <v>4410</v>
      </c>
      <c r="E4436" t="b">
        <f>IF(COUNTIF(D4436,"*"&amp;'Keyword Search'!$C$5&amp;"*"),TRUE,FALSE)</f>
        <v>1</v>
      </c>
      <c r="G4436" t="str">
        <f t="shared" si="286"/>
        <v>565-23: Foam, Shredded, For Pillows</v>
      </c>
    </row>
    <row r="4437" spans="1:7" x14ac:dyDescent="0.25">
      <c r="A4437" s="1" t="str">
        <f t="shared" si="287"/>
        <v>565</v>
      </c>
      <c r="B4437" s="1" t="str">
        <f>TEXT(25,"00")</f>
        <v>25</v>
      </c>
      <c r="C4437" s="1" t="str">
        <f t="shared" si="285"/>
        <v>565-25</v>
      </c>
      <c r="D4437" t="s">
        <v>4411</v>
      </c>
      <c r="E4437" t="b">
        <f>IF(COUNTIF(D4437,"*"&amp;'Keyword Search'!$C$5&amp;"*"),TRUE,FALSE)</f>
        <v>1</v>
      </c>
      <c r="G4437" t="str">
        <f t="shared" si="286"/>
        <v>565-25: Handles, Cord, Steel-Backed</v>
      </c>
    </row>
    <row r="4438" spans="1:7" x14ac:dyDescent="0.25">
      <c r="A4438" s="1" t="str">
        <f t="shared" si="287"/>
        <v>565</v>
      </c>
      <c r="B4438" s="1" t="str">
        <f>TEXT(30,"00")</f>
        <v>30</v>
      </c>
      <c r="C4438" s="1" t="str">
        <f t="shared" si="285"/>
        <v>565-30</v>
      </c>
      <c r="D4438" t="s">
        <v>4412</v>
      </c>
      <c r="E4438" t="b">
        <f>IF(COUNTIF(D4438,"*"&amp;'Keyword Search'!$C$5&amp;"*"),TRUE,FALSE)</f>
        <v>1</v>
      </c>
      <c r="G4438" t="str">
        <f t="shared" si="286"/>
        <v>565-30: Hog Rings</v>
      </c>
    </row>
    <row r="4439" spans="1:7" x14ac:dyDescent="0.25">
      <c r="A4439" s="1" t="str">
        <f t="shared" si="287"/>
        <v>565</v>
      </c>
      <c r="B4439" s="1" t="str">
        <f>TEXT(35,"00")</f>
        <v>35</v>
      </c>
      <c r="C4439" s="1" t="str">
        <f t="shared" si="285"/>
        <v>565-35</v>
      </c>
      <c r="D4439" t="s">
        <v>4413</v>
      </c>
      <c r="E4439" t="b">
        <f>IF(COUNTIF(D4439,"*"&amp;'Keyword Search'!$C$5&amp;"*"),TRUE,FALSE)</f>
        <v>1</v>
      </c>
      <c r="G4439" t="str">
        <f t="shared" si="286"/>
        <v>565-35: Innerspring Units</v>
      </c>
    </row>
    <row r="4440" spans="1:7" x14ac:dyDescent="0.25">
      <c r="A4440" s="1" t="str">
        <f t="shared" si="287"/>
        <v>565</v>
      </c>
      <c r="B4440" s="1" t="str">
        <f>TEXT(40,"00")</f>
        <v>40</v>
      </c>
      <c r="C4440" s="1" t="str">
        <f t="shared" si="285"/>
        <v>565-40</v>
      </c>
      <c r="D4440" t="s">
        <v>4414</v>
      </c>
      <c r="E4440" t="b">
        <f>IF(COUNTIF(D4440,"*"&amp;'Keyword Search'!$C$5&amp;"*"),TRUE,FALSE)</f>
        <v>1</v>
      </c>
      <c r="G4440" t="str">
        <f t="shared" si="286"/>
        <v>565-40: Mattress Manufacturing Machinery, Including Parts and Accessories</v>
      </c>
    </row>
    <row r="4441" spans="1:7" x14ac:dyDescent="0.25">
      <c r="A4441" s="1" t="str">
        <f t="shared" si="287"/>
        <v>565</v>
      </c>
      <c r="B4441" s="1" t="str">
        <f>TEXT(45,"00")</f>
        <v>45</v>
      </c>
      <c r="C4441" s="1" t="str">
        <f t="shared" si="285"/>
        <v>565-45</v>
      </c>
      <c r="D4441" t="s">
        <v>4415</v>
      </c>
      <c r="E4441" t="b">
        <f>IF(COUNTIF(D4441,"*"&amp;'Keyword Search'!$C$5&amp;"*"),TRUE,FALSE)</f>
        <v>1</v>
      </c>
      <c r="G4441" t="str">
        <f t="shared" si="286"/>
        <v>565-45: Mattress Manufacturing Tools</v>
      </c>
    </row>
    <row r="4442" spans="1:7" x14ac:dyDescent="0.25">
      <c r="A4442" s="1" t="str">
        <f t="shared" si="287"/>
        <v>565</v>
      </c>
      <c r="B4442" s="1" t="str">
        <f>TEXT(50,"00")</f>
        <v>50</v>
      </c>
      <c r="C4442" s="1" t="str">
        <f t="shared" si="285"/>
        <v>565-50</v>
      </c>
      <c r="D4442" t="s">
        <v>4416</v>
      </c>
      <c r="E4442" t="b">
        <f>IF(COUNTIF(D4442,"*"&amp;'Keyword Search'!$C$5&amp;"*"),TRUE,FALSE)</f>
        <v>1</v>
      </c>
      <c r="G4442" t="str">
        <f t="shared" si="286"/>
        <v>565-50: Needles, Mattress</v>
      </c>
    </row>
    <row r="4443" spans="1:7" x14ac:dyDescent="0.25">
      <c r="A4443" s="1" t="str">
        <f t="shared" si="287"/>
        <v>565</v>
      </c>
      <c r="B4443" s="1" t="str">
        <f>TEXT(52,"00")</f>
        <v>52</v>
      </c>
      <c r="C4443" s="1" t="str">
        <f t="shared" si="285"/>
        <v>565-52</v>
      </c>
      <c r="D4443" t="s">
        <v>4417</v>
      </c>
      <c r="E4443" t="b">
        <f>IF(COUNTIF(D4443,"*"&amp;'Keyword Search'!$C$5&amp;"*"),TRUE,FALSE)</f>
        <v>1</v>
      </c>
      <c r="G4443" t="str">
        <f t="shared" si="286"/>
        <v>565-52: Pillow Manufacturing Machinery, Including Parts and Accessories</v>
      </c>
    </row>
    <row r="4444" spans="1:7" x14ac:dyDescent="0.25">
      <c r="A4444" s="1" t="str">
        <f t="shared" si="287"/>
        <v>565</v>
      </c>
      <c r="B4444" s="1" t="str">
        <f>TEXT(54,"00")</f>
        <v>54</v>
      </c>
      <c r="C4444" s="1" t="str">
        <f t="shared" si="285"/>
        <v>565-54</v>
      </c>
      <c r="D4444" t="s">
        <v>4418</v>
      </c>
      <c r="E4444" t="b">
        <f>IF(COUNTIF(D4444,"*"&amp;'Keyword Search'!$C$5&amp;"*"),TRUE,FALSE)</f>
        <v>1</v>
      </c>
      <c r="G4444" t="str">
        <f t="shared" si="286"/>
        <v>565-54: Recycled Mattress and Pillow Manufacturing Equipment, Including Parts and Accessories</v>
      </c>
    </row>
    <row r="4445" spans="1:7" x14ac:dyDescent="0.25">
      <c r="A4445" s="1" t="str">
        <f t="shared" si="287"/>
        <v>565</v>
      </c>
      <c r="B4445" s="1" t="str">
        <f>TEXT(55,"00")</f>
        <v>55</v>
      </c>
      <c r="C4445" s="1" t="str">
        <f t="shared" si="285"/>
        <v>565-55</v>
      </c>
      <c r="D4445" t="s">
        <v>4419</v>
      </c>
      <c r="E4445" t="b">
        <f>IF(COUNTIF(D4445,"*"&amp;'Keyword Search'!$C$5&amp;"*"),TRUE,FALSE)</f>
        <v>1</v>
      </c>
      <c r="G4445" t="str">
        <f t="shared" si="286"/>
        <v>565-55: Sisal Padding, Loomed, Latex Coated</v>
      </c>
    </row>
    <row r="4446" spans="1:7" x14ac:dyDescent="0.25">
      <c r="A4446" s="1" t="str">
        <f t="shared" si="287"/>
        <v>565</v>
      </c>
      <c r="B4446" s="1" t="str">
        <f>TEXT(60,"00")</f>
        <v>60</v>
      </c>
      <c r="C4446" s="1" t="str">
        <f t="shared" si="285"/>
        <v>565-60</v>
      </c>
      <c r="D4446" t="s">
        <v>4420</v>
      </c>
      <c r="E4446" t="b">
        <f>IF(COUNTIF(D4446,"*"&amp;'Keyword Search'!$C$5&amp;"*"),TRUE,FALSE)</f>
        <v>1</v>
      </c>
      <c r="G4446" t="str">
        <f t="shared" si="286"/>
        <v>565-60: Sisal Padding, Loomed, Plain</v>
      </c>
    </row>
    <row r="4447" spans="1:7" x14ac:dyDescent="0.25">
      <c r="A4447" s="1" t="str">
        <f t="shared" si="287"/>
        <v>565</v>
      </c>
      <c r="B4447" s="1" t="str">
        <f>TEXT(65,"00")</f>
        <v>65</v>
      </c>
      <c r="C4447" s="1" t="str">
        <f t="shared" si="285"/>
        <v>565-65</v>
      </c>
      <c r="D4447" t="s">
        <v>4421</v>
      </c>
      <c r="E4447" t="b">
        <f>IF(COUNTIF(D4447,"*"&amp;'Keyword Search'!$C$5&amp;"*"),TRUE,FALSE)</f>
        <v>1</v>
      </c>
      <c r="G4447" t="str">
        <f t="shared" si="286"/>
        <v>565-65: Spring Covers, Wire and Paper Cord Mat</v>
      </c>
    </row>
    <row r="4448" spans="1:7" x14ac:dyDescent="0.25">
      <c r="A4448" s="1" t="str">
        <f t="shared" si="287"/>
        <v>565</v>
      </c>
      <c r="B4448" s="1" t="str">
        <f>TEXT(70,"00")</f>
        <v>70</v>
      </c>
      <c r="C4448" s="1" t="str">
        <f t="shared" si="285"/>
        <v>565-70</v>
      </c>
      <c r="D4448" t="s">
        <v>4422</v>
      </c>
      <c r="E4448" t="b">
        <f>IF(COUNTIF(D4448,"*"&amp;'Keyword Search'!$C$5&amp;"*"),TRUE,FALSE)</f>
        <v>1</v>
      </c>
      <c r="G4448" t="str">
        <f t="shared" si="286"/>
        <v>565-70: Tape, Border</v>
      </c>
    </row>
    <row r="4449" spans="1:7" x14ac:dyDescent="0.25">
      <c r="A4449" s="1" t="str">
        <f t="shared" si="287"/>
        <v>565</v>
      </c>
      <c r="B4449" s="1" t="str">
        <f>TEXT(75,"00")</f>
        <v>75</v>
      </c>
      <c r="C4449" s="1" t="str">
        <f t="shared" si="285"/>
        <v>565-75</v>
      </c>
      <c r="D4449" t="s">
        <v>4423</v>
      </c>
      <c r="E4449" t="b">
        <f>IF(COUNTIF(D4449,"*"&amp;'Keyword Search'!$C$5&amp;"*"),TRUE,FALSE)</f>
        <v>1</v>
      </c>
      <c r="G4449" t="str">
        <f t="shared" si="286"/>
        <v>565-75: Tufts, Button, Mattress</v>
      </c>
    </row>
    <row r="4450" spans="1:7" x14ac:dyDescent="0.25">
      <c r="A4450" s="1" t="str">
        <f t="shared" si="287"/>
        <v>565</v>
      </c>
      <c r="B4450" s="1" t="str">
        <f>TEXT(80,"00")</f>
        <v>80</v>
      </c>
      <c r="C4450" s="1" t="str">
        <f t="shared" si="285"/>
        <v>565-80</v>
      </c>
      <c r="D4450" t="s">
        <v>4424</v>
      </c>
      <c r="E4450" t="b">
        <f>IF(COUNTIF(D4450,"*"&amp;'Keyword Search'!$C$5&amp;"*"),TRUE,FALSE)</f>
        <v>1</v>
      </c>
      <c r="G4450" t="str">
        <f t="shared" si="286"/>
        <v>565-80: Twine, Mattress</v>
      </c>
    </row>
    <row r="4451" spans="1:7" x14ac:dyDescent="0.25">
      <c r="A4451" s="1" t="str">
        <f t="shared" si="287"/>
        <v>565</v>
      </c>
      <c r="B4451" s="1" t="str">
        <f>TEXT(85,"00")</f>
        <v>85</v>
      </c>
      <c r="C4451" s="1" t="str">
        <f t="shared" si="285"/>
        <v>565-85</v>
      </c>
      <c r="D4451" t="s">
        <v>4425</v>
      </c>
      <c r="E4451" t="b">
        <f>IF(COUNTIF(D4451,"*"&amp;'Keyword Search'!$C$5&amp;"*"),TRUE,FALSE)</f>
        <v>1</v>
      </c>
      <c r="G4451" t="str">
        <f t="shared" si="286"/>
        <v>565-85: Ventilators, Screened</v>
      </c>
    </row>
    <row r="4452" spans="1:7" x14ac:dyDescent="0.25">
      <c r="A4452" s="5" t="str">
        <f t="shared" ref="A4452:A4515" si="288">TEXT(570,"000")</f>
        <v>570</v>
      </c>
      <c r="B4452" s="5" t="str">
        <f>TEXT(0,"00")</f>
        <v>00</v>
      </c>
      <c r="C4452" s="1"/>
      <c r="D4452" s="2" t="s">
        <v>4426</v>
      </c>
    </row>
    <row r="4453" spans="1:7" x14ac:dyDescent="0.25">
      <c r="A4453" s="1" t="str">
        <f t="shared" si="288"/>
        <v>570</v>
      </c>
      <c r="B4453" s="1" t="str">
        <f>TEXT(2,"00")</f>
        <v>02</v>
      </c>
      <c r="C4453" s="1" t="str">
        <f t="shared" si="285"/>
        <v>570-02</v>
      </c>
      <c r="D4453" t="s">
        <v>4427</v>
      </c>
      <c r="E4453" t="b">
        <f>IF(COUNTIF(D4453,"*"&amp;'Keyword Search'!$C$5&amp;"*"),TRUE,FALSE)</f>
        <v>1</v>
      </c>
      <c r="G4453" t="str">
        <f t="shared" si="286"/>
        <v>570-02: Alloy Coatings and Sealers for the Repair of Metal Shafts, Journals, Spindles, etc.</v>
      </c>
    </row>
    <row r="4454" spans="1:7" x14ac:dyDescent="0.25">
      <c r="A4454" s="1" t="str">
        <f t="shared" si="288"/>
        <v>570</v>
      </c>
      <c r="B4454" s="1" t="str">
        <f>TEXT(3,"00")</f>
        <v>03</v>
      </c>
      <c r="C4454" s="1" t="str">
        <f t="shared" si="285"/>
        <v>570-03</v>
      </c>
      <c r="D4454" t="s">
        <v>4428</v>
      </c>
      <c r="E4454" t="b">
        <f>IF(COUNTIF(D4454,"*"&amp;'Keyword Search'!$C$5&amp;"*"),TRUE,FALSE)</f>
        <v>1</v>
      </c>
      <c r="G4454" t="str">
        <f t="shared" si="286"/>
        <v>570-03: Alloy Metal: Angles, Sheets, etc. (Not Otherwise Classified)</v>
      </c>
    </row>
    <row r="4455" spans="1:7" x14ac:dyDescent="0.25">
      <c r="A4455" s="1" t="str">
        <f t="shared" si="288"/>
        <v>570</v>
      </c>
      <c r="B4455" s="1" t="str">
        <f>TEXT(5,"00")</f>
        <v>05</v>
      </c>
      <c r="C4455" s="1" t="str">
        <f t="shared" si="285"/>
        <v>570-05</v>
      </c>
      <c r="D4455" t="s">
        <v>4429</v>
      </c>
      <c r="E4455" t="b">
        <f>IF(COUNTIF(D4455,"*"&amp;'Keyword Search'!$C$5&amp;"*"),TRUE,FALSE)</f>
        <v>1</v>
      </c>
      <c r="G4455" t="str">
        <f t="shared" si="286"/>
        <v>570-05: Aluminum: Bars, Plates, Posts, Rods, Sheets, Siding, Strips, Structural Shapes, Tubes, etc.</v>
      </c>
    </row>
    <row r="4456" spans="1:7" x14ac:dyDescent="0.25">
      <c r="A4456" s="1" t="str">
        <f t="shared" si="288"/>
        <v>570</v>
      </c>
      <c r="B4456" s="1" t="str">
        <f>TEXT(6,"00")</f>
        <v>06</v>
      </c>
      <c r="C4456" s="1" t="str">
        <f t="shared" si="285"/>
        <v>570-06</v>
      </c>
      <c r="D4456" t="s">
        <v>4430</v>
      </c>
      <c r="E4456" t="b">
        <f>IF(COUNTIF(D4456,"*"&amp;'Keyword Search'!$C$5&amp;"*"),TRUE,FALSE)</f>
        <v>1</v>
      </c>
      <c r="G4456" t="str">
        <f t="shared" si="286"/>
        <v>570-06: Aluminum, Brass and Bronze Ingots</v>
      </c>
    </row>
    <row r="4457" spans="1:7" x14ac:dyDescent="0.25">
      <c r="A4457" s="1" t="str">
        <f t="shared" si="288"/>
        <v>570</v>
      </c>
      <c r="B4457" s="1" t="str">
        <f>TEXT(7,"00")</f>
        <v>07</v>
      </c>
      <c r="C4457" s="1" t="str">
        <f t="shared" si="285"/>
        <v>570-07</v>
      </c>
      <c r="D4457" t="s">
        <v>4431</v>
      </c>
      <c r="E4457" t="b">
        <f>IF(COUNTIF(D4457,"*"&amp;'Keyword Search'!$C$5&amp;"*"),TRUE,FALSE)</f>
        <v>1</v>
      </c>
      <c r="G4457" t="str">
        <f t="shared" si="286"/>
        <v>570-07: Bar Stock, All Kinds (Not Otherwise Classified)</v>
      </c>
    </row>
    <row r="4458" spans="1:7" x14ac:dyDescent="0.25">
      <c r="A4458" s="1" t="str">
        <f t="shared" si="288"/>
        <v>570</v>
      </c>
      <c r="B4458" s="1" t="str">
        <f>TEXT(8,"00")</f>
        <v>08</v>
      </c>
      <c r="C4458" s="1" t="str">
        <f t="shared" si="285"/>
        <v>570-08</v>
      </c>
      <c r="D4458" t="s">
        <v>4432</v>
      </c>
      <c r="E4458" t="b">
        <f>IF(COUNTIF(D4458,"*"&amp;'Keyword Search'!$C$5&amp;"*"),TRUE,FALSE)</f>
        <v>1</v>
      </c>
      <c r="G4458" t="str">
        <f t="shared" si="286"/>
        <v>570-08: Bolt and Stud Stock, Steel</v>
      </c>
    </row>
    <row r="4459" spans="1:7" x14ac:dyDescent="0.25">
      <c r="A4459" s="1" t="str">
        <f t="shared" si="288"/>
        <v>570</v>
      </c>
      <c r="B4459" s="1" t="str">
        <f>TEXT(9,"00")</f>
        <v>09</v>
      </c>
      <c r="C4459" s="1" t="str">
        <f t="shared" si="285"/>
        <v>570-09</v>
      </c>
      <c r="D4459" t="s">
        <v>4433</v>
      </c>
      <c r="E4459" t="b">
        <f>IF(COUNTIF(D4459,"*"&amp;'Keyword Search'!$C$5&amp;"*"),TRUE,FALSE)</f>
        <v>1</v>
      </c>
      <c r="G4459" t="str">
        <f t="shared" si="286"/>
        <v>570-09: Brass and Bronze: Bars, Plates, Rods, Sheets, Strips, etc.</v>
      </c>
    </row>
    <row r="4460" spans="1:7" x14ac:dyDescent="0.25">
      <c r="A4460" s="1" t="str">
        <f t="shared" si="288"/>
        <v>570</v>
      </c>
      <c r="B4460" s="1" t="str">
        <f>TEXT(11,"00")</f>
        <v>11</v>
      </c>
      <c r="C4460" s="1" t="str">
        <f t="shared" si="285"/>
        <v>570-11</v>
      </c>
      <c r="D4460" t="s">
        <v>4434</v>
      </c>
      <c r="E4460" t="b">
        <f>IF(COUNTIF(D4460,"*"&amp;'Keyword Search'!$C$5&amp;"*"),TRUE,FALSE)</f>
        <v>1</v>
      </c>
      <c r="G4460" t="str">
        <f t="shared" si="286"/>
        <v>570-11: Brass Ingots  (Inactive, please see commodity code 570-06 effective January 1, 2016)</v>
      </c>
    </row>
    <row r="4461" spans="1:7" x14ac:dyDescent="0.25">
      <c r="A4461" s="1" t="str">
        <f t="shared" si="288"/>
        <v>570</v>
      </c>
      <c r="B4461" s="1" t="str">
        <f>TEXT(12,"00")</f>
        <v>12</v>
      </c>
      <c r="C4461" s="1" t="str">
        <f t="shared" si="285"/>
        <v>570-12</v>
      </c>
      <c r="D4461" t="s">
        <v>4435</v>
      </c>
      <c r="E4461" t="b">
        <f>IF(COUNTIF(D4461,"*"&amp;'Keyword Search'!$C$5&amp;"*"),TRUE,FALSE)</f>
        <v>1</v>
      </c>
      <c r="G4461" t="str">
        <f t="shared" si="286"/>
        <v>570-12: Bronze Ingots</v>
      </c>
    </row>
    <row r="4462" spans="1:7" x14ac:dyDescent="0.25">
      <c r="A4462" s="1" t="str">
        <f t="shared" si="288"/>
        <v>570</v>
      </c>
      <c r="B4462" s="1" t="str">
        <f>TEXT(13,"00")</f>
        <v>13</v>
      </c>
      <c r="C4462" s="1" t="str">
        <f t="shared" si="285"/>
        <v>570-13</v>
      </c>
      <c r="D4462" t="s">
        <v>4436</v>
      </c>
      <c r="E4462" t="b">
        <f>IF(COUNTIF(D4462,"*"&amp;'Keyword Search'!$C$5&amp;"*"),TRUE,FALSE)</f>
        <v>1</v>
      </c>
      <c r="G4462" t="str">
        <f t="shared" si="286"/>
        <v>570-13: Bushing Stock, Brass and Bronze</v>
      </c>
    </row>
    <row r="4463" spans="1:7" x14ac:dyDescent="0.25">
      <c r="A4463" s="1" t="str">
        <f t="shared" si="288"/>
        <v>570</v>
      </c>
      <c r="B4463" s="1" t="str">
        <f>TEXT(14,"00")</f>
        <v>14</v>
      </c>
      <c r="C4463" s="1" t="str">
        <f t="shared" si="285"/>
        <v>570-14</v>
      </c>
      <c r="D4463" t="s">
        <v>4437</v>
      </c>
      <c r="E4463" t="b">
        <f>IF(COUNTIF(D4463,"*"&amp;'Keyword Search'!$C$5&amp;"*"),TRUE,FALSE)</f>
        <v>1</v>
      </c>
      <c r="G4463" t="str">
        <f t="shared" si="286"/>
        <v>570-14: Cast Iron, Primary and Semi-Finished</v>
      </c>
    </row>
    <row r="4464" spans="1:7" x14ac:dyDescent="0.25">
      <c r="A4464" s="1" t="str">
        <f t="shared" si="288"/>
        <v>570</v>
      </c>
      <c r="B4464" s="1" t="str">
        <f>TEXT(16,"00")</f>
        <v>16</v>
      </c>
      <c r="C4464" s="1" t="str">
        <f t="shared" si="285"/>
        <v>570-16</v>
      </c>
      <c r="D4464" t="s">
        <v>4438</v>
      </c>
      <c r="E4464" t="b">
        <f>IF(COUNTIF(D4464,"*"&amp;'Keyword Search'!$C$5&amp;"*"),TRUE,FALSE)</f>
        <v>1</v>
      </c>
      <c r="G4464" t="str">
        <f t="shared" si="286"/>
        <v>570-16: Crayons, Metal Worker's</v>
      </c>
    </row>
    <row r="4465" spans="1:7" x14ac:dyDescent="0.25">
      <c r="A4465" s="1" t="str">
        <f t="shared" si="288"/>
        <v>570</v>
      </c>
      <c r="B4465" s="1" t="str">
        <f>TEXT(17,"00")</f>
        <v>17</v>
      </c>
      <c r="C4465" s="1" t="str">
        <f t="shared" si="285"/>
        <v>570-17</v>
      </c>
      <c r="D4465" t="s">
        <v>4439</v>
      </c>
      <c r="E4465" t="b">
        <f>IF(COUNTIF(D4465,"*"&amp;'Keyword Search'!$C$5&amp;"*"),TRUE,FALSE)</f>
        <v>1</v>
      </c>
      <c r="G4465" t="str">
        <f t="shared" si="286"/>
        <v>570-17: Coil Stock</v>
      </c>
    </row>
    <row r="4466" spans="1:7" x14ac:dyDescent="0.25">
      <c r="A4466" s="1" t="str">
        <f t="shared" si="288"/>
        <v>570</v>
      </c>
      <c r="B4466" s="1" t="str">
        <f>TEXT(18,"00")</f>
        <v>18</v>
      </c>
      <c r="C4466" s="1" t="str">
        <f t="shared" si="285"/>
        <v>570-18</v>
      </c>
      <c r="D4466" t="s">
        <v>4440</v>
      </c>
      <c r="E4466" t="b">
        <f>IF(COUNTIF(D4466,"*"&amp;'Keyword Search'!$C$5&amp;"*"),TRUE,FALSE)</f>
        <v>1</v>
      </c>
      <c r="G4466" t="str">
        <f t="shared" si="286"/>
        <v>570-18: Copper: Bars, Plates, Rods, Sheets, Strips, etc.</v>
      </c>
    </row>
    <row r="4467" spans="1:7" x14ac:dyDescent="0.25">
      <c r="A4467" s="1" t="str">
        <f t="shared" si="288"/>
        <v>570</v>
      </c>
      <c r="B4467" s="1" t="str">
        <f>TEXT(19,"00")</f>
        <v>19</v>
      </c>
      <c r="C4467" s="1" t="str">
        <f t="shared" si="285"/>
        <v>570-19</v>
      </c>
      <c r="D4467" t="s">
        <v>4441</v>
      </c>
      <c r="E4467" t="b">
        <f>IF(COUNTIF(D4467,"*"&amp;'Keyword Search'!$C$5&amp;"*"),TRUE,FALSE)</f>
        <v>1</v>
      </c>
      <c r="G4467" t="str">
        <f t="shared" si="286"/>
        <v>570-19: Cutting Rod</v>
      </c>
    </row>
    <row r="4468" spans="1:7" x14ac:dyDescent="0.25">
      <c r="A4468" s="1" t="str">
        <f t="shared" si="288"/>
        <v>570</v>
      </c>
      <c r="B4468" s="1" t="str">
        <f>TEXT(21,"00")</f>
        <v>21</v>
      </c>
      <c r="C4468" s="1" t="str">
        <f t="shared" si="285"/>
        <v>570-21</v>
      </c>
      <c r="D4468" t="s">
        <v>4442</v>
      </c>
      <c r="E4468" t="b">
        <f>IF(COUNTIF(D4468,"*"&amp;'Keyword Search'!$C$5&amp;"*"),TRUE,FALSE)</f>
        <v>1</v>
      </c>
      <c r="G4468" t="str">
        <f t="shared" si="286"/>
        <v>570-21: Decking, Steel</v>
      </c>
    </row>
    <row r="4469" spans="1:7" x14ac:dyDescent="0.25">
      <c r="A4469" s="1" t="str">
        <f t="shared" si="288"/>
        <v>570</v>
      </c>
      <c r="B4469" s="1" t="str">
        <f>TEXT(22,"00")</f>
        <v>22</v>
      </c>
      <c r="C4469" s="1" t="str">
        <f t="shared" si="285"/>
        <v>570-22</v>
      </c>
      <c r="D4469" t="s">
        <v>4443</v>
      </c>
      <c r="E4469" t="b">
        <f>IF(COUNTIF(D4469,"*"&amp;'Keyword Search'!$C$5&amp;"*"),TRUE,FALSE)</f>
        <v>1</v>
      </c>
      <c r="G4469" t="str">
        <f t="shared" si="286"/>
        <v>570-22: Earth's Metals, (Not Otherwise Classified)</v>
      </c>
    </row>
    <row r="4470" spans="1:7" x14ac:dyDescent="0.25">
      <c r="A4470" s="1" t="str">
        <f t="shared" si="288"/>
        <v>570</v>
      </c>
      <c r="B4470" s="1" t="str">
        <f>TEXT(23,"00")</f>
        <v>23</v>
      </c>
      <c r="C4470" s="1" t="str">
        <f t="shared" si="285"/>
        <v>570-23</v>
      </c>
      <c r="D4470" t="s">
        <v>4444</v>
      </c>
      <c r="E4470" t="b">
        <f>IF(COUNTIF(D4470,"*"&amp;'Keyword Search'!$C$5&amp;"*"),TRUE,FALSE)</f>
        <v>1</v>
      </c>
      <c r="G4470" t="str">
        <f t="shared" si="286"/>
        <v>570-23: Expanded Metal, Not Stainless</v>
      </c>
    </row>
    <row r="4471" spans="1:7" x14ac:dyDescent="0.25">
      <c r="A4471" s="1" t="str">
        <f t="shared" si="288"/>
        <v>570</v>
      </c>
      <c r="B4471" s="1" t="str">
        <f>TEXT(24,"00")</f>
        <v>24</v>
      </c>
      <c r="C4471" s="1" t="str">
        <f t="shared" si="285"/>
        <v>570-24</v>
      </c>
      <c r="D4471" t="s">
        <v>4445</v>
      </c>
      <c r="E4471" t="b">
        <f>IF(COUNTIF(D4471,"*"&amp;'Keyword Search'!$C$5&amp;"*"),TRUE,FALSE)</f>
        <v>1</v>
      </c>
      <c r="G4471" t="str">
        <f t="shared" si="286"/>
        <v>570-24: Expanded Metal, Stainless</v>
      </c>
    </row>
    <row r="4472" spans="1:7" x14ac:dyDescent="0.25">
      <c r="A4472" s="1" t="str">
        <f t="shared" si="288"/>
        <v>570</v>
      </c>
      <c r="B4472" s="1" t="str">
        <f>TEXT(25,"00")</f>
        <v>25</v>
      </c>
      <c r="C4472" s="1" t="str">
        <f t="shared" si="285"/>
        <v>570-25</v>
      </c>
      <c r="D4472" t="s">
        <v>4446</v>
      </c>
      <c r="E4472" t="b">
        <f>IF(COUNTIF(D4472,"*"&amp;'Keyword Search'!$C$5&amp;"*"),TRUE,FALSE)</f>
        <v>1</v>
      </c>
      <c r="G4472" t="str">
        <f t="shared" si="286"/>
        <v>570-25: Forms, Metal: Concrete Curbs, Columns, and Gutters</v>
      </c>
    </row>
    <row r="4473" spans="1:7" x14ac:dyDescent="0.25">
      <c r="A4473" s="1" t="str">
        <f t="shared" si="288"/>
        <v>570</v>
      </c>
      <c r="B4473" s="1" t="str">
        <f>TEXT(26,"00")</f>
        <v>26</v>
      </c>
      <c r="C4473" s="1" t="str">
        <f t="shared" si="285"/>
        <v>570-26</v>
      </c>
      <c r="D4473" t="s">
        <v>4447</v>
      </c>
      <c r="E4473" t="b">
        <f>IF(COUNTIF(D4473,"*"&amp;'Keyword Search'!$C$5&amp;"*"),TRUE,FALSE)</f>
        <v>1</v>
      </c>
      <c r="G4473" t="str">
        <f t="shared" si="286"/>
        <v>570-26: Foil Stock</v>
      </c>
    </row>
    <row r="4474" spans="1:7" x14ac:dyDescent="0.25">
      <c r="A4474" s="1" t="str">
        <f t="shared" si="288"/>
        <v>570</v>
      </c>
      <c r="B4474" s="1" t="str">
        <f>TEXT(27,"00")</f>
        <v>27</v>
      </c>
      <c r="C4474" s="1" t="str">
        <f t="shared" si="285"/>
        <v>570-27</v>
      </c>
      <c r="D4474" t="s">
        <v>4448</v>
      </c>
      <c r="E4474" t="b">
        <f>IF(COUNTIF(D4474,"*"&amp;'Keyword Search'!$C$5&amp;"*"),TRUE,FALSE)</f>
        <v>1</v>
      </c>
      <c r="G4474" t="str">
        <f t="shared" si="286"/>
        <v>570-27: Ferrous and Non-Ferrous Metals</v>
      </c>
    </row>
    <row r="4475" spans="1:7" x14ac:dyDescent="0.25">
      <c r="A4475" s="1" t="str">
        <f t="shared" si="288"/>
        <v>570</v>
      </c>
      <c r="B4475" s="1" t="str">
        <f>TEXT(28,"00")</f>
        <v>28</v>
      </c>
      <c r="C4475" s="1" t="str">
        <f t="shared" si="285"/>
        <v>570-28</v>
      </c>
      <c r="D4475" t="s">
        <v>4449</v>
      </c>
      <c r="E4475" t="b">
        <f>IF(COUNTIF(D4475,"*"&amp;'Keyword Search'!$C$5&amp;"*"),TRUE,FALSE)</f>
        <v>1</v>
      </c>
      <c r="G4475" t="str">
        <f t="shared" si="286"/>
        <v>570-28: Guard Rails and Accessories: Bolts, Posts, Terminal Ends, Washers, etc. (See 540-73 for Wood Posts)</v>
      </c>
    </row>
    <row r="4476" spans="1:7" x14ac:dyDescent="0.25">
      <c r="A4476" s="1" t="str">
        <f t="shared" si="288"/>
        <v>570</v>
      </c>
      <c r="B4476" s="1" t="str">
        <f>TEXT(29,"00")</f>
        <v>29</v>
      </c>
      <c r="C4476" s="1" t="str">
        <f t="shared" si="285"/>
        <v>570-29</v>
      </c>
      <c r="D4476" t="s">
        <v>4450</v>
      </c>
      <c r="E4476" t="b">
        <f>IF(COUNTIF(D4476,"*"&amp;'Keyword Search'!$C$5&amp;"*"),TRUE,FALSE)</f>
        <v>1</v>
      </c>
      <c r="G4476" t="str">
        <f t="shared" si="286"/>
        <v>570-29: Iron: Angles, Bands, Plate, Sheets, etc.</v>
      </c>
    </row>
    <row r="4477" spans="1:7" x14ac:dyDescent="0.25">
      <c r="A4477" s="1" t="str">
        <f t="shared" si="288"/>
        <v>570</v>
      </c>
      <c r="B4477" s="1" t="str">
        <f>TEXT(30,"00")</f>
        <v>30</v>
      </c>
      <c r="C4477" s="1" t="str">
        <f t="shared" si="285"/>
        <v>570-30</v>
      </c>
      <c r="D4477" t="s">
        <v>4451</v>
      </c>
      <c r="E4477" t="b">
        <f>IF(COUNTIF(D4477,"*"&amp;'Keyword Search'!$C$5&amp;"*"),TRUE,FALSE)</f>
        <v>1</v>
      </c>
      <c r="G4477" t="str">
        <f t="shared" si="286"/>
        <v>570-30: Ingots, (Not Otherwise Classified)</v>
      </c>
    </row>
    <row r="4478" spans="1:7" x14ac:dyDescent="0.25">
      <c r="A4478" s="1" t="str">
        <f t="shared" si="288"/>
        <v>570</v>
      </c>
      <c r="B4478" s="1" t="str">
        <f>TEXT(31,"00")</f>
        <v>31</v>
      </c>
      <c r="C4478" s="1" t="str">
        <f t="shared" si="285"/>
        <v>570-31</v>
      </c>
      <c r="D4478" t="s">
        <v>4452</v>
      </c>
      <c r="E4478" t="b">
        <f>IF(COUNTIF(D4478,"*"&amp;'Keyword Search'!$C$5&amp;"*"),TRUE,FALSE)</f>
        <v>1</v>
      </c>
      <c r="G4478" t="str">
        <f t="shared" si="286"/>
        <v>570-31: Lead: Bulk, Granulated, Strips, etc., Not Plumbing or Paint</v>
      </c>
    </row>
    <row r="4479" spans="1:7" x14ac:dyDescent="0.25">
      <c r="A4479" s="1" t="str">
        <f t="shared" si="288"/>
        <v>570</v>
      </c>
      <c r="B4479" s="1" t="str">
        <f>TEXT(32,"00")</f>
        <v>32</v>
      </c>
      <c r="C4479" s="1" t="str">
        <f t="shared" si="285"/>
        <v>570-32</v>
      </c>
      <c r="D4479" t="s">
        <v>4453</v>
      </c>
      <c r="E4479" t="b">
        <f>IF(COUNTIF(D4479,"*"&amp;'Keyword Search'!$C$5&amp;"*"),TRUE,FALSE)</f>
        <v>1</v>
      </c>
      <c r="G4479" t="str">
        <f t="shared" si="286"/>
        <v>570-32: Key stock, All Sizes</v>
      </c>
    </row>
    <row r="4480" spans="1:7" x14ac:dyDescent="0.25">
      <c r="A4480" s="1" t="str">
        <f t="shared" si="288"/>
        <v>570</v>
      </c>
      <c r="B4480" s="1" t="str">
        <f>TEXT(33,"00")</f>
        <v>33</v>
      </c>
      <c r="C4480" s="1" t="str">
        <f t="shared" si="285"/>
        <v>570-33</v>
      </c>
      <c r="D4480" t="s">
        <v>4454</v>
      </c>
      <c r="E4480" t="b">
        <f>IF(COUNTIF(D4480,"*"&amp;'Keyword Search'!$C$5&amp;"*"),TRUE,FALSE)</f>
        <v>1</v>
      </c>
      <c r="G4480" t="str">
        <f t="shared" si="286"/>
        <v>570-33: License Plate and Blanks (Inactive, please see commodity code 570-34 effective January 1, 2016)</v>
      </c>
    </row>
    <row r="4481" spans="1:7" x14ac:dyDescent="0.25">
      <c r="A4481" s="1" t="str">
        <f t="shared" si="288"/>
        <v>570</v>
      </c>
      <c r="B4481" s="1" t="str">
        <f>TEXT(34,"00")</f>
        <v>34</v>
      </c>
      <c r="C4481" s="1" t="str">
        <f t="shared" si="285"/>
        <v>570-34</v>
      </c>
      <c r="D4481" t="s">
        <v>4455</v>
      </c>
      <c r="E4481" t="b">
        <f>IF(COUNTIF(D4481,"*"&amp;'Keyword Search'!$C$5&amp;"*"),TRUE,FALSE)</f>
        <v>1</v>
      </c>
      <c r="G4481" t="str">
        <f t="shared" si="286"/>
        <v>570-34: License Plates Complete, Purchased Through Bid Process</v>
      </c>
    </row>
    <row r="4482" spans="1:7" x14ac:dyDescent="0.25">
      <c r="A4482" s="1" t="str">
        <f t="shared" si="288"/>
        <v>570</v>
      </c>
      <c r="B4482" s="1" t="str">
        <f>TEXT(35,"00")</f>
        <v>35</v>
      </c>
      <c r="C4482" s="1" t="str">
        <f t="shared" si="285"/>
        <v>570-35</v>
      </c>
      <c r="D4482" t="s">
        <v>4456</v>
      </c>
      <c r="E4482" t="b">
        <f>IF(COUNTIF(D4482,"*"&amp;'Keyword Search'!$C$5&amp;"*"),TRUE,FALSE)</f>
        <v>1</v>
      </c>
      <c r="G4482" t="str">
        <f t="shared" si="286"/>
        <v>570-35: Magnesium Alloy: Bars, Ingots, Plates, Rods, Sheets, Strips, etc.</v>
      </c>
    </row>
    <row r="4483" spans="1:7" x14ac:dyDescent="0.25">
      <c r="A4483" s="1" t="str">
        <f t="shared" si="288"/>
        <v>570</v>
      </c>
      <c r="B4483" s="1" t="str">
        <f>TEXT(36,"00")</f>
        <v>36</v>
      </c>
      <c r="C4483" s="1" t="str">
        <f t="shared" ref="C4483:C4546" si="289">CONCATENATE(A4483,"-",B4483)</f>
        <v>570-36</v>
      </c>
      <c r="D4483" t="s">
        <v>4457</v>
      </c>
      <c r="E4483" t="b">
        <f>IF(COUNTIF(D4483,"*"&amp;'Keyword Search'!$C$5&amp;"*"),TRUE,FALSE)</f>
        <v>1</v>
      </c>
      <c r="G4483" t="str">
        <f t="shared" si="286"/>
        <v>570-36: Metal, Perforated</v>
      </c>
    </row>
    <row r="4484" spans="1:7" x14ac:dyDescent="0.25">
      <c r="A4484" s="1" t="str">
        <f t="shared" si="288"/>
        <v>570</v>
      </c>
      <c r="B4484" s="1" t="str">
        <f>TEXT(37,"00")</f>
        <v>37</v>
      </c>
      <c r="C4484" s="1" t="str">
        <f t="shared" si="289"/>
        <v>570-37</v>
      </c>
      <c r="D4484" t="s">
        <v>4458</v>
      </c>
      <c r="E4484" t="b">
        <f>IF(COUNTIF(D4484,"*"&amp;'Keyword Search'!$C$5&amp;"*"),TRUE,FALSE)</f>
        <v>1</v>
      </c>
      <c r="G4484" t="str">
        <f t="shared" ref="G4484:G4547" si="290">CONCATENATE(C4484,": ",D4484)</f>
        <v>570-37: Magnesium Alloy Ingots (Inactive, please see commodity code 570-11 effective January 1, 2016)</v>
      </c>
    </row>
    <row r="4485" spans="1:7" x14ac:dyDescent="0.25">
      <c r="A4485" s="1" t="str">
        <f t="shared" si="288"/>
        <v>570</v>
      </c>
      <c r="B4485" s="1" t="str">
        <f>TEXT(38,"00")</f>
        <v>38</v>
      </c>
      <c r="C4485" s="1" t="str">
        <f t="shared" si="289"/>
        <v>570-38</v>
      </c>
      <c r="D4485" t="s">
        <v>4459</v>
      </c>
      <c r="E4485" t="b">
        <f>IF(COUNTIF(D4485,"*"&amp;'Keyword Search'!$C$5&amp;"*"),TRUE,FALSE)</f>
        <v>1</v>
      </c>
      <c r="G4485" t="str">
        <f t="shared" si="290"/>
        <v>570-38: Metals, Alkali (Not Otherwise Classified)</v>
      </c>
    </row>
    <row r="4486" spans="1:7" x14ac:dyDescent="0.25">
      <c r="A4486" s="1" t="str">
        <f t="shared" si="288"/>
        <v>570</v>
      </c>
      <c r="B4486" s="1" t="str">
        <f>TEXT(39,"00")</f>
        <v>39</v>
      </c>
      <c r="C4486" s="1" t="str">
        <f t="shared" si="289"/>
        <v>570-39</v>
      </c>
      <c r="D4486" t="s">
        <v>4460</v>
      </c>
      <c r="E4486" t="b">
        <f>IF(COUNTIF(D4486,"*"&amp;'Keyword Search'!$C$5&amp;"*"),TRUE,FALSE)</f>
        <v>1</v>
      </c>
      <c r="G4486" t="str">
        <f t="shared" si="290"/>
        <v>570-39: Nickel</v>
      </c>
    </row>
    <row r="4487" spans="1:7" x14ac:dyDescent="0.25">
      <c r="A4487" s="1" t="str">
        <f t="shared" si="288"/>
        <v>570</v>
      </c>
      <c r="B4487" s="1" t="str">
        <f>TEXT(40,"00")</f>
        <v>40</v>
      </c>
      <c r="C4487" s="1" t="str">
        <f t="shared" si="289"/>
        <v>570-40</v>
      </c>
      <c r="D4487" t="s">
        <v>4461</v>
      </c>
      <c r="E4487" t="b">
        <f>IF(COUNTIF(D4487,"*"&amp;'Keyword Search'!$C$5&amp;"*"),TRUE,FALSE)</f>
        <v>1</v>
      </c>
      <c r="G4487" t="str">
        <f t="shared" si="290"/>
        <v>570-40: Ornamental Ironwork</v>
      </c>
    </row>
    <row r="4488" spans="1:7" x14ac:dyDescent="0.25">
      <c r="A4488" s="1" t="str">
        <f t="shared" si="288"/>
        <v>570</v>
      </c>
      <c r="B4488" s="1" t="str">
        <f>TEXT(42,"00")</f>
        <v>42</v>
      </c>
      <c r="C4488" s="1" t="str">
        <f t="shared" si="289"/>
        <v>570-42</v>
      </c>
      <c r="D4488" t="s">
        <v>4462</v>
      </c>
      <c r="E4488" t="b">
        <f>IF(COUNTIF(D4488,"*"&amp;'Keyword Search'!$C$5&amp;"*"),TRUE,FALSE)</f>
        <v>1</v>
      </c>
      <c r="G4488" t="str">
        <f t="shared" si="290"/>
        <v>570-42: Pig Iron Ingots</v>
      </c>
    </row>
    <row r="4489" spans="1:7" x14ac:dyDescent="0.25">
      <c r="A4489" s="1" t="str">
        <f t="shared" si="288"/>
        <v>570</v>
      </c>
      <c r="B4489" s="1" t="str">
        <f>TEXT(44,"00")</f>
        <v>44</v>
      </c>
      <c r="C4489" s="1" t="str">
        <f t="shared" si="289"/>
        <v>570-44</v>
      </c>
      <c r="D4489" t="s">
        <v>4463</v>
      </c>
      <c r="E4489" t="b">
        <f>IF(COUNTIF(D4489,"*"&amp;'Keyword Search'!$C$5&amp;"*"),TRUE,FALSE)</f>
        <v>1</v>
      </c>
      <c r="G4489" t="str">
        <f t="shared" si="290"/>
        <v>570-44: Posts, Steel: Delineator Markers, Mile Markers, etc.</v>
      </c>
    </row>
    <row r="4490" spans="1:7" x14ac:dyDescent="0.25">
      <c r="A4490" s="1" t="str">
        <f t="shared" si="288"/>
        <v>570</v>
      </c>
      <c r="B4490" s="1" t="str">
        <f>TEXT(45,"00")</f>
        <v>45</v>
      </c>
      <c r="C4490" s="1" t="str">
        <f t="shared" si="289"/>
        <v>570-45</v>
      </c>
      <c r="D4490" t="s">
        <v>4464</v>
      </c>
      <c r="E4490" t="b">
        <f>IF(COUNTIF(D4490,"*"&amp;'Keyword Search'!$C$5&amp;"*"),TRUE,FALSE)</f>
        <v>1</v>
      </c>
      <c r="G4490" t="str">
        <f t="shared" si="290"/>
        <v>570-45: Posts, Metal, Other Than Steel</v>
      </c>
    </row>
    <row r="4491" spans="1:7" x14ac:dyDescent="0.25">
      <c r="A4491" s="1" t="str">
        <f t="shared" si="288"/>
        <v>570</v>
      </c>
      <c r="B4491" s="1" t="str">
        <f>TEXT(46,"00")</f>
        <v>46</v>
      </c>
      <c r="C4491" s="1" t="str">
        <f t="shared" si="289"/>
        <v>570-46</v>
      </c>
      <c r="D4491" t="s">
        <v>4465</v>
      </c>
      <c r="E4491" t="b">
        <f>IF(COUNTIF(D4491,"*"&amp;'Keyword Search'!$C$5&amp;"*"),TRUE,FALSE)</f>
        <v>1</v>
      </c>
      <c r="G4491" t="str">
        <f t="shared" si="290"/>
        <v>570-46: Post-Tensioned Type Reinforcing System, For Concrete Slabs</v>
      </c>
    </row>
    <row r="4492" spans="1:7" x14ac:dyDescent="0.25">
      <c r="A4492" s="1" t="str">
        <f t="shared" si="288"/>
        <v>570</v>
      </c>
      <c r="B4492" s="1" t="str">
        <f>TEXT(47,"00")</f>
        <v>47</v>
      </c>
      <c r="C4492" s="1" t="str">
        <f t="shared" si="289"/>
        <v>570-47</v>
      </c>
      <c r="D4492" t="s">
        <v>4466</v>
      </c>
      <c r="E4492" t="b">
        <f>IF(COUNTIF(D4492,"*"&amp;'Keyword Search'!$C$5&amp;"*"),TRUE,FALSE)</f>
        <v>1</v>
      </c>
      <c r="G4492" t="str">
        <f t="shared" si="290"/>
        <v>570-47: Precious Metals: Gold, Silver, etc. (See 175-19 and 260-52 for other uses)</v>
      </c>
    </row>
    <row r="4493" spans="1:7" x14ac:dyDescent="0.25">
      <c r="A4493" s="1" t="str">
        <f t="shared" si="288"/>
        <v>570</v>
      </c>
      <c r="B4493" s="1" t="str">
        <f>TEXT(48,"00")</f>
        <v>48</v>
      </c>
      <c r="C4493" s="1" t="str">
        <f t="shared" si="289"/>
        <v>570-48</v>
      </c>
      <c r="D4493" t="s">
        <v>4467</v>
      </c>
      <c r="E4493" t="b">
        <f>IF(COUNTIF(D4493,"*"&amp;'Keyword Search'!$C$5&amp;"*"),TRUE,FALSE)</f>
        <v>1</v>
      </c>
      <c r="G4493" t="str">
        <f t="shared" si="290"/>
        <v>570-48: Rails, Railroad, Steel</v>
      </c>
    </row>
    <row r="4494" spans="1:7" x14ac:dyDescent="0.25">
      <c r="A4494" s="1" t="str">
        <f t="shared" si="288"/>
        <v>570</v>
      </c>
      <c r="B4494" s="1" t="str">
        <f>TEXT(50,"00")</f>
        <v>50</v>
      </c>
      <c r="C4494" s="1" t="str">
        <f t="shared" si="289"/>
        <v>570-50</v>
      </c>
      <c r="D4494" t="s">
        <v>4468</v>
      </c>
      <c r="E4494" t="b">
        <f>IF(COUNTIF(D4494,"*"&amp;'Keyword Search'!$C$5&amp;"*"),TRUE,FALSE)</f>
        <v>1</v>
      </c>
      <c r="G4494" t="str">
        <f t="shared" si="290"/>
        <v>570-50: Scrap Metals, All Kinds</v>
      </c>
    </row>
    <row r="4495" spans="1:7" x14ac:dyDescent="0.25">
      <c r="A4495" s="1" t="str">
        <f t="shared" si="288"/>
        <v>570</v>
      </c>
      <c r="B4495" s="1" t="str">
        <f>TEXT(52,"00")</f>
        <v>52</v>
      </c>
      <c r="C4495" s="1" t="str">
        <f t="shared" si="289"/>
        <v>570-52</v>
      </c>
      <c r="D4495" t="s">
        <v>4469</v>
      </c>
      <c r="E4495" t="b">
        <f>IF(COUNTIF(D4495,"*"&amp;'Keyword Search'!$C$5&amp;"*"),TRUE,FALSE)</f>
        <v>1</v>
      </c>
      <c r="G4495" t="str">
        <f t="shared" si="290"/>
        <v>570-52: Shafting: Bronze, Monel, Stainless Steel, Steel, etc.</v>
      </c>
    </row>
    <row r="4496" spans="1:7" x14ac:dyDescent="0.25">
      <c r="A4496" s="1" t="str">
        <f t="shared" si="288"/>
        <v>570</v>
      </c>
      <c r="B4496" s="1" t="str">
        <f>TEXT(54,"00")</f>
        <v>54</v>
      </c>
      <c r="C4496" s="1" t="str">
        <f t="shared" si="289"/>
        <v>570-54</v>
      </c>
      <c r="D4496" t="s">
        <v>4470</v>
      </c>
      <c r="E4496" t="b">
        <f>IF(COUNTIF(D4496,"*"&amp;'Keyword Search'!$C$5&amp;"*"),TRUE,FALSE)</f>
        <v>1</v>
      </c>
      <c r="G4496" t="str">
        <f t="shared" si="290"/>
        <v>570-54: Sheet Metal, Fabricated, Custom-Made Sheet Metal Items</v>
      </c>
    </row>
    <row r="4497" spans="1:7" x14ac:dyDescent="0.25">
      <c r="A4497" s="1" t="str">
        <f t="shared" si="288"/>
        <v>570</v>
      </c>
      <c r="B4497" s="1" t="str">
        <f>TEXT(56,"00")</f>
        <v>56</v>
      </c>
      <c r="C4497" s="1" t="str">
        <f t="shared" si="289"/>
        <v>570-56</v>
      </c>
      <c r="D4497" t="s">
        <v>4471</v>
      </c>
      <c r="E4497" t="b">
        <f>IF(COUNTIF(D4497,"*"&amp;'Keyword Search'!$C$5&amp;"*"),TRUE,FALSE)</f>
        <v>1</v>
      </c>
      <c r="G4497" t="str">
        <f t="shared" si="290"/>
        <v>570-56: Sheet Piling, Steel</v>
      </c>
    </row>
    <row r="4498" spans="1:7" x14ac:dyDescent="0.25">
      <c r="A4498" s="1" t="str">
        <f t="shared" si="288"/>
        <v>570</v>
      </c>
      <c r="B4498" s="1" t="str">
        <f>TEXT(57,"00")</f>
        <v>57</v>
      </c>
      <c r="C4498" s="1" t="str">
        <f t="shared" si="289"/>
        <v>570-57</v>
      </c>
      <c r="D4498" t="s">
        <v>4472</v>
      </c>
      <c r="E4498" t="b">
        <f>IF(COUNTIF(D4498,"*"&amp;'Keyword Search'!$C$5&amp;"*"),TRUE,FALSE)</f>
        <v>1</v>
      </c>
      <c r="G4498" t="str">
        <f t="shared" si="290"/>
        <v>570-57: Shim Stock</v>
      </c>
    </row>
    <row r="4499" spans="1:7" x14ac:dyDescent="0.25">
      <c r="A4499" s="1" t="str">
        <f t="shared" si="288"/>
        <v>570</v>
      </c>
      <c r="B4499" s="1" t="str">
        <f>TEXT(62,"00")</f>
        <v>62</v>
      </c>
      <c r="C4499" s="1" t="str">
        <f t="shared" si="289"/>
        <v>570-62</v>
      </c>
      <c r="D4499" t="s">
        <v>4473</v>
      </c>
      <c r="E4499" t="b">
        <f>IF(COUNTIF(D4499,"*"&amp;'Keyword Search'!$C$5&amp;"*"),TRUE,FALSE)</f>
        <v>1</v>
      </c>
      <c r="G4499" t="str">
        <f t="shared" si="290"/>
        <v>570-62: Spring Steel</v>
      </c>
    </row>
    <row r="4500" spans="1:7" x14ac:dyDescent="0.25">
      <c r="A4500" s="1" t="str">
        <f t="shared" si="288"/>
        <v>570</v>
      </c>
      <c r="B4500" s="1" t="str">
        <f>TEXT(64,"00")</f>
        <v>64</v>
      </c>
      <c r="C4500" s="1" t="str">
        <f t="shared" si="289"/>
        <v>570-64</v>
      </c>
      <c r="D4500" t="s">
        <v>4474</v>
      </c>
      <c r="E4500" t="b">
        <f>IF(COUNTIF(D4500,"*"&amp;'Keyword Search'!$C$5&amp;"*"),TRUE,FALSE)</f>
        <v>1</v>
      </c>
      <c r="G4500" t="str">
        <f t="shared" si="290"/>
        <v>570-64: Stainless Steel: Bars, Plates, Rods, Sheets, Strips, Tubes, etc.</v>
      </c>
    </row>
    <row r="4501" spans="1:7" x14ac:dyDescent="0.25">
      <c r="A4501" s="1" t="str">
        <f t="shared" si="288"/>
        <v>570</v>
      </c>
      <c r="B4501" s="1" t="str">
        <f>TEXT(65,"00")</f>
        <v>65</v>
      </c>
      <c r="C4501" s="1" t="str">
        <f t="shared" si="289"/>
        <v>570-65</v>
      </c>
      <c r="D4501" t="s">
        <v>4475</v>
      </c>
      <c r="E4501" t="b">
        <f>IF(COUNTIF(D4501,"*"&amp;'Keyword Search'!$C$5&amp;"*"),TRUE,FALSE)</f>
        <v>1</v>
      </c>
      <c r="G4501" t="str">
        <f t="shared" si="290"/>
        <v>570-65: Steel Bridge Truss, Overhead</v>
      </c>
    </row>
    <row r="4502" spans="1:7" x14ac:dyDescent="0.25">
      <c r="A4502" s="1" t="str">
        <f t="shared" si="288"/>
        <v>570</v>
      </c>
      <c r="B4502" s="1" t="str">
        <f>TEXT(66,"00")</f>
        <v>66</v>
      </c>
      <c r="C4502" s="1" t="str">
        <f t="shared" si="289"/>
        <v>570-66</v>
      </c>
      <c r="D4502" t="s">
        <v>4476</v>
      </c>
      <c r="E4502" t="b">
        <f>IF(COUNTIF(D4502,"*"&amp;'Keyword Search'!$C$5&amp;"*"),TRUE,FALSE)</f>
        <v>1</v>
      </c>
      <c r="G4502" t="str">
        <f t="shared" si="290"/>
        <v>570-66: Steel, Cold Rolled: Bars, Plates, Rods, Sheets, and Strips</v>
      </c>
    </row>
    <row r="4503" spans="1:7" x14ac:dyDescent="0.25">
      <c r="A4503" s="1" t="str">
        <f t="shared" si="288"/>
        <v>570</v>
      </c>
      <c r="B4503" s="1" t="str">
        <f>TEXT(68,"00")</f>
        <v>68</v>
      </c>
      <c r="C4503" s="1" t="str">
        <f t="shared" si="289"/>
        <v>570-68</v>
      </c>
      <c r="D4503" t="s">
        <v>4477</v>
      </c>
      <c r="E4503" t="b">
        <f>IF(COUNTIF(D4503,"*"&amp;'Keyword Search'!$C$5&amp;"*"),TRUE,FALSE)</f>
        <v>1</v>
      </c>
      <c r="G4503" t="str">
        <f t="shared" si="290"/>
        <v>570-68: Steel, Fabricated: Beams, Gabions, Gratings, Walkways, Window Bars, and Custom-Made Steel Items</v>
      </c>
    </row>
    <row r="4504" spans="1:7" x14ac:dyDescent="0.25">
      <c r="A4504" s="1" t="str">
        <f t="shared" si="288"/>
        <v>570</v>
      </c>
      <c r="B4504" s="1" t="str">
        <f>TEXT(70,"00")</f>
        <v>70</v>
      </c>
      <c r="C4504" s="1" t="str">
        <f t="shared" si="289"/>
        <v>570-70</v>
      </c>
      <c r="D4504" t="s">
        <v>4478</v>
      </c>
      <c r="E4504" t="b">
        <f>IF(COUNTIF(D4504,"*"&amp;'Keyword Search'!$C$5&amp;"*"),TRUE,FALSE)</f>
        <v>1</v>
      </c>
      <c r="G4504" t="str">
        <f t="shared" si="290"/>
        <v>570-70: Steel, Galvanized: Bars, Pipes, Not Plumbing, Plates, Rods, Sheets, Strips, etc.</v>
      </c>
    </row>
    <row r="4505" spans="1:7" x14ac:dyDescent="0.25">
      <c r="A4505" s="1" t="str">
        <f t="shared" si="288"/>
        <v>570</v>
      </c>
      <c r="B4505" s="1" t="str">
        <f>TEXT(72,"00")</f>
        <v>72</v>
      </c>
      <c r="C4505" s="1" t="str">
        <f t="shared" si="289"/>
        <v>570-72</v>
      </c>
      <c r="D4505" t="s">
        <v>4479</v>
      </c>
      <c r="E4505" t="b">
        <f>IF(COUNTIF(D4505,"*"&amp;'Keyword Search'!$C$5&amp;"*"),TRUE,FALSE)</f>
        <v>1</v>
      </c>
      <c r="G4505" t="str">
        <f t="shared" si="290"/>
        <v>570-72: Steel, Mild: Bars, Plates, Rods, Sheets, Strips, Tubes, etc.</v>
      </c>
    </row>
    <row r="4506" spans="1:7" x14ac:dyDescent="0.25">
      <c r="A4506" s="1" t="str">
        <f t="shared" si="288"/>
        <v>570</v>
      </c>
      <c r="B4506" s="1" t="str">
        <f>TEXT(76,"00")</f>
        <v>76</v>
      </c>
      <c r="C4506" s="1" t="str">
        <f t="shared" si="289"/>
        <v>570-76</v>
      </c>
      <c r="D4506" t="s">
        <v>4480</v>
      </c>
      <c r="E4506" t="b">
        <f>IF(COUNTIF(D4506,"*"&amp;'Keyword Search'!$C$5&amp;"*"),TRUE,FALSE)</f>
        <v>1</v>
      </c>
      <c r="G4506" t="str">
        <f t="shared" si="290"/>
        <v>570-76: Steel, Reinforcing, Bars and Rods</v>
      </c>
    </row>
    <row r="4507" spans="1:7" x14ac:dyDescent="0.25">
      <c r="A4507" s="1" t="str">
        <f t="shared" si="288"/>
        <v>570</v>
      </c>
      <c r="B4507" s="1" t="str">
        <f>TEXT(77,"00")</f>
        <v>77</v>
      </c>
      <c r="C4507" s="1" t="str">
        <f t="shared" si="289"/>
        <v>570-77</v>
      </c>
      <c r="D4507" t="s">
        <v>4481</v>
      </c>
      <c r="E4507" t="b">
        <f>IF(COUNTIF(D4507,"*"&amp;'Keyword Search'!$C$5&amp;"*"),TRUE,FALSE)</f>
        <v>1</v>
      </c>
      <c r="G4507" t="str">
        <f t="shared" si="290"/>
        <v>570-77: Steel, Reinforcing, Mesh</v>
      </c>
    </row>
    <row r="4508" spans="1:7" x14ac:dyDescent="0.25">
      <c r="A4508" s="1" t="str">
        <f t="shared" si="288"/>
        <v>570</v>
      </c>
      <c r="B4508" s="1" t="str">
        <f>TEXT(78,"00")</f>
        <v>78</v>
      </c>
      <c r="C4508" s="1" t="str">
        <f t="shared" si="289"/>
        <v>570-78</v>
      </c>
      <c r="D4508" t="s">
        <v>4482</v>
      </c>
      <c r="E4508" t="b">
        <f>IF(COUNTIF(D4508,"*"&amp;'Keyword Search'!$C$5&amp;"*"),TRUE,FALSE)</f>
        <v>1</v>
      </c>
      <c r="G4508" t="str">
        <f t="shared" si="290"/>
        <v>570-78: Steel, Reinforcing, Fabricated</v>
      </c>
    </row>
    <row r="4509" spans="1:7" x14ac:dyDescent="0.25">
      <c r="A4509" s="1" t="str">
        <f t="shared" si="288"/>
        <v>570</v>
      </c>
      <c r="B4509" s="1" t="str">
        <f>TEXT(79,"00")</f>
        <v>79</v>
      </c>
      <c r="C4509" s="1" t="str">
        <f t="shared" si="289"/>
        <v>570-79</v>
      </c>
      <c r="D4509" t="s">
        <v>4483</v>
      </c>
      <c r="E4509" t="b">
        <f>IF(COUNTIF(D4509,"*"&amp;'Keyword Search'!$C$5&amp;"*"),TRUE,FALSE)</f>
        <v>1</v>
      </c>
      <c r="G4509" t="str">
        <f t="shared" si="290"/>
        <v>570-79: Steel Siding</v>
      </c>
    </row>
    <row r="4510" spans="1:7" x14ac:dyDescent="0.25">
      <c r="A4510" s="1" t="str">
        <f t="shared" si="288"/>
        <v>570</v>
      </c>
      <c r="B4510" s="1" t="str">
        <f>TEXT(80,"00")</f>
        <v>80</v>
      </c>
      <c r="C4510" s="1" t="str">
        <f t="shared" si="289"/>
        <v>570-80</v>
      </c>
      <c r="D4510" t="s">
        <v>4484</v>
      </c>
      <c r="E4510" t="b">
        <f>IF(COUNTIF(D4510,"*"&amp;'Keyword Search'!$C$5&amp;"*"),TRUE,FALSE)</f>
        <v>1</v>
      </c>
      <c r="G4510" t="str">
        <f t="shared" si="290"/>
        <v>570-80: Steel Sheets, High Carbon, For License Plates, etc.</v>
      </c>
    </row>
    <row r="4511" spans="1:7" x14ac:dyDescent="0.25">
      <c r="A4511" s="1" t="str">
        <f t="shared" si="288"/>
        <v>570</v>
      </c>
      <c r="B4511" s="1" t="str">
        <f>TEXT(81,"00")</f>
        <v>81</v>
      </c>
      <c r="C4511" s="1" t="str">
        <f t="shared" si="289"/>
        <v>570-81</v>
      </c>
      <c r="D4511" t="s">
        <v>4485</v>
      </c>
      <c r="E4511" t="b">
        <f>IF(COUNTIF(D4511,"*"&amp;'Keyword Search'!$C$5&amp;"*"),TRUE,FALSE)</f>
        <v>1</v>
      </c>
      <c r="G4511" t="str">
        <f t="shared" si="290"/>
        <v>570-81: Steel Studs, Dry Wall</v>
      </c>
    </row>
    <row r="4512" spans="1:7" x14ac:dyDescent="0.25">
      <c r="A4512" s="1" t="str">
        <f t="shared" si="288"/>
        <v>570</v>
      </c>
      <c r="B4512" s="1" t="str">
        <f>TEXT(82,"00")</f>
        <v>82</v>
      </c>
      <c r="C4512" s="1" t="str">
        <f t="shared" si="289"/>
        <v>570-82</v>
      </c>
      <c r="D4512" t="s">
        <v>4486</v>
      </c>
      <c r="E4512" t="b">
        <f>IF(COUNTIF(D4512,"*"&amp;'Keyword Search'!$C$5&amp;"*"),TRUE,FALSE)</f>
        <v>1</v>
      </c>
      <c r="G4512" t="str">
        <f t="shared" si="290"/>
        <v>570-82: Steel Wire Panels: Partitions, Window Guards, etc.</v>
      </c>
    </row>
    <row r="4513" spans="1:7" x14ac:dyDescent="0.25">
      <c r="A4513" s="1" t="str">
        <f t="shared" si="288"/>
        <v>570</v>
      </c>
      <c r="B4513" s="1" t="str">
        <f>TEXT(83,"00")</f>
        <v>83</v>
      </c>
      <c r="C4513" s="1" t="str">
        <f t="shared" si="289"/>
        <v>570-83</v>
      </c>
      <c r="D4513" t="s">
        <v>4487</v>
      </c>
      <c r="E4513" t="b">
        <f>IF(COUNTIF(D4513,"*"&amp;'Keyword Search'!$C$5&amp;"*"),TRUE,FALSE)</f>
        <v>1</v>
      </c>
      <c r="G4513" t="str">
        <f t="shared" si="290"/>
        <v>570-83: Structural Shapes, Other Than Steel: Angles, Channels, I-Beams, etc.</v>
      </c>
    </row>
    <row r="4514" spans="1:7" x14ac:dyDescent="0.25">
      <c r="A4514" s="1" t="str">
        <f t="shared" si="288"/>
        <v>570</v>
      </c>
      <c r="B4514" s="1" t="str">
        <f>TEXT(84,"00")</f>
        <v>84</v>
      </c>
      <c r="C4514" s="1" t="str">
        <f t="shared" si="289"/>
        <v>570-84</v>
      </c>
      <c r="D4514" t="s">
        <v>4488</v>
      </c>
      <c r="E4514" t="b">
        <f>IF(COUNTIF(D4514,"*"&amp;'Keyword Search'!$C$5&amp;"*"),TRUE,FALSE)</f>
        <v>1</v>
      </c>
      <c r="G4514" t="str">
        <f t="shared" si="290"/>
        <v>570-84: Structural Shapes, Steel: Angles, Channels, I-Beams, etc.</v>
      </c>
    </row>
    <row r="4515" spans="1:7" x14ac:dyDescent="0.25">
      <c r="A4515" s="1" t="str">
        <f t="shared" si="288"/>
        <v>570</v>
      </c>
      <c r="B4515" s="1" t="str">
        <f>TEXT(85,"00")</f>
        <v>85</v>
      </c>
      <c r="C4515" s="1" t="str">
        <f t="shared" si="289"/>
        <v>570-85</v>
      </c>
      <c r="D4515" t="s">
        <v>4489</v>
      </c>
      <c r="E4515" t="b">
        <f>IF(COUNTIF(D4515,"*"&amp;'Keyword Search'!$C$5&amp;"*"),TRUE,FALSE)</f>
        <v>1</v>
      </c>
      <c r="G4515" t="str">
        <f t="shared" si="290"/>
        <v>570-85: Tin</v>
      </c>
    </row>
    <row r="4516" spans="1:7" x14ac:dyDescent="0.25">
      <c r="A4516" s="1" t="str">
        <f t="shared" ref="A4516:A4523" si="291">TEXT(570,"000")</f>
        <v>570</v>
      </c>
      <c r="B4516" s="1" t="str">
        <f>TEXT(86,"00")</f>
        <v>86</v>
      </c>
      <c r="C4516" s="1" t="str">
        <f t="shared" si="289"/>
        <v>570-86</v>
      </c>
      <c r="D4516" t="s">
        <v>4490</v>
      </c>
      <c r="E4516" t="b">
        <f>IF(COUNTIF(D4516,"*"&amp;'Keyword Search'!$C$5&amp;"*"),TRUE,FALSE)</f>
        <v>1</v>
      </c>
      <c r="G4516" t="str">
        <f t="shared" si="290"/>
        <v>570-86: Titanium</v>
      </c>
    </row>
    <row r="4517" spans="1:7" x14ac:dyDescent="0.25">
      <c r="A4517" s="1" t="str">
        <f t="shared" si="291"/>
        <v>570</v>
      </c>
      <c r="B4517" s="1" t="str">
        <f>TEXT(87,"00")</f>
        <v>87</v>
      </c>
      <c r="C4517" s="1" t="str">
        <f t="shared" si="289"/>
        <v>570-87</v>
      </c>
      <c r="D4517" t="s">
        <v>4491</v>
      </c>
      <c r="E4517" t="b">
        <f>IF(COUNTIF(D4517,"*"&amp;'Keyword Search'!$C$5&amp;"*"),TRUE,FALSE)</f>
        <v>1</v>
      </c>
      <c r="G4517" t="str">
        <f t="shared" si="290"/>
        <v>570-87: Tool Steel: Bars, Drill Rod, Flat Stock, etc.</v>
      </c>
    </row>
    <row r="4518" spans="1:7" x14ac:dyDescent="0.25">
      <c r="A4518" s="1" t="str">
        <f t="shared" si="291"/>
        <v>570</v>
      </c>
      <c r="B4518" s="1" t="str">
        <f>TEXT(88,"00")</f>
        <v>88</v>
      </c>
      <c r="C4518" s="1" t="str">
        <f t="shared" si="289"/>
        <v>570-88</v>
      </c>
      <c r="D4518" t="s">
        <v>4492</v>
      </c>
      <c r="E4518" t="b">
        <f>IF(COUNTIF(D4518,"*"&amp;'Keyword Search'!$C$5&amp;"*"),TRUE,FALSE)</f>
        <v>1</v>
      </c>
      <c r="G4518" t="str">
        <f t="shared" si="290"/>
        <v>570-88: Tile, Metal (Inactive, please see commodity code 135-81 effective January 1, 2016)</v>
      </c>
    </row>
    <row r="4519" spans="1:7" x14ac:dyDescent="0.25">
      <c r="A4519" s="1" t="str">
        <f t="shared" si="291"/>
        <v>570</v>
      </c>
      <c r="B4519" s="1" t="str">
        <f>TEXT(89,"00")</f>
        <v>89</v>
      </c>
      <c r="C4519" s="1" t="str">
        <f t="shared" si="289"/>
        <v>570-89</v>
      </c>
      <c r="D4519" t="s">
        <v>4493</v>
      </c>
      <c r="E4519" t="b">
        <f>IF(COUNTIF(D4519,"*"&amp;'Keyword Search'!$C$5&amp;"*"),TRUE,FALSE)</f>
        <v>1</v>
      </c>
      <c r="G4519" t="str">
        <f t="shared" si="290"/>
        <v>570-89: Transition Metals (Not Otherwise Classified)</v>
      </c>
    </row>
    <row r="4520" spans="1:7" x14ac:dyDescent="0.25">
      <c r="A4520" s="1" t="str">
        <f t="shared" si="291"/>
        <v>570</v>
      </c>
      <c r="B4520" s="1" t="str">
        <f>TEXT(90,"00")</f>
        <v>90</v>
      </c>
      <c r="C4520" s="1" t="str">
        <f t="shared" si="289"/>
        <v>570-90</v>
      </c>
      <c r="D4520" t="s">
        <v>4494</v>
      </c>
      <c r="E4520" t="b">
        <f>IF(COUNTIF(D4520,"*"&amp;'Keyword Search'!$C$5&amp;"*"),TRUE,FALSE)</f>
        <v>1</v>
      </c>
      <c r="G4520" t="str">
        <f t="shared" si="290"/>
        <v>570-90: Tubing, Mechanical, Steel: Rectangular, Round, Square, etc. (See 570-91 for Structural Tubing)</v>
      </c>
    </row>
    <row r="4521" spans="1:7" x14ac:dyDescent="0.25">
      <c r="A4521" s="1" t="str">
        <f t="shared" si="291"/>
        <v>570</v>
      </c>
      <c r="B4521" s="1" t="str">
        <f>TEXT(91,"00")</f>
        <v>91</v>
      </c>
      <c r="C4521" s="1" t="str">
        <f t="shared" si="289"/>
        <v>570-91</v>
      </c>
      <c r="D4521" t="s">
        <v>4495</v>
      </c>
      <c r="E4521" t="b">
        <f>IF(COUNTIF(D4521,"*"&amp;'Keyword Search'!$C$5&amp;"*"),TRUE,FALSE)</f>
        <v>1</v>
      </c>
      <c r="G4521" t="str">
        <f t="shared" si="290"/>
        <v>570-91: Tubing, Structural Grade</v>
      </c>
    </row>
    <row r="4522" spans="1:7" x14ac:dyDescent="0.25">
      <c r="A4522" s="1" t="str">
        <f t="shared" si="291"/>
        <v>570</v>
      </c>
      <c r="B4522" s="1" t="str">
        <f>TEXT(95,"00")</f>
        <v>95</v>
      </c>
      <c r="C4522" s="1" t="str">
        <f t="shared" si="289"/>
        <v>570-95</v>
      </c>
      <c r="D4522" t="s">
        <v>4496</v>
      </c>
      <c r="E4522" t="b">
        <f>IF(COUNTIF(D4522,"*"&amp;'Keyword Search'!$C$5&amp;"*"),TRUE,FALSE)</f>
        <v>1</v>
      </c>
      <c r="G4522" t="str">
        <f t="shared" si="290"/>
        <v>570-95: Zinc: Anodes, Sheets, etc.</v>
      </c>
    </row>
    <row r="4523" spans="1:7" x14ac:dyDescent="0.25">
      <c r="A4523" s="1" t="str">
        <f t="shared" si="291"/>
        <v>570</v>
      </c>
      <c r="B4523" s="1" t="str">
        <f>TEXT(96,"00")</f>
        <v>96</v>
      </c>
      <c r="C4523" s="1" t="str">
        <f t="shared" si="289"/>
        <v>570-96</v>
      </c>
      <c r="D4523" t="s">
        <v>4497</v>
      </c>
      <c r="E4523" t="b">
        <f>IF(COUNTIF(D4523,"*"&amp;'Keyword Search'!$C$5&amp;"*"),TRUE,FALSE)</f>
        <v>1</v>
      </c>
      <c r="G4523" t="str">
        <f t="shared" si="290"/>
        <v>570-96: Recycled Metals and Related Items</v>
      </c>
    </row>
    <row r="4524" spans="1:7" x14ac:dyDescent="0.25">
      <c r="A4524" s="5" t="str">
        <f t="shared" ref="A4524:A4540" si="292">TEXT(575,"000")</f>
        <v>575</v>
      </c>
      <c r="B4524" s="5" t="str">
        <f>TEXT(0,"00")</f>
        <v>00</v>
      </c>
      <c r="C4524" s="1"/>
      <c r="D4524" s="2" t="s">
        <v>4498</v>
      </c>
    </row>
    <row r="4525" spans="1:7" x14ac:dyDescent="0.25">
      <c r="A4525" s="1" t="str">
        <f t="shared" si="292"/>
        <v>575</v>
      </c>
      <c r="B4525" s="1" t="str">
        <f>TEXT(25,"00")</f>
        <v>25</v>
      </c>
      <c r="C4525" s="1" t="str">
        <f t="shared" si="289"/>
        <v>575-25</v>
      </c>
      <c r="D4525" t="s">
        <v>4499</v>
      </c>
      <c r="E4525" t="b">
        <f>IF(COUNTIF(D4525,"*"&amp;'Keyword Search'!$C$5&amp;"*"),TRUE,FALSE)</f>
        <v>1</v>
      </c>
      <c r="G4525" t="str">
        <f t="shared" si="290"/>
        <v>575-25: *Computer Output Microfilm and Microfiche (COM) Units: COM Recorders, COM Cameras, COM Tape/Recorder, etc.</v>
      </c>
    </row>
    <row r="4526" spans="1:7" x14ac:dyDescent="0.25">
      <c r="A4526" s="1" t="str">
        <f t="shared" si="292"/>
        <v>575</v>
      </c>
      <c r="B4526" s="1" t="str">
        <f>TEXT(29,"00")</f>
        <v>29</v>
      </c>
      <c r="C4526" s="1" t="str">
        <f t="shared" si="289"/>
        <v>575-29</v>
      </c>
      <c r="D4526" t="s">
        <v>4500</v>
      </c>
      <c r="E4526" t="b">
        <f>IF(COUNTIF(D4526,"*"&amp;'Keyword Search'!$C$5&amp;"*"),TRUE,FALSE)</f>
        <v>1</v>
      </c>
      <c r="G4526" t="str">
        <f t="shared" si="290"/>
        <v>575-29: Jacket Loaders, Microfilm</v>
      </c>
    </row>
    <row r="4527" spans="1:7" x14ac:dyDescent="0.25">
      <c r="A4527" s="1" t="str">
        <f t="shared" si="292"/>
        <v>575</v>
      </c>
      <c r="B4527" s="1" t="str">
        <f>TEXT(30,"00")</f>
        <v>30</v>
      </c>
      <c r="C4527" s="1" t="str">
        <f t="shared" si="289"/>
        <v>575-30</v>
      </c>
      <c r="D4527" t="s">
        <v>4501</v>
      </c>
      <c r="E4527" t="b">
        <f>IF(COUNTIF(D4527,"*"&amp;'Keyword Search'!$C$5&amp;"*"),TRUE,FALSE)</f>
        <v>1</v>
      </c>
      <c r="G4527" t="str">
        <f t="shared" si="290"/>
        <v>575-30: Microfilm Cameras and Accessories</v>
      </c>
    </row>
    <row r="4528" spans="1:7" x14ac:dyDescent="0.25">
      <c r="A4528" s="1" t="str">
        <f t="shared" si="292"/>
        <v>575</v>
      </c>
      <c r="B4528" s="1" t="str">
        <f>TEXT(31,"00")</f>
        <v>31</v>
      </c>
      <c r="C4528" s="1" t="str">
        <f t="shared" si="289"/>
        <v>575-31</v>
      </c>
      <c r="D4528" t="s">
        <v>4502</v>
      </c>
      <c r="E4528" t="b">
        <f>IF(COUNTIF(D4528,"*"&amp;'Keyword Search'!$C$5&amp;"*"),TRUE,FALSE)</f>
        <v>1</v>
      </c>
      <c r="G4528" t="str">
        <f t="shared" si="290"/>
        <v>575-31: Cabinets and Filing Boxes, Microfilm</v>
      </c>
    </row>
    <row r="4529" spans="1:7" x14ac:dyDescent="0.25">
      <c r="A4529" s="1" t="str">
        <f t="shared" si="292"/>
        <v>575</v>
      </c>
      <c r="B4529" s="1" t="str">
        <f>TEXT(33,"00")</f>
        <v>33</v>
      </c>
      <c r="C4529" s="1" t="str">
        <f t="shared" si="289"/>
        <v>575-33</v>
      </c>
      <c r="D4529" t="s">
        <v>4503</v>
      </c>
      <c r="E4529" t="b">
        <f>IF(COUNTIF(D4529,"*"&amp;'Keyword Search'!$C$5&amp;"*"),TRUE,FALSE)</f>
        <v>1</v>
      </c>
      <c r="G4529" t="str">
        <f t="shared" si="290"/>
        <v>575-33: *Microfiche and Microfilm Duplicators</v>
      </c>
    </row>
    <row r="4530" spans="1:7" x14ac:dyDescent="0.25">
      <c r="A4530" s="1" t="str">
        <f t="shared" si="292"/>
        <v>575</v>
      </c>
      <c r="B4530" s="1" t="str">
        <f>TEXT(40,"00")</f>
        <v>40</v>
      </c>
      <c r="C4530" s="1" t="str">
        <f t="shared" si="289"/>
        <v>575-40</v>
      </c>
      <c r="D4530" t="s">
        <v>4504</v>
      </c>
      <c r="E4530" t="b">
        <f>IF(COUNTIF(D4530,"*"&amp;'Keyword Search'!$C$5&amp;"*"),TRUE,FALSE)</f>
        <v>1</v>
      </c>
      <c r="G4530" t="str">
        <f t="shared" si="290"/>
        <v>575-40: Microfilm Splicer and Supplies</v>
      </c>
    </row>
    <row r="4531" spans="1:7" x14ac:dyDescent="0.25">
      <c r="A4531" s="1" t="str">
        <f t="shared" si="292"/>
        <v>575</v>
      </c>
      <c r="B4531" s="1" t="str">
        <f>TEXT(45,"00")</f>
        <v>45</v>
      </c>
      <c r="C4531" s="1" t="str">
        <f t="shared" si="289"/>
        <v>575-45</v>
      </c>
      <c r="D4531" t="s">
        <v>4505</v>
      </c>
      <c r="E4531" t="b">
        <f>IF(COUNTIF(D4531,"*"&amp;'Keyword Search'!$C$5&amp;"*"),TRUE,FALSE)</f>
        <v>1</v>
      </c>
      <c r="G4531" t="str">
        <f t="shared" si="290"/>
        <v>575-45: Microfilm Process Chemicals</v>
      </c>
    </row>
    <row r="4532" spans="1:7" x14ac:dyDescent="0.25">
      <c r="A4532" s="1" t="str">
        <f t="shared" si="292"/>
        <v>575</v>
      </c>
      <c r="B4532" s="1" t="str">
        <f>TEXT(47,"00")</f>
        <v>47</v>
      </c>
      <c r="C4532" s="1" t="str">
        <f t="shared" si="289"/>
        <v>575-47</v>
      </c>
      <c r="D4532" t="s">
        <v>4506</v>
      </c>
      <c r="E4532" t="b">
        <f>IF(COUNTIF(D4532,"*"&amp;'Keyword Search'!$C$5&amp;"*"),TRUE,FALSE)</f>
        <v>1</v>
      </c>
      <c r="G4532" t="str">
        <f t="shared" si="290"/>
        <v>575-47: Microfiche/Microfilm Reader Printer Supplies: Paper, Toner, etc.</v>
      </c>
    </row>
    <row r="4533" spans="1:7" x14ac:dyDescent="0.25">
      <c r="A4533" s="1" t="str">
        <f t="shared" si="292"/>
        <v>575</v>
      </c>
      <c r="B4533" s="1" t="str">
        <f>TEXT(49,"00")</f>
        <v>49</v>
      </c>
      <c r="C4533" s="1" t="str">
        <f t="shared" si="289"/>
        <v>575-49</v>
      </c>
      <c r="D4533" t="s">
        <v>4507</v>
      </c>
      <c r="E4533" t="b">
        <f>IF(COUNTIF(D4533,"*"&amp;'Keyword Search'!$C$5&amp;"*"),TRUE,FALSE)</f>
        <v>1</v>
      </c>
      <c r="G4533" t="str">
        <f t="shared" si="290"/>
        <v>575-49: Microfiche/Microfilm Supplies (Not Otherwise Classified): Jackets, Leaders, Mailers, Reels, Spools, Trailers, Aperture Cards, etc.</v>
      </c>
    </row>
    <row r="4534" spans="1:7" x14ac:dyDescent="0.25">
      <c r="A4534" s="1" t="str">
        <f t="shared" si="292"/>
        <v>575</v>
      </c>
      <c r="B4534" s="1" t="str">
        <f>TEXT(50,"00")</f>
        <v>50</v>
      </c>
      <c r="C4534" s="1" t="str">
        <f t="shared" si="289"/>
        <v>575-50</v>
      </c>
      <c r="D4534" t="s">
        <v>4508</v>
      </c>
      <c r="E4534" t="b">
        <f>IF(COUNTIF(D4534,"*"&amp;'Keyword Search'!$C$5&amp;"*"),TRUE,FALSE)</f>
        <v>1</v>
      </c>
      <c r="G4534" t="str">
        <f t="shared" si="290"/>
        <v>575-50: Opaque Viewers, For Microprints and Other Opaque Microforms</v>
      </c>
    </row>
    <row r="4535" spans="1:7" x14ac:dyDescent="0.25">
      <c r="A4535" s="1" t="str">
        <f t="shared" si="292"/>
        <v>575</v>
      </c>
      <c r="B4535" s="1" t="str">
        <f>TEXT(51,"00")</f>
        <v>51</v>
      </c>
      <c r="C4535" s="1" t="str">
        <f t="shared" si="289"/>
        <v>575-51</v>
      </c>
      <c r="D4535" t="s">
        <v>4509</v>
      </c>
      <c r="E4535" t="b">
        <f>IF(COUNTIF(D4535,"*"&amp;'Keyword Search'!$C$5&amp;"*"),TRUE,FALSE)</f>
        <v>1</v>
      </c>
      <c r="G4535" t="str">
        <f t="shared" si="290"/>
        <v>575-51: *Microfiche and Microfilm Equipment (Not Otherwise Classified)</v>
      </c>
    </row>
    <row r="4536" spans="1:7" x14ac:dyDescent="0.25">
      <c r="A4536" s="1" t="str">
        <f t="shared" si="292"/>
        <v>575</v>
      </c>
      <c r="B4536" s="1" t="str">
        <f>TEXT(55,"00")</f>
        <v>55</v>
      </c>
      <c r="C4536" s="1" t="str">
        <f t="shared" si="289"/>
        <v>575-55</v>
      </c>
      <c r="D4536" t="s">
        <v>4510</v>
      </c>
      <c r="E4536" t="b">
        <f>IF(COUNTIF(D4536,"*"&amp;'Keyword Search'!$C$5&amp;"*"),TRUE,FALSE)</f>
        <v>1</v>
      </c>
      <c r="G4536" t="str">
        <f t="shared" si="290"/>
        <v>575-55: Processors, Microfilm</v>
      </c>
    </row>
    <row r="4537" spans="1:7" x14ac:dyDescent="0.25">
      <c r="A4537" s="1" t="str">
        <f t="shared" si="292"/>
        <v>575</v>
      </c>
      <c r="B4537" s="1" t="str">
        <f>TEXT(70,"00")</f>
        <v>70</v>
      </c>
      <c r="C4537" s="1" t="str">
        <f t="shared" si="289"/>
        <v>575-70</v>
      </c>
      <c r="D4537" t="s">
        <v>4511</v>
      </c>
      <c r="E4537" t="b">
        <f>IF(COUNTIF(D4537,"*"&amp;'Keyword Search'!$C$5&amp;"*"),TRUE,FALSE)</f>
        <v>1</v>
      </c>
      <c r="G4537" t="str">
        <f t="shared" si="290"/>
        <v>575-70: Raw Microfilm</v>
      </c>
    </row>
    <row r="4538" spans="1:7" x14ac:dyDescent="0.25">
      <c r="A4538" s="1" t="str">
        <f t="shared" si="292"/>
        <v>575</v>
      </c>
      <c r="B4538" s="1" t="str">
        <f>TEXT(72,"00")</f>
        <v>72</v>
      </c>
      <c r="C4538" s="1" t="str">
        <f t="shared" si="289"/>
        <v>575-72</v>
      </c>
      <c r="D4538" t="s">
        <v>4512</v>
      </c>
      <c r="E4538" t="b">
        <f>IF(COUNTIF(D4538,"*"&amp;'Keyword Search'!$C$5&amp;"*"),TRUE,FALSE)</f>
        <v>1</v>
      </c>
      <c r="G4538" t="str">
        <f t="shared" si="290"/>
        <v>575-72: *Reader, Microfiche and Microfilm</v>
      </c>
    </row>
    <row r="4539" spans="1:7" x14ac:dyDescent="0.25">
      <c r="A4539" s="1" t="str">
        <f t="shared" si="292"/>
        <v>575</v>
      </c>
      <c r="B4539" s="1" t="str">
        <f>TEXT(76,"00")</f>
        <v>76</v>
      </c>
      <c r="C4539" s="1" t="str">
        <f t="shared" si="289"/>
        <v>575-76</v>
      </c>
      <c r="D4539" t="s">
        <v>4513</v>
      </c>
      <c r="E4539" t="b">
        <f>IF(COUNTIF(D4539,"*"&amp;'Keyword Search'!$C$5&amp;"*"),TRUE,FALSE)</f>
        <v>1</v>
      </c>
      <c r="G4539" t="str">
        <f t="shared" si="290"/>
        <v>575-76: *Reader and Printer, Microfiche and Microfilm, Including Parts and Accessories)</v>
      </c>
    </row>
    <row r="4540" spans="1:7" x14ac:dyDescent="0.25">
      <c r="A4540" s="1" t="str">
        <f t="shared" si="292"/>
        <v>575</v>
      </c>
      <c r="B4540" s="1" t="str">
        <f>TEXT(80,"00")</f>
        <v>80</v>
      </c>
      <c r="C4540" s="1" t="str">
        <f t="shared" si="289"/>
        <v>575-80</v>
      </c>
      <c r="D4540" t="s">
        <v>4514</v>
      </c>
      <c r="E4540" t="b">
        <f>IF(COUNTIF(D4540,"*"&amp;'Keyword Search'!$C$5&amp;"*"),TRUE,FALSE)</f>
        <v>1</v>
      </c>
      <c r="G4540" t="str">
        <f t="shared" si="290"/>
        <v>575-80: Recycled Microfiche and Microfilm Equipment, Accessories and Supplies</v>
      </c>
    </row>
    <row r="4541" spans="1:7" x14ac:dyDescent="0.25">
      <c r="A4541" s="5" t="str">
        <f t="shared" ref="A4541:A4595" si="293">TEXT(578,"000")</f>
        <v>578</v>
      </c>
      <c r="B4541" s="5" t="str">
        <f>TEXT(0,"00")</f>
        <v>00</v>
      </c>
      <c r="C4541" s="1"/>
      <c r="D4541" s="2" t="s">
        <v>4515</v>
      </c>
    </row>
    <row r="4542" spans="1:7" x14ac:dyDescent="0.25">
      <c r="A4542" s="1" t="str">
        <f t="shared" si="293"/>
        <v>578</v>
      </c>
      <c r="B4542" s="1" t="str">
        <f>TEXT(5,"00")</f>
        <v>05</v>
      </c>
      <c r="C4542" s="1" t="str">
        <f t="shared" si="289"/>
        <v>578-05</v>
      </c>
      <c r="D4542" t="s">
        <v>4516</v>
      </c>
      <c r="E4542" t="b">
        <f>IF(COUNTIF(D4542,"*"&amp;'Keyword Search'!$C$5&amp;"*"),TRUE,FALSE)</f>
        <v>1</v>
      </c>
      <c r="G4542" t="str">
        <f t="shared" si="290"/>
        <v>578-05: Assembly Lines, Complete (Inactive, effective January 1, 2016)</v>
      </c>
    </row>
    <row r="4543" spans="1:7" x14ac:dyDescent="0.25">
      <c r="A4543" s="1" t="str">
        <f t="shared" si="293"/>
        <v>578</v>
      </c>
      <c r="B4543" s="1" t="str">
        <f>TEXT(6,"00")</f>
        <v>06</v>
      </c>
      <c r="C4543" s="1" t="str">
        <f t="shared" si="289"/>
        <v>578-06</v>
      </c>
      <c r="D4543" t="s">
        <v>4517</v>
      </c>
      <c r="E4543" t="b">
        <f>IF(COUNTIF(D4543,"*"&amp;'Keyword Search'!$C$5&amp;"*"),TRUE,FALSE)</f>
        <v>1</v>
      </c>
      <c r="G4543" t="str">
        <f t="shared" si="290"/>
        <v>578-06: Avalanche Devices, Equipment, Accessories and Parts  (Inactive, please see commodity code 220-05 effective January 1, 2016)</v>
      </c>
    </row>
    <row r="4544" spans="1:7" x14ac:dyDescent="0.25">
      <c r="A4544" s="1" t="str">
        <f t="shared" si="293"/>
        <v>578</v>
      </c>
      <c r="B4544" s="1" t="str">
        <f>TEXT(12,"00")</f>
        <v>12</v>
      </c>
      <c r="C4544" s="1" t="str">
        <f t="shared" si="289"/>
        <v>578-12</v>
      </c>
      <c r="D4544" t="s">
        <v>4518</v>
      </c>
      <c r="E4544" t="b">
        <f>IF(COUNTIF(D4544,"*"&amp;'Keyword Search'!$C$5&amp;"*"),TRUE,FALSE)</f>
        <v>1</v>
      </c>
      <c r="G4544" t="str">
        <f t="shared" si="290"/>
        <v>578-12: *Biometric Card Reader (Inactive, please see commodity code 220-52 effective January 1, 2016)</v>
      </c>
    </row>
    <row r="4545" spans="1:7" x14ac:dyDescent="0.25">
      <c r="A4545" s="1" t="str">
        <f t="shared" si="293"/>
        <v>578</v>
      </c>
      <c r="B4545" s="1" t="str">
        <f>TEXT(14,"00")</f>
        <v>14</v>
      </c>
      <c r="C4545" s="1" t="str">
        <f t="shared" si="289"/>
        <v>578-14</v>
      </c>
      <c r="D4545" t="s">
        <v>4519</v>
      </c>
      <c r="E4545" t="b">
        <f>IF(COUNTIF(D4545,"*"&amp;'Keyword Search'!$C$5&amp;"*"),TRUE,FALSE)</f>
        <v>1</v>
      </c>
      <c r="G4545" t="str">
        <f t="shared" si="290"/>
        <v>578-14: Boxes, Suggestion Type (Inactive, please see commodity code 615-13 effective January 1, 2016)</v>
      </c>
    </row>
    <row r="4546" spans="1:7" x14ac:dyDescent="0.25">
      <c r="A4546" s="1" t="str">
        <f t="shared" si="293"/>
        <v>578</v>
      </c>
      <c r="B4546" s="1" t="str">
        <f>TEXT(16,"00")</f>
        <v>16</v>
      </c>
      <c r="C4546" s="1" t="str">
        <f t="shared" si="289"/>
        <v>578-16</v>
      </c>
      <c r="D4546" t="s">
        <v>4520</v>
      </c>
      <c r="E4546" t="b">
        <f>IF(COUNTIF(D4546,"*"&amp;'Keyword Search'!$C$5&amp;"*"),TRUE,FALSE)</f>
        <v>1</v>
      </c>
      <c r="G4546" t="str">
        <f t="shared" si="290"/>
        <v>578-16: *Cards, Biometric Reader (Inactive, please see commodity code 220-52 effective January 1, 2016)</v>
      </c>
    </row>
    <row r="4547" spans="1:7" x14ac:dyDescent="0.25">
      <c r="A4547" s="1" t="str">
        <f t="shared" si="293"/>
        <v>578</v>
      </c>
      <c r="B4547" s="1" t="str">
        <f>TEXT(17,"00")</f>
        <v>17</v>
      </c>
      <c r="C4547" s="1" t="str">
        <f t="shared" ref="C4547:C4610" si="294">CONCATENATE(A4547,"-",B4547)</f>
        <v>578-17</v>
      </c>
      <c r="D4547" t="s">
        <v>4521</v>
      </c>
      <c r="E4547" t="b">
        <f>IF(COUNTIF(D4547,"*"&amp;'Keyword Search'!$C$5&amp;"*"),TRUE,FALSE)</f>
        <v>1</v>
      </c>
      <c r="G4547" t="str">
        <f t="shared" si="290"/>
        <v>578-17: Caskets, Funeral (See Classes 410 and 465 for Mortuary Equipment)  (Inactive, please see commodity code 578-19 effective January 1, 2016)</v>
      </c>
    </row>
    <row r="4548" spans="1:7" x14ac:dyDescent="0.25">
      <c r="A4548" s="1" t="str">
        <f t="shared" si="293"/>
        <v>578</v>
      </c>
      <c r="B4548" s="1" t="str">
        <f>TEXT(18,"00")</f>
        <v>18</v>
      </c>
      <c r="C4548" s="1" t="str">
        <f t="shared" si="294"/>
        <v>578-18</v>
      </c>
      <c r="D4548" t="s">
        <v>4522</v>
      </c>
      <c r="E4548" t="b">
        <f>IF(COUNTIF(D4548,"*"&amp;'Keyword Search'!$C$5&amp;"*"),TRUE,FALSE)</f>
        <v>1</v>
      </c>
      <c r="G4548" t="str">
        <f t="shared" ref="G4548:G4611" si="295">CONCATENATE(C4548,": ",D4548)</f>
        <v>578-18: Caskets, Pet  (Inactive, please see commodity code 578-19 effective January 1, 2016)</v>
      </c>
    </row>
    <row r="4549" spans="1:7" x14ac:dyDescent="0.25">
      <c r="A4549" s="1" t="str">
        <f t="shared" si="293"/>
        <v>578</v>
      </c>
      <c r="B4549" s="1" t="str">
        <f>TEXT(19,"00")</f>
        <v>19</v>
      </c>
      <c r="C4549" s="1" t="str">
        <f t="shared" si="294"/>
        <v>578-19</v>
      </c>
      <c r="D4549" t="s">
        <v>4523</v>
      </c>
      <c r="E4549" t="b">
        <f>IF(COUNTIF(D4549,"*"&amp;'Keyword Search'!$C$5&amp;"*"),TRUE,FALSE)</f>
        <v>1</v>
      </c>
      <c r="G4549" t="str">
        <f t="shared" si="295"/>
        <v>578-19: Cemetery Equipment and Supplies, Including Lots and Vaults</v>
      </c>
    </row>
    <row r="4550" spans="1:7" x14ac:dyDescent="0.25">
      <c r="A4550" s="1" t="str">
        <f t="shared" si="293"/>
        <v>578</v>
      </c>
      <c r="B4550" s="1" t="str">
        <f>TEXT(20,"00")</f>
        <v>20</v>
      </c>
      <c r="C4550" s="1" t="str">
        <f t="shared" si="294"/>
        <v>578-20</v>
      </c>
      <c r="D4550" t="s">
        <v>4524</v>
      </c>
      <c r="E4550" t="b">
        <f>IF(COUNTIF(D4550,"*"&amp;'Keyword Search'!$C$5&amp;"*"),TRUE,FALSE)</f>
        <v>1</v>
      </c>
      <c r="G4550" t="str">
        <f t="shared" si="295"/>
        <v>578-20: Counters, Mechanical: Tally, etc. (Inactive, please see commodity code 780-27 effective January 1, 2016)</v>
      </c>
    </row>
    <row r="4551" spans="1:7" x14ac:dyDescent="0.25">
      <c r="A4551" s="1" t="str">
        <f t="shared" si="293"/>
        <v>578</v>
      </c>
      <c r="B4551" s="1" t="str">
        <f>TEXT(22,"00")</f>
        <v>22</v>
      </c>
      <c r="C4551" s="1" t="str">
        <f t="shared" si="294"/>
        <v>578-22</v>
      </c>
      <c r="D4551" t="s">
        <v>4525</v>
      </c>
      <c r="E4551" t="b">
        <f>IF(COUNTIF(D4551,"*"&amp;'Keyword Search'!$C$5&amp;"*"),TRUE,FALSE)</f>
        <v>1</v>
      </c>
      <c r="G4551" t="str">
        <f t="shared" si="295"/>
        <v>578-22: Counting Machines, Electronic, Not Ticometers, See Class 600: Tally, etc. (Inactive, please see commodity code 780-27 effective January 1, 2016)</v>
      </c>
    </row>
    <row r="4552" spans="1:7" x14ac:dyDescent="0.25">
      <c r="A4552" s="1" t="str">
        <f t="shared" si="293"/>
        <v>578</v>
      </c>
      <c r="B4552" s="1" t="str">
        <f>TEXT(27,"00")</f>
        <v>27</v>
      </c>
      <c r="C4552" s="1" t="str">
        <f t="shared" si="294"/>
        <v>578-27</v>
      </c>
      <c r="D4552" t="s">
        <v>4526</v>
      </c>
      <c r="E4552" t="b">
        <f>IF(COUNTIF(D4552,"*"&amp;'Keyword Search'!$C$5&amp;"*"),TRUE,FALSE)</f>
        <v>1</v>
      </c>
      <c r="G4552" t="str">
        <f t="shared" si="295"/>
        <v>578-27: Dehydrating Machines and Parts  (Inactive, please see commodity code  effective January 1, 2016)</v>
      </c>
    </row>
    <row r="4553" spans="1:7" x14ac:dyDescent="0.25">
      <c r="A4553" s="1" t="str">
        <f t="shared" si="293"/>
        <v>578</v>
      </c>
      <c r="B4553" s="1" t="str">
        <f>TEXT(28,"00")</f>
        <v>28</v>
      </c>
      <c r="C4553" s="1" t="str">
        <f t="shared" si="294"/>
        <v>578-28</v>
      </c>
      <c r="D4553" t="s">
        <v>4527</v>
      </c>
      <c r="E4553" t="b">
        <f>IF(COUNTIF(D4553,"*"&amp;'Keyword Search'!$C$5&amp;"*"),TRUE,FALSE)</f>
        <v>1</v>
      </c>
      <c r="G4553" t="str">
        <f t="shared" si="295"/>
        <v>578-28: Deodorants, Industrial (Inactive, please see commodity code 485-33 effective January 1, 2016)</v>
      </c>
    </row>
    <row r="4554" spans="1:7" x14ac:dyDescent="0.25">
      <c r="A4554" s="1" t="str">
        <f t="shared" si="293"/>
        <v>578</v>
      </c>
      <c r="B4554" s="1" t="str">
        <f>TEXT(30,"00")</f>
        <v>30</v>
      </c>
      <c r="C4554" s="1" t="str">
        <f t="shared" si="294"/>
        <v>578-30</v>
      </c>
      <c r="D4554" t="s">
        <v>4528</v>
      </c>
      <c r="E4554" t="b">
        <f>IF(COUNTIF(D4554,"*"&amp;'Keyword Search'!$C$5&amp;"*"),TRUE,FALSE)</f>
        <v>1</v>
      </c>
      <c r="G4554" t="str">
        <f t="shared" si="295"/>
        <v>578-30: Disaster Survival Equipment, Kits, and Supplies  (Inactive, please see commodity code 257-35 effective January 1, 2016)</v>
      </c>
    </row>
    <row r="4555" spans="1:7" x14ac:dyDescent="0.25">
      <c r="A4555" s="1" t="str">
        <f t="shared" si="293"/>
        <v>578</v>
      </c>
      <c r="B4555" s="1" t="str">
        <f>TEXT(31,"00")</f>
        <v>31</v>
      </c>
      <c r="C4555" s="1" t="str">
        <f t="shared" si="294"/>
        <v>578-31</v>
      </c>
      <c r="D4555" t="s">
        <v>4529</v>
      </c>
      <c r="E4555" t="b">
        <f>IF(COUNTIF(D4555,"*"&amp;'Keyword Search'!$C$5&amp;"*"),TRUE,FALSE)</f>
        <v>1</v>
      </c>
      <c r="G4555" t="str">
        <f t="shared" si="295"/>
        <v>578-31: Display and Showroom Equipment and Supplies, Including Exhibit Booths, Convention and Trade Shows (Inactive, please see commodity code 578-83 effective January 1, 2016)</v>
      </c>
    </row>
    <row r="4556" spans="1:7" x14ac:dyDescent="0.25">
      <c r="A4556" s="1" t="str">
        <f t="shared" si="293"/>
        <v>578</v>
      </c>
      <c r="B4556" s="1" t="str">
        <f>TEXT(32,"00")</f>
        <v>32</v>
      </c>
      <c r="C4556" s="1" t="str">
        <f t="shared" si="294"/>
        <v>578-32</v>
      </c>
      <c r="D4556" t="s">
        <v>4530</v>
      </c>
      <c r="E4556" t="b">
        <f>IF(COUNTIF(D4556,"*"&amp;'Keyword Search'!$C$5&amp;"*"),TRUE,FALSE)</f>
        <v>1</v>
      </c>
      <c r="G4556" t="str">
        <f t="shared" si="295"/>
        <v>578-32: Distilling and Processing Machinery and Equipment, Petroleum (Inactive, effective January 1, 2016)</v>
      </c>
    </row>
    <row r="4557" spans="1:7" x14ac:dyDescent="0.25">
      <c r="A4557" s="1" t="str">
        <f t="shared" si="293"/>
        <v>578</v>
      </c>
      <c r="B4557" s="1" t="str">
        <f>TEXT(33,"00")</f>
        <v>33</v>
      </c>
      <c r="C4557" s="1" t="str">
        <f t="shared" si="294"/>
        <v>578-33</v>
      </c>
      <c r="D4557" t="s">
        <v>4531</v>
      </c>
      <c r="E4557" t="b">
        <f>IF(COUNTIF(D4557,"*"&amp;'Keyword Search'!$C$5&amp;"*"),TRUE,FALSE)</f>
        <v>1</v>
      </c>
      <c r="G4557" t="str">
        <f t="shared" si="295"/>
        <v>578-33: Energy Generating Devices; Modular Fuel Cells w/24, 48 or 125 vdc (Inactive, effective January 1, 2016)</v>
      </c>
    </row>
    <row r="4558" spans="1:7" x14ac:dyDescent="0.25">
      <c r="A4558" s="1" t="str">
        <f t="shared" si="293"/>
        <v>578</v>
      </c>
      <c r="B4558" s="1" t="str">
        <f>TEXT(34,"00")</f>
        <v>34</v>
      </c>
      <c r="C4558" s="1" t="str">
        <f t="shared" si="294"/>
        <v>578-34</v>
      </c>
      <c r="D4558" t="s">
        <v>4532</v>
      </c>
      <c r="E4558" t="b">
        <f>IF(COUNTIF(D4558,"*"&amp;'Keyword Search'!$C$5&amp;"*"),TRUE,FALSE)</f>
        <v>1</v>
      </c>
      <c r="G4558" t="str">
        <f t="shared" si="295"/>
        <v>578-34: *Election and Voter Equipment and Supplies, Electronic (Inactive, please see commodity code 600-58 effective January 1, 2016)</v>
      </c>
    </row>
    <row r="4559" spans="1:7" x14ac:dyDescent="0.25">
      <c r="A4559" s="1" t="str">
        <f t="shared" si="293"/>
        <v>578</v>
      </c>
      <c r="B4559" s="1" t="str">
        <f>TEXT(35,"00")</f>
        <v>35</v>
      </c>
      <c r="C4559" s="1" t="str">
        <f t="shared" si="294"/>
        <v>578-35</v>
      </c>
      <c r="D4559" t="s">
        <v>4533</v>
      </c>
      <c r="E4559" t="b">
        <f>IF(COUNTIF(D4559,"*"&amp;'Keyword Search'!$C$5&amp;"*"),TRUE,FALSE)</f>
        <v>1</v>
      </c>
      <c r="G4559" t="str">
        <f t="shared" si="295"/>
        <v>578-35: Election Equipment and Supplies, Non-Electronic (Inactive, please see commodity code 578-34 effective January 1, 2016)</v>
      </c>
    </row>
    <row r="4560" spans="1:7" x14ac:dyDescent="0.25">
      <c r="A4560" s="1" t="str">
        <f t="shared" si="293"/>
        <v>578</v>
      </c>
      <c r="B4560" s="1" t="str">
        <f>TEXT(36,"00")</f>
        <v>36</v>
      </c>
      <c r="C4560" s="1" t="str">
        <f t="shared" si="294"/>
        <v>578-36</v>
      </c>
      <c r="D4560" t="s">
        <v>4534</v>
      </c>
      <c r="E4560" t="b">
        <f>IF(COUNTIF(D4560,"*"&amp;'Keyword Search'!$C$5&amp;"*"),TRUE,FALSE)</f>
        <v>1</v>
      </c>
      <c r="G4560" t="str">
        <f t="shared" si="295"/>
        <v>578-36: Fireworks and Pyrotechnics (See 680-74 for Police Pyrotechnics)</v>
      </c>
    </row>
    <row r="4561" spans="1:7" x14ac:dyDescent="0.25">
      <c r="A4561" s="1" t="str">
        <f t="shared" si="293"/>
        <v>578</v>
      </c>
      <c r="B4561" s="1" t="str">
        <f>TEXT(37,"00")</f>
        <v>37</v>
      </c>
      <c r="C4561" s="1" t="str">
        <f t="shared" si="294"/>
        <v>578-37</v>
      </c>
      <c r="D4561" t="s">
        <v>4535</v>
      </c>
      <c r="E4561" t="b">
        <f>IF(COUNTIF(D4561,"*"&amp;'Keyword Search'!$C$5&amp;"*"),TRUE,FALSE)</f>
        <v>1</v>
      </c>
      <c r="G4561" t="str">
        <f t="shared" si="295"/>
        <v>578-37: Flood Control Devices, Equipment, Including Parts and Accessories (Inactive, please see commodity code 220-17 effective January 1, 2016)</v>
      </c>
    </row>
    <row r="4562" spans="1:7" x14ac:dyDescent="0.25">
      <c r="A4562" s="1" t="str">
        <f t="shared" si="293"/>
        <v>578</v>
      </c>
      <c r="B4562" s="1" t="str">
        <f>TEXT(38,"00")</f>
        <v>38</v>
      </c>
      <c r="C4562" s="1" t="str">
        <f t="shared" si="294"/>
        <v>578-38</v>
      </c>
      <c r="D4562" t="s">
        <v>4536</v>
      </c>
      <c r="E4562" t="b">
        <f>IF(COUNTIF(D4562,"*"&amp;'Keyword Search'!$C$5&amp;"*"),TRUE,FALSE)</f>
        <v>1</v>
      </c>
      <c r="G4562" t="str">
        <f t="shared" si="295"/>
        <v>578-38: Forestry Equipment and Supplies (Inactive, effective January 1, 2016)</v>
      </c>
    </row>
    <row r="4563" spans="1:7" x14ac:dyDescent="0.25">
      <c r="A4563" s="1" t="str">
        <f t="shared" si="293"/>
        <v>578</v>
      </c>
      <c r="B4563" s="1" t="str">
        <f>TEXT(39,"00")</f>
        <v>39</v>
      </c>
      <c r="C4563" s="1" t="str">
        <f t="shared" si="294"/>
        <v>578-39</v>
      </c>
      <c r="D4563" t="s">
        <v>4537</v>
      </c>
      <c r="E4563" t="b">
        <f>IF(COUNTIF(D4563,"*"&amp;'Keyword Search'!$C$5&amp;"*"),TRUE,FALSE)</f>
        <v>1</v>
      </c>
      <c r="G4563" t="str">
        <f t="shared" si="295"/>
        <v>578-39: Gaming Equipment and Accessories  (Inactive, please see commodity code 578-53 effective January 1, 2016)</v>
      </c>
    </row>
    <row r="4564" spans="1:7" x14ac:dyDescent="0.25">
      <c r="A4564" s="1" t="str">
        <f t="shared" si="293"/>
        <v>578</v>
      </c>
      <c r="B4564" s="1" t="str">
        <f>TEXT(40,"00")</f>
        <v>40</v>
      </c>
      <c r="C4564" s="1" t="str">
        <f t="shared" si="294"/>
        <v>578-40</v>
      </c>
      <c r="D4564" t="s">
        <v>4538</v>
      </c>
      <c r="E4564" t="b">
        <f>IF(COUNTIF(D4564,"*"&amp;'Keyword Search'!$C$5&amp;"*"),TRUE,FALSE)</f>
        <v>1</v>
      </c>
      <c r="G4564" t="str">
        <f t="shared" si="295"/>
        <v>578-40: Gavels (Inactive, effective January 1, 2016)</v>
      </c>
    </row>
    <row r="4565" spans="1:7" x14ac:dyDescent="0.25">
      <c r="A4565" s="1" t="str">
        <f t="shared" si="293"/>
        <v>578</v>
      </c>
      <c r="B4565" s="1" t="str">
        <f>TEXT(47,"00")</f>
        <v>47</v>
      </c>
      <c r="C4565" s="1" t="str">
        <f t="shared" si="294"/>
        <v>578-47</v>
      </c>
      <c r="D4565" t="s">
        <v>4539</v>
      </c>
      <c r="E4565" t="b">
        <f>IF(COUNTIF(D4565,"*"&amp;'Keyword Search'!$C$5&amp;"*"),TRUE,FALSE)</f>
        <v>1</v>
      </c>
      <c r="G4565" t="str">
        <f t="shared" si="295"/>
        <v>578-47: Hazardous Control Materials, Hazmat, Green Material, etc., (Not Otherwise Classified) (Inactive, please see commodity code 257-38 effective January 1, 2016)</v>
      </c>
    </row>
    <row r="4566" spans="1:7" x14ac:dyDescent="0.25">
      <c r="A4566" s="1" t="str">
        <f t="shared" si="293"/>
        <v>578</v>
      </c>
      <c r="B4566" s="1" t="str">
        <f>TEXT(48,"00")</f>
        <v>48</v>
      </c>
      <c r="C4566" s="1" t="str">
        <f t="shared" si="294"/>
        <v>578-48</v>
      </c>
      <c r="D4566" t="s">
        <v>4540</v>
      </c>
      <c r="E4566" t="b">
        <f>IF(COUNTIF(D4566,"*"&amp;'Keyword Search'!$C$5&amp;"*"),TRUE,FALSE)</f>
        <v>1</v>
      </c>
      <c r="G4566" t="str">
        <f t="shared" si="295"/>
        <v>578-48: Holography Apparatus and Accessories, Excluding Laser (Inactive, effective January 1, 2016)</v>
      </c>
    </row>
    <row r="4567" spans="1:7" x14ac:dyDescent="0.25">
      <c r="A4567" s="1" t="str">
        <f t="shared" si="293"/>
        <v>578</v>
      </c>
      <c r="B4567" s="1" t="str">
        <f>TEXT(49,"00")</f>
        <v>49</v>
      </c>
      <c r="C4567" s="1" t="str">
        <f t="shared" si="294"/>
        <v>578-49</v>
      </c>
      <c r="D4567" t="s">
        <v>4541</v>
      </c>
      <c r="E4567" t="b">
        <f>IF(COUNTIF(D4567,"*"&amp;'Keyword Search'!$C$5&amp;"*"),TRUE,FALSE)</f>
        <v>1</v>
      </c>
      <c r="G4567" t="str">
        <f t="shared" si="295"/>
        <v>578-49: Honeycomb Core Materials, All Kinds: Metal, Foam, Plastic, Wood (Inactive, effective January 1, 2016)</v>
      </c>
    </row>
    <row r="4568" spans="1:7" x14ac:dyDescent="0.25">
      <c r="A4568" s="1" t="str">
        <f t="shared" si="293"/>
        <v>578</v>
      </c>
      <c r="B4568" s="1" t="str">
        <f>TEXT(50,"00")</f>
        <v>50</v>
      </c>
      <c r="C4568" s="1" t="str">
        <f t="shared" si="294"/>
        <v>578-50</v>
      </c>
      <c r="D4568" t="s">
        <v>4542</v>
      </c>
      <c r="E4568" t="b">
        <f>IF(COUNTIF(D4568,"*"&amp;'Keyword Search'!$C$5&amp;"*"),TRUE,FALSE)</f>
        <v>1</v>
      </c>
      <c r="G4568" t="str">
        <f t="shared" si="295"/>
        <v>578-50: Holders, Metal: Card, Door Name Card, Label, etc. (Inactive, please see commodity code 080-40 effective January 1, 2016)</v>
      </c>
    </row>
    <row r="4569" spans="1:7" x14ac:dyDescent="0.25">
      <c r="A4569" s="1" t="str">
        <f t="shared" si="293"/>
        <v>578</v>
      </c>
      <c r="B4569" s="1" t="str">
        <f>TEXT(51,"00")</f>
        <v>51</v>
      </c>
      <c r="C4569" s="1" t="str">
        <f t="shared" si="294"/>
        <v>578-51</v>
      </c>
      <c r="D4569" t="s">
        <v>4543</v>
      </c>
      <c r="E4569" t="b">
        <f>IF(COUNTIF(D4569,"*"&amp;'Keyword Search'!$C$5&amp;"*"),TRUE,FALSE)</f>
        <v>1</v>
      </c>
      <c r="G4569" t="str">
        <f t="shared" si="295"/>
        <v>578-51: Ink, License Plate  (Inactive, please see commodity code 570-33 effective January 1, 2016)</v>
      </c>
    </row>
    <row r="4570" spans="1:7" x14ac:dyDescent="0.25">
      <c r="A4570" s="1" t="str">
        <f t="shared" si="293"/>
        <v>578</v>
      </c>
      <c r="B4570" s="1" t="str">
        <f>TEXT(52,"00")</f>
        <v>52</v>
      </c>
      <c r="C4570" s="1" t="str">
        <f t="shared" si="294"/>
        <v>578-52</v>
      </c>
      <c r="D4570" t="s">
        <v>4544</v>
      </c>
      <c r="E4570" t="b">
        <f>IF(COUNTIF(D4570,"*"&amp;'Keyword Search'!$C$5&amp;"*"),TRUE,FALSE)</f>
        <v>1</v>
      </c>
      <c r="G4570" t="str">
        <f t="shared" si="295"/>
        <v>578-52: Lots and Vaults, Cemetery (Inactive, please see commodity code 570-19  effective January 1, 2016)</v>
      </c>
    </row>
    <row r="4571" spans="1:7" x14ac:dyDescent="0.25">
      <c r="A4571" s="1" t="str">
        <f t="shared" si="293"/>
        <v>578</v>
      </c>
      <c r="B4571" s="1" t="str">
        <f>TEXT(53,"00")</f>
        <v>53</v>
      </c>
      <c r="C4571" s="1" t="str">
        <f t="shared" si="294"/>
        <v>578-53</v>
      </c>
      <c r="D4571" t="s">
        <v>4545</v>
      </c>
      <c r="E4571" t="b">
        <f>IF(COUNTIF(D4571,"*"&amp;'Keyword Search'!$C$5&amp;"*"),TRUE,FALSE)</f>
        <v>1</v>
      </c>
      <c r="G4571" t="str">
        <f t="shared" si="295"/>
        <v>578-53: Lottery and Gaming Equipment and Supplies</v>
      </c>
    </row>
    <row r="4572" spans="1:7" x14ac:dyDescent="0.25">
      <c r="A4572" s="1" t="str">
        <f t="shared" si="293"/>
        <v>578</v>
      </c>
      <c r="B4572" s="1" t="str">
        <f>TEXT(54,"00")</f>
        <v>54</v>
      </c>
      <c r="C4572" s="1" t="str">
        <f t="shared" si="294"/>
        <v>578-54</v>
      </c>
      <c r="D4572" t="s">
        <v>4546</v>
      </c>
      <c r="E4572" t="b">
        <f>IF(COUNTIF(D4572,"*"&amp;'Keyword Search'!$C$5&amp;"*"),TRUE,FALSE)</f>
        <v>1</v>
      </c>
      <c r="G4572" t="str">
        <f t="shared" si="295"/>
        <v>578-54: Mannequins, Clothing Display (Inactive, please see commodity code 578-83 effective January 1, 2016)</v>
      </c>
    </row>
    <row r="4573" spans="1:7" x14ac:dyDescent="0.25">
      <c r="A4573" s="1" t="str">
        <f t="shared" si="293"/>
        <v>578</v>
      </c>
      <c r="B4573" s="1" t="str">
        <f>TEXT(55,"00")</f>
        <v>55</v>
      </c>
      <c r="C4573" s="1" t="str">
        <f t="shared" si="294"/>
        <v>578-55</v>
      </c>
      <c r="D4573" t="s">
        <v>4547</v>
      </c>
      <c r="E4573" t="b">
        <f>IF(COUNTIF(D4573,"*"&amp;'Keyword Search'!$C$5&amp;"*"),TRUE,FALSE)</f>
        <v>1</v>
      </c>
      <c r="G4573" t="str">
        <f t="shared" si="295"/>
        <v>578-55: Mats, All Kinds (Not Otherwise Classified)  (Inactive, please see commodity code 360-27 effective January 1, 2016)</v>
      </c>
    </row>
    <row r="4574" spans="1:7" x14ac:dyDescent="0.25">
      <c r="A4574" s="1" t="str">
        <f t="shared" si="293"/>
        <v>578</v>
      </c>
      <c r="B4574" s="1" t="str">
        <f>TEXT(56,"00")</f>
        <v>56</v>
      </c>
      <c r="C4574" s="1" t="str">
        <f t="shared" si="294"/>
        <v>578-56</v>
      </c>
      <c r="D4574" t="s">
        <v>4548</v>
      </c>
      <c r="E4574" t="b">
        <f>IF(COUNTIF(D4574,"*"&amp;'Keyword Search'!$C$5&amp;"*"),TRUE,FALSE)</f>
        <v>1</v>
      </c>
      <c r="G4574" t="str">
        <f t="shared" si="295"/>
        <v>578-56: Minerals and Ores</v>
      </c>
    </row>
    <row r="4575" spans="1:7" x14ac:dyDescent="0.25">
      <c r="A4575" s="1" t="str">
        <f t="shared" si="293"/>
        <v>578</v>
      </c>
      <c r="B4575" s="1" t="str">
        <f>TEXT(57,"00")</f>
        <v>57</v>
      </c>
      <c r="C4575" s="1" t="str">
        <f t="shared" si="294"/>
        <v>578-57</v>
      </c>
      <c r="D4575" t="s">
        <v>4549</v>
      </c>
      <c r="E4575" t="b">
        <f>IF(COUNTIF(D4575,"*"&amp;'Keyword Search'!$C$5&amp;"*"),TRUE,FALSE)</f>
        <v>1</v>
      </c>
      <c r="G4575" t="str">
        <f t="shared" si="295"/>
        <v>578-57: Non-Metallic Structural Shapes (Not Otherwise Classified) (Inactive, effective January 1, 2016)</v>
      </c>
    </row>
    <row r="4576" spans="1:7" x14ac:dyDescent="0.25">
      <c r="A4576" s="1" t="str">
        <f t="shared" si="293"/>
        <v>578</v>
      </c>
      <c r="B4576" s="1" t="str">
        <f>TEXT(58,"00")</f>
        <v>58</v>
      </c>
      <c r="C4576" s="1" t="str">
        <f t="shared" si="294"/>
        <v>578-58</v>
      </c>
      <c r="D4576" t="s">
        <v>4550</v>
      </c>
      <c r="E4576" t="b">
        <f>IF(COUNTIF(D4576,"*"&amp;'Keyword Search'!$C$5&amp;"*"),TRUE,FALSE)</f>
        <v>1</v>
      </c>
      <c r="G4576" t="str">
        <f t="shared" si="295"/>
        <v>578-58: Numbering Machines and Equipment, Take-A-Number (Inactive, please see commodity code 605-50 effective January 1, 2016)</v>
      </c>
    </row>
    <row r="4577" spans="1:7" x14ac:dyDescent="0.25">
      <c r="A4577" s="1" t="str">
        <f t="shared" si="293"/>
        <v>578</v>
      </c>
      <c r="B4577" s="1" t="str">
        <f>TEXT(59,"00")</f>
        <v>59</v>
      </c>
      <c r="C4577" s="1" t="str">
        <f t="shared" si="294"/>
        <v>578-59</v>
      </c>
      <c r="D4577" t="s">
        <v>4551</v>
      </c>
      <c r="E4577" t="b">
        <f>IF(COUNTIF(D4577,"*"&amp;'Keyword Search'!$C$5&amp;"*"),TRUE,FALSE)</f>
        <v>1</v>
      </c>
      <c r="G4577" t="str">
        <f t="shared" si="295"/>
        <v>578-59: Pneumatic Tube Equipment, Accessories, and Supplies</v>
      </c>
    </row>
    <row r="4578" spans="1:7" x14ac:dyDescent="0.25">
      <c r="A4578" s="1" t="str">
        <f t="shared" si="293"/>
        <v>578</v>
      </c>
      <c r="B4578" s="1" t="str">
        <f>TEXT(62,"00")</f>
        <v>62</v>
      </c>
      <c r="C4578" s="1" t="str">
        <f t="shared" si="294"/>
        <v>578-62</v>
      </c>
      <c r="D4578" t="s">
        <v>4552</v>
      </c>
      <c r="E4578" t="b">
        <f>IF(COUNTIF(D4578,"*"&amp;'Keyword Search'!$C$5&amp;"*"),TRUE,FALSE)</f>
        <v>1</v>
      </c>
      <c r="G4578" t="str">
        <f t="shared" si="295"/>
        <v>578-62: Recycled or Refurbished Miscellaneous Products (Inactive, effective January 1, 2016)</v>
      </c>
    </row>
    <row r="4579" spans="1:7" x14ac:dyDescent="0.25">
      <c r="A4579" s="1" t="str">
        <f t="shared" si="293"/>
        <v>578</v>
      </c>
      <c r="B4579" s="1" t="str">
        <f>TEXT(63,"00")</f>
        <v>63</v>
      </c>
      <c r="C4579" s="1" t="str">
        <f t="shared" si="294"/>
        <v>578-63</v>
      </c>
      <c r="D4579" t="s">
        <v>4553</v>
      </c>
      <c r="E4579" t="b">
        <f>IF(COUNTIF(D4579,"*"&amp;'Keyword Search'!$C$5&amp;"*"),TRUE,FALSE)</f>
        <v>1</v>
      </c>
      <c r="G4579" t="str">
        <f t="shared" si="295"/>
        <v>578-63: Real Estate: Land and Improvements  (Inactive, please see commodity code 971-63 effective January 1, 2016)</v>
      </c>
    </row>
    <row r="4580" spans="1:7" x14ac:dyDescent="0.25">
      <c r="A4580" s="1" t="str">
        <f t="shared" si="293"/>
        <v>578</v>
      </c>
      <c r="B4580" s="1" t="str">
        <f>TEXT(64,"00")</f>
        <v>64</v>
      </c>
      <c r="C4580" s="1" t="str">
        <f t="shared" si="294"/>
        <v>578-64</v>
      </c>
      <c r="D4580" t="s">
        <v>4554</v>
      </c>
      <c r="E4580" t="b">
        <f>IF(COUNTIF(D4580,"*"&amp;'Keyword Search'!$C$5&amp;"*"),TRUE,FALSE)</f>
        <v>1</v>
      </c>
      <c r="G4580" t="str">
        <f t="shared" si="295"/>
        <v>578-64: Recycling and Refurbishing Equipment, Machines, and Supplies</v>
      </c>
    </row>
    <row r="4581" spans="1:7" x14ac:dyDescent="0.25">
      <c r="A4581" s="1" t="str">
        <f t="shared" si="293"/>
        <v>578</v>
      </c>
      <c r="B4581" s="1" t="str">
        <f>TEXT(65,"00")</f>
        <v>65</v>
      </c>
      <c r="C4581" s="1" t="str">
        <f t="shared" si="294"/>
        <v>578-65</v>
      </c>
      <c r="D4581" t="s">
        <v>4555</v>
      </c>
      <c r="E4581" t="b">
        <f>IF(COUNTIF(D4581,"*"&amp;'Keyword Search'!$C$5&amp;"*"),TRUE,FALSE)</f>
        <v>1</v>
      </c>
      <c r="G4581" t="str">
        <f t="shared" si="295"/>
        <v>578-65: Religious Goods: Altar Sets, Collection Plates, Ecclesiastical Metal ware, Pulpit Scarves, etc.</v>
      </c>
    </row>
    <row r="4582" spans="1:7" x14ac:dyDescent="0.25">
      <c r="A4582" s="1" t="str">
        <f t="shared" si="293"/>
        <v>578</v>
      </c>
      <c r="B4582" s="1" t="str">
        <f>TEXT(74,"00")</f>
        <v>74</v>
      </c>
      <c r="C4582" s="1" t="str">
        <f t="shared" si="294"/>
        <v>578-74</v>
      </c>
      <c r="D4582" t="s">
        <v>4556</v>
      </c>
      <c r="E4582" t="b">
        <f>IF(COUNTIF(D4582,"*"&amp;'Keyword Search'!$C$5&amp;"*"),TRUE,FALSE)</f>
        <v>1</v>
      </c>
      <c r="G4582" t="str">
        <f t="shared" si="295"/>
        <v>578-74: *Robots, Manufacturing Applications, etc. (Inactive, please see commodity code 578-76 effective January 1, 2016)</v>
      </c>
    </row>
    <row r="4583" spans="1:7" x14ac:dyDescent="0.25">
      <c r="A4583" s="1" t="str">
        <f t="shared" si="293"/>
        <v>578</v>
      </c>
      <c r="B4583" s="1" t="str">
        <f>TEXT(76,"00")</f>
        <v>76</v>
      </c>
      <c r="C4583" s="1" t="str">
        <f t="shared" si="294"/>
        <v>578-76</v>
      </c>
      <c r="D4583" t="s">
        <v>4557</v>
      </c>
      <c r="E4583" t="b">
        <f>IF(COUNTIF(D4583,"*"&amp;'Keyword Search'!$C$5&amp;"*"),TRUE,FALSE)</f>
        <v>1</v>
      </c>
      <c r="G4583" t="str">
        <f t="shared" si="295"/>
        <v>578-76: *Robots, Educational, Scientific Applications, Manufacturing Applications, etc.</v>
      </c>
    </row>
    <row r="4584" spans="1:7" x14ac:dyDescent="0.25">
      <c r="A4584" s="1" t="str">
        <f t="shared" si="293"/>
        <v>578</v>
      </c>
      <c r="B4584" s="1" t="str">
        <f>TEXT(81,"00")</f>
        <v>81</v>
      </c>
      <c r="C4584" s="1" t="str">
        <f t="shared" si="294"/>
        <v>578-81</v>
      </c>
      <c r="D4584" t="s">
        <v>4558</v>
      </c>
      <c r="E4584" t="b">
        <f>IF(COUNTIF(D4584,"*"&amp;'Keyword Search'!$C$5&amp;"*"),TRUE,FALSE)</f>
        <v>1</v>
      </c>
      <c r="G4584" t="str">
        <f t="shared" si="295"/>
        <v>578-81: Scrap and Waste Products, Non-Metallic (See 570-50 for Scrap Metal)</v>
      </c>
    </row>
    <row r="4585" spans="1:7" x14ac:dyDescent="0.25">
      <c r="A4585" s="1" t="str">
        <f t="shared" si="293"/>
        <v>578</v>
      </c>
      <c r="B4585" s="1" t="str">
        <f>TEXT(83,"00")</f>
        <v>83</v>
      </c>
      <c r="C4585" s="1" t="str">
        <f t="shared" si="294"/>
        <v>578-83</v>
      </c>
      <c r="D4585" t="s">
        <v>4559</v>
      </c>
      <c r="E4585" t="b">
        <f>IF(COUNTIF(D4585,"*"&amp;'Keyword Search'!$C$5&amp;"*"),TRUE,FALSE)</f>
        <v>1</v>
      </c>
      <c r="G4585" t="str">
        <f t="shared" si="295"/>
        <v>578-83: Store Fixtures and Display Hardware, Retail</v>
      </c>
    </row>
    <row r="4586" spans="1:7" x14ac:dyDescent="0.25">
      <c r="A4586" s="1" t="str">
        <f t="shared" si="293"/>
        <v>578</v>
      </c>
      <c r="B4586" s="1" t="str">
        <f>TEXT(84,"00")</f>
        <v>84</v>
      </c>
      <c r="C4586" s="1" t="str">
        <f t="shared" si="294"/>
        <v>578-84</v>
      </c>
      <c r="D4586" t="s">
        <v>4560</v>
      </c>
      <c r="E4586" t="b">
        <f>IF(COUNTIF(D4586,"*"&amp;'Keyword Search'!$C$5&amp;"*"),TRUE,FALSE)</f>
        <v>1</v>
      </c>
      <c r="G4586" t="str">
        <f t="shared" si="295"/>
        <v>578-84: Table Skirts, Skirting (Inactive, please see commodity code 578-83 effective January 1, 2016)</v>
      </c>
    </row>
    <row r="4587" spans="1:7" x14ac:dyDescent="0.25">
      <c r="A4587" s="1" t="str">
        <f t="shared" si="293"/>
        <v>578</v>
      </c>
      <c r="B4587" s="1" t="str">
        <f>TEXT(85,"00")</f>
        <v>85</v>
      </c>
      <c r="C4587" s="1" t="str">
        <f t="shared" si="294"/>
        <v>578-85</v>
      </c>
      <c r="D4587" t="s">
        <v>4561</v>
      </c>
      <c r="E4587" t="b">
        <f>IF(COUNTIF(D4587,"*"&amp;'Keyword Search'!$C$5&amp;"*"),TRUE,FALSE)</f>
        <v>1</v>
      </c>
      <c r="G4587" t="str">
        <f t="shared" si="295"/>
        <v>578-85: Tachistoscopic Devices, Used in the Study of Learning, Attention and Perception (Inactive, effective January 1, 2016)</v>
      </c>
    </row>
    <row r="4588" spans="1:7" x14ac:dyDescent="0.25">
      <c r="A4588" s="1" t="str">
        <f t="shared" si="293"/>
        <v>578</v>
      </c>
      <c r="B4588" s="1" t="str">
        <f>TEXT(86,"00")</f>
        <v>86</v>
      </c>
      <c r="C4588" s="1" t="str">
        <f t="shared" si="294"/>
        <v>578-86</v>
      </c>
      <c r="D4588" t="s">
        <v>4562</v>
      </c>
      <c r="E4588" t="b">
        <f>IF(COUNTIF(D4588,"*"&amp;'Keyword Search'!$C$5&amp;"*"),TRUE,FALSE)</f>
        <v>1</v>
      </c>
      <c r="G4588" t="str">
        <f t="shared" si="295"/>
        <v>578-86: Tags, Key, All Kinds (Inactive, please see commodity code 615-86 effective January 1, 2016)</v>
      </c>
    </row>
    <row r="4589" spans="1:7" x14ac:dyDescent="0.25">
      <c r="A4589" s="1" t="str">
        <f t="shared" si="293"/>
        <v>578</v>
      </c>
      <c r="B4589" s="1" t="str">
        <f>TEXT(90,"00")</f>
        <v>90</v>
      </c>
      <c r="C4589" s="1" t="str">
        <f t="shared" si="294"/>
        <v>578-90</v>
      </c>
      <c r="D4589" t="s">
        <v>4563</v>
      </c>
      <c r="E4589" t="b">
        <f>IF(COUNTIF(D4589,"*"&amp;'Keyword Search'!$C$5&amp;"*"),TRUE,FALSE)</f>
        <v>1</v>
      </c>
      <c r="G4589" t="str">
        <f t="shared" si="295"/>
        <v>578-90: Taxidermy Equipment and Supplies</v>
      </c>
    </row>
    <row r="4590" spans="1:7" x14ac:dyDescent="0.25">
      <c r="A4590" s="1" t="str">
        <f t="shared" si="293"/>
        <v>578</v>
      </c>
      <c r="B4590" s="1" t="str">
        <f>TEXT(91,"00")</f>
        <v>91</v>
      </c>
      <c r="C4590" s="1" t="str">
        <f t="shared" si="294"/>
        <v>578-91</v>
      </c>
      <c r="D4590" t="s">
        <v>4564</v>
      </c>
      <c r="E4590" t="b">
        <f>IF(COUNTIF(D4590,"*"&amp;'Keyword Search'!$C$5&amp;"*"),TRUE,FALSE)</f>
        <v>1</v>
      </c>
      <c r="G4590" t="str">
        <f t="shared" si="295"/>
        <v>578-91: *Testing Machines, Driver, Automated (Including Driver Simulating Machine)</v>
      </c>
    </row>
    <row r="4591" spans="1:7" x14ac:dyDescent="0.25">
      <c r="A4591" s="1" t="str">
        <f t="shared" si="293"/>
        <v>578</v>
      </c>
      <c r="B4591" s="1" t="str">
        <f>TEXT(92,"00")</f>
        <v>92</v>
      </c>
      <c r="C4591" s="1" t="str">
        <f t="shared" si="294"/>
        <v>578-92</v>
      </c>
      <c r="D4591" t="s">
        <v>4565</v>
      </c>
      <c r="E4591" t="b">
        <f>IF(COUNTIF(D4591,"*"&amp;'Keyword Search'!$C$5&amp;"*"),TRUE,FALSE)</f>
        <v>1</v>
      </c>
      <c r="G4591" t="str">
        <f t="shared" si="295"/>
        <v>578-92: Toll Collection Equipment and Supplies</v>
      </c>
    </row>
    <row r="4592" spans="1:7" x14ac:dyDescent="0.25">
      <c r="A4592" s="1" t="str">
        <f t="shared" si="293"/>
        <v>578</v>
      </c>
      <c r="B4592" s="1" t="str">
        <f>TEXT(93,"00")</f>
        <v>93</v>
      </c>
      <c r="C4592" s="1" t="str">
        <f t="shared" si="294"/>
        <v>578-93</v>
      </c>
      <c r="D4592" t="s">
        <v>4566</v>
      </c>
      <c r="E4592" t="b">
        <f>IF(COUNTIF(D4592,"*"&amp;'Keyword Search'!$C$5&amp;"*"),TRUE,FALSE)</f>
        <v>1</v>
      </c>
      <c r="G4592" t="str">
        <f t="shared" si="295"/>
        <v>578-93: Tools for Scientific Use, Anthropological, etc.) (Inactive, effective January 1, 2016)</v>
      </c>
    </row>
    <row r="4593" spans="1:7" x14ac:dyDescent="0.25">
      <c r="A4593" s="1" t="str">
        <f t="shared" si="293"/>
        <v>578</v>
      </c>
      <c r="B4593" s="1" t="str">
        <f>TEXT(94,"00")</f>
        <v>94</v>
      </c>
      <c r="C4593" s="1" t="str">
        <f t="shared" si="294"/>
        <v>578-94</v>
      </c>
      <c r="D4593" t="s">
        <v>4567</v>
      </c>
      <c r="E4593" t="b">
        <f>IF(COUNTIF(D4593,"*"&amp;'Keyword Search'!$C$5&amp;"*"),TRUE,FALSE)</f>
        <v>1</v>
      </c>
      <c r="G4593" t="str">
        <f t="shared" si="295"/>
        <v>578-94: Turf, Artificial, Indoor and Outdoor  (Inactive, please see commodity code 360-90 effective January 1, 2016)</v>
      </c>
    </row>
    <row r="4594" spans="1:7" x14ac:dyDescent="0.25">
      <c r="A4594" s="1" t="str">
        <f t="shared" si="293"/>
        <v>578</v>
      </c>
      <c r="B4594" s="1" t="str">
        <f>TEXT(95,"00")</f>
        <v>95</v>
      </c>
      <c r="C4594" s="1" t="str">
        <f t="shared" si="294"/>
        <v>578-95</v>
      </c>
      <c r="D4594" t="s">
        <v>4568</v>
      </c>
      <c r="E4594" t="b">
        <f>IF(COUNTIF(D4594,"*"&amp;'Keyword Search'!$C$5&amp;"*"),TRUE,FALSE)</f>
        <v>1</v>
      </c>
      <c r="G4594" t="str">
        <f t="shared" si="295"/>
        <v>578-95: Water, Potable and Non-Potable, (See 390-91 for Bottled Water)</v>
      </c>
    </row>
    <row r="4595" spans="1:7" x14ac:dyDescent="0.25">
      <c r="A4595" s="1" t="str">
        <f t="shared" si="293"/>
        <v>578</v>
      </c>
      <c r="B4595" s="1" t="str">
        <f>TEXT(97,"00")</f>
        <v>97</v>
      </c>
      <c r="C4595" s="1" t="str">
        <f t="shared" si="294"/>
        <v>578-97</v>
      </c>
      <c r="D4595" t="s">
        <v>4569</v>
      </c>
      <c r="E4595" t="b">
        <f>IF(COUNTIF(D4595,"*"&amp;'Keyword Search'!$C$5&amp;"*"),TRUE,FALSE)</f>
        <v>1</v>
      </c>
      <c r="G4595" t="str">
        <f t="shared" si="295"/>
        <v>578-97: Water, Non-Potable  (Inactive, please see commodity code 578-95 effective January 1, 2016)</v>
      </c>
    </row>
    <row r="4596" spans="1:7" x14ac:dyDescent="0.25">
      <c r="A4596" s="5" t="str">
        <f t="shared" ref="A4596:A4614" si="296">TEXT(580,"000")</f>
        <v>580</v>
      </c>
      <c r="B4596" s="5" t="str">
        <f>TEXT(0,"00")</f>
        <v>00</v>
      </c>
      <c r="C4596" s="1"/>
      <c r="D4596" s="2" t="s">
        <v>4570</v>
      </c>
    </row>
    <row r="4597" spans="1:7" x14ac:dyDescent="0.25">
      <c r="A4597" s="1" t="str">
        <f t="shared" si="296"/>
        <v>580</v>
      </c>
      <c r="B4597" s="1" t="str">
        <f>TEXT(2,"00")</f>
        <v>02</v>
      </c>
      <c r="C4597" s="1" t="str">
        <f t="shared" si="294"/>
        <v>580-02</v>
      </c>
      <c r="D4597" t="s">
        <v>4571</v>
      </c>
      <c r="E4597" t="b">
        <f>IF(COUNTIF(D4597,"*"&amp;'Keyword Search'!$C$5&amp;"*"),TRUE,FALSE)</f>
        <v>1</v>
      </c>
      <c r="G4597" t="str">
        <f t="shared" si="295"/>
        <v>580-02: Accordions and Accessories</v>
      </c>
    </row>
    <row r="4598" spans="1:7" x14ac:dyDescent="0.25">
      <c r="A4598" s="1" t="str">
        <f t="shared" si="296"/>
        <v>580</v>
      </c>
      <c r="B4598" s="1" t="str">
        <f>TEXT(3,"00")</f>
        <v>03</v>
      </c>
      <c r="C4598" s="1" t="str">
        <f t="shared" si="294"/>
        <v>580-03</v>
      </c>
      <c r="D4598" t="s">
        <v>4572</v>
      </c>
      <c r="E4598" t="b">
        <f>IF(COUNTIF(D4598,"*"&amp;'Keyword Search'!$C$5&amp;"*"),TRUE,FALSE)</f>
        <v>1</v>
      </c>
      <c r="G4598" t="str">
        <f t="shared" si="295"/>
        <v>580-03: Amplified Instruments, Guitars, etc. and Amplifiers</v>
      </c>
    </row>
    <row r="4599" spans="1:7" x14ac:dyDescent="0.25">
      <c r="A4599" s="1" t="str">
        <f t="shared" si="296"/>
        <v>580</v>
      </c>
      <c r="B4599" s="1" t="str">
        <f>TEXT(5,"00")</f>
        <v>05</v>
      </c>
      <c r="C4599" s="1" t="str">
        <f t="shared" si="294"/>
        <v>580-05</v>
      </c>
      <c r="D4599" t="s">
        <v>4573</v>
      </c>
      <c r="E4599" t="b">
        <f>IF(COUNTIF(D4599,"*"&amp;'Keyword Search'!$C$5&amp;"*"),TRUE,FALSE)</f>
        <v>1</v>
      </c>
      <c r="G4599" t="str">
        <f t="shared" si="295"/>
        <v>580-05: Band and Choral Risers</v>
      </c>
    </row>
    <row r="4600" spans="1:7" x14ac:dyDescent="0.25">
      <c r="A4600" s="1" t="str">
        <f t="shared" si="296"/>
        <v>580</v>
      </c>
      <c r="B4600" s="1" t="str">
        <f>TEXT(10,"00")</f>
        <v>10</v>
      </c>
      <c r="C4600" s="1" t="str">
        <f t="shared" si="294"/>
        <v>580-10</v>
      </c>
      <c r="D4600" t="s">
        <v>4574</v>
      </c>
      <c r="E4600" t="b">
        <f>IF(COUNTIF(D4600,"*"&amp;'Keyword Search'!$C$5&amp;"*"),TRUE,FALSE)</f>
        <v>1</v>
      </c>
      <c r="G4600" t="str">
        <f t="shared" si="295"/>
        <v>580-10: Band Instruments and Accessories</v>
      </c>
    </row>
    <row r="4601" spans="1:7" x14ac:dyDescent="0.25">
      <c r="A4601" s="1" t="str">
        <f t="shared" si="296"/>
        <v>580</v>
      </c>
      <c r="B4601" s="1" t="str">
        <f>TEXT(15,"00")</f>
        <v>15</v>
      </c>
      <c r="C4601" s="1" t="str">
        <f t="shared" si="294"/>
        <v>580-15</v>
      </c>
      <c r="D4601" t="s">
        <v>4575</v>
      </c>
      <c r="E4601" t="b">
        <f>IF(COUNTIF(D4601,"*"&amp;'Keyword Search'!$C$5&amp;"*"),TRUE,FALSE)</f>
        <v>1</v>
      </c>
      <c r="G4601" t="str">
        <f t="shared" si="295"/>
        <v>580-15: Band Room Equipment: Music Cabinets, Stands, etc.</v>
      </c>
    </row>
    <row r="4602" spans="1:7" x14ac:dyDescent="0.25">
      <c r="A4602" s="1" t="str">
        <f t="shared" si="296"/>
        <v>580</v>
      </c>
      <c r="B4602" s="1" t="str">
        <f>TEXT(17,"00")</f>
        <v>17</v>
      </c>
      <c r="C4602" s="1" t="str">
        <f t="shared" si="294"/>
        <v>580-17</v>
      </c>
      <c r="D4602" t="s">
        <v>4576</v>
      </c>
      <c r="E4602" t="b">
        <f>IF(COUNTIF(D4602,"*"&amp;'Keyword Search'!$C$5&amp;"*"),TRUE,FALSE)</f>
        <v>1</v>
      </c>
      <c r="G4602" t="str">
        <f t="shared" si="295"/>
        <v>580-17: Batons, Conductor</v>
      </c>
    </row>
    <row r="4603" spans="1:7" x14ac:dyDescent="0.25">
      <c r="A4603" s="1" t="str">
        <f t="shared" si="296"/>
        <v>580</v>
      </c>
      <c r="B4603" s="1" t="str">
        <f>TEXT(25,"00")</f>
        <v>25</v>
      </c>
      <c r="C4603" s="1" t="str">
        <f t="shared" si="294"/>
        <v>580-25</v>
      </c>
      <c r="D4603" t="s">
        <v>4577</v>
      </c>
      <c r="E4603" t="b">
        <f>IF(COUNTIF(D4603,"*"&amp;'Keyword Search'!$C$5&amp;"*"),TRUE,FALSE)</f>
        <v>1</v>
      </c>
      <c r="G4603" t="str">
        <f t="shared" si="295"/>
        <v>580-25: Electronic Musical Instruments: Electronic Organs, Synthesizers, Visualizers, etc.</v>
      </c>
    </row>
    <row r="4604" spans="1:7" x14ac:dyDescent="0.25">
      <c r="A4604" s="1" t="str">
        <f t="shared" si="296"/>
        <v>580</v>
      </c>
      <c r="B4604" s="1" t="str">
        <f>TEXT(30,"00")</f>
        <v>30</v>
      </c>
      <c r="C4604" s="1" t="str">
        <f t="shared" si="294"/>
        <v>580-30</v>
      </c>
      <c r="D4604" t="s">
        <v>4578</v>
      </c>
      <c r="E4604" t="b">
        <f>IF(COUNTIF(D4604,"*"&amp;'Keyword Search'!$C$5&amp;"*"),TRUE,FALSE)</f>
        <v>1</v>
      </c>
      <c r="G4604" t="str">
        <f t="shared" si="295"/>
        <v>580-30: Metronomes and Tuners, Conventional or Electronic</v>
      </c>
    </row>
    <row r="4605" spans="1:7" x14ac:dyDescent="0.25">
      <c r="A4605" s="1" t="str">
        <f t="shared" si="296"/>
        <v>580</v>
      </c>
      <c r="B4605" s="1" t="str">
        <f>TEXT(34,"00")</f>
        <v>34</v>
      </c>
      <c r="C4605" s="1" t="str">
        <f t="shared" si="294"/>
        <v>580-34</v>
      </c>
      <c r="D4605" t="s">
        <v>4579</v>
      </c>
      <c r="E4605" t="b">
        <f>IF(COUNTIF(D4605,"*"&amp;'Keyword Search'!$C$5&amp;"*"),TRUE,FALSE)</f>
        <v>1</v>
      </c>
      <c r="G4605" t="str">
        <f t="shared" si="295"/>
        <v>580-34: Music Boxes</v>
      </c>
    </row>
    <row r="4606" spans="1:7" x14ac:dyDescent="0.25">
      <c r="A4606" s="1" t="str">
        <f t="shared" si="296"/>
        <v>580</v>
      </c>
      <c r="B4606" s="1" t="str">
        <f>TEXT(35,"00")</f>
        <v>35</v>
      </c>
      <c r="C4606" s="1" t="str">
        <f t="shared" si="294"/>
        <v>580-35</v>
      </c>
      <c r="D4606" t="s">
        <v>4580</v>
      </c>
      <c r="E4606" t="b">
        <f>IF(COUNTIF(D4606,"*"&amp;'Keyword Search'!$C$5&amp;"*"),TRUE,FALSE)</f>
        <v>1</v>
      </c>
      <c r="G4606" t="str">
        <f t="shared" si="295"/>
        <v>580-35: Music, Sheet and Folio</v>
      </c>
    </row>
    <row r="4607" spans="1:7" x14ac:dyDescent="0.25">
      <c r="A4607" s="1" t="str">
        <f t="shared" si="296"/>
        <v>580</v>
      </c>
      <c r="B4607" s="1" t="str">
        <f>TEXT(40,"00")</f>
        <v>40</v>
      </c>
      <c r="C4607" s="1" t="str">
        <f t="shared" si="294"/>
        <v>580-40</v>
      </c>
      <c r="D4607" t="s">
        <v>4581</v>
      </c>
      <c r="E4607" t="b">
        <f>IF(COUNTIF(D4607,"*"&amp;'Keyword Search'!$C$5&amp;"*"),TRUE,FALSE)</f>
        <v>1</v>
      </c>
      <c r="G4607" t="str">
        <f t="shared" si="295"/>
        <v>580-40: Musical Instrument Repair Parts and Supplies, Except Organ and Piano)</v>
      </c>
    </row>
    <row r="4608" spans="1:7" x14ac:dyDescent="0.25">
      <c r="A4608" s="1" t="str">
        <f t="shared" si="296"/>
        <v>580</v>
      </c>
      <c r="B4608" s="1" t="str">
        <f>TEXT(45,"00")</f>
        <v>45</v>
      </c>
      <c r="C4608" s="1" t="str">
        <f t="shared" si="294"/>
        <v>580-45</v>
      </c>
      <c r="D4608" t="s">
        <v>4582</v>
      </c>
      <c r="E4608" t="b">
        <f>IF(COUNTIF(D4608,"*"&amp;'Keyword Search'!$C$5&amp;"*"),TRUE,FALSE)</f>
        <v>1</v>
      </c>
      <c r="G4608" t="str">
        <f t="shared" si="295"/>
        <v>580-45: Musical Supplies: Music Holders, Strings, Reeds, Rhythm Sticks, etc.</v>
      </c>
    </row>
    <row r="4609" spans="1:7" x14ac:dyDescent="0.25">
      <c r="A4609" s="1" t="str">
        <f t="shared" si="296"/>
        <v>580</v>
      </c>
      <c r="B4609" s="1" t="str">
        <f>TEXT(53,"00")</f>
        <v>53</v>
      </c>
      <c r="C4609" s="1" t="str">
        <f t="shared" si="294"/>
        <v>580-53</v>
      </c>
      <c r="D4609" t="s">
        <v>4583</v>
      </c>
      <c r="E4609" t="b">
        <f>IF(COUNTIF(D4609,"*"&amp;'Keyword Search'!$C$5&amp;"*"),TRUE,FALSE)</f>
        <v>1</v>
      </c>
      <c r="G4609" t="str">
        <f t="shared" si="295"/>
        <v>580-53: Orchestra Instruments and Accessories, (Not Otherwise Classified)</v>
      </c>
    </row>
    <row r="4610" spans="1:7" x14ac:dyDescent="0.25">
      <c r="A4610" s="1" t="str">
        <f t="shared" si="296"/>
        <v>580</v>
      </c>
      <c r="B4610" s="1" t="str">
        <f>TEXT(55,"00")</f>
        <v>55</v>
      </c>
      <c r="C4610" s="1" t="str">
        <f t="shared" si="294"/>
        <v>580-55</v>
      </c>
      <c r="D4610" t="s">
        <v>4584</v>
      </c>
      <c r="E4610" t="b">
        <f>IF(COUNTIF(D4610,"*"&amp;'Keyword Search'!$C$5&amp;"*"),TRUE,FALSE)</f>
        <v>1</v>
      </c>
      <c r="G4610" t="str">
        <f t="shared" si="295"/>
        <v>580-55: Organs, Conventional, Accessories, Parts and Supplies</v>
      </c>
    </row>
    <row r="4611" spans="1:7" x14ac:dyDescent="0.25">
      <c r="A4611" s="1" t="str">
        <f t="shared" si="296"/>
        <v>580</v>
      </c>
      <c r="B4611" s="1" t="str">
        <f>TEXT(60,"00")</f>
        <v>60</v>
      </c>
      <c r="C4611" s="1" t="str">
        <f t="shared" ref="C4611:C4674" si="297">CONCATENATE(A4611,"-",B4611)</f>
        <v>580-60</v>
      </c>
      <c r="D4611" t="s">
        <v>4585</v>
      </c>
      <c r="E4611" t="b">
        <f>IF(COUNTIF(D4611,"*"&amp;'Keyword Search'!$C$5&amp;"*"),TRUE,FALSE)</f>
        <v>1</v>
      </c>
      <c r="G4611" t="str">
        <f t="shared" si="295"/>
        <v>580-60: Pianos, Accessories, Tuning Instruments, Parts and Supplies</v>
      </c>
    </row>
    <row r="4612" spans="1:7" x14ac:dyDescent="0.25">
      <c r="A4612" s="1" t="str">
        <f t="shared" si="296"/>
        <v>580</v>
      </c>
      <c r="B4612" s="1" t="str">
        <f>TEXT(70,"00")</f>
        <v>70</v>
      </c>
      <c r="C4612" s="1" t="str">
        <f t="shared" si="297"/>
        <v>580-70</v>
      </c>
      <c r="D4612" t="s">
        <v>4586</v>
      </c>
      <c r="E4612" t="b">
        <f>IF(COUNTIF(D4612,"*"&amp;'Keyword Search'!$C$5&amp;"*"),TRUE,FALSE)</f>
        <v>1</v>
      </c>
      <c r="G4612" t="str">
        <f t="shared" ref="G4612:G4675" si="298">CONCATENATE(C4612,": ",D4612)</f>
        <v>580-70: Recycled Musical Instruments, Accessories and Supplies</v>
      </c>
    </row>
    <row r="4613" spans="1:7" x14ac:dyDescent="0.25">
      <c r="A4613" s="1" t="str">
        <f t="shared" si="296"/>
        <v>580</v>
      </c>
      <c r="B4613" s="1" t="str">
        <f>TEXT(80,"00")</f>
        <v>80</v>
      </c>
      <c r="C4613" s="1" t="str">
        <f t="shared" si="297"/>
        <v>580-80</v>
      </c>
      <c r="D4613" t="s">
        <v>4587</v>
      </c>
      <c r="E4613" t="b">
        <f>IF(COUNTIF(D4613,"*"&amp;'Keyword Search'!$C$5&amp;"*"),TRUE,FALSE)</f>
        <v>1</v>
      </c>
      <c r="G4613" t="str">
        <f t="shared" si="298"/>
        <v>580-80: Stringed Instruments, Conventional and Accessories: Banjos, Guitars, Violins, Violas, etc.</v>
      </c>
    </row>
    <row r="4614" spans="1:7" x14ac:dyDescent="0.25">
      <c r="A4614" s="1" t="str">
        <f t="shared" si="296"/>
        <v>580</v>
      </c>
      <c r="B4614" s="1" t="str">
        <f>TEXT(85,"00")</f>
        <v>85</v>
      </c>
      <c r="C4614" s="1" t="str">
        <f t="shared" si="297"/>
        <v>580-85</v>
      </c>
      <c r="D4614" t="s">
        <v>4588</v>
      </c>
      <c r="E4614" t="b">
        <f>IF(COUNTIF(D4614,"*"&amp;'Keyword Search'!$C$5&amp;"*"),TRUE,FALSE)</f>
        <v>1</v>
      </c>
      <c r="G4614" t="str">
        <f t="shared" si="298"/>
        <v>580-85: Tower Chimes, Including Parts and Accessories</v>
      </c>
    </row>
    <row r="4615" spans="1:7" x14ac:dyDescent="0.25">
      <c r="A4615" s="5" t="str">
        <f t="shared" ref="A4615:A4652" si="299">TEXT(590,"000")</f>
        <v>590</v>
      </c>
      <c r="B4615" s="5" t="str">
        <f>TEXT(0,"00")</f>
        <v>00</v>
      </c>
      <c r="C4615" s="1"/>
      <c r="D4615" s="2" t="s">
        <v>4589</v>
      </c>
    </row>
    <row r="4616" spans="1:7" x14ac:dyDescent="0.25">
      <c r="A4616" s="1" t="str">
        <f t="shared" si="299"/>
        <v>590</v>
      </c>
      <c r="B4616" s="1" t="str">
        <f>TEXT(2,"00")</f>
        <v>02</v>
      </c>
      <c r="C4616" s="1" t="str">
        <f t="shared" si="297"/>
        <v>590-02</v>
      </c>
      <c r="D4616" t="s">
        <v>4590</v>
      </c>
      <c r="E4616" t="b">
        <f>IF(COUNTIF(D4616,"*"&amp;'Keyword Search'!$C$5&amp;"*"),TRUE,FALSE)</f>
        <v>1</v>
      </c>
      <c r="G4616" t="str">
        <f t="shared" si="298"/>
        <v>590-02: Bra Backs, Replacement</v>
      </c>
    </row>
    <row r="4617" spans="1:7" x14ac:dyDescent="0.25">
      <c r="A4617" s="1" t="str">
        <f t="shared" si="299"/>
        <v>590</v>
      </c>
      <c r="B4617" s="1" t="str">
        <f>TEXT(4,"00")</f>
        <v>04</v>
      </c>
      <c r="C4617" s="1" t="str">
        <f t="shared" si="297"/>
        <v>590-04</v>
      </c>
      <c r="D4617" t="s">
        <v>4591</v>
      </c>
      <c r="E4617" t="b">
        <f>IF(COUNTIF(D4617,"*"&amp;'Keyword Search'!$C$5&amp;"*"),TRUE,FALSE)</f>
        <v>1</v>
      </c>
      <c r="G4617" t="str">
        <f t="shared" si="298"/>
        <v>590-04: Buckles, Belt and Clothing</v>
      </c>
    </row>
    <row r="4618" spans="1:7" x14ac:dyDescent="0.25">
      <c r="A4618" s="1" t="str">
        <f t="shared" si="299"/>
        <v>590</v>
      </c>
      <c r="B4618" s="1" t="str">
        <f>TEXT(8,"00")</f>
        <v>08</v>
      </c>
      <c r="C4618" s="1" t="str">
        <f t="shared" si="297"/>
        <v>590-08</v>
      </c>
      <c r="D4618" t="s">
        <v>4592</v>
      </c>
      <c r="E4618" t="b">
        <f>IF(COUNTIF(D4618,"*"&amp;'Keyword Search'!$C$5&amp;"*"),TRUE,FALSE)</f>
        <v>1</v>
      </c>
      <c r="G4618" t="str">
        <f t="shared" si="298"/>
        <v>590-08: Buttons, All Kinds</v>
      </c>
    </row>
    <row r="4619" spans="1:7" x14ac:dyDescent="0.25">
      <c r="A4619" s="1" t="str">
        <f t="shared" si="299"/>
        <v>590</v>
      </c>
      <c r="B4619" s="1" t="str">
        <f>TEXT(9,"00")</f>
        <v>09</v>
      </c>
      <c r="C4619" s="1" t="str">
        <f t="shared" si="297"/>
        <v>590-09</v>
      </c>
      <c r="D4619" t="s">
        <v>4593</v>
      </c>
      <c r="E4619" t="b">
        <f>IF(COUNTIF(D4619,"*"&amp;'Keyword Search'!$C$5&amp;"*"),TRUE,FALSE)</f>
        <v>1</v>
      </c>
      <c r="G4619" t="str">
        <f t="shared" si="298"/>
        <v>590-09: Crochet Hooks, Embroidery Hoops, Embroidery Needles, Knitting Needles, etc.</v>
      </c>
    </row>
    <row r="4620" spans="1:7" x14ac:dyDescent="0.25">
      <c r="A4620" s="1" t="str">
        <f t="shared" si="299"/>
        <v>590</v>
      </c>
      <c r="B4620" s="1" t="str">
        <f>TEXT(10,"00")</f>
        <v>10</v>
      </c>
      <c r="C4620" s="1" t="str">
        <f t="shared" si="297"/>
        <v>590-10</v>
      </c>
      <c r="D4620" t="s">
        <v>1943</v>
      </c>
      <c r="E4620" t="b">
        <f>IF(COUNTIF(D4620,"*"&amp;'Keyword Search'!$C$5&amp;"*"),TRUE,FALSE)</f>
        <v>1</v>
      </c>
      <c r="G4620" t="str">
        <f t="shared" si="298"/>
        <v>590-10: Cutting Boards</v>
      </c>
    </row>
    <row r="4621" spans="1:7" x14ac:dyDescent="0.25">
      <c r="A4621" s="1" t="str">
        <f t="shared" si="299"/>
        <v>590</v>
      </c>
      <c r="B4621" s="1" t="str">
        <f>TEXT(12,"00")</f>
        <v>12</v>
      </c>
      <c r="C4621" s="1" t="str">
        <f t="shared" si="297"/>
        <v>590-12</v>
      </c>
      <c r="D4621" t="s">
        <v>4594</v>
      </c>
      <c r="E4621" t="b">
        <f>IF(COUNTIF(D4621,"*"&amp;'Keyword Search'!$C$5&amp;"*"),TRUE,FALSE)</f>
        <v>1</v>
      </c>
      <c r="G4621" t="str">
        <f t="shared" si="298"/>
        <v>590-12: Dress Forms</v>
      </c>
    </row>
    <row r="4622" spans="1:7" x14ac:dyDescent="0.25">
      <c r="A4622" s="1" t="str">
        <f t="shared" si="299"/>
        <v>590</v>
      </c>
      <c r="B4622" s="1" t="str">
        <f>TEXT(16,"00")</f>
        <v>16</v>
      </c>
      <c r="C4622" s="1" t="str">
        <f t="shared" si="297"/>
        <v>590-16</v>
      </c>
      <c r="D4622" t="s">
        <v>4595</v>
      </c>
      <c r="E4622" t="b">
        <f>IF(COUNTIF(D4622,"*"&amp;'Keyword Search'!$C$5&amp;"*"),TRUE,FALSE)</f>
        <v>1</v>
      </c>
      <c r="G4622" t="str">
        <f t="shared" si="298"/>
        <v>590-16: Eyelets and Grommets</v>
      </c>
    </row>
    <row r="4623" spans="1:7" x14ac:dyDescent="0.25">
      <c r="A4623" s="1" t="str">
        <f t="shared" si="299"/>
        <v>590</v>
      </c>
      <c r="B4623" s="1" t="str">
        <f>TEXT(20,"00")</f>
        <v>20</v>
      </c>
      <c r="C4623" s="1" t="str">
        <f t="shared" si="297"/>
        <v>590-20</v>
      </c>
      <c r="D4623" t="s">
        <v>4596</v>
      </c>
      <c r="E4623" t="b">
        <f>IF(COUNTIF(D4623,"*"&amp;'Keyword Search'!$C$5&amp;"*"),TRUE,FALSE)</f>
        <v>1</v>
      </c>
      <c r="G4623" t="str">
        <f t="shared" si="298"/>
        <v>590-20: Fabrics, Heat Adhesive, For Marking, Patching, etc.</v>
      </c>
    </row>
    <row r="4624" spans="1:7" x14ac:dyDescent="0.25">
      <c r="A4624" s="1" t="str">
        <f t="shared" si="299"/>
        <v>590</v>
      </c>
      <c r="B4624" s="1" t="str">
        <f>TEXT(22,"00")</f>
        <v>22</v>
      </c>
      <c r="C4624" s="1" t="str">
        <f t="shared" si="297"/>
        <v>590-22</v>
      </c>
      <c r="D4624" t="s">
        <v>4597</v>
      </c>
      <c r="E4624" t="b">
        <f>IF(COUNTIF(D4624,"*"&amp;'Keyword Search'!$C$5&amp;"*"),TRUE,FALSE)</f>
        <v>1</v>
      </c>
      <c r="G4624" t="str">
        <f t="shared" si="298"/>
        <v>590-22: Fasteners, Self-Gripping</v>
      </c>
    </row>
    <row r="4625" spans="1:7" x14ac:dyDescent="0.25">
      <c r="A4625" s="1" t="str">
        <f t="shared" si="299"/>
        <v>590</v>
      </c>
      <c r="B4625" s="1" t="str">
        <f>TEXT(24,"00")</f>
        <v>24</v>
      </c>
      <c r="C4625" s="1" t="str">
        <f t="shared" si="297"/>
        <v>590-24</v>
      </c>
      <c r="D4625" t="s">
        <v>4598</v>
      </c>
      <c r="E4625" t="b">
        <f>IF(COUNTIF(D4625,"*"&amp;'Keyword Search'!$C$5&amp;"*"),TRUE,FALSE)</f>
        <v>1</v>
      </c>
      <c r="G4625" t="str">
        <f t="shared" si="298"/>
        <v>590-24: Fasteners, Snap</v>
      </c>
    </row>
    <row r="4626" spans="1:7" x14ac:dyDescent="0.25">
      <c r="A4626" s="1" t="str">
        <f t="shared" si="299"/>
        <v>590</v>
      </c>
      <c r="B4626" s="1" t="str">
        <f>TEXT(28,"00")</f>
        <v>28</v>
      </c>
      <c r="C4626" s="1" t="str">
        <f t="shared" si="297"/>
        <v>590-28</v>
      </c>
      <c r="D4626" t="s">
        <v>4599</v>
      </c>
      <c r="E4626" t="b">
        <f>IF(COUNTIF(D4626,"*"&amp;'Keyword Search'!$C$5&amp;"*"),TRUE,FALSE)</f>
        <v>1</v>
      </c>
      <c r="G4626" t="str">
        <f t="shared" si="298"/>
        <v>590-28: Hangers, Garment, Including Compostable</v>
      </c>
    </row>
    <row r="4627" spans="1:7" x14ac:dyDescent="0.25">
      <c r="A4627" s="1" t="str">
        <f t="shared" si="299"/>
        <v>590</v>
      </c>
      <c r="B4627" s="1" t="str">
        <f>TEXT(32,"00")</f>
        <v>32</v>
      </c>
      <c r="C4627" s="1" t="str">
        <f t="shared" si="297"/>
        <v>590-32</v>
      </c>
      <c r="D4627" t="s">
        <v>4600</v>
      </c>
      <c r="E4627" t="b">
        <f>IF(COUNTIF(D4627,"*"&amp;'Keyword Search'!$C$5&amp;"*"),TRUE,FALSE)</f>
        <v>1</v>
      </c>
      <c r="G4627" t="str">
        <f t="shared" si="298"/>
        <v>590-32: Hatters' Supplies: Bands, Blocks, Linings, etc.</v>
      </c>
    </row>
    <row r="4628" spans="1:7" x14ac:dyDescent="0.25">
      <c r="A4628" s="1" t="str">
        <f t="shared" si="299"/>
        <v>590</v>
      </c>
      <c r="B4628" s="1" t="str">
        <f>TEXT(36,"00")</f>
        <v>36</v>
      </c>
      <c r="C4628" s="1" t="str">
        <f t="shared" si="297"/>
        <v>590-36</v>
      </c>
      <c r="D4628" t="s">
        <v>4601</v>
      </c>
      <c r="E4628" t="b">
        <f>IF(COUNTIF(D4628,"*"&amp;'Keyword Search'!$C$5&amp;"*"),TRUE,FALSE)</f>
        <v>1</v>
      </c>
      <c r="G4628" t="str">
        <f t="shared" si="298"/>
        <v>590-36: Hooks and Eyes</v>
      </c>
    </row>
    <row r="4629" spans="1:7" x14ac:dyDescent="0.25">
      <c r="A4629" s="1" t="str">
        <f t="shared" si="299"/>
        <v>590</v>
      </c>
      <c r="B4629" s="1" t="str">
        <f>TEXT(37,"00")</f>
        <v>37</v>
      </c>
      <c r="C4629" s="1" t="str">
        <f t="shared" si="297"/>
        <v>590-37</v>
      </c>
      <c r="D4629" t="s">
        <v>4602</v>
      </c>
      <c r="E4629" t="b">
        <f>IF(COUNTIF(D4629,"*"&amp;'Keyword Search'!$C$5&amp;"*"),TRUE,FALSE)</f>
        <v>1</v>
      </c>
      <c r="G4629" t="str">
        <f t="shared" si="298"/>
        <v>590-37: Interlining, Fusible</v>
      </c>
    </row>
    <row r="4630" spans="1:7" x14ac:dyDescent="0.25">
      <c r="A4630" s="1" t="str">
        <f t="shared" si="299"/>
        <v>590</v>
      </c>
      <c r="B4630" s="1" t="str">
        <f>TEXT(38,"00")</f>
        <v>38</v>
      </c>
      <c r="C4630" s="1" t="str">
        <f t="shared" si="297"/>
        <v>590-38</v>
      </c>
      <c r="D4630" t="s">
        <v>4603</v>
      </c>
      <c r="E4630" t="b">
        <f>IF(COUNTIF(D4630,"*"&amp;'Keyword Search'!$C$5&amp;"*"),TRUE,FALSE)</f>
        <v>1</v>
      </c>
      <c r="G4630" t="str">
        <f t="shared" si="298"/>
        <v>590-38: Knitted Cuffs and Collars</v>
      </c>
    </row>
    <row r="4631" spans="1:7" x14ac:dyDescent="0.25">
      <c r="A4631" s="1" t="str">
        <f t="shared" si="299"/>
        <v>590</v>
      </c>
      <c r="B4631" s="1" t="str">
        <f>TEXT(39,"00")</f>
        <v>39</v>
      </c>
      <c r="C4631" s="1" t="str">
        <f t="shared" si="297"/>
        <v>590-39</v>
      </c>
      <c r="D4631" t="s">
        <v>4604</v>
      </c>
      <c r="E4631" t="b">
        <f>IF(COUNTIF(D4631,"*"&amp;'Keyword Search'!$C$5&amp;"*"),TRUE,FALSE)</f>
        <v>1</v>
      </c>
      <c r="G4631" t="str">
        <f t="shared" si="298"/>
        <v>590-39: Labeling Machines, Fabric</v>
      </c>
    </row>
    <row r="4632" spans="1:7" x14ac:dyDescent="0.25">
      <c r="A4632" s="1" t="str">
        <f t="shared" si="299"/>
        <v>590</v>
      </c>
      <c r="B4632" s="1" t="str">
        <f>TEXT(40,"00")</f>
        <v>40</v>
      </c>
      <c r="C4632" s="1" t="str">
        <f t="shared" si="297"/>
        <v>590-40</v>
      </c>
      <c r="D4632" t="s">
        <v>4605</v>
      </c>
      <c r="E4632" t="b">
        <f>IF(COUNTIF(D4632,"*"&amp;'Keyword Search'!$C$5&amp;"*"),TRUE,FALSE)</f>
        <v>1</v>
      </c>
      <c r="G4632" t="str">
        <f t="shared" si="298"/>
        <v>590-40: Labels, Fabric, All Kinds</v>
      </c>
    </row>
    <row r="4633" spans="1:7" x14ac:dyDescent="0.25">
      <c r="A4633" s="1" t="str">
        <f t="shared" si="299"/>
        <v>590</v>
      </c>
      <c r="B4633" s="1" t="str">
        <f>TEXT(42,"00")</f>
        <v>42</v>
      </c>
      <c r="C4633" s="1" t="str">
        <f t="shared" si="297"/>
        <v>590-42</v>
      </c>
      <c r="D4633" t="s">
        <v>4606</v>
      </c>
      <c r="E4633" t="b">
        <f>IF(COUNTIF(D4633,"*"&amp;'Keyword Search'!$C$5&amp;"*"),TRUE,FALSE)</f>
        <v>1</v>
      </c>
      <c r="G4633" t="str">
        <f t="shared" si="298"/>
        <v>590-42: Measuring Devices: Pattern Curves, Sewing Gauges, Tapes, Thread Counters, Yardsticks, etc.</v>
      </c>
    </row>
    <row r="4634" spans="1:7" x14ac:dyDescent="0.25">
      <c r="A4634" s="1" t="str">
        <f t="shared" si="299"/>
        <v>590</v>
      </c>
      <c r="B4634" s="1" t="str">
        <f>TEXT(44,"00")</f>
        <v>44</v>
      </c>
      <c r="C4634" s="1" t="str">
        <f t="shared" si="297"/>
        <v>590-44</v>
      </c>
      <c r="D4634" t="s">
        <v>4607</v>
      </c>
      <c r="E4634" t="b">
        <f>IF(COUNTIF(D4634,"*"&amp;'Keyword Search'!$C$5&amp;"*"),TRUE,FALSE)</f>
        <v>1</v>
      </c>
      <c r="G4634" t="str">
        <f t="shared" si="298"/>
        <v>590-44: Needles, Pins, Thimbles, etc.</v>
      </c>
    </row>
    <row r="4635" spans="1:7" x14ac:dyDescent="0.25">
      <c r="A4635" s="1" t="str">
        <f t="shared" si="299"/>
        <v>590</v>
      </c>
      <c r="B4635" s="1" t="str">
        <f>TEXT(46,"00")</f>
        <v>46</v>
      </c>
      <c r="C4635" s="1" t="str">
        <f t="shared" si="297"/>
        <v>590-46</v>
      </c>
      <c r="D4635" t="s">
        <v>4608</v>
      </c>
      <c r="E4635" t="b">
        <f>IF(COUNTIF(D4635,"*"&amp;'Keyword Search'!$C$5&amp;"*"),TRUE,FALSE)</f>
        <v>1</v>
      </c>
      <c r="G4635" t="str">
        <f t="shared" si="298"/>
        <v>590-46: Paper, Tracing</v>
      </c>
    </row>
    <row r="4636" spans="1:7" x14ac:dyDescent="0.25">
      <c r="A4636" s="1" t="str">
        <f t="shared" si="299"/>
        <v>590</v>
      </c>
      <c r="B4636" s="1" t="str">
        <f>TEXT(48,"00")</f>
        <v>48</v>
      </c>
      <c r="C4636" s="1" t="str">
        <f t="shared" si="297"/>
        <v>590-48</v>
      </c>
      <c r="D4636" t="s">
        <v>4609</v>
      </c>
      <c r="E4636" t="b">
        <f>IF(COUNTIF(D4636,"*"&amp;'Keyword Search'!$C$5&amp;"*"),TRUE,FALSE)</f>
        <v>1</v>
      </c>
      <c r="G4636" t="str">
        <f t="shared" si="298"/>
        <v>590-48: Patterns, Clothing</v>
      </c>
    </row>
    <row r="4637" spans="1:7" x14ac:dyDescent="0.25">
      <c r="A4637" s="1" t="str">
        <f t="shared" si="299"/>
        <v>590</v>
      </c>
      <c r="B4637" s="1" t="str">
        <f>TEXT(50,"00")</f>
        <v>50</v>
      </c>
      <c r="C4637" s="1" t="str">
        <f t="shared" si="297"/>
        <v>590-50</v>
      </c>
      <c r="D4637" t="s">
        <v>4610</v>
      </c>
      <c r="E4637" t="b">
        <f>IF(COUNTIF(D4637,"*"&amp;'Keyword Search'!$C$5&amp;"*"),TRUE,FALSE)</f>
        <v>1</v>
      </c>
      <c r="G4637" t="str">
        <f t="shared" si="298"/>
        <v>590-50: Pressing Aids: Cloths, Seam Rolls, Tailor's Boards, Tailor's Hams, etc.</v>
      </c>
    </row>
    <row r="4638" spans="1:7" x14ac:dyDescent="0.25">
      <c r="A4638" s="1" t="str">
        <f t="shared" si="299"/>
        <v>590</v>
      </c>
      <c r="B4638" s="1" t="str">
        <f>TEXT(51,"00")</f>
        <v>51</v>
      </c>
      <c r="C4638" s="1" t="str">
        <f t="shared" si="297"/>
        <v>590-51</v>
      </c>
      <c r="D4638" t="s">
        <v>4611</v>
      </c>
      <c r="E4638" t="b">
        <f>IF(COUNTIF(D4638,"*"&amp;'Keyword Search'!$C$5&amp;"*"),TRUE,FALSE)</f>
        <v>1</v>
      </c>
      <c r="G4638" t="str">
        <f t="shared" si="298"/>
        <v>590-51: Rick Rack, Flat Braid</v>
      </c>
    </row>
    <row r="4639" spans="1:7" x14ac:dyDescent="0.25">
      <c r="A4639" s="1" t="str">
        <f t="shared" si="299"/>
        <v>590</v>
      </c>
      <c r="B4639" s="1" t="str">
        <f>TEXT(52,"00")</f>
        <v>52</v>
      </c>
      <c r="C4639" s="1" t="str">
        <f t="shared" si="297"/>
        <v>590-52</v>
      </c>
      <c r="D4639" t="s">
        <v>4612</v>
      </c>
      <c r="E4639" t="b">
        <f>IF(COUNTIF(D4639,"*"&amp;'Keyword Search'!$C$5&amp;"*"),TRUE,FALSE)</f>
        <v>1</v>
      </c>
      <c r="G4639" t="str">
        <f t="shared" si="298"/>
        <v>590-52: Scissors: Household, Pinking, Sewing</v>
      </c>
    </row>
    <row r="4640" spans="1:7" x14ac:dyDescent="0.25">
      <c r="A4640" s="1" t="str">
        <f t="shared" si="299"/>
        <v>590</v>
      </c>
      <c r="B4640" s="1" t="str">
        <f>TEXT(56,"00")</f>
        <v>56</v>
      </c>
      <c r="C4640" s="1" t="str">
        <f t="shared" si="297"/>
        <v>590-56</v>
      </c>
      <c r="D4640" t="s">
        <v>4613</v>
      </c>
      <c r="E4640" t="b">
        <f>IF(COUNTIF(D4640,"*"&amp;'Keyword Search'!$C$5&amp;"*"),TRUE,FALSE)</f>
        <v>1</v>
      </c>
      <c r="G4640" t="str">
        <f t="shared" si="298"/>
        <v>590-56: Sewing Accessories: Bound Buttonhole Makers, Palms, Seam Rippers, Sewing Baskets, etc.</v>
      </c>
    </row>
    <row r="4641" spans="1:7" x14ac:dyDescent="0.25">
      <c r="A4641" s="1" t="str">
        <f t="shared" si="299"/>
        <v>590</v>
      </c>
      <c r="B4641" s="1" t="str">
        <f>TEXT(57,"00")</f>
        <v>57</v>
      </c>
      <c r="C4641" s="1" t="str">
        <f t="shared" si="297"/>
        <v>590-57</v>
      </c>
      <c r="D4641" t="s">
        <v>4614</v>
      </c>
      <c r="E4641" t="b">
        <f>IF(COUNTIF(D4641,"*"&amp;'Keyword Search'!$C$5&amp;"*"),TRUE,FALSE)</f>
        <v>1</v>
      </c>
      <c r="G4641" t="str">
        <f t="shared" si="298"/>
        <v>590-57: Sewing Kits, All Kinds</v>
      </c>
    </row>
    <row r="4642" spans="1:7" x14ac:dyDescent="0.25">
      <c r="A4642" s="1" t="str">
        <f t="shared" si="299"/>
        <v>590</v>
      </c>
      <c r="B4642" s="1" t="str">
        <f>TEXT(60,"00")</f>
        <v>60</v>
      </c>
      <c r="C4642" s="1" t="str">
        <f t="shared" si="297"/>
        <v>590-60</v>
      </c>
      <c r="D4642" t="s">
        <v>4615</v>
      </c>
      <c r="E4642" t="b">
        <f>IF(COUNTIF(D4642,"*"&amp;'Keyword Search'!$C$5&amp;"*"),TRUE,FALSE)</f>
        <v>1</v>
      </c>
      <c r="G4642" t="str">
        <f t="shared" si="298"/>
        <v>590-60: Slide Fasteners, Zippers</v>
      </c>
    </row>
    <row r="4643" spans="1:7" x14ac:dyDescent="0.25">
      <c r="A4643" s="1" t="str">
        <f t="shared" si="299"/>
        <v>590</v>
      </c>
      <c r="B4643" s="1" t="str">
        <f>TEXT(62,"00")</f>
        <v>62</v>
      </c>
      <c r="C4643" s="1" t="str">
        <f t="shared" si="297"/>
        <v>590-62</v>
      </c>
      <c r="D4643" t="s">
        <v>4616</v>
      </c>
      <c r="E4643" t="b">
        <f>IF(COUNTIF(D4643,"*"&amp;'Keyword Search'!$C$5&amp;"*"),TRUE,FALSE)</f>
        <v>1</v>
      </c>
      <c r="G4643" t="str">
        <f t="shared" si="298"/>
        <v>590-62: Stays, All Types</v>
      </c>
    </row>
    <row r="4644" spans="1:7" x14ac:dyDescent="0.25">
      <c r="A4644" s="1" t="str">
        <f t="shared" si="299"/>
        <v>590</v>
      </c>
      <c r="B4644" s="1" t="str">
        <f>TEXT(64,"00")</f>
        <v>64</v>
      </c>
      <c r="C4644" s="1" t="str">
        <f t="shared" si="297"/>
        <v>590-64</v>
      </c>
      <c r="D4644" t="s">
        <v>4617</v>
      </c>
      <c r="E4644" t="b">
        <f>IF(COUNTIF(D4644,"*"&amp;'Keyword Search'!$C$5&amp;"*"),TRUE,FALSE)</f>
        <v>1</v>
      </c>
      <c r="G4644" t="str">
        <f t="shared" si="298"/>
        <v>590-64: Tape and Webbing, Elastic</v>
      </c>
    </row>
    <row r="4645" spans="1:7" x14ac:dyDescent="0.25">
      <c r="A4645" s="1" t="str">
        <f t="shared" si="299"/>
        <v>590</v>
      </c>
      <c r="B4645" s="1" t="str">
        <f>TEXT(68,"00")</f>
        <v>68</v>
      </c>
      <c r="C4645" s="1" t="str">
        <f t="shared" si="297"/>
        <v>590-68</v>
      </c>
      <c r="D4645" t="s">
        <v>4618</v>
      </c>
      <c r="E4645" t="b">
        <f>IF(COUNTIF(D4645,"*"&amp;'Keyword Search'!$C$5&amp;"*"),TRUE,FALSE)</f>
        <v>1</v>
      </c>
      <c r="G4645" t="str">
        <f t="shared" si="298"/>
        <v>590-68: Tape, Binding (See 525-30 for Library Binder Tape)</v>
      </c>
    </row>
    <row r="4646" spans="1:7" x14ac:dyDescent="0.25">
      <c r="A4646" s="1" t="str">
        <f t="shared" si="299"/>
        <v>590</v>
      </c>
      <c r="B4646" s="1" t="str">
        <f>TEXT(69,"00")</f>
        <v>69</v>
      </c>
      <c r="C4646" s="1" t="str">
        <f t="shared" si="297"/>
        <v>590-69</v>
      </c>
      <c r="D4646" t="s">
        <v>4619</v>
      </c>
      <c r="E4646" t="b">
        <f>IF(COUNTIF(D4646,"*"&amp;'Keyword Search'!$C$5&amp;"*"),TRUE,FALSE)</f>
        <v>1</v>
      </c>
      <c r="G4646" t="str">
        <f t="shared" si="298"/>
        <v>590-69: Tape, Velcro Type (See 615-89 for Office Type)</v>
      </c>
    </row>
    <row r="4647" spans="1:7" x14ac:dyDescent="0.25">
      <c r="A4647" s="1" t="str">
        <f t="shared" si="299"/>
        <v>590</v>
      </c>
      <c r="B4647" s="1" t="str">
        <f>TEXT(72,"00")</f>
        <v>72</v>
      </c>
      <c r="C4647" s="1" t="str">
        <f t="shared" si="297"/>
        <v>590-72</v>
      </c>
      <c r="D4647" t="s">
        <v>4620</v>
      </c>
      <c r="E4647" t="b">
        <f>IF(COUNTIF(D4647,"*"&amp;'Keyword Search'!$C$5&amp;"*"),TRUE,FALSE)</f>
        <v>1</v>
      </c>
      <c r="G4647" t="str">
        <f t="shared" si="298"/>
        <v>590-72: Thread, Embroidery, Crewel</v>
      </c>
    </row>
    <row r="4648" spans="1:7" x14ac:dyDescent="0.25">
      <c r="A4648" s="1" t="str">
        <f t="shared" si="299"/>
        <v>590</v>
      </c>
      <c r="B4648" s="1" t="str">
        <f>TEXT(76,"00")</f>
        <v>76</v>
      </c>
      <c r="C4648" s="1" t="str">
        <f t="shared" si="297"/>
        <v>590-76</v>
      </c>
      <c r="D4648" t="s">
        <v>4621</v>
      </c>
      <c r="E4648" t="b">
        <f>IF(COUNTIF(D4648,"*"&amp;'Keyword Search'!$C$5&amp;"*"),TRUE,FALSE)</f>
        <v>1</v>
      </c>
      <c r="G4648" t="str">
        <f t="shared" si="298"/>
        <v>590-76: Thread, Sewing, Commercial, Not Shoe Stitching)</v>
      </c>
    </row>
    <row r="4649" spans="1:7" x14ac:dyDescent="0.25">
      <c r="A4649" s="1" t="str">
        <f t="shared" si="299"/>
        <v>590</v>
      </c>
      <c r="B4649" s="1" t="str">
        <f>TEXT(80,"00")</f>
        <v>80</v>
      </c>
      <c r="C4649" s="1" t="str">
        <f t="shared" si="297"/>
        <v>590-80</v>
      </c>
      <c r="D4649" t="s">
        <v>4622</v>
      </c>
      <c r="E4649" t="b">
        <f>IF(COUNTIF(D4649,"*"&amp;'Keyword Search'!$C$5&amp;"*"),TRUE,FALSE)</f>
        <v>1</v>
      </c>
      <c r="G4649" t="str">
        <f t="shared" si="298"/>
        <v>590-80: Thread, Sewing, Domestic</v>
      </c>
    </row>
    <row r="4650" spans="1:7" x14ac:dyDescent="0.25">
      <c r="A4650" s="1" t="str">
        <f t="shared" si="299"/>
        <v>590</v>
      </c>
      <c r="B4650" s="1" t="str">
        <f>TEXT(84,"00")</f>
        <v>84</v>
      </c>
      <c r="C4650" s="1" t="str">
        <f t="shared" si="297"/>
        <v>590-84</v>
      </c>
      <c r="D4650" t="s">
        <v>4623</v>
      </c>
      <c r="E4650" t="b">
        <f>IF(COUNTIF(D4650,"*"&amp;'Keyword Search'!$C$5&amp;"*"),TRUE,FALSE)</f>
        <v>1</v>
      </c>
      <c r="G4650" t="str">
        <f t="shared" si="298"/>
        <v>590-84: Webbing, Not Elastic</v>
      </c>
    </row>
    <row r="4651" spans="1:7" x14ac:dyDescent="0.25">
      <c r="A4651" s="1" t="str">
        <f t="shared" si="299"/>
        <v>590</v>
      </c>
      <c r="B4651" s="1" t="str">
        <f>TEXT(88,"00")</f>
        <v>88</v>
      </c>
      <c r="C4651" s="1" t="str">
        <f t="shared" si="297"/>
        <v>590-88</v>
      </c>
      <c r="D4651" t="s">
        <v>4624</v>
      </c>
      <c r="E4651" t="b">
        <f>IF(COUNTIF(D4651,"*"&amp;'Keyword Search'!$C$5&amp;"*"),TRUE,FALSE)</f>
        <v>1</v>
      </c>
      <c r="G4651" t="str">
        <f t="shared" si="298"/>
        <v>590-88: Yarn, Knitting</v>
      </c>
    </row>
    <row r="4652" spans="1:7" x14ac:dyDescent="0.25">
      <c r="A4652" s="1" t="str">
        <f t="shared" si="299"/>
        <v>590</v>
      </c>
      <c r="B4652" s="1" t="str">
        <f>TEXT(95,"00")</f>
        <v>95</v>
      </c>
      <c r="C4652" s="1" t="str">
        <f t="shared" si="297"/>
        <v>590-95</v>
      </c>
      <c r="D4652" t="s">
        <v>4625</v>
      </c>
      <c r="E4652" t="b">
        <f>IF(COUNTIF(D4652,"*"&amp;'Keyword Search'!$C$5&amp;"*"),TRUE,FALSE)</f>
        <v>1</v>
      </c>
      <c r="G4652" t="str">
        <f t="shared" si="298"/>
        <v>590-95: Recycled Notions and Related Sewing Accessories and Supplies</v>
      </c>
    </row>
    <row r="4653" spans="1:7" x14ac:dyDescent="0.25">
      <c r="A4653" s="5" t="str">
        <f t="shared" ref="A4653:A4663" si="300">TEXT(593,"000")</f>
        <v>593</v>
      </c>
      <c r="B4653" s="5" t="str">
        <f>TEXT(0,"00")</f>
        <v>00</v>
      </c>
      <c r="C4653" s="1"/>
      <c r="D4653" s="2" t="s">
        <v>4626</v>
      </c>
    </row>
    <row r="4654" spans="1:7" x14ac:dyDescent="0.25">
      <c r="A4654" s="1" t="str">
        <f t="shared" si="300"/>
        <v>593</v>
      </c>
      <c r="B4654" s="1" t="str">
        <f>TEXT(39,"00")</f>
        <v>39</v>
      </c>
      <c r="C4654" s="1" t="str">
        <f t="shared" si="297"/>
        <v>593-39</v>
      </c>
      <c r="D4654" t="s">
        <v>4627</v>
      </c>
      <c r="E4654" t="b">
        <f>IF(COUNTIF(D4654,"*"&amp;'Keyword Search'!$C$5&amp;"*"),TRUE,FALSE)</f>
        <v>1</v>
      </c>
      <c r="G4654" t="str">
        <f t="shared" si="298"/>
        <v>593-39: Fuel, Fission</v>
      </c>
    </row>
    <row r="4655" spans="1:7" x14ac:dyDescent="0.25">
      <c r="A4655" s="1" t="str">
        <f t="shared" si="300"/>
        <v>593</v>
      </c>
      <c r="B4655" s="1" t="str">
        <f>TEXT(40,"00")</f>
        <v>40</v>
      </c>
      <c r="C4655" s="1" t="str">
        <f t="shared" si="297"/>
        <v>593-40</v>
      </c>
      <c r="D4655" t="s">
        <v>4628</v>
      </c>
      <c r="E4655" t="b">
        <f>IF(COUNTIF(D4655,"*"&amp;'Keyword Search'!$C$5&amp;"*"),TRUE,FALSE)</f>
        <v>1</v>
      </c>
      <c r="G4655" t="str">
        <f t="shared" si="298"/>
        <v>593-40: Fuel Equipment, Nuclear</v>
      </c>
    </row>
    <row r="4656" spans="1:7" x14ac:dyDescent="0.25">
      <c r="A4656" s="1" t="str">
        <f t="shared" si="300"/>
        <v>593</v>
      </c>
      <c r="B4656" s="1" t="str">
        <f>TEXT(41,"00")</f>
        <v>41</v>
      </c>
      <c r="C4656" s="1" t="str">
        <f t="shared" si="297"/>
        <v>593-41</v>
      </c>
      <c r="D4656" t="s">
        <v>4629</v>
      </c>
      <c r="E4656" t="b">
        <f>IF(COUNTIF(D4656,"*"&amp;'Keyword Search'!$C$5&amp;"*"),TRUE,FALSE)</f>
        <v>1</v>
      </c>
      <c r="G4656" t="str">
        <f t="shared" si="298"/>
        <v>593-41: Fuel, Reactors: Uranium, Iridium, Plutonium</v>
      </c>
    </row>
    <row r="4657" spans="1:7" x14ac:dyDescent="0.25">
      <c r="A4657" s="1" t="str">
        <f t="shared" si="300"/>
        <v>593</v>
      </c>
      <c r="B4657" s="1" t="str">
        <f>TEXT(47,"00")</f>
        <v>47</v>
      </c>
      <c r="C4657" s="1" t="str">
        <f t="shared" si="297"/>
        <v>593-47</v>
      </c>
      <c r="D4657" t="s">
        <v>4630</v>
      </c>
      <c r="E4657" t="b">
        <f>IF(COUNTIF(D4657,"*"&amp;'Keyword Search'!$C$5&amp;"*"),TRUE,FALSE)</f>
        <v>1</v>
      </c>
      <c r="G4657" t="str">
        <f t="shared" si="298"/>
        <v>593-47: Industrial Nucleonic Instruments</v>
      </c>
    </row>
    <row r="4658" spans="1:7" x14ac:dyDescent="0.25">
      <c r="A4658" s="1" t="str">
        <f t="shared" si="300"/>
        <v>593</v>
      </c>
      <c r="B4658" s="1" t="str">
        <f>TEXT(48,"00")</f>
        <v>48</v>
      </c>
      <c r="C4658" s="1" t="str">
        <f t="shared" si="297"/>
        <v>593-48</v>
      </c>
      <c r="D4658" t="s">
        <v>4631</v>
      </c>
      <c r="E4658" t="b">
        <f>IF(COUNTIF(D4658,"*"&amp;'Keyword Search'!$C$5&amp;"*"),TRUE,FALSE)</f>
        <v>1</v>
      </c>
      <c r="G4658" t="str">
        <f t="shared" si="298"/>
        <v>593-48: Irradiation Equipment, Atomic or Nuclear Energy</v>
      </c>
    </row>
    <row r="4659" spans="1:7" x14ac:dyDescent="0.25">
      <c r="A4659" s="1" t="str">
        <f t="shared" si="300"/>
        <v>593</v>
      </c>
      <c r="B4659" s="1" t="str">
        <f>TEXT(50,"00")</f>
        <v>50</v>
      </c>
      <c r="C4659" s="1" t="str">
        <f t="shared" si="297"/>
        <v>593-50</v>
      </c>
      <c r="D4659" t="s">
        <v>4632</v>
      </c>
      <c r="E4659" t="b">
        <f>IF(COUNTIF(D4659,"*"&amp;'Keyword Search'!$C$5&amp;"*"),TRUE,FALSE)</f>
        <v>1</v>
      </c>
      <c r="G4659" t="str">
        <f t="shared" si="298"/>
        <v>593-50: Nuclear Energy Machinery and Equipment: Subcritical Assy., Dosimetry Equipment, Hot Cell Devices,  etc.</v>
      </c>
    </row>
    <row r="4660" spans="1:7" x14ac:dyDescent="0.25">
      <c r="A4660" s="1" t="str">
        <f t="shared" si="300"/>
        <v>593</v>
      </c>
      <c r="B4660" s="1" t="str">
        <f>TEXT(64,"00")</f>
        <v>64</v>
      </c>
      <c r="C4660" s="1" t="str">
        <f t="shared" si="297"/>
        <v>593-64</v>
      </c>
      <c r="D4660" t="s">
        <v>4633</v>
      </c>
      <c r="E4660" t="b">
        <f>IF(COUNTIF(D4660,"*"&amp;'Keyword Search'!$C$5&amp;"*"),TRUE,FALSE)</f>
        <v>1</v>
      </c>
      <c r="G4660" t="str">
        <f t="shared" si="298"/>
        <v>593-64: Reactor Equipment, Nuclear</v>
      </c>
    </row>
    <row r="4661" spans="1:7" x14ac:dyDescent="0.25">
      <c r="A4661" s="1" t="str">
        <f t="shared" si="300"/>
        <v>593</v>
      </c>
      <c r="B4661" s="1" t="str">
        <f>TEXT(67,"00")</f>
        <v>67</v>
      </c>
      <c r="C4661" s="1" t="str">
        <f t="shared" si="297"/>
        <v>593-67</v>
      </c>
      <c r="D4661" t="s">
        <v>4634</v>
      </c>
      <c r="E4661" t="b">
        <f>IF(COUNTIF(D4661,"*"&amp;'Keyword Search'!$C$5&amp;"*"),TRUE,FALSE)</f>
        <v>1</v>
      </c>
      <c r="G4661" t="str">
        <f t="shared" si="298"/>
        <v>593-67: Refurbished  Nuclear Equipment, Components, Accessories, and Supplies</v>
      </c>
    </row>
    <row r="4662" spans="1:7" x14ac:dyDescent="0.25">
      <c r="A4662" s="1" t="str">
        <f t="shared" si="300"/>
        <v>593</v>
      </c>
      <c r="B4662" s="1" t="str">
        <f>TEXT(74,"00")</f>
        <v>74</v>
      </c>
      <c r="C4662" s="1" t="str">
        <f t="shared" si="297"/>
        <v>593-74</v>
      </c>
      <c r="D4662" t="s">
        <v>4635</v>
      </c>
      <c r="E4662" t="b">
        <f>IF(COUNTIF(D4662,"*"&amp;'Keyword Search'!$C$5&amp;"*"),TRUE,FALSE)</f>
        <v>1</v>
      </c>
      <c r="G4662" t="str">
        <f t="shared" si="298"/>
        <v>593-74: Shielding Equipment, Radiation</v>
      </c>
    </row>
    <row r="4663" spans="1:7" x14ac:dyDescent="0.25">
      <c r="A4663" s="1" t="str">
        <f t="shared" si="300"/>
        <v>593</v>
      </c>
      <c r="B4663" s="1" t="str">
        <f>TEXT(90,"00")</f>
        <v>90</v>
      </c>
      <c r="C4663" s="1" t="str">
        <f t="shared" si="297"/>
        <v>593-90</v>
      </c>
      <c r="D4663" t="s">
        <v>4636</v>
      </c>
      <c r="E4663" t="b">
        <f>IF(COUNTIF(D4663,"*"&amp;'Keyword Search'!$C$5&amp;"*"),TRUE,FALSE)</f>
        <v>1</v>
      </c>
      <c r="G4663" t="str">
        <f t="shared" si="298"/>
        <v>593-90: Waste Collection Equipment, Radioactive</v>
      </c>
    </row>
    <row r="4664" spans="1:7" x14ac:dyDescent="0.25">
      <c r="A4664" s="5" t="str">
        <f t="shared" ref="A4664:A4698" si="301">TEXT(595,"000")</f>
        <v>595</v>
      </c>
      <c r="B4664" s="5" t="str">
        <f>TEXT(0,"00")</f>
        <v>00</v>
      </c>
      <c r="C4664" s="1"/>
      <c r="D4664" s="2" t="s">
        <v>4637</v>
      </c>
    </row>
    <row r="4665" spans="1:7" x14ac:dyDescent="0.25">
      <c r="A4665" s="1" t="str">
        <f t="shared" si="301"/>
        <v>595</v>
      </c>
      <c r="B4665" s="1" t="str">
        <f>TEXT(6,"00")</f>
        <v>06</v>
      </c>
      <c r="C4665" s="1" t="str">
        <f t="shared" si="297"/>
        <v>595-06</v>
      </c>
      <c r="D4665" t="s">
        <v>4638</v>
      </c>
      <c r="E4665" t="b">
        <f>IF(COUNTIF(D4665,"*"&amp;'Keyword Search'!$C$5&amp;"*"),TRUE,FALSE)</f>
        <v>1</v>
      </c>
      <c r="G4665" t="str">
        <f t="shared" si="298"/>
        <v>595-06: Bamboo, Cane, Rattan, Reed, etc.</v>
      </c>
    </row>
    <row r="4666" spans="1:7" x14ac:dyDescent="0.25">
      <c r="A4666" s="1" t="str">
        <f t="shared" si="301"/>
        <v>595</v>
      </c>
      <c r="B4666" s="1" t="str">
        <f>TEXT(7,"00")</f>
        <v>07</v>
      </c>
      <c r="C4666" s="1" t="str">
        <f t="shared" si="297"/>
        <v>595-07</v>
      </c>
      <c r="D4666" t="s">
        <v>4639</v>
      </c>
      <c r="E4666" t="b">
        <f>IF(COUNTIF(D4666,"*"&amp;'Keyword Search'!$C$5&amp;"*"),TRUE,FALSE)</f>
        <v>1</v>
      </c>
      <c r="G4666" t="str">
        <f t="shared" si="298"/>
        <v>595-07: Aquatic Plants</v>
      </c>
    </row>
    <row r="4667" spans="1:7" x14ac:dyDescent="0.25">
      <c r="A4667" s="1" t="str">
        <f t="shared" si="301"/>
        <v>595</v>
      </c>
      <c r="B4667" s="1" t="str">
        <f>TEXT(10,"00")</f>
        <v>10</v>
      </c>
      <c r="C4667" s="1" t="str">
        <f t="shared" si="297"/>
        <v>595-10</v>
      </c>
      <c r="D4667" t="s">
        <v>4640</v>
      </c>
      <c r="E4667" t="b">
        <f>IF(COUNTIF(D4667,"*"&amp;'Keyword Search'!$C$5&amp;"*"),TRUE,FALSE)</f>
        <v>1</v>
      </c>
      <c r="G4667" t="str">
        <f t="shared" si="298"/>
        <v>595-10: Bedding Plants and Cuttings</v>
      </c>
    </row>
    <row r="4668" spans="1:7" x14ac:dyDescent="0.25">
      <c r="A4668" s="1" t="str">
        <f t="shared" si="301"/>
        <v>595</v>
      </c>
      <c r="B4668" s="1" t="str">
        <f>TEXT(15,"00")</f>
        <v>15</v>
      </c>
      <c r="C4668" s="1" t="str">
        <f t="shared" si="297"/>
        <v>595-15</v>
      </c>
      <c r="D4668" t="s">
        <v>4641</v>
      </c>
      <c r="E4668" t="b">
        <f>IF(COUNTIF(D4668,"*"&amp;'Keyword Search'!$C$5&amp;"*"),TRUE,FALSE)</f>
        <v>1</v>
      </c>
      <c r="G4668" t="str">
        <f t="shared" si="298"/>
        <v>595-15: Bulbs and Seeds, Including Flower Seeds</v>
      </c>
    </row>
    <row r="4669" spans="1:7" x14ac:dyDescent="0.25">
      <c r="A4669" s="1" t="str">
        <f t="shared" si="301"/>
        <v>595</v>
      </c>
      <c r="B4669" s="1" t="str">
        <f>TEXT(26,"00")</f>
        <v>26</v>
      </c>
      <c r="C4669" s="1" t="str">
        <f t="shared" si="297"/>
        <v>595-26</v>
      </c>
      <c r="D4669" t="s">
        <v>4642</v>
      </c>
      <c r="E4669" t="b">
        <f>IF(COUNTIF(D4669,"*"&amp;'Keyword Search'!$C$5&amp;"*"),TRUE,FALSE)</f>
        <v>1</v>
      </c>
      <c r="G4669" t="str">
        <f t="shared" si="298"/>
        <v>595-26: Edging, Lawn</v>
      </c>
    </row>
    <row r="4670" spans="1:7" x14ac:dyDescent="0.25">
      <c r="A4670" s="1" t="str">
        <f t="shared" si="301"/>
        <v>595</v>
      </c>
      <c r="B4670" s="1" t="str">
        <f>TEXT(28,"00")</f>
        <v>28</v>
      </c>
      <c r="C4670" s="1" t="str">
        <f t="shared" si="297"/>
        <v>595-28</v>
      </c>
      <c r="D4670" t="s">
        <v>4643</v>
      </c>
      <c r="E4670" t="b">
        <f>IF(COUNTIF(D4670,"*"&amp;'Keyword Search'!$C$5&amp;"*"),TRUE,FALSE)</f>
        <v>1</v>
      </c>
      <c r="G4670" t="str">
        <f t="shared" si="298"/>
        <v>595-28: Flowers, Fresh</v>
      </c>
    </row>
    <row r="4671" spans="1:7" x14ac:dyDescent="0.25">
      <c r="A4671" s="1" t="str">
        <f t="shared" si="301"/>
        <v>595</v>
      </c>
      <c r="B4671" s="1" t="str">
        <f>TEXT(30,"00")</f>
        <v>30</v>
      </c>
      <c r="C4671" s="1" t="str">
        <f t="shared" si="297"/>
        <v>595-30</v>
      </c>
      <c r="D4671" t="s">
        <v>4644</v>
      </c>
      <c r="E4671" t="b">
        <f>IF(COUNTIF(D4671,"*"&amp;'Keyword Search'!$C$5&amp;"*"),TRUE,FALSE)</f>
        <v>1</v>
      </c>
      <c r="G4671" t="str">
        <f t="shared" si="298"/>
        <v>595-30: Fountains, Statues and Other Decorative Lawn and Garden Items</v>
      </c>
    </row>
    <row r="4672" spans="1:7" x14ac:dyDescent="0.25">
      <c r="A4672" s="1" t="str">
        <f t="shared" si="301"/>
        <v>595</v>
      </c>
      <c r="B4672" s="1" t="str">
        <f>TEXT(33,"00")</f>
        <v>33</v>
      </c>
      <c r="C4672" s="1" t="str">
        <f t="shared" si="297"/>
        <v>595-33</v>
      </c>
      <c r="D4672" t="s">
        <v>4645</v>
      </c>
      <c r="E4672" t="b">
        <f>IF(COUNTIF(D4672,"*"&amp;'Keyword Search'!$C$5&amp;"*"),TRUE,FALSE)</f>
        <v>1</v>
      </c>
      <c r="G4672" t="str">
        <f t="shared" si="298"/>
        <v>595-33: Grates, Guards, and Other Protective Devices For Trees and Shrubs</v>
      </c>
    </row>
    <row r="4673" spans="1:7" x14ac:dyDescent="0.25">
      <c r="A4673" s="1" t="str">
        <f t="shared" si="301"/>
        <v>595</v>
      </c>
      <c r="B4673" s="1" t="str">
        <f>TEXT(35,"00")</f>
        <v>35</v>
      </c>
      <c r="C4673" s="1" t="str">
        <f t="shared" si="297"/>
        <v>595-35</v>
      </c>
      <c r="D4673" t="s">
        <v>4646</v>
      </c>
      <c r="E4673" t="b">
        <f>IF(COUNTIF(D4673,"*"&amp;'Keyword Search'!$C$5&amp;"*"),TRUE,FALSE)</f>
        <v>1</v>
      </c>
      <c r="G4673" t="str">
        <f t="shared" si="298"/>
        <v>595-35: Groundcovers and Vines</v>
      </c>
    </row>
    <row r="4674" spans="1:7" x14ac:dyDescent="0.25">
      <c r="A4674" s="1" t="str">
        <f t="shared" si="301"/>
        <v>595</v>
      </c>
      <c r="B4674" s="1" t="str">
        <f>TEXT(37,"00")</f>
        <v>37</v>
      </c>
      <c r="C4674" s="1" t="str">
        <f t="shared" si="297"/>
        <v>595-37</v>
      </c>
      <c r="D4674" t="s">
        <v>4647</v>
      </c>
      <c r="E4674" t="b">
        <f>IF(COUNTIF(D4674,"*"&amp;'Keyword Search'!$C$5&amp;"*"),TRUE,FALSE)</f>
        <v>1</v>
      </c>
      <c r="G4674" t="str">
        <f t="shared" si="298"/>
        <v>595-37: Horticultural Specialties, Including Ornamental Floriculture Products</v>
      </c>
    </row>
    <row r="4675" spans="1:7" x14ac:dyDescent="0.25">
      <c r="A4675" s="1" t="str">
        <f t="shared" si="301"/>
        <v>595</v>
      </c>
      <c r="B4675" s="1" t="str">
        <f>TEXT(38,"00")</f>
        <v>38</v>
      </c>
      <c r="C4675" s="1" t="str">
        <f t="shared" ref="C4675:C4738" si="302">CONCATENATE(A4675,"-",B4675)</f>
        <v>595-38</v>
      </c>
      <c r="D4675" t="s">
        <v>4648</v>
      </c>
      <c r="E4675" t="b">
        <f>IF(COUNTIF(D4675,"*"&amp;'Keyword Search'!$C$5&amp;"*"),TRUE,FALSE)</f>
        <v>1</v>
      </c>
      <c r="G4675" t="str">
        <f t="shared" si="298"/>
        <v>595-38: Mulch, Pine Straw</v>
      </c>
    </row>
    <row r="4676" spans="1:7" x14ac:dyDescent="0.25">
      <c r="A4676" s="1" t="str">
        <f t="shared" si="301"/>
        <v>595</v>
      </c>
      <c r="B4676" s="1" t="str">
        <f>TEXT(40,"00")</f>
        <v>40</v>
      </c>
      <c r="C4676" s="1" t="str">
        <f t="shared" si="302"/>
        <v>595-40</v>
      </c>
      <c r="D4676" t="s">
        <v>4649</v>
      </c>
      <c r="E4676" t="b">
        <f>IF(COUNTIF(D4676,"*"&amp;'Keyword Search'!$C$5&amp;"*"),TRUE,FALSE)</f>
        <v>1</v>
      </c>
      <c r="G4676" t="str">
        <f t="shared" ref="G4676:G4739" si="303">CONCATENATE(C4676,": ",D4676)</f>
        <v>595-40: Nursery, Greenhouse and Floral Supplies: Labels, Planters, Pots, Tags, Trellises, etc.</v>
      </c>
    </row>
    <row r="4677" spans="1:7" x14ac:dyDescent="0.25">
      <c r="A4677" s="1" t="str">
        <f t="shared" si="301"/>
        <v>595</v>
      </c>
      <c r="B4677" s="1" t="str">
        <f>TEXT(50,"00")</f>
        <v>50</v>
      </c>
      <c r="C4677" s="1" t="str">
        <f t="shared" si="302"/>
        <v>595-50</v>
      </c>
      <c r="D4677" t="s">
        <v>4650</v>
      </c>
      <c r="E4677" t="b">
        <f>IF(COUNTIF(D4677,"*"&amp;'Keyword Search'!$C$5&amp;"*"),TRUE,FALSE)</f>
        <v>1</v>
      </c>
      <c r="G4677" t="str">
        <f t="shared" si="303"/>
        <v>595-50: Peat Moss</v>
      </c>
    </row>
    <row r="4678" spans="1:7" x14ac:dyDescent="0.25">
      <c r="A4678" s="1" t="str">
        <f t="shared" si="301"/>
        <v>595</v>
      </c>
      <c r="B4678" s="1" t="str">
        <f>TEXT(52,"00")</f>
        <v>52</v>
      </c>
      <c r="C4678" s="1" t="str">
        <f t="shared" si="302"/>
        <v>595-52</v>
      </c>
      <c r="D4678" t="s">
        <v>4651</v>
      </c>
      <c r="E4678" t="b">
        <f>IF(COUNTIF(D4678,"*"&amp;'Keyword Search'!$C$5&amp;"*"),TRUE,FALSE)</f>
        <v>1</v>
      </c>
      <c r="G4678" t="str">
        <f t="shared" si="303"/>
        <v>595-52: Perennials</v>
      </c>
    </row>
    <row r="4679" spans="1:7" x14ac:dyDescent="0.25">
      <c r="A4679" s="1" t="str">
        <f t="shared" si="301"/>
        <v>595</v>
      </c>
      <c r="B4679" s="1" t="str">
        <f>TEXT(55,"00")</f>
        <v>55</v>
      </c>
      <c r="C4679" s="1" t="str">
        <f t="shared" si="302"/>
        <v>595-55</v>
      </c>
      <c r="D4679" t="s">
        <v>4652</v>
      </c>
      <c r="E4679" t="b">
        <f>IF(COUNTIF(D4679,"*"&amp;'Keyword Search'!$C$5&amp;"*"),TRUE,FALSE)</f>
        <v>1</v>
      </c>
      <c r="G4679" t="str">
        <f t="shared" si="303"/>
        <v>595-55: Plant Foods, Not Fertilizer</v>
      </c>
    </row>
    <row r="4680" spans="1:7" x14ac:dyDescent="0.25">
      <c r="A4680" s="1" t="str">
        <f t="shared" si="301"/>
        <v>595</v>
      </c>
      <c r="B4680" s="1" t="str">
        <f>TEXT(57,"00")</f>
        <v>57</v>
      </c>
      <c r="C4680" s="1" t="str">
        <f t="shared" si="302"/>
        <v>595-57</v>
      </c>
      <c r="D4680" t="s">
        <v>4653</v>
      </c>
      <c r="E4680" t="b">
        <f>IF(COUNTIF(D4680,"*"&amp;'Keyword Search'!$C$5&amp;"*"),TRUE,FALSE)</f>
        <v>1</v>
      </c>
      <c r="G4680" t="str">
        <f t="shared" si="303"/>
        <v>595-57: Plants, Non-Flowering</v>
      </c>
    </row>
    <row r="4681" spans="1:7" x14ac:dyDescent="0.25">
      <c r="A4681" s="1" t="str">
        <f t="shared" si="301"/>
        <v>595</v>
      </c>
      <c r="B4681" s="1" t="str">
        <f>TEXT(58,"00")</f>
        <v>58</v>
      </c>
      <c r="C4681" s="1" t="str">
        <f t="shared" si="302"/>
        <v>595-58</v>
      </c>
      <c r="D4681" t="s">
        <v>4654</v>
      </c>
      <c r="E4681" t="b">
        <f>IF(COUNTIF(D4681,"*"&amp;'Keyword Search'!$C$5&amp;"*"),TRUE,FALSE)</f>
        <v>1</v>
      </c>
      <c r="G4681" t="str">
        <f t="shared" si="303"/>
        <v>595-58: Plant Shine</v>
      </c>
    </row>
    <row r="4682" spans="1:7" x14ac:dyDescent="0.25">
      <c r="A4682" s="1" t="str">
        <f t="shared" si="301"/>
        <v>595</v>
      </c>
      <c r="B4682" s="1" t="str">
        <f>TEXT(59,"00")</f>
        <v>59</v>
      </c>
      <c r="C4682" s="1" t="str">
        <f t="shared" si="302"/>
        <v>595-59</v>
      </c>
      <c r="D4682" t="s">
        <v>4655</v>
      </c>
      <c r="E4682" t="b">
        <f>IF(COUNTIF(D4682,"*"&amp;'Keyword Search'!$C$5&amp;"*"),TRUE,FALSE)</f>
        <v>1</v>
      </c>
      <c r="G4682" t="str">
        <f t="shared" si="303"/>
        <v>595-59: Plants, Herb</v>
      </c>
    </row>
    <row r="4683" spans="1:7" x14ac:dyDescent="0.25">
      <c r="A4683" s="1" t="str">
        <f t="shared" si="301"/>
        <v>595</v>
      </c>
      <c r="B4683" s="1" t="str">
        <f>TEXT(60,"00")</f>
        <v>60</v>
      </c>
      <c r="C4683" s="1" t="str">
        <f t="shared" si="302"/>
        <v>595-60</v>
      </c>
      <c r="D4683" t="s">
        <v>4656</v>
      </c>
      <c r="E4683" t="b">
        <f>IF(COUNTIF(D4683,"*"&amp;'Keyword Search'!$C$5&amp;"*"),TRUE,FALSE)</f>
        <v>1</v>
      </c>
      <c r="G4683" t="str">
        <f t="shared" si="303"/>
        <v>595-60: Plant Sprayers and Respirators, Plant Propagation Mats, etc., Including Parts and Accessories</v>
      </c>
    </row>
    <row r="4684" spans="1:7" x14ac:dyDescent="0.25">
      <c r="A4684" s="1" t="str">
        <f t="shared" si="301"/>
        <v>595</v>
      </c>
      <c r="B4684" s="1" t="str">
        <f>TEXT(61,"00")</f>
        <v>61</v>
      </c>
      <c r="C4684" s="1" t="str">
        <f t="shared" si="302"/>
        <v>595-61</v>
      </c>
      <c r="D4684" t="s">
        <v>4657</v>
      </c>
      <c r="E4684" t="b">
        <f>IF(COUNTIF(D4684,"*"&amp;'Keyword Search'!$C$5&amp;"*"),TRUE,FALSE)</f>
        <v>1</v>
      </c>
      <c r="G4684" t="str">
        <f t="shared" si="303"/>
        <v>595-61: Plants, Indoor</v>
      </c>
    </row>
    <row r="4685" spans="1:7" x14ac:dyDescent="0.25">
      <c r="A4685" s="1" t="str">
        <f t="shared" si="301"/>
        <v>595</v>
      </c>
      <c r="B4685" s="1" t="str">
        <f>TEXT(62,"00")</f>
        <v>62</v>
      </c>
      <c r="C4685" s="1" t="str">
        <f t="shared" si="302"/>
        <v>595-62</v>
      </c>
      <c r="D4685" t="s">
        <v>4658</v>
      </c>
      <c r="E4685" t="b">
        <f>IF(COUNTIF(D4685,"*"&amp;'Keyword Search'!$C$5&amp;"*"),TRUE,FALSE)</f>
        <v>1</v>
      </c>
      <c r="G4685" t="str">
        <f t="shared" si="303"/>
        <v>595-62: Recycled Nursery Equipment, Including Parts and Accessories</v>
      </c>
    </row>
    <row r="4686" spans="1:7" x14ac:dyDescent="0.25">
      <c r="A4686" s="1" t="str">
        <f t="shared" si="301"/>
        <v>595</v>
      </c>
      <c r="B4686" s="1" t="str">
        <f>TEXT(63,"00")</f>
        <v>63</v>
      </c>
      <c r="C4686" s="1" t="str">
        <f t="shared" si="302"/>
        <v>595-63</v>
      </c>
      <c r="D4686" t="s">
        <v>4659</v>
      </c>
      <c r="E4686" t="b">
        <f>IF(COUNTIF(D4686,"*"&amp;'Keyword Search'!$C$5&amp;"*"),TRUE,FALSE)</f>
        <v>1</v>
      </c>
      <c r="G4686" t="str">
        <f t="shared" si="303"/>
        <v>595-63: Rocks, Ornamental and Decorative</v>
      </c>
    </row>
    <row r="4687" spans="1:7" x14ac:dyDescent="0.25">
      <c r="A4687" s="1" t="str">
        <f t="shared" si="301"/>
        <v>595</v>
      </c>
      <c r="B4687" s="1" t="str">
        <f>TEXT(65,"00")</f>
        <v>65</v>
      </c>
      <c r="C4687" s="1" t="str">
        <f t="shared" si="302"/>
        <v>595-65</v>
      </c>
      <c r="D4687" t="s">
        <v>4660</v>
      </c>
      <c r="E4687" t="b">
        <f>IF(COUNTIF(D4687,"*"&amp;'Keyword Search'!$C$5&amp;"*"),TRUE,FALSE)</f>
        <v>1</v>
      </c>
      <c r="G4687" t="str">
        <f t="shared" si="303"/>
        <v>595-65: Shrubbery, Evergreen</v>
      </c>
    </row>
    <row r="4688" spans="1:7" x14ac:dyDescent="0.25">
      <c r="A4688" s="1" t="str">
        <f t="shared" si="301"/>
        <v>595</v>
      </c>
      <c r="B4688" s="1" t="str">
        <f>TEXT(66,"00")</f>
        <v>66</v>
      </c>
      <c r="C4688" s="1" t="str">
        <f t="shared" si="302"/>
        <v>595-66</v>
      </c>
      <c r="D4688" t="s">
        <v>4661</v>
      </c>
      <c r="E4688" t="b">
        <f>IF(COUNTIF(D4688,"*"&amp;'Keyword Search'!$C$5&amp;"*"),TRUE,FALSE)</f>
        <v>1</v>
      </c>
      <c r="G4688" t="str">
        <f t="shared" si="303"/>
        <v>595-66: Shrubbery, Flowering</v>
      </c>
    </row>
    <row r="4689" spans="1:7" x14ac:dyDescent="0.25">
      <c r="A4689" s="1" t="str">
        <f t="shared" si="301"/>
        <v>595</v>
      </c>
      <c r="B4689" s="1" t="str">
        <f>TEXT(68,"00")</f>
        <v>68</v>
      </c>
      <c r="C4689" s="1" t="str">
        <f t="shared" si="302"/>
        <v>595-68</v>
      </c>
      <c r="D4689" t="s">
        <v>4662</v>
      </c>
      <c r="E4689" t="b">
        <f>IF(COUNTIF(D4689,"*"&amp;'Keyword Search'!$C$5&amp;"*"),TRUE,FALSE)</f>
        <v>1</v>
      </c>
      <c r="G4689" t="str">
        <f t="shared" si="303"/>
        <v>595-68: Terrariums</v>
      </c>
    </row>
    <row r="4690" spans="1:7" x14ac:dyDescent="0.25">
      <c r="A4690" s="1" t="str">
        <f t="shared" si="301"/>
        <v>595</v>
      </c>
      <c r="B4690" s="1" t="str">
        <f>TEXT(69,"00")</f>
        <v>69</v>
      </c>
      <c r="C4690" s="1" t="str">
        <f t="shared" si="302"/>
        <v>595-69</v>
      </c>
      <c r="D4690" t="s">
        <v>4663</v>
      </c>
      <c r="E4690" t="b">
        <f>IF(COUNTIF(D4690,"*"&amp;'Keyword Search'!$C$5&amp;"*"),TRUE,FALSE)</f>
        <v>1</v>
      </c>
      <c r="G4690" t="str">
        <f t="shared" si="303"/>
        <v>595-69: Trays and Pots: Germination and Seeding, Fiber</v>
      </c>
    </row>
    <row r="4691" spans="1:7" x14ac:dyDescent="0.25">
      <c r="A4691" s="1" t="str">
        <f t="shared" si="301"/>
        <v>595</v>
      </c>
      <c r="B4691" s="1" t="str">
        <f>TEXT(70,"00")</f>
        <v>70</v>
      </c>
      <c r="C4691" s="1" t="str">
        <f t="shared" si="302"/>
        <v>595-70</v>
      </c>
      <c r="D4691" t="s">
        <v>4664</v>
      </c>
      <c r="E4691" t="b">
        <f>IF(COUNTIF(D4691,"*"&amp;'Keyword Search'!$C$5&amp;"*"),TRUE,FALSE)</f>
        <v>1</v>
      </c>
      <c r="G4691" t="str">
        <f t="shared" si="303"/>
        <v>595-70: Trees, Fruit and Nut</v>
      </c>
    </row>
    <row r="4692" spans="1:7" x14ac:dyDescent="0.25">
      <c r="A4692" s="1" t="str">
        <f t="shared" si="301"/>
        <v>595</v>
      </c>
      <c r="B4692" s="1" t="str">
        <f>TEXT(75,"00")</f>
        <v>75</v>
      </c>
      <c r="C4692" s="1" t="str">
        <f t="shared" si="302"/>
        <v>595-75</v>
      </c>
      <c r="D4692" t="s">
        <v>4665</v>
      </c>
      <c r="E4692" t="b">
        <f>IF(COUNTIF(D4692,"*"&amp;'Keyword Search'!$C$5&amp;"*"),TRUE,FALSE)</f>
        <v>1</v>
      </c>
      <c r="G4692" t="str">
        <f t="shared" si="303"/>
        <v>595-75: Trees, Ornamental and Shade</v>
      </c>
    </row>
    <row r="4693" spans="1:7" x14ac:dyDescent="0.25">
      <c r="A4693" s="1" t="str">
        <f t="shared" si="301"/>
        <v>595</v>
      </c>
      <c r="B4693" s="1" t="str">
        <f>TEXT(77,"00")</f>
        <v>77</v>
      </c>
      <c r="C4693" s="1" t="str">
        <f t="shared" si="302"/>
        <v>595-77</v>
      </c>
      <c r="D4693" t="s">
        <v>4666</v>
      </c>
      <c r="E4693" t="b">
        <f>IF(COUNTIF(D4693,"*"&amp;'Keyword Search'!$C$5&amp;"*"),TRUE,FALSE)</f>
        <v>1</v>
      </c>
      <c r="G4693" t="str">
        <f t="shared" si="303"/>
        <v>595-77: Tropicals</v>
      </c>
    </row>
    <row r="4694" spans="1:7" x14ac:dyDescent="0.25">
      <c r="A4694" s="1" t="str">
        <f t="shared" si="301"/>
        <v>595</v>
      </c>
      <c r="B4694" s="1" t="str">
        <f>TEXT(80,"00")</f>
        <v>80</v>
      </c>
      <c r="C4694" s="1" t="str">
        <f t="shared" si="302"/>
        <v>595-80</v>
      </c>
      <c r="D4694" t="s">
        <v>4667</v>
      </c>
      <c r="E4694" t="b">
        <f>IF(COUNTIF(D4694,"*"&amp;'Keyword Search'!$C$5&amp;"*"),TRUE,FALSE)</f>
        <v>1</v>
      </c>
      <c r="G4694" t="str">
        <f t="shared" si="303"/>
        <v>595-80: Turf Blankets, Seeded, Including Recycled</v>
      </c>
    </row>
    <row r="4695" spans="1:7" x14ac:dyDescent="0.25">
      <c r="A4695" s="1" t="str">
        <f t="shared" si="301"/>
        <v>595</v>
      </c>
      <c r="B4695" s="1" t="str">
        <f>TEXT(81,"00")</f>
        <v>81</v>
      </c>
      <c r="C4695" s="1" t="str">
        <f t="shared" si="302"/>
        <v>595-81</v>
      </c>
      <c r="D4695" t="s">
        <v>4668</v>
      </c>
      <c r="E4695" t="b">
        <f>IF(COUNTIF(D4695,"*"&amp;'Keyword Search'!$C$5&amp;"*"),TRUE,FALSE)</f>
        <v>1</v>
      </c>
      <c r="G4695" t="str">
        <f t="shared" si="303"/>
        <v>595-81: Turf Blankets, Non-Seeded, Including Recycled</v>
      </c>
    </row>
    <row r="4696" spans="1:7" x14ac:dyDescent="0.25">
      <c r="A4696" s="1" t="str">
        <f t="shared" si="301"/>
        <v>595</v>
      </c>
      <c r="B4696" s="1" t="str">
        <f>TEXT(88,"00")</f>
        <v>88</v>
      </c>
      <c r="C4696" s="1" t="str">
        <f t="shared" si="302"/>
        <v>595-88</v>
      </c>
      <c r="D4696" t="s">
        <v>4669</v>
      </c>
      <c r="E4696" t="b">
        <f>IF(COUNTIF(D4696,"*"&amp;'Keyword Search'!$C$5&amp;"*"),TRUE,FALSE)</f>
        <v>1</v>
      </c>
      <c r="G4696" t="str">
        <f t="shared" si="303"/>
        <v>595-88: Vases, Flower Pots, Pottery, etc.</v>
      </c>
    </row>
    <row r="4697" spans="1:7" x14ac:dyDescent="0.25">
      <c r="A4697" s="1" t="str">
        <f t="shared" si="301"/>
        <v>595</v>
      </c>
      <c r="B4697" s="1" t="str">
        <f>TEXT(90,"00")</f>
        <v>90</v>
      </c>
      <c r="C4697" s="1" t="str">
        <f t="shared" si="302"/>
        <v>595-90</v>
      </c>
      <c r="D4697" t="s">
        <v>4670</v>
      </c>
      <c r="E4697" t="b">
        <f>IF(COUNTIF(D4697,"*"&amp;'Keyword Search'!$C$5&amp;"*"),TRUE,FALSE)</f>
        <v>1</v>
      </c>
      <c r="G4697" t="str">
        <f t="shared" si="303"/>
        <v>595-90: Vermiculite and Perlite</v>
      </c>
    </row>
    <row r="4698" spans="1:7" x14ac:dyDescent="0.25">
      <c r="A4698" s="1" t="str">
        <f t="shared" si="301"/>
        <v>595</v>
      </c>
      <c r="B4698" s="1" t="str">
        <f>TEXT(95,"00")</f>
        <v>95</v>
      </c>
      <c r="C4698" s="1" t="str">
        <f t="shared" si="302"/>
        <v>595-95</v>
      </c>
      <c r="D4698" t="s">
        <v>4671</v>
      </c>
      <c r="E4698" t="b">
        <f>IF(COUNTIF(D4698,"*"&amp;'Keyword Search'!$C$5&amp;"*"),TRUE,FALSE)</f>
        <v>1</v>
      </c>
      <c r="G4698" t="str">
        <f t="shared" si="303"/>
        <v>595-95: Wood Chips and Bark: Composted, Shredded, etc.</v>
      </c>
    </row>
    <row r="4699" spans="1:7" x14ac:dyDescent="0.25">
      <c r="A4699" s="5" t="str">
        <f t="shared" ref="A4699:A4762" si="304">TEXT(600,"000")</f>
        <v>600</v>
      </c>
      <c r="B4699" s="5" t="str">
        <f>TEXT(0,"00")</f>
        <v>00</v>
      </c>
      <c r="C4699" s="1"/>
      <c r="D4699" s="2" t="s">
        <v>4672</v>
      </c>
    </row>
    <row r="4700" spans="1:7" x14ac:dyDescent="0.25">
      <c r="A4700" s="1" t="str">
        <f t="shared" si="304"/>
        <v>600</v>
      </c>
      <c r="B4700" s="1" t="str">
        <f>TEXT(2,"00")</f>
        <v>02</v>
      </c>
      <c r="C4700" s="1" t="str">
        <f t="shared" si="302"/>
        <v>600-02</v>
      </c>
      <c r="D4700" t="s">
        <v>4673</v>
      </c>
      <c r="E4700" t="b">
        <f>IF(COUNTIF(D4700,"*"&amp;'Keyword Search'!$C$5&amp;"*"),TRUE,FALSE)</f>
        <v>1</v>
      </c>
      <c r="G4700" t="str">
        <f t="shared" si="303"/>
        <v>600-02: Accessories, Calculators, Electronic</v>
      </c>
    </row>
    <row r="4701" spans="1:7" x14ac:dyDescent="0.25">
      <c r="A4701" s="1" t="str">
        <f t="shared" si="304"/>
        <v>600</v>
      </c>
      <c r="B4701" s="1" t="str">
        <f>TEXT(3,"00")</f>
        <v>03</v>
      </c>
      <c r="C4701" s="1" t="str">
        <f t="shared" si="302"/>
        <v>600-03</v>
      </c>
      <c r="D4701" t="s">
        <v>4674</v>
      </c>
      <c r="E4701" t="b">
        <f>IF(COUNTIF(D4701,"*"&amp;'Keyword Search'!$C$5&amp;"*"),TRUE,FALSE)</f>
        <v>1</v>
      </c>
      <c r="G4701" t="str">
        <f t="shared" si="303"/>
        <v>600-03: Accounting and Bookkeeping Machines, Not Data Processing</v>
      </c>
    </row>
    <row r="4702" spans="1:7" x14ac:dyDescent="0.25">
      <c r="A4702" s="1" t="str">
        <f t="shared" si="304"/>
        <v>600</v>
      </c>
      <c r="B4702" s="1" t="str">
        <f>TEXT(5,"00")</f>
        <v>05</v>
      </c>
      <c r="C4702" s="1" t="str">
        <f t="shared" si="302"/>
        <v>600-05</v>
      </c>
      <c r="D4702" t="s">
        <v>4675</v>
      </c>
      <c r="E4702" t="b">
        <f>IF(COUNTIF(D4702,"*"&amp;'Keyword Search'!$C$5&amp;"*"),TRUE,FALSE)</f>
        <v>1</v>
      </c>
      <c r="G4702" t="str">
        <f t="shared" si="303"/>
        <v>600-05: Adding Machines</v>
      </c>
    </row>
    <row r="4703" spans="1:7" x14ac:dyDescent="0.25">
      <c r="A4703" s="1" t="str">
        <f t="shared" si="304"/>
        <v>600</v>
      </c>
      <c r="B4703" s="1" t="str">
        <f>TEXT(8,"00")</f>
        <v>08</v>
      </c>
      <c r="C4703" s="1" t="str">
        <f t="shared" si="302"/>
        <v>600-08</v>
      </c>
      <c r="D4703" t="s">
        <v>4676</v>
      </c>
      <c r="E4703" t="b">
        <f>IF(COUNTIF(D4703,"*"&amp;'Keyword Search'!$C$5&amp;"*"),TRUE,FALSE)</f>
        <v>1</v>
      </c>
      <c r="G4703" t="str">
        <f t="shared" si="303"/>
        <v>600-08: Addressing Machines, Computer Driven Only, Direct Print Type Only and Accessories (See Class 015 for Supplies)</v>
      </c>
    </row>
    <row r="4704" spans="1:7" x14ac:dyDescent="0.25">
      <c r="A4704" s="1" t="str">
        <f t="shared" si="304"/>
        <v>600</v>
      </c>
      <c r="B4704" s="1" t="str">
        <f>TEXT(11,"00")</f>
        <v>11</v>
      </c>
      <c r="C4704" s="1" t="str">
        <f t="shared" si="302"/>
        <v>600-11</v>
      </c>
      <c r="D4704" t="s">
        <v>4677</v>
      </c>
      <c r="E4704" t="b">
        <f>IF(COUNTIF(D4704,"*"&amp;'Keyword Search'!$C$5&amp;"*"),TRUE,FALSE)</f>
        <v>1</v>
      </c>
      <c r="G4704" t="str">
        <f t="shared" si="303"/>
        <v>600-11: Addressing Machines, Embossed Plate Type and Embossing and Imprinting Machines, and Accessories (See Class 015 for Supplies)</v>
      </c>
    </row>
    <row r="4705" spans="1:7" x14ac:dyDescent="0.25">
      <c r="A4705" s="1" t="str">
        <f t="shared" si="304"/>
        <v>600</v>
      </c>
      <c r="B4705" s="1" t="str">
        <f>TEXT(14,"00")</f>
        <v>14</v>
      </c>
      <c r="C4705" s="1" t="str">
        <f t="shared" si="302"/>
        <v>600-14</v>
      </c>
      <c r="D4705" t="s">
        <v>4678</v>
      </c>
      <c r="E4705" t="b">
        <f>IF(COUNTIF(D4705,"*"&amp;'Keyword Search'!$C$5&amp;"*"),TRUE,FALSE)</f>
        <v>1</v>
      </c>
      <c r="G4705" t="str">
        <f t="shared" si="303"/>
        <v>600-14: *Braille Writers and Printers</v>
      </c>
    </row>
    <row r="4706" spans="1:7" x14ac:dyDescent="0.25">
      <c r="A4706" s="1" t="str">
        <f t="shared" si="304"/>
        <v>600</v>
      </c>
      <c r="B4706" s="1" t="str">
        <f>TEXT(15,"00")</f>
        <v>15</v>
      </c>
      <c r="C4706" s="1" t="str">
        <f t="shared" si="302"/>
        <v>600-15</v>
      </c>
      <c r="D4706" t="s">
        <v>4679</v>
      </c>
      <c r="E4706" t="b">
        <f>IF(COUNTIF(D4706,"*"&amp;'Keyword Search'!$C$5&amp;"*"),TRUE,FALSE)</f>
        <v>1</v>
      </c>
      <c r="G4706" t="str">
        <f t="shared" si="303"/>
        <v>600-15: *Calculators, Electronic, Display and Printing Type, Programmable (See 305-06 for Surveying Type)</v>
      </c>
    </row>
    <row r="4707" spans="1:7" x14ac:dyDescent="0.25">
      <c r="A4707" s="1" t="str">
        <f t="shared" si="304"/>
        <v>600</v>
      </c>
      <c r="B4707" s="1" t="str">
        <f>TEXT(16,"00")</f>
        <v>16</v>
      </c>
      <c r="C4707" s="1" t="str">
        <f t="shared" si="302"/>
        <v>600-16</v>
      </c>
      <c r="D4707" t="s">
        <v>4680</v>
      </c>
      <c r="E4707" t="b">
        <f>IF(COUNTIF(D4707,"*"&amp;'Keyword Search'!$C$5&amp;"*"),TRUE,FALSE)</f>
        <v>1</v>
      </c>
      <c r="G4707" t="str">
        <f t="shared" si="303"/>
        <v>600-16: *Calculators, Electronic, Display and Printing Type, Non-Programmable</v>
      </c>
    </row>
    <row r="4708" spans="1:7" x14ac:dyDescent="0.25">
      <c r="A4708" s="1" t="str">
        <f t="shared" si="304"/>
        <v>600</v>
      </c>
      <c r="B4708" s="1" t="str">
        <f>TEXT(17,"00")</f>
        <v>17</v>
      </c>
      <c r="C4708" s="1" t="str">
        <f t="shared" si="302"/>
        <v>600-17</v>
      </c>
      <c r="D4708" t="s">
        <v>4681</v>
      </c>
      <c r="E4708" t="b">
        <f>IF(COUNTIF(D4708,"*"&amp;'Keyword Search'!$C$5&amp;"*"),TRUE,FALSE)</f>
        <v>1</v>
      </c>
      <c r="G4708" t="str">
        <f t="shared" si="303"/>
        <v>600-17: Calculators, Electronic, Display Type, Non-Programmable</v>
      </c>
    </row>
    <row r="4709" spans="1:7" x14ac:dyDescent="0.25">
      <c r="A4709" s="1" t="str">
        <f t="shared" si="304"/>
        <v>600</v>
      </c>
      <c r="B4709" s="1" t="str">
        <f>TEXT(19,"00")</f>
        <v>19</v>
      </c>
      <c r="C4709" s="1" t="str">
        <f t="shared" si="302"/>
        <v>600-19</v>
      </c>
      <c r="D4709" t="s">
        <v>4682</v>
      </c>
      <c r="E4709" t="b">
        <f>IF(COUNTIF(D4709,"*"&amp;'Keyword Search'!$C$5&amp;"*"),TRUE,FALSE)</f>
        <v>1</v>
      </c>
      <c r="G4709" t="str">
        <f t="shared" si="303"/>
        <v>600-19: Calculators, Electronic, Display Type, Programmable</v>
      </c>
    </row>
    <row r="4710" spans="1:7" x14ac:dyDescent="0.25">
      <c r="A4710" s="1" t="str">
        <f t="shared" si="304"/>
        <v>600</v>
      </c>
      <c r="B4710" s="1" t="str">
        <f>TEXT(21,"00")</f>
        <v>21</v>
      </c>
      <c r="C4710" s="1" t="str">
        <f t="shared" si="302"/>
        <v>600-21</v>
      </c>
      <c r="D4710" t="s">
        <v>4683</v>
      </c>
      <c r="E4710" t="b">
        <f>IF(COUNTIF(D4710,"*"&amp;'Keyword Search'!$C$5&amp;"*"),TRUE,FALSE)</f>
        <v>1</v>
      </c>
      <c r="G4710" t="str">
        <f t="shared" si="303"/>
        <v>600-21: Calculators, Electronic, Printing Type, Non-Programmable</v>
      </c>
    </row>
    <row r="4711" spans="1:7" x14ac:dyDescent="0.25">
      <c r="A4711" s="1" t="str">
        <f t="shared" si="304"/>
        <v>600</v>
      </c>
      <c r="B4711" s="1" t="str">
        <f>TEXT(22,"00")</f>
        <v>22</v>
      </c>
      <c r="C4711" s="1" t="str">
        <f t="shared" si="302"/>
        <v>600-22</v>
      </c>
      <c r="D4711" t="s">
        <v>4684</v>
      </c>
      <c r="E4711" t="b">
        <f>IF(COUNTIF(D4711,"*"&amp;'Keyword Search'!$C$5&amp;"*"),TRUE,FALSE)</f>
        <v>1</v>
      </c>
      <c r="G4711" t="str">
        <f t="shared" si="303"/>
        <v>600-22: Calculators, Electronic, Printing Type, Programmable</v>
      </c>
    </row>
    <row r="4712" spans="1:7" x14ac:dyDescent="0.25">
      <c r="A4712" s="1" t="str">
        <f t="shared" si="304"/>
        <v>600</v>
      </c>
      <c r="B4712" s="1" t="str">
        <f>TEXT(25,"00")</f>
        <v>25</v>
      </c>
      <c r="C4712" s="1" t="str">
        <f t="shared" si="302"/>
        <v>600-25</v>
      </c>
      <c r="D4712" t="s">
        <v>4685</v>
      </c>
      <c r="E4712" t="b">
        <f>IF(COUNTIF(D4712,"*"&amp;'Keyword Search'!$C$5&amp;"*"),TRUE,FALSE)</f>
        <v>1</v>
      </c>
      <c r="G4712" t="str">
        <f t="shared" si="303"/>
        <v>600-25: Calculators, Mechanical</v>
      </c>
    </row>
    <row r="4713" spans="1:7" x14ac:dyDescent="0.25">
      <c r="A4713" s="1" t="str">
        <f t="shared" si="304"/>
        <v>600</v>
      </c>
      <c r="B4713" s="1" t="str">
        <f>TEXT(27,"00")</f>
        <v>27</v>
      </c>
      <c r="C4713" s="1" t="str">
        <f t="shared" si="302"/>
        <v>600-27</v>
      </c>
      <c r="D4713" t="s">
        <v>4686</v>
      </c>
      <c r="E4713" t="b">
        <f>IF(COUNTIF(D4713,"*"&amp;'Keyword Search'!$C$5&amp;"*"),TRUE,FALSE)</f>
        <v>1</v>
      </c>
      <c r="G4713" t="str">
        <f t="shared" si="303"/>
        <v>600-27: Cases, Typewriter</v>
      </c>
    </row>
    <row r="4714" spans="1:7" x14ac:dyDescent="0.25">
      <c r="A4714" s="1" t="str">
        <f t="shared" si="304"/>
        <v>600</v>
      </c>
      <c r="B4714" s="1" t="str">
        <f>TEXT(30,"00")</f>
        <v>30</v>
      </c>
      <c r="C4714" s="1" t="str">
        <f t="shared" si="302"/>
        <v>600-30</v>
      </c>
      <c r="D4714" t="s">
        <v>4687</v>
      </c>
      <c r="E4714" t="b">
        <f>IF(COUNTIF(D4714,"*"&amp;'Keyword Search'!$C$5&amp;"*"),TRUE,FALSE)</f>
        <v>1</v>
      </c>
      <c r="G4714" t="str">
        <f t="shared" si="303"/>
        <v>600-30: *Cash Registers and Cash Drawers</v>
      </c>
    </row>
    <row r="4715" spans="1:7" x14ac:dyDescent="0.25">
      <c r="A4715" s="1" t="str">
        <f t="shared" si="304"/>
        <v>600</v>
      </c>
      <c r="B4715" s="1" t="str">
        <f>TEXT(33,"00")</f>
        <v>33</v>
      </c>
      <c r="C4715" s="1" t="str">
        <f t="shared" si="302"/>
        <v>600-33</v>
      </c>
      <c r="D4715" t="s">
        <v>4688</v>
      </c>
      <c r="E4715" t="b">
        <f>IF(COUNTIF(D4715,"*"&amp;'Keyword Search'!$C$5&amp;"*"),TRUE,FALSE)</f>
        <v>1</v>
      </c>
      <c r="G4715" t="str">
        <f t="shared" si="303"/>
        <v>600-33: Change Makers, Coin and Bill Counters, Money Handling Machines, etc.</v>
      </c>
    </row>
    <row r="4716" spans="1:7" x14ac:dyDescent="0.25">
      <c r="A4716" s="1" t="str">
        <f t="shared" si="304"/>
        <v>600</v>
      </c>
      <c r="B4716" s="1" t="str">
        <f>TEXT(35,"00")</f>
        <v>35</v>
      </c>
      <c r="C4716" s="1" t="str">
        <f t="shared" si="302"/>
        <v>600-35</v>
      </c>
      <c r="D4716" t="s">
        <v>4689</v>
      </c>
      <c r="E4716" t="b">
        <f>IF(COUNTIF(D4716,"*"&amp;'Keyword Search'!$C$5&amp;"*"),TRUE,FALSE)</f>
        <v>1</v>
      </c>
      <c r="G4716" t="str">
        <f t="shared" si="303"/>
        <v>600-35: Check Writing Guide for the Writing Disabled, Including Writing, Endorsing, and Depositing plus Traveler Check Capabilities</v>
      </c>
    </row>
    <row r="4717" spans="1:7" x14ac:dyDescent="0.25">
      <c r="A4717" s="1" t="str">
        <f t="shared" si="304"/>
        <v>600</v>
      </c>
      <c r="B4717" s="1" t="str">
        <f>TEXT(36,"00")</f>
        <v>36</v>
      </c>
      <c r="C4717" s="1" t="str">
        <f t="shared" si="302"/>
        <v>600-36</v>
      </c>
      <c r="D4717" t="s">
        <v>4690</v>
      </c>
      <c r="E4717" t="b">
        <f>IF(COUNTIF(D4717,"*"&amp;'Keyword Search'!$C$5&amp;"*"),TRUE,FALSE)</f>
        <v>1</v>
      </c>
      <c r="G4717" t="str">
        <f t="shared" si="303"/>
        <v>600-36: Check Machines: Protection, Signing, Writing, etc.</v>
      </c>
    </row>
    <row r="4718" spans="1:7" x14ac:dyDescent="0.25">
      <c r="A4718" s="1" t="str">
        <f t="shared" si="304"/>
        <v>600</v>
      </c>
      <c r="B4718" s="1" t="str">
        <f>TEXT(37,"00")</f>
        <v>37</v>
      </c>
      <c r="C4718" s="1" t="str">
        <f t="shared" si="302"/>
        <v>600-37</v>
      </c>
      <c r="D4718" t="s">
        <v>4691</v>
      </c>
      <c r="E4718" t="b">
        <f>IF(COUNTIF(D4718,"*"&amp;'Keyword Search'!$C$5&amp;"*"),TRUE,FALSE)</f>
        <v>1</v>
      </c>
      <c r="G4718" t="str">
        <f t="shared" si="303"/>
        <v>600-37: Copy boards, Electronic</v>
      </c>
    </row>
    <row r="4719" spans="1:7" x14ac:dyDescent="0.25">
      <c r="A4719" s="1" t="str">
        <f t="shared" si="304"/>
        <v>600</v>
      </c>
      <c r="B4719" s="1" t="str">
        <f>TEXT(38,"00")</f>
        <v>38</v>
      </c>
      <c r="C4719" s="1" t="str">
        <f t="shared" si="302"/>
        <v>600-38</v>
      </c>
      <c r="D4719" t="s">
        <v>4692</v>
      </c>
      <c r="E4719" t="b">
        <f>IF(COUNTIF(D4719,"*"&amp;'Keyword Search'!$C$5&amp;"*"),TRUE,FALSE)</f>
        <v>1</v>
      </c>
      <c r="G4719" t="str">
        <f t="shared" si="303"/>
        <v>600-38: Copy Machines, Bond, Plain Paper Type Including Parts and Accessories</v>
      </c>
    </row>
    <row r="4720" spans="1:7" x14ac:dyDescent="0.25">
      <c r="A4720" s="1" t="str">
        <f t="shared" si="304"/>
        <v>600</v>
      </c>
      <c r="B4720" s="1" t="str">
        <f>TEXT(39,"00")</f>
        <v>39</v>
      </c>
      <c r="C4720" s="1" t="str">
        <f t="shared" si="302"/>
        <v>600-39</v>
      </c>
      <c r="D4720" t="s">
        <v>4693</v>
      </c>
      <c r="E4720" t="b">
        <f>IF(COUNTIF(D4720,"*"&amp;'Keyword Search'!$C$5&amp;"*"),TRUE,FALSE)</f>
        <v>1</v>
      </c>
      <c r="G4720" t="str">
        <f t="shared" si="303"/>
        <v>600-39: Copy Machines, Analog</v>
      </c>
    </row>
    <row r="4721" spans="1:7" x14ac:dyDescent="0.25">
      <c r="A4721" s="1" t="str">
        <f t="shared" si="304"/>
        <v>600</v>
      </c>
      <c r="B4721" s="1" t="str">
        <f>TEXT(40,"00")</f>
        <v>40</v>
      </c>
      <c r="C4721" s="1" t="str">
        <f t="shared" si="302"/>
        <v>600-40</v>
      </c>
      <c r="D4721" t="s">
        <v>4694</v>
      </c>
      <c r="E4721" t="b">
        <f>IF(COUNTIF(D4721,"*"&amp;'Keyword Search'!$C$5&amp;"*"),TRUE,FALSE)</f>
        <v>1</v>
      </c>
      <c r="G4721" t="str">
        <f t="shared" si="303"/>
        <v>600-40: Copy Machines, Coated or Treated Paper Type, Including Parts and Accessories</v>
      </c>
    </row>
    <row r="4722" spans="1:7" x14ac:dyDescent="0.25">
      <c r="A4722" s="1" t="str">
        <f t="shared" si="304"/>
        <v>600</v>
      </c>
      <c r="B4722" s="1" t="str">
        <f>TEXT(41,"00")</f>
        <v>41</v>
      </c>
      <c r="C4722" s="1" t="str">
        <f t="shared" si="302"/>
        <v>600-41</v>
      </c>
      <c r="D4722" t="s">
        <v>4695</v>
      </c>
      <c r="E4722" t="b">
        <f>IF(COUNTIF(D4722,"*"&amp;'Keyword Search'!$C$5&amp;"*"),TRUE,FALSE)</f>
        <v>1</v>
      </c>
      <c r="G4722" t="str">
        <f t="shared" si="303"/>
        <v>600-41: *Copy Machines, Engineering, for Reproduction and Design Production</v>
      </c>
    </row>
    <row r="4723" spans="1:7" x14ac:dyDescent="0.25">
      <c r="A4723" s="1" t="str">
        <f t="shared" si="304"/>
        <v>600</v>
      </c>
      <c r="B4723" s="1" t="str">
        <f>TEXT(42,"00")</f>
        <v>42</v>
      </c>
      <c r="C4723" s="1" t="str">
        <f t="shared" si="302"/>
        <v>600-42</v>
      </c>
      <c r="D4723" t="s">
        <v>4696</v>
      </c>
      <c r="E4723" t="b">
        <f>IF(COUNTIF(D4723,"*"&amp;'Keyword Search'!$C$5&amp;"*"),TRUE,FALSE)</f>
        <v>1</v>
      </c>
      <c r="G4723" t="str">
        <f t="shared" si="303"/>
        <v>600-42: Copy Machines, Including Parts and Accessories</v>
      </c>
    </row>
    <row r="4724" spans="1:7" x14ac:dyDescent="0.25">
      <c r="A4724" s="1" t="str">
        <f t="shared" si="304"/>
        <v>600</v>
      </c>
      <c r="B4724" s="1" t="str">
        <f>TEXT(43,"00")</f>
        <v>43</v>
      </c>
      <c r="C4724" s="1" t="str">
        <f t="shared" si="302"/>
        <v>600-43</v>
      </c>
      <c r="D4724" t="s">
        <v>4697</v>
      </c>
      <c r="E4724" t="b">
        <f>IF(COUNTIF(D4724,"*"&amp;'Keyword Search'!$C$5&amp;"*"),TRUE,FALSE)</f>
        <v>1</v>
      </c>
      <c r="G4724" t="str">
        <f t="shared" si="303"/>
        <v>600-43: *Copy Machines, Digital-Networked</v>
      </c>
    </row>
    <row r="4725" spans="1:7" x14ac:dyDescent="0.25">
      <c r="A4725" s="1" t="str">
        <f t="shared" si="304"/>
        <v>600</v>
      </c>
      <c r="B4725" s="1" t="str">
        <f>TEXT(44,"00")</f>
        <v>44</v>
      </c>
      <c r="C4725" s="1" t="str">
        <f t="shared" si="302"/>
        <v>600-44</v>
      </c>
      <c r="D4725" t="s">
        <v>4698</v>
      </c>
      <c r="E4725" t="b">
        <f>IF(COUNTIF(D4725,"*"&amp;'Keyword Search'!$C$5&amp;"*"),TRUE,FALSE)</f>
        <v>1</v>
      </c>
      <c r="G4725" t="str">
        <f t="shared" si="303"/>
        <v>600-44: Copier Vending Machines, Accessories and Supplies</v>
      </c>
    </row>
    <row r="4726" spans="1:7" x14ac:dyDescent="0.25">
      <c r="A4726" s="1" t="str">
        <f t="shared" si="304"/>
        <v>600</v>
      </c>
      <c r="B4726" s="1" t="str">
        <f>TEXT(45,"00")</f>
        <v>45</v>
      </c>
      <c r="C4726" s="1" t="str">
        <f t="shared" si="302"/>
        <v>600-45</v>
      </c>
      <c r="D4726" t="s">
        <v>4699</v>
      </c>
      <c r="E4726" t="b">
        <f>IF(COUNTIF(D4726,"*"&amp;'Keyword Search'!$C$5&amp;"*"),TRUE,FALSE)</f>
        <v>1</v>
      </c>
      <c r="G4726" t="str">
        <f t="shared" si="303"/>
        <v>600-45: Copy Machines, Thermal Type, Including Parts and Accessories</v>
      </c>
    </row>
    <row r="4727" spans="1:7" x14ac:dyDescent="0.25">
      <c r="A4727" s="1" t="str">
        <f t="shared" si="304"/>
        <v>600</v>
      </c>
      <c r="B4727" s="1" t="str">
        <f>TEXT(46,"00")</f>
        <v>46</v>
      </c>
      <c r="C4727" s="1" t="str">
        <f t="shared" si="302"/>
        <v>600-46</v>
      </c>
      <c r="D4727" t="s">
        <v>4700</v>
      </c>
      <c r="E4727" t="b">
        <f>IF(COUNTIF(D4727,"*"&amp;'Keyword Search'!$C$5&amp;"*"),TRUE,FALSE)</f>
        <v>1</v>
      </c>
      <c r="G4727" t="str">
        <f t="shared" si="303"/>
        <v>600-46: *Copy Machines, Digital</v>
      </c>
    </row>
    <row r="4728" spans="1:7" x14ac:dyDescent="0.25">
      <c r="A4728" s="1" t="str">
        <f t="shared" si="304"/>
        <v>600</v>
      </c>
      <c r="B4728" s="1" t="str">
        <f>TEXT(47,"00")</f>
        <v>47</v>
      </c>
      <c r="C4728" s="1" t="str">
        <f t="shared" si="302"/>
        <v>600-47</v>
      </c>
      <c r="D4728" t="s">
        <v>4701</v>
      </c>
      <c r="E4728" t="b">
        <f>IF(COUNTIF(D4728,"*"&amp;'Keyword Search'!$C$5&amp;"*"),TRUE,FALSE)</f>
        <v>1</v>
      </c>
      <c r="G4728" t="str">
        <f t="shared" si="303"/>
        <v>600-47: *Copy Machine Add-On Accessories</v>
      </c>
    </row>
    <row r="4729" spans="1:7" x14ac:dyDescent="0.25">
      <c r="A4729" s="1" t="str">
        <f t="shared" si="304"/>
        <v>600</v>
      </c>
      <c r="B4729" s="1" t="str">
        <f>TEXT(48,"00")</f>
        <v>48</v>
      </c>
      <c r="C4729" s="1" t="str">
        <f t="shared" si="302"/>
        <v>600-48</v>
      </c>
      <c r="D4729" t="s">
        <v>4702</v>
      </c>
      <c r="E4729" t="b">
        <f>IF(COUNTIF(D4729,"*"&amp;'Keyword Search'!$C$5&amp;"*"),TRUE,FALSE)</f>
        <v>1</v>
      </c>
      <c r="G4729" t="str">
        <f t="shared" si="303"/>
        <v>600-48: Counterfeit Scanning Devices (Including Detector Pens)</v>
      </c>
    </row>
    <row r="4730" spans="1:7" x14ac:dyDescent="0.25">
      <c r="A4730" s="1" t="str">
        <f t="shared" si="304"/>
        <v>600</v>
      </c>
      <c r="B4730" s="1" t="str">
        <f>TEXT(49,"00")</f>
        <v>49</v>
      </c>
      <c r="C4730" s="1" t="str">
        <f t="shared" si="302"/>
        <v>600-49</v>
      </c>
      <c r="D4730" t="s">
        <v>4703</v>
      </c>
      <c r="E4730" t="b">
        <f>IF(COUNTIF(D4730,"*"&amp;'Keyword Search'!$C$5&amp;"*"),TRUE,FALSE)</f>
        <v>1</v>
      </c>
      <c r="G4730" t="str">
        <f t="shared" si="303"/>
        <v>600-49: Court Reporter Equipment, Accessories and Supplies</v>
      </c>
    </row>
    <row r="4731" spans="1:7" x14ac:dyDescent="0.25">
      <c r="A4731" s="1" t="str">
        <f t="shared" si="304"/>
        <v>600</v>
      </c>
      <c r="B4731" s="1" t="str">
        <f>TEXT(50,"00")</f>
        <v>50</v>
      </c>
      <c r="C4731" s="1" t="str">
        <f t="shared" si="302"/>
        <v>600-50</v>
      </c>
      <c r="D4731" t="s">
        <v>4704</v>
      </c>
      <c r="E4731" t="b">
        <f>IF(COUNTIF(D4731,"*"&amp;'Keyword Search'!$C$5&amp;"*"),TRUE,FALSE)</f>
        <v>1</v>
      </c>
      <c r="G4731" t="str">
        <f t="shared" si="303"/>
        <v>600-50: Counting Devices: Ticometers, etc., Paper, Tickets, etc. (See 600-33 For Coins)</v>
      </c>
    </row>
    <row r="4732" spans="1:7" x14ac:dyDescent="0.25">
      <c r="A4732" s="1" t="str">
        <f t="shared" si="304"/>
        <v>600</v>
      </c>
      <c r="B4732" s="1" t="str">
        <f>TEXT(51,"00")</f>
        <v>51</v>
      </c>
      <c r="C4732" s="1" t="str">
        <f t="shared" si="302"/>
        <v>600-51</v>
      </c>
      <c r="D4732" t="s">
        <v>4705</v>
      </c>
      <c r="E4732" t="b">
        <f>IF(COUNTIF(D4732,"*"&amp;'Keyword Search'!$C$5&amp;"*"),TRUE,FALSE)</f>
        <v>1</v>
      </c>
      <c r="G4732" t="str">
        <f t="shared" si="303"/>
        <v>600-51: Detacher, Forms</v>
      </c>
    </row>
    <row r="4733" spans="1:7" x14ac:dyDescent="0.25">
      <c r="A4733" s="1" t="str">
        <f t="shared" si="304"/>
        <v>600</v>
      </c>
      <c r="B4733" s="1" t="str">
        <f>TEXT(52,"00")</f>
        <v>52</v>
      </c>
      <c r="C4733" s="1" t="str">
        <f t="shared" si="302"/>
        <v>600-52</v>
      </c>
      <c r="D4733" t="s">
        <v>4706</v>
      </c>
      <c r="E4733" t="b">
        <f>IF(COUNTIF(D4733,"*"&amp;'Keyword Search'!$C$5&amp;"*"),TRUE,FALSE)</f>
        <v>1</v>
      </c>
      <c r="G4733" t="str">
        <f t="shared" si="303"/>
        <v>600-52: Dictating Machines; Transcription Machines</v>
      </c>
    </row>
    <row r="4734" spans="1:7" x14ac:dyDescent="0.25">
      <c r="A4734" s="1" t="str">
        <f t="shared" si="304"/>
        <v>600</v>
      </c>
      <c r="B4734" s="1" t="str">
        <f>TEXT(54,"00")</f>
        <v>54</v>
      </c>
      <c r="C4734" s="1" t="str">
        <f t="shared" si="302"/>
        <v>600-54</v>
      </c>
      <c r="D4734" t="s">
        <v>4707</v>
      </c>
      <c r="E4734" t="b">
        <f>IF(COUNTIF(D4734,"*"&amp;'Keyword Search'!$C$5&amp;"*"),TRUE,FALSE)</f>
        <v>1</v>
      </c>
      <c r="G4734" t="str">
        <f t="shared" si="303"/>
        <v>600-54: Dictating Machine Accessories and Supplies</v>
      </c>
    </row>
    <row r="4735" spans="1:7" x14ac:dyDescent="0.25">
      <c r="A4735" s="1" t="str">
        <f t="shared" si="304"/>
        <v>600</v>
      </c>
      <c r="B4735" s="1" t="str">
        <f>TEXT(56,"00")</f>
        <v>56</v>
      </c>
      <c r="C4735" s="1" t="str">
        <f t="shared" si="302"/>
        <v>600-56</v>
      </c>
      <c r="D4735" t="s">
        <v>4708</v>
      </c>
      <c r="E4735" t="b">
        <f>IF(COUNTIF(D4735,"*"&amp;'Keyword Search'!$C$5&amp;"*"),TRUE,FALSE)</f>
        <v>1</v>
      </c>
      <c r="G4735" t="str">
        <f t="shared" si="303"/>
        <v>600-56: *Duplicators, Digital</v>
      </c>
    </row>
    <row r="4736" spans="1:7" x14ac:dyDescent="0.25">
      <c r="A4736" s="1" t="str">
        <f t="shared" si="304"/>
        <v>600</v>
      </c>
      <c r="B4736" s="1" t="str">
        <f>TEXT(57,"00")</f>
        <v>57</v>
      </c>
      <c r="C4736" s="1" t="str">
        <f t="shared" si="302"/>
        <v>600-57</v>
      </c>
      <c r="D4736" t="s">
        <v>4709</v>
      </c>
      <c r="E4736" t="b">
        <f>IF(COUNTIF(D4736,"*"&amp;'Keyword Search'!$C$5&amp;"*"),TRUE,FALSE)</f>
        <v>1</v>
      </c>
      <c r="G4736" t="str">
        <f t="shared" si="303"/>
        <v>600-57: Duplicating Machines and Accessories, Mimeograph Type</v>
      </c>
    </row>
    <row r="4737" spans="1:7" x14ac:dyDescent="0.25">
      <c r="A4737" s="1" t="str">
        <f t="shared" si="304"/>
        <v>600</v>
      </c>
      <c r="B4737" s="1" t="str">
        <f>TEXT(58,"00")</f>
        <v>58</v>
      </c>
      <c r="C4737" s="1" t="str">
        <f t="shared" si="302"/>
        <v>600-58</v>
      </c>
      <c r="D4737" t="s">
        <v>4710</v>
      </c>
      <c r="E4737" t="b">
        <f>IF(COUNTIF(D4737,"*"&amp;'Keyword Search'!$C$5&amp;"*"),TRUE,FALSE)</f>
        <v>1</v>
      </c>
      <c r="G4737" t="str">
        <f t="shared" si="303"/>
        <v>600-58: *Election and Voter Equipment and Supplies, Electronic and Non-Electronic</v>
      </c>
    </row>
    <row r="4738" spans="1:7" x14ac:dyDescent="0.25">
      <c r="A4738" s="1" t="str">
        <f t="shared" si="304"/>
        <v>600</v>
      </c>
      <c r="B4738" s="1" t="str">
        <f>TEXT(59,"00")</f>
        <v>59</v>
      </c>
      <c r="C4738" s="1" t="str">
        <f t="shared" si="302"/>
        <v>600-59</v>
      </c>
      <c r="D4738" t="s">
        <v>4711</v>
      </c>
      <c r="E4738" t="b">
        <f>IF(COUNTIF(D4738,"*"&amp;'Keyword Search'!$C$5&amp;"*"),TRUE,FALSE)</f>
        <v>1</v>
      </c>
      <c r="G4738" t="str">
        <f t="shared" si="303"/>
        <v>600-59: Duplicating Machines and Accessories, Spirit Type</v>
      </c>
    </row>
    <row r="4739" spans="1:7" x14ac:dyDescent="0.25">
      <c r="A4739" s="1" t="str">
        <f t="shared" si="304"/>
        <v>600</v>
      </c>
      <c r="B4739" s="1" t="str">
        <f>TEXT(60,"00")</f>
        <v>60</v>
      </c>
      <c r="C4739" s="1" t="str">
        <f t="shared" ref="C4739:C4802" si="305">CONCATENATE(A4739,"-",B4739)</f>
        <v>600-60</v>
      </c>
      <c r="D4739" t="s">
        <v>4712</v>
      </c>
      <c r="E4739" t="b">
        <f>IF(COUNTIF(D4739,"*"&amp;'Keyword Search'!$C$5&amp;"*"),TRUE,FALSE)</f>
        <v>1</v>
      </c>
      <c r="G4739" t="str">
        <f t="shared" si="303"/>
        <v>600-60: Electronic Reference Equipment, Organizers, etc.</v>
      </c>
    </row>
    <row r="4740" spans="1:7" x14ac:dyDescent="0.25">
      <c r="A4740" s="1" t="str">
        <f t="shared" si="304"/>
        <v>600</v>
      </c>
      <c r="B4740" s="1" t="str">
        <f>TEXT(61,"00")</f>
        <v>61</v>
      </c>
      <c r="C4740" s="1" t="str">
        <f t="shared" si="305"/>
        <v>600-61</v>
      </c>
      <c r="D4740" t="s">
        <v>4713</v>
      </c>
      <c r="E4740" t="b">
        <f>IF(COUNTIF(D4740,"*"&amp;'Keyword Search'!$C$5&amp;"*"),TRUE,FALSE)</f>
        <v>1</v>
      </c>
      <c r="G4740" t="str">
        <f t="shared" ref="G4740:G4803" si="306">CONCATENATE(C4740,": ",D4740)</f>
        <v>600-61: *Fax Machines, Parts and Supplies (See Class 726 for Industrial Type and Class 645 for Paper)</v>
      </c>
    </row>
    <row r="4741" spans="1:7" x14ac:dyDescent="0.25">
      <c r="A4741" s="1" t="str">
        <f t="shared" si="304"/>
        <v>600</v>
      </c>
      <c r="B4741" s="1" t="str">
        <f>TEXT(62,"00")</f>
        <v>62</v>
      </c>
      <c r="C4741" s="1" t="str">
        <f t="shared" si="305"/>
        <v>600-62</v>
      </c>
      <c r="D4741" t="s">
        <v>4714</v>
      </c>
      <c r="E4741" t="b">
        <f>IF(COUNTIF(D4741,"*"&amp;'Keyword Search'!$C$5&amp;"*"),TRUE,FALSE)</f>
        <v>1</v>
      </c>
      <c r="G4741" t="str">
        <f t="shared" si="306"/>
        <v>600-62: Folding Machines</v>
      </c>
    </row>
    <row r="4742" spans="1:7" x14ac:dyDescent="0.25">
      <c r="A4742" s="1" t="str">
        <f t="shared" si="304"/>
        <v>600</v>
      </c>
      <c r="B4742" s="1" t="str">
        <f>TEXT(63,"00")</f>
        <v>63</v>
      </c>
      <c r="C4742" s="1" t="str">
        <f t="shared" si="305"/>
        <v>600-63</v>
      </c>
      <c r="D4742" t="s">
        <v>4715</v>
      </c>
      <c r="E4742" t="b">
        <f>IF(COUNTIF(D4742,"*"&amp;'Keyword Search'!$C$5&amp;"*"),TRUE,FALSE)</f>
        <v>1</v>
      </c>
      <c r="G4742" t="str">
        <f t="shared" si="306"/>
        <v>600-63: Folding/Inserting/Sealing Machines</v>
      </c>
    </row>
    <row r="4743" spans="1:7" x14ac:dyDescent="0.25">
      <c r="A4743" s="1" t="str">
        <f t="shared" si="304"/>
        <v>600</v>
      </c>
      <c r="B4743" s="1" t="str">
        <f>TEXT(64,"00")</f>
        <v>64</v>
      </c>
      <c r="C4743" s="1" t="str">
        <f t="shared" si="305"/>
        <v>600-64</v>
      </c>
      <c r="D4743" t="s">
        <v>4716</v>
      </c>
      <c r="E4743" t="b">
        <f>IF(COUNTIF(D4743,"*"&amp;'Keyword Search'!$C$5&amp;"*"),TRUE,FALSE)</f>
        <v>1</v>
      </c>
      <c r="G4743" t="str">
        <f t="shared" si="306"/>
        <v>600-64: Ink Rollers, Office Machines</v>
      </c>
    </row>
    <row r="4744" spans="1:7" x14ac:dyDescent="0.25">
      <c r="A4744" s="1" t="str">
        <f t="shared" si="304"/>
        <v>600</v>
      </c>
      <c r="B4744" s="1" t="str">
        <f>TEXT(65,"00")</f>
        <v>65</v>
      </c>
      <c r="C4744" s="1" t="str">
        <f t="shared" si="305"/>
        <v>600-65</v>
      </c>
      <c r="D4744" t="s">
        <v>4717</v>
      </c>
      <c r="E4744" t="b">
        <f>IF(COUNTIF(D4744,"*"&amp;'Keyword Search'!$C$5&amp;"*"),TRUE,FALSE)</f>
        <v>1</v>
      </c>
      <c r="G4744" t="str">
        <f t="shared" si="306"/>
        <v>600-65: Inserting Machines</v>
      </c>
    </row>
    <row r="4745" spans="1:7" x14ac:dyDescent="0.25">
      <c r="A4745" s="1" t="str">
        <f t="shared" si="304"/>
        <v>600</v>
      </c>
      <c r="B4745" s="1" t="str">
        <f>TEXT(66,"00")</f>
        <v>66</v>
      </c>
      <c r="C4745" s="1" t="str">
        <f t="shared" si="305"/>
        <v>600-66</v>
      </c>
      <c r="D4745" t="s">
        <v>4718</v>
      </c>
      <c r="E4745" t="b">
        <f>IF(COUNTIF(D4745,"*"&amp;'Keyword Search'!$C$5&amp;"*"),TRUE,FALSE)</f>
        <v>1</v>
      </c>
      <c r="G4745" t="str">
        <f t="shared" si="306"/>
        <v>600-66: Label Dispensing Machines and Accessories, For Continuous Form Labels</v>
      </c>
    </row>
    <row r="4746" spans="1:7" x14ac:dyDescent="0.25">
      <c r="A4746" s="1" t="str">
        <f t="shared" si="304"/>
        <v>600</v>
      </c>
      <c r="B4746" s="1" t="str">
        <f>TEXT(67,"00")</f>
        <v>67</v>
      </c>
      <c r="C4746" s="1" t="str">
        <f t="shared" si="305"/>
        <v>600-67</v>
      </c>
      <c r="D4746" t="s">
        <v>4719</v>
      </c>
      <c r="E4746" t="b">
        <f>IF(COUNTIF(D4746,"*"&amp;'Keyword Search'!$C$5&amp;"*"),TRUE,FALSE)</f>
        <v>1</v>
      </c>
      <c r="G4746" t="str">
        <f t="shared" si="306"/>
        <v>600-67: Letter Extraction and Insertion Machines, Mailroom</v>
      </c>
    </row>
    <row r="4747" spans="1:7" x14ac:dyDescent="0.25">
      <c r="A4747" s="1" t="str">
        <f t="shared" si="304"/>
        <v>600</v>
      </c>
      <c r="B4747" s="1" t="str">
        <f>TEXT(68,"00")</f>
        <v>68</v>
      </c>
      <c r="C4747" s="1" t="str">
        <f t="shared" si="305"/>
        <v>600-68</v>
      </c>
      <c r="D4747" t="s">
        <v>4720</v>
      </c>
      <c r="E4747" t="b">
        <f>IF(COUNTIF(D4747,"*"&amp;'Keyword Search'!$C$5&amp;"*"),TRUE,FALSE)</f>
        <v>1</v>
      </c>
      <c r="G4747" t="str">
        <f t="shared" si="306"/>
        <v>600-68: Letter Openers, Electric</v>
      </c>
    </row>
    <row r="4748" spans="1:7" x14ac:dyDescent="0.25">
      <c r="A4748" s="1" t="str">
        <f t="shared" si="304"/>
        <v>600</v>
      </c>
      <c r="B4748" s="1" t="str">
        <f>TEXT(69,"00")</f>
        <v>69</v>
      </c>
      <c r="C4748" s="1" t="str">
        <f t="shared" si="305"/>
        <v>600-69</v>
      </c>
      <c r="D4748" t="s">
        <v>4721</v>
      </c>
      <c r="E4748" t="b">
        <f>IF(COUNTIF(D4748,"*"&amp;'Keyword Search'!$C$5&amp;"*"),TRUE,FALSE)</f>
        <v>1</v>
      </c>
      <c r="G4748" t="str">
        <f t="shared" si="306"/>
        <v>600-69: *Micrographics Equipment and Supplies</v>
      </c>
    </row>
    <row r="4749" spans="1:7" x14ac:dyDescent="0.25">
      <c r="A4749" s="1" t="str">
        <f t="shared" si="304"/>
        <v>600</v>
      </c>
      <c r="B4749" s="1" t="str">
        <f>TEXT(70,"00")</f>
        <v>70</v>
      </c>
      <c r="C4749" s="1" t="str">
        <f t="shared" si="305"/>
        <v>600-70</v>
      </c>
      <c r="D4749" t="s">
        <v>4722</v>
      </c>
      <c r="E4749" t="b">
        <f>IF(COUNTIF(D4749,"*"&amp;'Keyword Search'!$C$5&amp;"*"),TRUE,FALSE)</f>
        <v>1</v>
      </c>
      <c r="G4749" t="str">
        <f t="shared" si="306"/>
        <v>600-70: Machine Repair Tools, Office</v>
      </c>
    </row>
    <row r="4750" spans="1:7" x14ac:dyDescent="0.25">
      <c r="A4750" s="1" t="str">
        <f t="shared" si="304"/>
        <v>600</v>
      </c>
      <c r="B4750" s="1" t="str">
        <f>TEXT(71,"00")</f>
        <v>71</v>
      </c>
      <c r="C4750" s="1" t="str">
        <f t="shared" si="305"/>
        <v>600-71</v>
      </c>
      <c r="D4750" t="s">
        <v>4723</v>
      </c>
      <c r="E4750" t="b">
        <f>IF(COUNTIF(D4750,"*"&amp;'Keyword Search'!$C$5&amp;"*"),TRUE,FALSE)</f>
        <v>1</v>
      </c>
      <c r="G4750" t="str">
        <f t="shared" si="306"/>
        <v>600-71: Mailing, Packaging, and Shipping Machines, Including Packaging Material Dispensing Machines</v>
      </c>
    </row>
    <row r="4751" spans="1:7" x14ac:dyDescent="0.25">
      <c r="A4751" s="1" t="str">
        <f t="shared" si="304"/>
        <v>600</v>
      </c>
      <c r="B4751" s="1" t="str">
        <f>TEXT(72,"00")</f>
        <v>72</v>
      </c>
      <c r="C4751" s="1" t="str">
        <f t="shared" si="305"/>
        <v>600-72</v>
      </c>
      <c r="D4751" t="s">
        <v>4724</v>
      </c>
      <c r="E4751" t="b">
        <f>IF(COUNTIF(D4751,"*"&amp;'Keyword Search'!$C$5&amp;"*"),TRUE,FALSE)</f>
        <v>1</v>
      </c>
      <c r="G4751" t="str">
        <f t="shared" si="306"/>
        <v>600-72: *Multi-Function Office Machines, Combination of Fax-Copier-Scanner-Printer, etc.</v>
      </c>
    </row>
    <row r="4752" spans="1:7" x14ac:dyDescent="0.25">
      <c r="A4752" s="1" t="str">
        <f t="shared" si="304"/>
        <v>600</v>
      </c>
      <c r="B4752" s="1" t="str">
        <f>TEXT(73,"00")</f>
        <v>73</v>
      </c>
      <c r="C4752" s="1" t="str">
        <f t="shared" si="305"/>
        <v>600-73</v>
      </c>
      <c r="D4752" t="s">
        <v>4725</v>
      </c>
      <c r="E4752" t="b">
        <f>IF(COUNTIF(D4752,"*"&amp;'Keyword Search'!$C$5&amp;"*"),TRUE,FALSE)</f>
        <v>1</v>
      </c>
      <c r="G4752" t="str">
        <f t="shared" si="306"/>
        <v>600-73: Office Machines, Equipment, Accessories, and Supplies, Recycled</v>
      </c>
    </row>
    <row r="4753" spans="1:7" x14ac:dyDescent="0.25">
      <c r="A4753" s="1" t="str">
        <f t="shared" si="304"/>
        <v>600</v>
      </c>
      <c r="B4753" s="1" t="str">
        <f>TEXT(74,"00")</f>
        <v>74</v>
      </c>
      <c r="C4753" s="1" t="str">
        <f t="shared" si="305"/>
        <v>600-74</v>
      </c>
      <c r="D4753" t="s">
        <v>4726</v>
      </c>
      <c r="E4753" t="b">
        <f>IF(COUNTIF(D4753,"*"&amp;'Keyword Search'!$C$5&amp;"*"),TRUE,FALSE)</f>
        <v>1</v>
      </c>
      <c r="G4753" t="str">
        <f t="shared" si="306"/>
        <v>600-74: Perforating Machines</v>
      </c>
    </row>
    <row r="4754" spans="1:7" x14ac:dyDescent="0.25">
      <c r="A4754" s="1" t="str">
        <f t="shared" si="304"/>
        <v>600</v>
      </c>
      <c r="B4754" s="1" t="str">
        <f>TEXT(77,"00")</f>
        <v>77</v>
      </c>
      <c r="C4754" s="1" t="str">
        <f t="shared" si="305"/>
        <v>600-77</v>
      </c>
      <c r="D4754" t="s">
        <v>4727</v>
      </c>
      <c r="E4754" t="b">
        <f>IF(COUNTIF(D4754,"*"&amp;'Keyword Search'!$C$5&amp;"*"),TRUE,FALSE)</f>
        <v>1</v>
      </c>
      <c r="G4754" t="str">
        <f t="shared" si="306"/>
        <v>600-77: Postage Meters</v>
      </c>
    </row>
    <row r="4755" spans="1:7" x14ac:dyDescent="0.25">
      <c r="A4755" s="1" t="str">
        <f t="shared" si="304"/>
        <v>600</v>
      </c>
      <c r="B4755" s="1" t="str">
        <f>TEXT(79,"00")</f>
        <v>79</v>
      </c>
      <c r="C4755" s="1" t="str">
        <f t="shared" si="305"/>
        <v>600-79</v>
      </c>
      <c r="D4755" t="s">
        <v>4728</v>
      </c>
      <c r="E4755" t="b">
        <f>IF(COUNTIF(D4755,"*"&amp;'Keyword Search'!$C$5&amp;"*"),TRUE,FALSE)</f>
        <v>1</v>
      </c>
      <c r="G4755" t="str">
        <f t="shared" si="306"/>
        <v>600-79: Poster Making Machines and Equipment</v>
      </c>
    </row>
    <row r="4756" spans="1:7" x14ac:dyDescent="0.25">
      <c r="A4756" s="1" t="str">
        <f t="shared" si="304"/>
        <v>600</v>
      </c>
      <c r="B4756" s="1" t="str">
        <f>TEXT(80,"00")</f>
        <v>80</v>
      </c>
      <c r="C4756" s="1" t="str">
        <f t="shared" si="305"/>
        <v>600-80</v>
      </c>
      <c r="D4756" t="s">
        <v>4729</v>
      </c>
      <c r="E4756" t="b">
        <f>IF(COUNTIF(D4756,"*"&amp;'Keyword Search'!$C$5&amp;"*"),TRUE,FALSE)</f>
        <v>1</v>
      </c>
      <c r="G4756" t="str">
        <f t="shared" si="306"/>
        <v>600-80: Postage Meter Supplies</v>
      </c>
    </row>
    <row r="4757" spans="1:7" x14ac:dyDescent="0.25">
      <c r="A4757" s="1" t="str">
        <f t="shared" si="304"/>
        <v>600</v>
      </c>
      <c r="B4757" s="1" t="str">
        <f>TEXT(81,"00")</f>
        <v>81</v>
      </c>
      <c r="C4757" s="1" t="str">
        <f t="shared" si="305"/>
        <v>600-81</v>
      </c>
      <c r="D4757" t="s">
        <v>4730</v>
      </c>
      <c r="E4757" t="b">
        <f>IF(COUNTIF(D4757,"*"&amp;'Keyword Search'!$C$5&amp;"*"),TRUE,FALSE)</f>
        <v>1</v>
      </c>
      <c r="G4757" t="str">
        <f t="shared" si="306"/>
        <v>600-81: Postage Stamp Vending Machines, Accessories, and Supplies</v>
      </c>
    </row>
    <row r="4758" spans="1:7" x14ac:dyDescent="0.25">
      <c r="A4758" s="1" t="str">
        <f t="shared" si="304"/>
        <v>600</v>
      </c>
      <c r="B4758" s="1" t="str">
        <f>TEXT(82,"00")</f>
        <v>82</v>
      </c>
      <c r="C4758" s="1" t="str">
        <f t="shared" si="305"/>
        <v>600-82</v>
      </c>
      <c r="D4758" t="s">
        <v>4731</v>
      </c>
      <c r="E4758" t="b">
        <f>IF(COUNTIF(D4758,"*"&amp;'Keyword Search'!$C$5&amp;"*"),TRUE,FALSE)</f>
        <v>1</v>
      </c>
      <c r="G4758" t="str">
        <f t="shared" si="306"/>
        <v>600-82: Shredders, Paper and Media</v>
      </c>
    </row>
    <row r="4759" spans="1:7" x14ac:dyDescent="0.25">
      <c r="A4759" s="1" t="str">
        <f t="shared" si="304"/>
        <v>600</v>
      </c>
      <c r="B4759" s="1" t="str">
        <f>TEXT(83,"00")</f>
        <v>83</v>
      </c>
      <c r="C4759" s="1" t="str">
        <f t="shared" si="305"/>
        <v>600-83</v>
      </c>
      <c r="D4759" t="s">
        <v>4732</v>
      </c>
      <c r="E4759" t="b">
        <f>IF(COUNTIF(D4759,"*"&amp;'Keyword Search'!$C$5&amp;"*"),TRUE,FALSE)</f>
        <v>1</v>
      </c>
      <c r="G4759" t="str">
        <f t="shared" si="306"/>
        <v>600-83: Stenographic and Stenotype Machines, Accessories, and Supplies</v>
      </c>
    </row>
    <row r="4760" spans="1:7" x14ac:dyDescent="0.25">
      <c r="A4760" s="1" t="str">
        <f t="shared" si="304"/>
        <v>600</v>
      </c>
      <c r="B4760" s="1" t="str">
        <f>TEXT(84,"00")</f>
        <v>84</v>
      </c>
      <c r="C4760" s="1" t="str">
        <f t="shared" si="305"/>
        <v>600-84</v>
      </c>
      <c r="D4760" t="s">
        <v>4733</v>
      </c>
      <c r="E4760" t="b">
        <f>IF(COUNTIF(D4760,"*"&amp;'Keyword Search'!$C$5&amp;"*"),TRUE,FALSE)</f>
        <v>1</v>
      </c>
      <c r="G4760" t="str">
        <f t="shared" si="306"/>
        <v>600-84: Teletype Machines and Parts</v>
      </c>
    </row>
    <row r="4761" spans="1:7" x14ac:dyDescent="0.25">
      <c r="A4761" s="1" t="str">
        <f t="shared" si="304"/>
        <v>600</v>
      </c>
      <c r="B4761" s="1" t="str">
        <f>TEXT(85,"00")</f>
        <v>85</v>
      </c>
      <c r="C4761" s="1" t="str">
        <f t="shared" si="305"/>
        <v>600-85</v>
      </c>
      <c r="D4761" t="s">
        <v>4734</v>
      </c>
      <c r="E4761" t="b">
        <f>IF(COUNTIF(D4761,"*"&amp;'Keyword Search'!$C$5&amp;"*"),TRUE,FALSE)</f>
        <v>1</v>
      </c>
      <c r="G4761" t="str">
        <f t="shared" si="306"/>
        <v>600-85: Telegraph Equipment, Parts and Supplies</v>
      </c>
    </row>
    <row r="4762" spans="1:7" x14ac:dyDescent="0.25">
      <c r="A4762" s="1" t="str">
        <f t="shared" si="304"/>
        <v>600</v>
      </c>
      <c r="B4762" s="1" t="str">
        <f>TEXT(86,"00")</f>
        <v>86</v>
      </c>
      <c r="C4762" s="1" t="str">
        <f t="shared" si="305"/>
        <v>600-86</v>
      </c>
      <c r="D4762" t="s">
        <v>4735</v>
      </c>
      <c r="E4762" t="b">
        <f>IF(COUNTIF(D4762,"*"&amp;'Keyword Search'!$C$5&amp;"*"),TRUE,FALSE)</f>
        <v>1</v>
      </c>
      <c r="G4762" t="str">
        <f t="shared" si="306"/>
        <v>600-86: Typewriters, Including Parts and Accessories</v>
      </c>
    </row>
    <row r="4763" spans="1:7" x14ac:dyDescent="0.25">
      <c r="A4763" s="1" t="str">
        <f t="shared" ref="A4763:A4769" si="307">TEXT(600,"000")</f>
        <v>600</v>
      </c>
      <c r="B4763" s="1" t="str">
        <f>TEXT(87,"00")</f>
        <v>87</v>
      </c>
      <c r="C4763" s="1" t="str">
        <f t="shared" si="305"/>
        <v>600-87</v>
      </c>
      <c r="D4763" t="s">
        <v>4736</v>
      </c>
      <c r="E4763" t="b">
        <f>IF(COUNTIF(D4763,"*"&amp;'Keyword Search'!$C$5&amp;"*"),TRUE,FALSE)</f>
        <v>1</v>
      </c>
      <c r="G4763" t="str">
        <f t="shared" si="306"/>
        <v>600-87: Typewriters, Electronic, Accessories and Parts</v>
      </c>
    </row>
    <row r="4764" spans="1:7" x14ac:dyDescent="0.25">
      <c r="A4764" s="1" t="str">
        <f t="shared" si="307"/>
        <v>600</v>
      </c>
      <c r="B4764" s="1" t="str">
        <f>TEXT(88,"00")</f>
        <v>88</v>
      </c>
      <c r="C4764" s="1" t="str">
        <f t="shared" si="305"/>
        <v>600-88</v>
      </c>
      <c r="D4764" t="s">
        <v>4737</v>
      </c>
      <c r="E4764" t="b">
        <f>IF(COUNTIF(D4764,"*"&amp;'Keyword Search'!$C$5&amp;"*"),TRUE,FALSE)</f>
        <v>1</v>
      </c>
      <c r="G4764" t="str">
        <f t="shared" si="306"/>
        <v>600-88: Typewriters, Manual, Accessories and Parts</v>
      </c>
    </row>
    <row r="4765" spans="1:7" x14ac:dyDescent="0.25">
      <c r="A4765" s="1" t="str">
        <f t="shared" si="307"/>
        <v>600</v>
      </c>
      <c r="B4765" s="1" t="str">
        <f>TEXT(89,"00")</f>
        <v>89</v>
      </c>
      <c r="C4765" s="1" t="str">
        <f t="shared" si="305"/>
        <v>600-89</v>
      </c>
      <c r="D4765" t="s">
        <v>4738</v>
      </c>
      <c r="E4765" t="b">
        <f>IF(COUNTIF(D4765,"*"&amp;'Keyword Search'!$C$5&amp;"*"),TRUE,FALSE)</f>
        <v>1</v>
      </c>
      <c r="G4765" t="str">
        <f t="shared" si="306"/>
        <v>600-89: Typewriters, Memory: Typewriters with Memory for Data Storage and Retrieval, Not Microcomputer System Style</v>
      </c>
    </row>
    <row r="4766" spans="1:7" x14ac:dyDescent="0.25">
      <c r="A4766" s="1" t="str">
        <f t="shared" si="307"/>
        <v>600</v>
      </c>
      <c r="B4766" s="1" t="str">
        <f>TEXT(90,"00")</f>
        <v>90</v>
      </c>
      <c r="C4766" s="1" t="str">
        <f t="shared" si="305"/>
        <v>600-90</v>
      </c>
      <c r="D4766" t="s">
        <v>4739</v>
      </c>
      <c r="E4766" t="b">
        <f>IF(COUNTIF(D4766,"*"&amp;'Keyword Search'!$C$5&amp;"*"),TRUE,FALSE)</f>
        <v>1</v>
      </c>
      <c r="G4766" t="str">
        <f t="shared" si="306"/>
        <v>600-90: Typewriters, Portable, Accessories and Parts</v>
      </c>
    </row>
    <row r="4767" spans="1:7" x14ac:dyDescent="0.25">
      <c r="A4767" s="1" t="str">
        <f t="shared" si="307"/>
        <v>600</v>
      </c>
      <c r="B4767" s="1" t="str">
        <f>TEXT(92,"00")</f>
        <v>92</v>
      </c>
      <c r="C4767" s="1" t="str">
        <f t="shared" si="305"/>
        <v>600-92</v>
      </c>
      <c r="D4767" t="s">
        <v>4740</v>
      </c>
      <c r="E4767" t="b">
        <f>IF(COUNTIF(D4767,"*"&amp;'Keyword Search'!$C$5&amp;"*"),TRUE,FALSE)</f>
        <v>1</v>
      </c>
      <c r="G4767" t="str">
        <f t="shared" si="306"/>
        <v>600-92: Typewriters, Specialized: One-Handed, Large Type, Accessories and Parts, etc.</v>
      </c>
    </row>
    <row r="4768" spans="1:7" x14ac:dyDescent="0.25">
      <c r="A4768" s="1" t="str">
        <f t="shared" si="307"/>
        <v>600</v>
      </c>
      <c r="B4768" s="1" t="str">
        <f>TEXT(95,"00")</f>
        <v>95</v>
      </c>
      <c r="C4768" s="1" t="str">
        <f t="shared" si="305"/>
        <v>600-95</v>
      </c>
      <c r="D4768" t="s">
        <v>4741</v>
      </c>
      <c r="E4768" t="b">
        <f>IF(COUNTIF(D4768,"*"&amp;'Keyword Search'!$C$5&amp;"*"),TRUE,FALSE)</f>
        <v>1</v>
      </c>
      <c r="G4768" t="str">
        <f t="shared" si="306"/>
        <v>600-95: Validating Machines</v>
      </c>
    </row>
    <row r="4769" spans="1:7" x14ac:dyDescent="0.25">
      <c r="A4769" s="1" t="str">
        <f t="shared" si="307"/>
        <v>600</v>
      </c>
      <c r="B4769" s="1" t="str">
        <f>TEXT(97,"00")</f>
        <v>97</v>
      </c>
      <c r="C4769" s="1" t="str">
        <f t="shared" si="305"/>
        <v>600-97</v>
      </c>
      <c r="D4769" t="s">
        <v>4742</v>
      </c>
      <c r="E4769" t="b">
        <f>IF(COUNTIF(D4769,"*"&amp;'Keyword Search'!$C$5&amp;"*"),TRUE,FALSE)</f>
        <v>1</v>
      </c>
      <c r="G4769" t="str">
        <f t="shared" si="306"/>
        <v>600-97: Vacuum Machines (Specifically Designed for Office Equipment)</v>
      </c>
    </row>
    <row r="4770" spans="1:7" x14ac:dyDescent="0.25">
      <c r="A4770" s="5" t="str">
        <f t="shared" ref="A4770:A4796" si="308">TEXT(605,"000")</f>
        <v>605</v>
      </c>
      <c r="B4770" s="5" t="str">
        <f>TEXT(0,"00")</f>
        <v>00</v>
      </c>
      <c r="C4770" s="1"/>
      <c r="D4770" s="2" t="s">
        <v>4743</v>
      </c>
    </row>
    <row r="4771" spans="1:7" x14ac:dyDescent="0.25">
      <c r="A4771" s="1" t="str">
        <f t="shared" si="308"/>
        <v>605</v>
      </c>
      <c r="B4771" s="1" t="str">
        <f>TEXT(3,"00")</f>
        <v>03</v>
      </c>
      <c r="C4771" s="1" t="str">
        <f t="shared" si="305"/>
        <v>605-03</v>
      </c>
      <c r="D4771" t="s">
        <v>4744</v>
      </c>
      <c r="E4771" t="b">
        <f>IF(COUNTIF(D4771,"*"&amp;'Keyword Search'!$C$5&amp;"*"),TRUE,FALSE)</f>
        <v>1</v>
      </c>
      <c r="G4771" t="str">
        <f t="shared" si="306"/>
        <v>605-03: Bells, Call</v>
      </c>
    </row>
    <row r="4772" spans="1:7" x14ac:dyDescent="0.25">
      <c r="A4772" s="1" t="str">
        <f t="shared" si="308"/>
        <v>605</v>
      </c>
      <c r="B4772" s="1" t="str">
        <f>TEXT(5,"00")</f>
        <v>05</v>
      </c>
      <c r="C4772" s="1" t="str">
        <f t="shared" si="305"/>
        <v>605-05</v>
      </c>
      <c r="D4772" t="s">
        <v>4745</v>
      </c>
      <c r="E4772" t="b">
        <f>IF(COUNTIF(D4772,"*"&amp;'Keyword Search'!$C$5&amp;"*"),TRUE,FALSE)</f>
        <v>1</v>
      </c>
      <c r="G4772" t="str">
        <f t="shared" si="306"/>
        <v>605-05: Collators, Mechanical, Table Top Type; and Accessories</v>
      </c>
    </row>
    <row r="4773" spans="1:7" x14ac:dyDescent="0.25">
      <c r="A4773" s="1" t="str">
        <f t="shared" si="308"/>
        <v>605</v>
      </c>
      <c r="B4773" s="1" t="str">
        <f>TEXT(10,"00")</f>
        <v>10</v>
      </c>
      <c r="C4773" s="1" t="str">
        <f t="shared" si="305"/>
        <v>605-10</v>
      </c>
      <c r="D4773" t="s">
        <v>4746</v>
      </c>
      <c r="E4773" t="b">
        <f>IF(COUNTIF(D4773,"*"&amp;'Keyword Search'!$C$5&amp;"*"),TRUE,FALSE)</f>
        <v>1</v>
      </c>
      <c r="G4773" t="str">
        <f t="shared" si="306"/>
        <v>605-10: Copyholders, Mechanical, Adjustable</v>
      </c>
    </row>
    <row r="4774" spans="1:7" x14ac:dyDescent="0.25">
      <c r="A4774" s="1" t="str">
        <f t="shared" si="308"/>
        <v>605</v>
      </c>
      <c r="B4774" s="1" t="str">
        <f>TEXT(14,"00")</f>
        <v>14</v>
      </c>
      <c r="C4774" s="1" t="str">
        <f t="shared" si="305"/>
        <v>605-14</v>
      </c>
      <c r="D4774" t="s">
        <v>4747</v>
      </c>
      <c r="E4774" t="b">
        <f>IF(COUNTIF(D4774,"*"&amp;'Keyword Search'!$C$5&amp;"*"),TRUE,FALSE)</f>
        <v>1</v>
      </c>
      <c r="G4774" t="str">
        <f t="shared" si="306"/>
        <v>605-14: Copyholders, Nonmechanical, Non-Adjustable</v>
      </c>
    </row>
    <row r="4775" spans="1:7" x14ac:dyDescent="0.25">
      <c r="A4775" s="1" t="str">
        <f t="shared" si="308"/>
        <v>605</v>
      </c>
      <c r="B4775" s="1" t="str">
        <f>TEXT(18,"00")</f>
        <v>18</v>
      </c>
      <c r="C4775" s="1" t="str">
        <f t="shared" si="305"/>
        <v>605-18</v>
      </c>
      <c r="D4775" t="s">
        <v>4748</v>
      </c>
      <c r="E4775" t="b">
        <f>IF(COUNTIF(D4775,"*"&amp;'Keyword Search'!$C$5&amp;"*"),TRUE,FALSE)</f>
        <v>1</v>
      </c>
      <c r="G4775" t="str">
        <f t="shared" si="306"/>
        <v>605-18: Cutter, Wrapping Paper</v>
      </c>
    </row>
    <row r="4776" spans="1:7" x14ac:dyDescent="0.25">
      <c r="A4776" s="1" t="str">
        <f t="shared" si="308"/>
        <v>605</v>
      </c>
      <c r="B4776" s="1" t="str">
        <f>TEXT(24,"00")</f>
        <v>24</v>
      </c>
      <c r="C4776" s="1" t="str">
        <f t="shared" si="305"/>
        <v>605-24</v>
      </c>
      <c r="D4776" t="s">
        <v>4749</v>
      </c>
      <c r="E4776" t="b">
        <f>IF(COUNTIF(D4776,"*"&amp;'Keyword Search'!$C$5&amp;"*"),TRUE,FALSE)</f>
        <v>1</v>
      </c>
      <c r="G4776" t="str">
        <f t="shared" si="306"/>
        <v>605-24: Date and Time Machines and Parts</v>
      </c>
    </row>
    <row r="4777" spans="1:7" x14ac:dyDescent="0.25">
      <c r="A4777" s="1" t="str">
        <f t="shared" si="308"/>
        <v>605</v>
      </c>
      <c r="B4777" s="1" t="str">
        <f>TEXT(30,"00")</f>
        <v>30</v>
      </c>
      <c r="C4777" s="1" t="str">
        <f t="shared" si="305"/>
        <v>605-30</v>
      </c>
      <c r="D4777" t="s">
        <v>4750</v>
      </c>
      <c r="E4777" t="b">
        <f>IF(COUNTIF(D4777,"*"&amp;'Keyword Search'!$C$5&amp;"*"),TRUE,FALSE)</f>
        <v>1</v>
      </c>
      <c r="G4777" t="str">
        <f t="shared" si="306"/>
        <v>605-30: Embossing Machines and Labeling Machines and Tapes, Including Credit Card Embossers</v>
      </c>
    </row>
    <row r="4778" spans="1:7" x14ac:dyDescent="0.25">
      <c r="A4778" s="1" t="str">
        <f t="shared" si="308"/>
        <v>605</v>
      </c>
      <c r="B4778" s="1" t="str">
        <f>TEXT(34,"00")</f>
        <v>34</v>
      </c>
      <c r="C4778" s="1" t="str">
        <f t="shared" si="305"/>
        <v>605-34</v>
      </c>
      <c r="D4778" t="s">
        <v>4751</v>
      </c>
      <c r="E4778" t="b">
        <f>IF(COUNTIF(D4778,"*"&amp;'Keyword Search'!$C$5&amp;"*"),TRUE,FALSE)</f>
        <v>1</v>
      </c>
      <c r="G4778" t="str">
        <f t="shared" si="306"/>
        <v>605-34: Eyelet Machines and Eyelets</v>
      </c>
    </row>
    <row r="4779" spans="1:7" x14ac:dyDescent="0.25">
      <c r="A4779" s="1" t="str">
        <f t="shared" si="308"/>
        <v>605</v>
      </c>
      <c r="B4779" s="1" t="str">
        <f>TEXT(36,"00")</f>
        <v>36</v>
      </c>
      <c r="C4779" s="1" t="str">
        <f t="shared" si="305"/>
        <v>605-36</v>
      </c>
      <c r="D4779" t="s">
        <v>4752</v>
      </c>
      <c r="E4779" t="b">
        <f>IF(COUNTIF(D4779,"*"&amp;'Keyword Search'!$C$5&amp;"*"),TRUE,FALSE)</f>
        <v>1</v>
      </c>
      <c r="G4779" t="str">
        <f t="shared" si="306"/>
        <v>605-36: Footrests</v>
      </c>
    </row>
    <row r="4780" spans="1:7" x14ac:dyDescent="0.25">
      <c r="A4780" s="1" t="str">
        <f t="shared" si="308"/>
        <v>605</v>
      </c>
      <c r="B4780" s="1" t="str">
        <f>TEXT(41,"00")</f>
        <v>41</v>
      </c>
      <c r="C4780" s="1" t="str">
        <f t="shared" si="305"/>
        <v>605-41</v>
      </c>
      <c r="D4780" t="s">
        <v>4753</v>
      </c>
      <c r="E4780" t="b">
        <f>IF(COUNTIF(D4780,"*"&amp;'Keyword Search'!$C$5&amp;"*"),TRUE,FALSE)</f>
        <v>1</v>
      </c>
      <c r="G4780" t="str">
        <f t="shared" si="306"/>
        <v>605-41: Magnets</v>
      </c>
    </row>
    <row r="4781" spans="1:7" x14ac:dyDescent="0.25">
      <c r="A4781" s="1" t="str">
        <f t="shared" si="308"/>
        <v>605</v>
      </c>
      <c r="B4781" s="1" t="str">
        <f>TEXT(42,"00")</f>
        <v>42</v>
      </c>
      <c r="C4781" s="1" t="str">
        <f t="shared" si="305"/>
        <v>605-42</v>
      </c>
      <c r="D4781" t="s">
        <v>4754</v>
      </c>
      <c r="E4781" t="b">
        <f>IF(COUNTIF(D4781,"*"&amp;'Keyword Search'!$C$5&amp;"*"),TRUE,FALSE)</f>
        <v>1</v>
      </c>
      <c r="G4781" t="str">
        <f t="shared" si="306"/>
        <v>605-42: Magnifying Glasses and Magnifiers</v>
      </c>
    </row>
    <row r="4782" spans="1:7" x14ac:dyDescent="0.25">
      <c r="A4782" s="1" t="str">
        <f t="shared" si="308"/>
        <v>605</v>
      </c>
      <c r="B4782" s="1" t="str">
        <f>TEXT(46,"00")</f>
        <v>46</v>
      </c>
      <c r="C4782" s="1" t="str">
        <f t="shared" si="305"/>
        <v>605-46</v>
      </c>
      <c r="D4782" t="s">
        <v>4755</v>
      </c>
      <c r="E4782" t="b">
        <f>IF(COUNTIF(D4782,"*"&amp;'Keyword Search'!$C$5&amp;"*"),TRUE,FALSE)</f>
        <v>1</v>
      </c>
      <c r="G4782" t="str">
        <f t="shared" si="306"/>
        <v>605-46: Moisteners, Sanitary; and Rubber Finger Tips, Including Sheet Lifters</v>
      </c>
    </row>
    <row r="4783" spans="1:7" x14ac:dyDescent="0.25">
      <c r="A4783" s="1" t="str">
        <f t="shared" si="308"/>
        <v>605</v>
      </c>
      <c r="B4783" s="1" t="str">
        <f>TEXT(50,"00")</f>
        <v>50</v>
      </c>
      <c r="C4783" s="1" t="str">
        <f t="shared" si="305"/>
        <v>605-50</v>
      </c>
      <c r="D4783" t="s">
        <v>4756</v>
      </c>
      <c r="E4783" t="b">
        <f>IF(COUNTIF(D4783,"*"&amp;'Keyword Search'!$C$5&amp;"*"),TRUE,FALSE)</f>
        <v>1</v>
      </c>
      <c r="G4783" t="str">
        <f t="shared" si="306"/>
        <v>605-50: Numbering Machines and Supplies: Ink, Pads, etc.</v>
      </c>
    </row>
    <row r="4784" spans="1:7" x14ac:dyDescent="0.25">
      <c r="A4784" s="1" t="str">
        <f t="shared" si="308"/>
        <v>605</v>
      </c>
      <c r="B4784" s="1" t="str">
        <f>TEXT(55,"00")</f>
        <v>55</v>
      </c>
      <c r="C4784" s="1" t="str">
        <f t="shared" si="305"/>
        <v>605-55</v>
      </c>
      <c r="D4784" t="s">
        <v>4757</v>
      </c>
      <c r="E4784" t="b">
        <f>IF(COUNTIF(D4784,"*"&amp;'Keyword Search'!$C$5&amp;"*"),TRUE,FALSE)</f>
        <v>1</v>
      </c>
      <c r="G4784" t="str">
        <f t="shared" si="306"/>
        <v>605-55: Paper Trimmers, Hand, Blade Type</v>
      </c>
    </row>
    <row r="4785" spans="1:7" x14ac:dyDescent="0.25">
      <c r="A4785" s="1" t="str">
        <f t="shared" si="308"/>
        <v>605</v>
      </c>
      <c r="B4785" s="1" t="str">
        <f>TEXT(57,"00")</f>
        <v>57</v>
      </c>
      <c r="C4785" s="1" t="str">
        <f t="shared" si="305"/>
        <v>605-57</v>
      </c>
      <c r="D4785" t="s">
        <v>4758</v>
      </c>
      <c r="E4785" t="b">
        <f>IF(COUNTIF(D4785,"*"&amp;'Keyword Search'!$C$5&amp;"*"),TRUE,FALSE)</f>
        <v>1</v>
      </c>
      <c r="G4785" t="str">
        <f t="shared" si="306"/>
        <v>605-57: Paper Trimmers, Hand, Rotary Type</v>
      </c>
    </row>
    <row r="4786" spans="1:7" x14ac:dyDescent="0.25">
      <c r="A4786" s="1" t="str">
        <f t="shared" si="308"/>
        <v>605</v>
      </c>
      <c r="B4786" s="1" t="str">
        <f>TEXT(60,"00")</f>
        <v>60</v>
      </c>
      <c r="C4786" s="1" t="str">
        <f t="shared" si="305"/>
        <v>605-60</v>
      </c>
      <c r="D4786" t="s">
        <v>4759</v>
      </c>
      <c r="E4786" t="b">
        <f>IF(COUNTIF(D4786,"*"&amp;'Keyword Search'!$C$5&amp;"*"),TRUE,FALSE)</f>
        <v>1</v>
      </c>
      <c r="G4786" t="str">
        <f t="shared" si="306"/>
        <v>605-60: Pencil Sharpeners, Electric and Battery Operated</v>
      </c>
    </row>
    <row r="4787" spans="1:7" x14ac:dyDescent="0.25">
      <c r="A4787" s="1" t="str">
        <f t="shared" si="308"/>
        <v>605</v>
      </c>
      <c r="B4787" s="1" t="str">
        <f>TEXT(63,"00")</f>
        <v>63</v>
      </c>
      <c r="C4787" s="1" t="str">
        <f t="shared" si="305"/>
        <v>605-63</v>
      </c>
      <c r="D4787" t="s">
        <v>4760</v>
      </c>
      <c r="E4787" t="b">
        <f>IF(COUNTIF(D4787,"*"&amp;'Keyword Search'!$C$5&amp;"*"),TRUE,FALSE)</f>
        <v>1</v>
      </c>
      <c r="G4787" t="str">
        <f t="shared" si="306"/>
        <v>605-63: Pencil Sharpeners, Manual; and Parts</v>
      </c>
    </row>
    <row r="4788" spans="1:7" x14ac:dyDescent="0.25">
      <c r="A4788" s="1" t="str">
        <f t="shared" si="308"/>
        <v>605</v>
      </c>
      <c r="B4788" s="1" t="str">
        <f>TEXT(65,"00")</f>
        <v>65</v>
      </c>
      <c r="C4788" s="1" t="str">
        <f t="shared" si="305"/>
        <v>605-65</v>
      </c>
      <c r="D4788" t="s">
        <v>4761</v>
      </c>
      <c r="E4788" t="b">
        <f>IF(COUNTIF(D4788,"*"&amp;'Keyword Search'!$C$5&amp;"*"),TRUE,FALSE)</f>
        <v>1</v>
      </c>
      <c r="G4788" t="str">
        <f t="shared" si="306"/>
        <v>605-65: Punches, Paper</v>
      </c>
    </row>
    <row r="4789" spans="1:7" x14ac:dyDescent="0.25">
      <c r="A4789" s="1" t="str">
        <f t="shared" si="308"/>
        <v>605</v>
      </c>
      <c r="B4789" s="1" t="str">
        <f>TEXT(67,"00")</f>
        <v>67</v>
      </c>
      <c r="C4789" s="1" t="str">
        <f t="shared" si="305"/>
        <v>605-67</v>
      </c>
      <c r="D4789" t="s">
        <v>4762</v>
      </c>
      <c r="E4789" t="b">
        <f>IF(COUNTIF(D4789,"*"&amp;'Keyword Search'!$C$5&amp;"*"),TRUE,FALSE)</f>
        <v>1</v>
      </c>
      <c r="G4789" t="str">
        <f t="shared" si="306"/>
        <v>605-67: Punches, Paper, Manual</v>
      </c>
    </row>
    <row r="4790" spans="1:7" x14ac:dyDescent="0.25">
      <c r="A4790" s="1" t="str">
        <f t="shared" si="308"/>
        <v>605</v>
      </c>
      <c r="B4790" s="1" t="str">
        <f>TEXT(68,"00")</f>
        <v>68</v>
      </c>
      <c r="C4790" s="1" t="str">
        <f t="shared" si="305"/>
        <v>605-68</v>
      </c>
      <c r="D4790" t="s">
        <v>4763</v>
      </c>
      <c r="E4790" t="b">
        <f>IF(COUNTIF(D4790,"*"&amp;'Keyword Search'!$C$5&amp;"*"),TRUE,FALSE)</f>
        <v>1</v>
      </c>
      <c r="G4790" t="str">
        <f t="shared" si="306"/>
        <v>605-68: Recycled Office Mechanical Aids, Small Machines and Apparatuses</v>
      </c>
    </row>
    <row r="4791" spans="1:7" x14ac:dyDescent="0.25">
      <c r="A4791" s="1" t="str">
        <f t="shared" si="308"/>
        <v>605</v>
      </c>
      <c r="B4791" s="1" t="str">
        <f>TEXT(69,"00")</f>
        <v>69</v>
      </c>
      <c r="C4791" s="1" t="str">
        <f t="shared" si="305"/>
        <v>605-69</v>
      </c>
      <c r="D4791" t="s">
        <v>4764</v>
      </c>
      <c r="E4791" t="b">
        <f>IF(COUNTIF(D4791,"*"&amp;'Keyword Search'!$C$5&amp;"*"),TRUE,FALSE)</f>
        <v>1</v>
      </c>
      <c r="G4791" t="str">
        <f t="shared" si="306"/>
        <v>605-69: Scissors and Shears, Office</v>
      </c>
    </row>
    <row r="4792" spans="1:7" x14ac:dyDescent="0.25">
      <c r="A4792" s="1" t="str">
        <f t="shared" si="308"/>
        <v>605</v>
      </c>
      <c r="B4792" s="1" t="str">
        <f>TEXT(75,"00")</f>
        <v>75</v>
      </c>
      <c r="C4792" s="1" t="str">
        <f t="shared" si="305"/>
        <v>605-75</v>
      </c>
      <c r="D4792" t="s">
        <v>4765</v>
      </c>
      <c r="E4792" t="b">
        <f>IF(COUNTIF(D4792,"*"&amp;'Keyword Search'!$C$5&amp;"*"),TRUE,FALSE)</f>
        <v>1</v>
      </c>
      <c r="G4792" t="str">
        <f t="shared" si="306"/>
        <v>605-75: Sealing and Tape Machines, Mail Room</v>
      </c>
    </row>
    <row r="4793" spans="1:7" x14ac:dyDescent="0.25">
      <c r="A4793" s="1" t="str">
        <f t="shared" si="308"/>
        <v>605</v>
      </c>
      <c r="B4793" s="1" t="str">
        <f>TEXT(78,"00")</f>
        <v>78</v>
      </c>
      <c r="C4793" s="1" t="str">
        <f t="shared" si="305"/>
        <v>605-78</v>
      </c>
      <c r="D4793" t="s">
        <v>4766</v>
      </c>
      <c r="E4793" t="b">
        <f>IF(COUNTIF(D4793,"*"&amp;'Keyword Search'!$C$5&amp;"*"),TRUE,FALSE)</f>
        <v>1</v>
      </c>
      <c r="G4793" t="str">
        <f t="shared" si="306"/>
        <v>605-78: Seal, Notary and Departmental</v>
      </c>
    </row>
    <row r="4794" spans="1:7" x14ac:dyDescent="0.25">
      <c r="A4794" s="1" t="str">
        <f t="shared" si="308"/>
        <v>605</v>
      </c>
      <c r="B4794" s="1" t="str">
        <f>TEXT(82,"00")</f>
        <v>82</v>
      </c>
      <c r="C4794" s="1" t="str">
        <f t="shared" si="305"/>
        <v>605-82</v>
      </c>
      <c r="D4794" t="s">
        <v>4767</v>
      </c>
      <c r="E4794" t="b">
        <f>IF(COUNTIF(D4794,"*"&amp;'Keyword Search'!$C$5&amp;"*"),TRUE,FALSE)</f>
        <v>1</v>
      </c>
      <c r="G4794" t="str">
        <f t="shared" si="306"/>
        <v>605-82: Staple Removers</v>
      </c>
    </row>
    <row r="4795" spans="1:7" x14ac:dyDescent="0.25">
      <c r="A4795" s="1" t="str">
        <f t="shared" si="308"/>
        <v>605</v>
      </c>
      <c r="B4795" s="1" t="str">
        <f>TEXT(85,"00")</f>
        <v>85</v>
      </c>
      <c r="C4795" s="1" t="str">
        <f t="shared" si="305"/>
        <v>605-85</v>
      </c>
      <c r="D4795" t="s">
        <v>4768</v>
      </c>
      <c r="E4795" t="b">
        <f>IF(COUNTIF(D4795,"*"&amp;'Keyword Search'!$C$5&amp;"*"),TRUE,FALSE)</f>
        <v>1</v>
      </c>
      <c r="G4795" t="str">
        <f t="shared" si="306"/>
        <v>605-85: Stapling Machines, Including Parts and Accessories</v>
      </c>
    </row>
    <row r="4796" spans="1:7" x14ac:dyDescent="0.25">
      <c r="A4796" s="1" t="str">
        <f t="shared" si="308"/>
        <v>605</v>
      </c>
      <c r="B4796" s="1" t="str">
        <f>TEXT(88,"00")</f>
        <v>88</v>
      </c>
      <c r="C4796" s="1" t="str">
        <f t="shared" si="305"/>
        <v>605-88</v>
      </c>
      <c r="D4796" t="s">
        <v>4769</v>
      </c>
      <c r="E4796" t="b">
        <f>IF(COUNTIF(D4796,"*"&amp;'Keyword Search'!$C$5&amp;"*"),TRUE,FALSE)</f>
        <v>1</v>
      </c>
      <c r="G4796" t="str">
        <f t="shared" si="306"/>
        <v>605-88: Stapling Machines and Parts, Manual</v>
      </c>
    </row>
    <row r="4797" spans="1:7" x14ac:dyDescent="0.25">
      <c r="A4797" s="5" t="str">
        <f t="shared" ref="A4797:A4816" si="309">TEXT(610,"000")</f>
        <v>610</v>
      </c>
      <c r="B4797" s="5" t="str">
        <f>TEXT(0,"00")</f>
        <v>00</v>
      </c>
      <c r="C4797" s="1"/>
      <c r="D4797" s="2" t="s">
        <v>4770</v>
      </c>
    </row>
    <row r="4798" spans="1:7" x14ac:dyDescent="0.25">
      <c r="A4798" s="1" t="str">
        <f t="shared" si="309"/>
        <v>610</v>
      </c>
      <c r="B4798" s="1" t="str">
        <f>TEXT(7,"00")</f>
        <v>07</v>
      </c>
      <c r="C4798" s="1" t="str">
        <f t="shared" si="305"/>
        <v>610-07</v>
      </c>
      <c r="D4798" t="s">
        <v>4771</v>
      </c>
      <c r="E4798" t="b">
        <f>IF(COUNTIF(D4798,"*"&amp;'Keyword Search'!$C$5&amp;"*"),TRUE,FALSE)</f>
        <v>1</v>
      </c>
      <c r="G4798" t="str">
        <f t="shared" si="306"/>
        <v>610-07: Carbon Paper, One-Time</v>
      </c>
    </row>
    <row r="4799" spans="1:7" x14ac:dyDescent="0.25">
      <c r="A4799" s="1" t="str">
        <f t="shared" si="309"/>
        <v>610</v>
      </c>
      <c r="B4799" s="1" t="str">
        <f>TEXT(14,"00")</f>
        <v>14</v>
      </c>
      <c r="C4799" s="1" t="str">
        <f t="shared" si="305"/>
        <v>610-14</v>
      </c>
      <c r="D4799" t="s">
        <v>4772</v>
      </c>
      <c r="E4799" t="b">
        <f>IF(COUNTIF(D4799,"*"&amp;'Keyword Search'!$C$5&amp;"*"),TRUE,FALSE)</f>
        <v>1</v>
      </c>
      <c r="G4799" t="str">
        <f t="shared" si="306"/>
        <v>610-14: Carbon Paper, Pencil</v>
      </c>
    </row>
    <row r="4800" spans="1:7" x14ac:dyDescent="0.25">
      <c r="A4800" s="1" t="str">
        <f t="shared" si="309"/>
        <v>610</v>
      </c>
      <c r="B4800" s="1" t="str">
        <f>TEXT(16,"00")</f>
        <v>16</v>
      </c>
      <c r="C4800" s="1" t="str">
        <f t="shared" si="305"/>
        <v>610-16</v>
      </c>
      <c r="D4800" t="s">
        <v>4773</v>
      </c>
      <c r="E4800" t="b">
        <f>IF(COUNTIF(D4800,"*"&amp;'Keyword Search'!$C$5&amp;"*"),TRUE,FALSE)</f>
        <v>1</v>
      </c>
      <c r="G4800" t="str">
        <f t="shared" si="306"/>
        <v>610-16: Carbon Paper, Register Machines</v>
      </c>
    </row>
    <row r="4801" spans="1:7" x14ac:dyDescent="0.25">
      <c r="A4801" s="1" t="str">
        <f t="shared" si="309"/>
        <v>610</v>
      </c>
      <c r="B4801" s="1" t="str">
        <f>TEXT(21,"00")</f>
        <v>21</v>
      </c>
      <c r="C4801" s="1" t="str">
        <f t="shared" si="305"/>
        <v>610-21</v>
      </c>
      <c r="D4801" t="s">
        <v>4774</v>
      </c>
      <c r="E4801" t="b">
        <f>IF(COUNTIF(D4801,"*"&amp;'Keyword Search'!$C$5&amp;"*"),TRUE,FALSE)</f>
        <v>1</v>
      </c>
      <c r="G4801" t="str">
        <f t="shared" si="306"/>
        <v>610-21: Carbon Paper, Typewriter</v>
      </c>
    </row>
    <row r="4802" spans="1:7" x14ac:dyDescent="0.25">
      <c r="A4802" s="1" t="str">
        <f t="shared" si="309"/>
        <v>610</v>
      </c>
      <c r="B4802" s="1" t="str">
        <f>TEXT(28,"00")</f>
        <v>28</v>
      </c>
      <c r="C4802" s="1" t="str">
        <f t="shared" si="305"/>
        <v>610-28</v>
      </c>
      <c r="D4802" t="s">
        <v>4775</v>
      </c>
      <c r="E4802" t="b">
        <f>IF(COUNTIF(D4802,"*"&amp;'Keyword Search'!$C$5&amp;"*"),TRUE,FALSE)</f>
        <v>1</v>
      </c>
      <c r="G4802" t="str">
        <f t="shared" si="306"/>
        <v>610-28: Carbon Paper, Solvent Carbon Type</v>
      </c>
    </row>
    <row r="4803" spans="1:7" x14ac:dyDescent="0.25">
      <c r="A4803" s="1" t="str">
        <f t="shared" si="309"/>
        <v>610</v>
      </c>
      <c r="B4803" s="1" t="str">
        <f>TEXT(33,"00")</f>
        <v>33</v>
      </c>
      <c r="C4803" s="1" t="str">
        <f t="shared" ref="C4803:C4866" si="310">CONCATENATE(A4803,"-",B4803)</f>
        <v>610-33</v>
      </c>
      <c r="D4803" t="s">
        <v>4776</v>
      </c>
      <c r="E4803" t="b">
        <f>IF(COUNTIF(D4803,"*"&amp;'Keyword Search'!$C$5&amp;"*"),TRUE,FALSE)</f>
        <v>1</v>
      </c>
      <c r="G4803" t="str">
        <f t="shared" si="306"/>
        <v>610-33: Recycled Carbon Paper</v>
      </c>
    </row>
    <row r="4804" spans="1:7" x14ac:dyDescent="0.25">
      <c r="A4804" s="1" t="str">
        <f t="shared" si="309"/>
        <v>610</v>
      </c>
      <c r="B4804" s="1" t="str">
        <f>TEXT(34,"00")</f>
        <v>34</v>
      </c>
      <c r="C4804" s="1" t="str">
        <f t="shared" si="310"/>
        <v>610-34</v>
      </c>
      <c r="D4804" t="s">
        <v>4777</v>
      </c>
      <c r="E4804" t="b">
        <f>IF(COUNTIF(D4804,"*"&amp;'Keyword Search'!$C$5&amp;"*"),TRUE,FALSE)</f>
        <v>1</v>
      </c>
      <c r="G4804" t="str">
        <f t="shared" ref="G4804:G4867" si="311">CONCATENATE(C4804,": ",D4804)</f>
        <v>610-34: Recycled Ribbons</v>
      </c>
    </row>
    <row r="4805" spans="1:7" x14ac:dyDescent="0.25">
      <c r="A4805" s="1" t="str">
        <f t="shared" si="309"/>
        <v>610</v>
      </c>
      <c r="B4805" s="1" t="str">
        <f>TEXT(35,"00")</f>
        <v>35</v>
      </c>
      <c r="C4805" s="1" t="str">
        <f t="shared" si="310"/>
        <v>610-35</v>
      </c>
      <c r="D4805" t="s">
        <v>4778</v>
      </c>
      <c r="E4805" t="b">
        <f>IF(COUNTIF(D4805,"*"&amp;'Keyword Search'!$C$5&amp;"*"),TRUE,FALSE)</f>
        <v>1</v>
      </c>
      <c r="G4805" t="str">
        <f t="shared" si="311"/>
        <v>610-35: Ribbons, Adding Machine and Calculator, All Types</v>
      </c>
    </row>
    <row r="4806" spans="1:7" x14ac:dyDescent="0.25">
      <c r="A4806" s="1" t="str">
        <f t="shared" si="309"/>
        <v>610</v>
      </c>
      <c r="B4806" s="1" t="str">
        <f>TEXT(42,"00")</f>
        <v>42</v>
      </c>
      <c r="C4806" s="1" t="str">
        <f t="shared" si="310"/>
        <v>610-42</v>
      </c>
      <c r="D4806" t="s">
        <v>4779</v>
      </c>
      <c r="E4806" t="b">
        <f>IF(COUNTIF(D4806,"*"&amp;'Keyword Search'!$C$5&amp;"*"),TRUE,FALSE)</f>
        <v>1</v>
      </c>
      <c r="G4806" t="str">
        <f t="shared" si="311"/>
        <v>610-42: Ribbons, Addressing Machine, All Types</v>
      </c>
    </row>
    <row r="4807" spans="1:7" x14ac:dyDescent="0.25">
      <c r="A4807" s="1" t="str">
        <f t="shared" si="309"/>
        <v>610</v>
      </c>
      <c r="B4807" s="1" t="str">
        <f>TEXT(49,"00")</f>
        <v>49</v>
      </c>
      <c r="C4807" s="1" t="str">
        <f t="shared" si="310"/>
        <v>610-49</v>
      </c>
      <c r="D4807" t="s">
        <v>4780</v>
      </c>
      <c r="E4807" t="b">
        <f>IF(COUNTIF(D4807,"*"&amp;'Keyword Search'!$C$5&amp;"*"),TRUE,FALSE)</f>
        <v>1</v>
      </c>
      <c r="G4807" t="str">
        <f t="shared" si="311"/>
        <v>610-49: Ribbons, Bookkeeping and Posting Machine, All Types</v>
      </c>
    </row>
    <row r="4808" spans="1:7" x14ac:dyDescent="0.25">
      <c r="A4808" s="1" t="str">
        <f t="shared" si="309"/>
        <v>610</v>
      </c>
      <c r="B4808" s="1" t="str">
        <f>TEXT(52,"00")</f>
        <v>52</v>
      </c>
      <c r="C4808" s="1" t="str">
        <f t="shared" si="310"/>
        <v>610-52</v>
      </c>
      <c r="D4808" t="s">
        <v>4781</v>
      </c>
      <c r="E4808" t="b">
        <f>IF(COUNTIF(D4808,"*"&amp;'Keyword Search'!$C$5&amp;"*"),TRUE,FALSE)</f>
        <v>1</v>
      </c>
      <c r="G4808" t="str">
        <f t="shared" si="311"/>
        <v>610-52: Ribbons, Cash Register</v>
      </c>
    </row>
    <row r="4809" spans="1:7" x14ac:dyDescent="0.25">
      <c r="A4809" s="1" t="str">
        <f t="shared" si="309"/>
        <v>610</v>
      </c>
      <c r="B4809" s="1" t="str">
        <f>TEXT(56,"00")</f>
        <v>56</v>
      </c>
      <c r="C4809" s="1" t="str">
        <f t="shared" si="310"/>
        <v>610-56</v>
      </c>
      <c r="D4809" t="s">
        <v>4782</v>
      </c>
      <c r="E4809" t="b">
        <f>IF(COUNTIF(D4809,"*"&amp;'Keyword Search'!$C$5&amp;"*"),TRUE,FALSE)</f>
        <v>1</v>
      </c>
      <c r="G4809" t="str">
        <f t="shared" si="311"/>
        <v>610-56: *Ribbons, Computer and Data Processing, All Types (See 610-73 For Tab)</v>
      </c>
    </row>
    <row r="4810" spans="1:7" x14ac:dyDescent="0.25">
      <c r="A4810" s="1" t="str">
        <f t="shared" si="309"/>
        <v>610</v>
      </c>
      <c r="B4810" s="1" t="str">
        <f>TEXT(63,"00")</f>
        <v>63</v>
      </c>
      <c r="C4810" s="1" t="str">
        <f t="shared" si="310"/>
        <v>610-63</v>
      </c>
      <c r="D4810" t="s">
        <v>4783</v>
      </c>
      <c r="E4810" t="b">
        <f>IF(COUNTIF(D4810,"*"&amp;'Keyword Search'!$C$5&amp;"*"),TRUE,FALSE)</f>
        <v>1</v>
      </c>
      <c r="G4810" t="str">
        <f t="shared" si="311"/>
        <v>610-63: *Ribbons, Teleprinter and Teletype, All Types</v>
      </c>
    </row>
    <row r="4811" spans="1:7" x14ac:dyDescent="0.25">
      <c r="A4811" s="1" t="str">
        <f t="shared" si="309"/>
        <v>610</v>
      </c>
      <c r="B4811" s="1" t="str">
        <f>TEXT(70,"00")</f>
        <v>70</v>
      </c>
      <c r="C4811" s="1" t="str">
        <f t="shared" si="310"/>
        <v>610-70</v>
      </c>
      <c r="D4811" t="s">
        <v>4784</v>
      </c>
      <c r="E4811" t="b">
        <f>IF(COUNTIF(D4811,"*"&amp;'Keyword Search'!$C$5&amp;"*"),TRUE,FALSE)</f>
        <v>1</v>
      </c>
      <c r="G4811" t="str">
        <f t="shared" si="311"/>
        <v>610-70: Ribbons: Check Machine, Time Clock, Time Machine, and Recorder</v>
      </c>
    </row>
    <row r="4812" spans="1:7" x14ac:dyDescent="0.25">
      <c r="A4812" s="1" t="str">
        <f t="shared" si="309"/>
        <v>610</v>
      </c>
      <c r="B4812" s="1" t="str">
        <f>TEXT(73,"00")</f>
        <v>73</v>
      </c>
      <c r="C4812" s="1" t="str">
        <f t="shared" si="310"/>
        <v>610-73</v>
      </c>
      <c r="D4812" t="s">
        <v>4785</v>
      </c>
      <c r="E4812" t="b">
        <f>IF(COUNTIF(D4812,"*"&amp;'Keyword Search'!$C$5&amp;"*"),TRUE,FALSE)</f>
        <v>1</v>
      </c>
      <c r="G4812" t="str">
        <f t="shared" si="311"/>
        <v>610-73: Ribbons, Tab</v>
      </c>
    </row>
    <row r="4813" spans="1:7" x14ac:dyDescent="0.25">
      <c r="A4813" s="1" t="str">
        <f t="shared" si="309"/>
        <v>610</v>
      </c>
      <c r="B4813" s="1" t="str">
        <f>TEXT(77,"00")</f>
        <v>77</v>
      </c>
      <c r="C4813" s="1" t="str">
        <f t="shared" si="310"/>
        <v>610-77</v>
      </c>
      <c r="D4813" t="s">
        <v>4786</v>
      </c>
      <c r="E4813" t="b">
        <f>IF(COUNTIF(D4813,"*"&amp;'Keyword Search'!$C$5&amp;"*"),TRUE,FALSE)</f>
        <v>1</v>
      </c>
      <c r="G4813" t="str">
        <f t="shared" si="311"/>
        <v>610-77: Ribbons, Typewriter and Word Processing, Fabric</v>
      </c>
    </row>
    <row r="4814" spans="1:7" x14ac:dyDescent="0.25">
      <c r="A4814" s="1" t="str">
        <f t="shared" si="309"/>
        <v>610</v>
      </c>
      <c r="B4814" s="1" t="str">
        <f>TEXT(84,"00")</f>
        <v>84</v>
      </c>
      <c r="C4814" s="1" t="str">
        <f t="shared" si="310"/>
        <v>610-84</v>
      </c>
      <c r="D4814" t="s">
        <v>4787</v>
      </c>
      <c r="E4814" t="b">
        <f>IF(COUNTIF(D4814,"*"&amp;'Keyword Search'!$C$5&amp;"*"),TRUE,FALSE)</f>
        <v>1</v>
      </c>
      <c r="G4814" t="str">
        <f t="shared" si="311"/>
        <v>610-84: Ribbons, Typewriter and Word Processing, Film</v>
      </c>
    </row>
    <row r="4815" spans="1:7" x14ac:dyDescent="0.25">
      <c r="A4815" s="1" t="str">
        <f t="shared" si="309"/>
        <v>610</v>
      </c>
      <c r="B4815" s="1" t="str">
        <f>TEXT(91,"00")</f>
        <v>91</v>
      </c>
      <c r="C4815" s="1" t="str">
        <f t="shared" si="310"/>
        <v>610-91</v>
      </c>
      <c r="D4815" t="s">
        <v>4788</v>
      </c>
      <c r="E4815" t="b">
        <f>IF(COUNTIF(D4815,"*"&amp;'Keyword Search'!$C$5&amp;"*"),TRUE,FALSE)</f>
        <v>1</v>
      </c>
      <c r="G4815" t="str">
        <f t="shared" si="311"/>
        <v>610-91: Ribbons, Typesetting, All Types</v>
      </c>
    </row>
    <row r="4816" spans="1:7" x14ac:dyDescent="0.25">
      <c r="A4816" s="1" t="str">
        <f t="shared" si="309"/>
        <v>610</v>
      </c>
      <c r="B4816" s="1" t="str">
        <f>TEXT(96,"00")</f>
        <v>96</v>
      </c>
      <c r="C4816" s="1" t="str">
        <f t="shared" si="310"/>
        <v>610-96</v>
      </c>
      <c r="D4816" t="s">
        <v>4789</v>
      </c>
      <c r="E4816" t="b">
        <f>IF(COUNTIF(D4816,"*"&amp;'Keyword Search'!$C$5&amp;"*"),TRUE,FALSE)</f>
        <v>1</v>
      </c>
      <c r="G4816" t="str">
        <f t="shared" si="311"/>
        <v>610-96: Tape, Correcting, For Use with Correctable Typewriters)</v>
      </c>
    </row>
    <row r="4817" spans="1:7" x14ac:dyDescent="0.25">
      <c r="A4817" s="5" t="str">
        <f t="shared" ref="A4817:A4875" si="312">TEXT(615,"000")</f>
        <v>615</v>
      </c>
      <c r="B4817" s="5" t="str">
        <f>TEXT(0,"00")</f>
        <v>00</v>
      </c>
      <c r="C4817" s="1"/>
      <c r="D4817" s="2" t="s">
        <v>4790</v>
      </c>
    </row>
    <row r="4818" spans="1:7" x14ac:dyDescent="0.25">
      <c r="A4818" s="1" t="str">
        <f t="shared" si="312"/>
        <v>615</v>
      </c>
      <c r="B4818" s="1" t="str">
        <f>TEXT(3,"00")</f>
        <v>03</v>
      </c>
      <c r="C4818" s="1" t="str">
        <f t="shared" si="310"/>
        <v>615-03</v>
      </c>
      <c r="D4818" t="s">
        <v>4791</v>
      </c>
      <c r="E4818" t="b">
        <f>IF(COUNTIF(D4818,"*"&amp;'Keyword Search'!$C$5&amp;"*"),TRUE,FALSE)</f>
        <v>1</v>
      </c>
      <c r="G4818" t="str">
        <f t="shared" si="311"/>
        <v>615-03: Adding Machine and Calculator Paper, Rolls</v>
      </c>
    </row>
    <row r="4819" spans="1:7" x14ac:dyDescent="0.25">
      <c r="A4819" s="1" t="str">
        <f t="shared" si="312"/>
        <v>615</v>
      </c>
      <c r="B4819" s="1" t="str">
        <f>TEXT(4,"00")</f>
        <v>04</v>
      </c>
      <c r="C4819" s="1" t="str">
        <f t="shared" si="310"/>
        <v>615-04</v>
      </c>
      <c r="D4819" t="s">
        <v>4792</v>
      </c>
      <c r="E4819" t="b">
        <f>IF(COUNTIF(D4819,"*"&amp;'Keyword Search'!$C$5&amp;"*"),TRUE,FALSE)</f>
        <v>1</v>
      </c>
      <c r="G4819" t="str">
        <f t="shared" si="311"/>
        <v>615-04: Adding Machine and Calculator Paper, Rolls, Thermal Type Treated Paper and Carbonless Type</v>
      </c>
    </row>
    <row r="4820" spans="1:7" x14ac:dyDescent="0.25">
      <c r="A4820" s="1" t="str">
        <f t="shared" si="312"/>
        <v>615</v>
      </c>
      <c r="B4820" s="1" t="str">
        <f>TEXT(5,"00")</f>
        <v>05</v>
      </c>
      <c r="C4820" s="1" t="str">
        <f t="shared" si="310"/>
        <v>615-05</v>
      </c>
      <c r="D4820" t="s">
        <v>4793</v>
      </c>
      <c r="E4820" t="b">
        <f>IF(COUNTIF(D4820,"*"&amp;'Keyword Search'!$C$5&amp;"*"),TRUE,FALSE)</f>
        <v>1</v>
      </c>
      <c r="G4820" t="str">
        <f t="shared" si="311"/>
        <v>615-05: Adhesives and Applicators: Glue, Mucilage, Paste, etc.</v>
      </c>
    </row>
    <row r="4821" spans="1:7" x14ac:dyDescent="0.25">
      <c r="A4821" s="1" t="str">
        <f t="shared" si="312"/>
        <v>615</v>
      </c>
      <c r="B4821" s="1" t="str">
        <f>TEXT(7,"00")</f>
        <v>07</v>
      </c>
      <c r="C4821" s="1" t="str">
        <f t="shared" si="310"/>
        <v>615-07</v>
      </c>
      <c r="D4821" t="s">
        <v>4794</v>
      </c>
      <c r="E4821" t="b">
        <f>IF(COUNTIF(D4821,"*"&amp;'Keyword Search'!$C$5&amp;"*"),TRUE,FALSE)</f>
        <v>1</v>
      </c>
      <c r="G4821" t="str">
        <f t="shared" si="311"/>
        <v>615-07: Ashtrays, Desk Type</v>
      </c>
    </row>
    <row r="4822" spans="1:7" x14ac:dyDescent="0.25">
      <c r="A4822" s="1" t="str">
        <f t="shared" si="312"/>
        <v>615</v>
      </c>
      <c r="B4822" s="1" t="str">
        <f>TEXT(9,"00")</f>
        <v>09</v>
      </c>
      <c r="C4822" s="1" t="str">
        <f t="shared" si="310"/>
        <v>615-09</v>
      </c>
      <c r="D4822" t="s">
        <v>4795</v>
      </c>
      <c r="E4822" t="b">
        <f>IF(COUNTIF(D4822,"*"&amp;'Keyword Search'!$C$5&amp;"*"),TRUE,FALSE)</f>
        <v>1</v>
      </c>
      <c r="G4822" t="str">
        <f t="shared" si="311"/>
        <v>615-09: Binders: Chain, Post, Prong, Ring, etc.</v>
      </c>
    </row>
    <row r="4823" spans="1:7" x14ac:dyDescent="0.25">
      <c r="A4823" s="1" t="str">
        <f t="shared" si="312"/>
        <v>615</v>
      </c>
      <c r="B4823" s="1" t="str">
        <f>TEXT(11,"00")</f>
        <v>11</v>
      </c>
      <c r="C4823" s="1" t="str">
        <f t="shared" si="310"/>
        <v>615-11</v>
      </c>
      <c r="D4823" t="s">
        <v>4796</v>
      </c>
      <c r="E4823" t="b">
        <f>IF(COUNTIF(D4823,"*"&amp;'Keyword Search'!$C$5&amp;"*"),TRUE,FALSE)</f>
        <v>1</v>
      </c>
      <c r="G4823" t="str">
        <f t="shared" si="311"/>
        <v>615-11: Binder Sheets: Accounting, Columnar, Index, Journal, Ledger, etc.</v>
      </c>
    </row>
    <row r="4824" spans="1:7" x14ac:dyDescent="0.25">
      <c r="A4824" s="1" t="str">
        <f t="shared" si="312"/>
        <v>615</v>
      </c>
      <c r="B4824" s="1" t="str">
        <f>TEXT(13,"00")</f>
        <v>13</v>
      </c>
      <c r="C4824" s="1" t="str">
        <f t="shared" si="310"/>
        <v>615-13</v>
      </c>
      <c r="D4824" t="s">
        <v>4797</v>
      </c>
      <c r="E4824" t="b">
        <f>IF(COUNTIF(D4824,"*"&amp;'Keyword Search'!$C$5&amp;"*"),TRUE,FALSE)</f>
        <v>1</v>
      </c>
      <c r="G4824" t="str">
        <f t="shared" si="311"/>
        <v>615-13: Blotters and Pads, Suggestion Boxes, Desk</v>
      </c>
    </row>
    <row r="4825" spans="1:7" x14ac:dyDescent="0.25">
      <c r="A4825" s="1" t="str">
        <f t="shared" si="312"/>
        <v>615</v>
      </c>
      <c r="B4825" s="1" t="str">
        <f>TEXT(14,"00")</f>
        <v>14</v>
      </c>
      <c r="C4825" s="1" t="str">
        <f t="shared" si="310"/>
        <v>615-14</v>
      </c>
      <c r="D4825" t="s">
        <v>4798</v>
      </c>
      <c r="E4825" t="b">
        <f>IF(COUNTIF(D4825,"*"&amp;'Keyword Search'!$C$5&amp;"*"),TRUE,FALSE)</f>
        <v>1</v>
      </c>
      <c r="G4825" t="str">
        <f t="shared" si="311"/>
        <v>615-14: Boards: Calendar, Schedule, Dispatch, Manning, etc.</v>
      </c>
    </row>
    <row r="4826" spans="1:7" x14ac:dyDescent="0.25">
      <c r="A4826" s="1" t="str">
        <f t="shared" si="312"/>
        <v>615</v>
      </c>
      <c r="B4826" s="1" t="str">
        <f>TEXT(15,"00")</f>
        <v>15</v>
      </c>
      <c r="C4826" s="1" t="str">
        <f t="shared" si="310"/>
        <v>615-15</v>
      </c>
      <c r="D4826" t="s">
        <v>4799</v>
      </c>
      <c r="E4826" t="b">
        <f>IF(COUNTIF(D4826,"*"&amp;'Keyword Search'!$C$5&amp;"*"),TRUE,FALSE)</f>
        <v>1</v>
      </c>
      <c r="G4826" t="str">
        <f t="shared" si="311"/>
        <v>615-15: Books, Office: Accounting, Address, Columnar, Composition, Memo, Minute, Receipt, Steno, Time, etc.</v>
      </c>
    </row>
    <row r="4827" spans="1:7" x14ac:dyDescent="0.25">
      <c r="A4827" s="1" t="str">
        <f t="shared" si="312"/>
        <v>615</v>
      </c>
      <c r="B4827" s="1" t="str">
        <f>TEXT(17,"00")</f>
        <v>17</v>
      </c>
      <c r="C4827" s="1" t="str">
        <f t="shared" si="310"/>
        <v>615-17</v>
      </c>
      <c r="D4827" t="s">
        <v>4800</v>
      </c>
      <c r="E4827" t="b">
        <f>IF(COUNTIF(D4827,"*"&amp;'Keyword Search'!$C$5&amp;"*"),TRUE,FALSE)</f>
        <v>1</v>
      </c>
      <c r="G4827" t="str">
        <f t="shared" si="311"/>
        <v>615-17: Box Files</v>
      </c>
    </row>
    <row r="4828" spans="1:7" x14ac:dyDescent="0.25">
      <c r="A4828" s="1" t="str">
        <f t="shared" si="312"/>
        <v>615</v>
      </c>
      <c r="B4828" s="1" t="str">
        <f>TEXT(18,"00")</f>
        <v>18</v>
      </c>
      <c r="C4828" s="1" t="str">
        <f t="shared" si="310"/>
        <v>615-18</v>
      </c>
      <c r="D4828" t="s">
        <v>4801</v>
      </c>
      <c r="E4828" t="b">
        <f>IF(COUNTIF(D4828,"*"&amp;'Keyword Search'!$C$5&amp;"*"),TRUE,FALSE)</f>
        <v>1</v>
      </c>
      <c r="G4828" t="str">
        <f t="shared" si="311"/>
        <v>615-18: Braille Labeling Material: Plastic Sheets, etc.</v>
      </c>
    </row>
    <row r="4829" spans="1:7" x14ac:dyDescent="0.25">
      <c r="A4829" s="1" t="str">
        <f t="shared" si="312"/>
        <v>615</v>
      </c>
      <c r="B4829" s="1" t="str">
        <f>TEXT(19,"00")</f>
        <v>19</v>
      </c>
      <c r="C4829" s="1" t="str">
        <f t="shared" si="310"/>
        <v>615-19</v>
      </c>
      <c r="D4829" t="s">
        <v>4802</v>
      </c>
      <c r="E4829" t="b">
        <f>IF(COUNTIF(D4829,"*"&amp;'Keyword Search'!$C$5&amp;"*"),TRUE,FALSE)</f>
        <v>1</v>
      </c>
      <c r="G4829" t="str">
        <f t="shared" si="311"/>
        <v>615-19: Calendars, Calendar Pads and Stands</v>
      </c>
    </row>
    <row r="4830" spans="1:7" x14ac:dyDescent="0.25">
      <c r="A4830" s="1" t="str">
        <f t="shared" si="312"/>
        <v>615</v>
      </c>
      <c r="B4830" s="1" t="str">
        <f>TEXT(20,"00")</f>
        <v>20</v>
      </c>
      <c r="C4830" s="1" t="str">
        <f t="shared" si="310"/>
        <v>615-20</v>
      </c>
      <c r="D4830" t="s">
        <v>4803</v>
      </c>
      <c r="E4830" t="b">
        <f>IF(COUNTIF(D4830,"*"&amp;'Keyword Search'!$C$5&amp;"*"),TRUE,FALSE)</f>
        <v>1</v>
      </c>
      <c r="G4830" t="str">
        <f t="shared" si="311"/>
        <v>615-20: Cash Register Paper</v>
      </c>
    </row>
    <row r="4831" spans="1:7" x14ac:dyDescent="0.25">
      <c r="A4831" s="1" t="str">
        <f t="shared" si="312"/>
        <v>615</v>
      </c>
      <c r="B4831" s="1" t="str">
        <f>TEXT(21,"00")</f>
        <v>21</v>
      </c>
      <c r="C4831" s="1" t="str">
        <f t="shared" si="310"/>
        <v>615-21</v>
      </c>
      <c r="D4831" t="s">
        <v>4804</v>
      </c>
      <c r="E4831" t="b">
        <f>IF(COUNTIF(D4831,"*"&amp;'Keyword Search'!$C$5&amp;"*"),TRUE,FALSE)</f>
        <v>1</v>
      </c>
      <c r="G4831" t="str">
        <f t="shared" si="311"/>
        <v>615-21: Chair Cushions, All Types</v>
      </c>
    </row>
    <row r="4832" spans="1:7" x14ac:dyDescent="0.25">
      <c r="A4832" s="1" t="str">
        <f t="shared" si="312"/>
        <v>615</v>
      </c>
      <c r="B4832" s="1" t="str">
        <f>TEXT(23,"00")</f>
        <v>23</v>
      </c>
      <c r="C4832" s="1" t="str">
        <f t="shared" si="310"/>
        <v>615-23</v>
      </c>
      <c r="D4832" t="s">
        <v>4805</v>
      </c>
      <c r="E4832" t="b">
        <f>IF(COUNTIF(D4832,"*"&amp;'Keyword Search'!$C$5&amp;"*"),TRUE,FALSE)</f>
        <v>1</v>
      </c>
      <c r="G4832" t="str">
        <f t="shared" si="311"/>
        <v>615-23: Chair Mats, Carpet Protectors, All Types</v>
      </c>
    </row>
    <row r="4833" spans="1:7" x14ac:dyDescent="0.25">
      <c r="A4833" s="1" t="str">
        <f t="shared" si="312"/>
        <v>615</v>
      </c>
      <c r="B4833" s="1" t="str">
        <f>TEXT(24,"00")</f>
        <v>24</v>
      </c>
      <c r="C4833" s="1" t="str">
        <f t="shared" si="310"/>
        <v>615-24</v>
      </c>
      <c r="D4833" t="s">
        <v>4806</v>
      </c>
      <c r="E4833" t="b">
        <f>IF(COUNTIF(D4833,"*"&amp;'Keyword Search'!$C$5&amp;"*"),TRUE,FALSE)</f>
        <v>1</v>
      </c>
      <c r="G4833" t="str">
        <f t="shared" si="311"/>
        <v>615-24: Cleaners, Hand, Pre-moistened Towelettes, etc.</v>
      </c>
    </row>
    <row r="4834" spans="1:7" x14ac:dyDescent="0.25">
      <c r="A4834" s="1" t="str">
        <f t="shared" si="312"/>
        <v>615</v>
      </c>
      <c r="B4834" s="1" t="str">
        <f>TEXT(25,"00")</f>
        <v>25</v>
      </c>
      <c r="C4834" s="1" t="str">
        <f t="shared" si="310"/>
        <v>615-25</v>
      </c>
      <c r="D4834" t="s">
        <v>4807</v>
      </c>
      <c r="E4834" t="b">
        <f>IF(COUNTIF(D4834,"*"&amp;'Keyword Search'!$C$5&amp;"*"),TRUE,FALSE)</f>
        <v>1</v>
      </c>
      <c r="G4834" t="str">
        <f t="shared" si="311"/>
        <v>615-25: Clipboards, Arch Boards, etc.</v>
      </c>
    </row>
    <row r="4835" spans="1:7" x14ac:dyDescent="0.25">
      <c r="A4835" s="1" t="str">
        <f t="shared" si="312"/>
        <v>615</v>
      </c>
      <c r="B4835" s="1" t="str">
        <f>TEXT(27,"00")</f>
        <v>27</v>
      </c>
      <c r="C4835" s="1" t="str">
        <f t="shared" si="310"/>
        <v>615-27</v>
      </c>
      <c r="D4835" t="s">
        <v>4808</v>
      </c>
      <c r="E4835" t="b">
        <f>IF(COUNTIF(D4835,"*"&amp;'Keyword Search'!$C$5&amp;"*"),TRUE,FALSE)</f>
        <v>1</v>
      </c>
      <c r="G4835" t="str">
        <f t="shared" si="311"/>
        <v>615-27: Coin Wrappers, Bill Straps, Bank Deposit Bags, etc.</v>
      </c>
    </row>
    <row r="4836" spans="1:7" x14ac:dyDescent="0.25">
      <c r="A4836" s="1" t="str">
        <f t="shared" si="312"/>
        <v>615</v>
      </c>
      <c r="B4836" s="1" t="str">
        <f>TEXT(29,"00")</f>
        <v>29</v>
      </c>
      <c r="C4836" s="1" t="str">
        <f t="shared" si="310"/>
        <v>615-29</v>
      </c>
      <c r="D4836" t="s">
        <v>4809</v>
      </c>
      <c r="E4836" t="b">
        <f>IF(COUNTIF(D4836,"*"&amp;'Keyword Search'!$C$5&amp;"*"),TRUE,FALSE)</f>
        <v>1</v>
      </c>
      <c r="G4836" t="str">
        <f t="shared" si="311"/>
        <v>615-29: Correction Fluid, Sheets and Tape, Including Thinners (See 610-96 For Typewriter Correction Tape)</v>
      </c>
    </row>
    <row r="4837" spans="1:7" x14ac:dyDescent="0.25">
      <c r="A4837" s="1" t="str">
        <f t="shared" si="312"/>
        <v>615</v>
      </c>
      <c r="B4837" s="1" t="str">
        <f>TEXT(31,"00")</f>
        <v>31</v>
      </c>
      <c r="C4837" s="1" t="str">
        <f t="shared" si="310"/>
        <v>615-31</v>
      </c>
      <c r="D4837" t="s">
        <v>4810</v>
      </c>
      <c r="E4837" t="b">
        <f>IF(COUNTIF(D4837,"*"&amp;'Keyword Search'!$C$5&amp;"*"),TRUE,FALSE)</f>
        <v>1</v>
      </c>
      <c r="G4837" t="str">
        <f t="shared" si="311"/>
        <v>615-31: Covers: Brief, Manuscript, Pressboard, Report, etc.</v>
      </c>
    </row>
    <row r="4838" spans="1:7" x14ac:dyDescent="0.25">
      <c r="A4838" s="1" t="str">
        <f t="shared" si="312"/>
        <v>615</v>
      </c>
      <c r="B4838" s="1" t="str">
        <f>TEXT(32,"00")</f>
        <v>32</v>
      </c>
      <c r="C4838" s="1" t="str">
        <f t="shared" si="310"/>
        <v>615-32</v>
      </c>
      <c r="D4838" t="s">
        <v>4811</v>
      </c>
      <c r="E4838" t="b">
        <f>IF(COUNTIF(D4838,"*"&amp;'Keyword Search'!$C$5&amp;"*"),TRUE,FALSE)</f>
        <v>1</v>
      </c>
      <c r="G4838" t="str">
        <f t="shared" si="311"/>
        <v>615-32: Covers, Sleeve, Cuffettes</v>
      </c>
    </row>
    <row r="4839" spans="1:7" x14ac:dyDescent="0.25">
      <c r="A4839" s="1" t="str">
        <f t="shared" si="312"/>
        <v>615</v>
      </c>
      <c r="B4839" s="1" t="str">
        <f>TEXT(33,"00")</f>
        <v>33</v>
      </c>
      <c r="C4839" s="1" t="str">
        <f t="shared" si="310"/>
        <v>615-33</v>
      </c>
      <c r="D4839" t="s">
        <v>4812</v>
      </c>
      <c r="E4839" t="b">
        <f>IF(COUNTIF(D4839,"*"&amp;'Keyword Search'!$C$5&amp;"*"),TRUE,FALSE)</f>
        <v>1</v>
      </c>
      <c r="G4839" t="str">
        <f t="shared" si="311"/>
        <v>615-33: Desk Accessories: Alphabetizers, Cash Boxes, Desk Files, File Card Cabinets, Letter Sorters, Message Racks, etc. (See 620-10 for Desk Sets)</v>
      </c>
    </row>
    <row r="4840" spans="1:7" x14ac:dyDescent="0.25">
      <c r="A4840" s="1" t="str">
        <f t="shared" si="312"/>
        <v>615</v>
      </c>
      <c r="B4840" s="1" t="str">
        <f>TEXT(35,"00")</f>
        <v>35</v>
      </c>
      <c r="C4840" s="1" t="str">
        <f t="shared" si="310"/>
        <v>615-35</v>
      </c>
      <c r="D4840" t="s">
        <v>4813</v>
      </c>
      <c r="E4840" t="b">
        <f>IF(COUNTIF(D4840,"*"&amp;'Keyword Search'!$C$5&amp;"*"),TRUE,FALSE)</f>
        <v>1</v>
      </c>
      <c r="G4840" t="str">
        <f t="shared" si="311"/>
        <v>615-35: File Cards, Blank and Ruled</v>
      </c>
    </row>
    <row r="4841" spans="1:7" x14ac:dyDescent="0.25">
      <c r="A4841" s="1" t="str">
        <f t="shared" si="312"/>
        <v>615</v>
      </c>
      <c r="B4841" s="1" t="str">
        <f>TEXT(37,"00")</f>
        <v>37</v>
      </c>
      <c r="C4841" s="1" t="str">
        <f t="shared" si="310"/>
        <v>615-37</v>
      </c>
      <c r="D4841" t="s">
        <v>4814</v>
      </c>
      <c r="E4841" t="b">
        <f>IF(COUNTIF(D4841,"*"&amp;'Keyword Search'!$C$5&amp;"*"),TRUE,FALSE)</f>
        <v>1</v>
      </c>
      <c r="G4841" t="str">
        <f t="shared" si="311"/>
        <v>615-37: File Cases: Jackets, Binder, Storage, Transfer, etc.</v>
      </c>
    </row>
    <row r="4842" spans="1:7" x14ac:dyDescent="0.25">
      <c r="A4842" s="1" t="str">
        <f t="shared" si="312"/>
        <v>615</v>
      </c>
      <c r="B4842" s="1" t="str">
        <f>TEXT(39,"00")</f>
        <v>39</v>
      </c>
      <c r="C4842" s="1" t="str">
        <f t="shared" si="310"/>
        <v>615-39</v>
      </c>
      <c r="D4842" t="s">
        <v>4815</v>
      </c>
      <c r="E4842" t="b">
        <f>IF(COUNTIF(D4842,"*"&amp;'Keyword Search'!$C$5&amp;"*"),TRUE,FALSE)</f>
        <v>1</v>
      </c>
      <c r="G4842" t="str">
        <f t="shared" si="311"/>
        <v>615-39: File Dividers: Labels, Tabs, etc.</v>
      </c>
    </row>
    <row r="4843" spans="1:7" x14ac:dyDescent="0.25">
      <c r="A4843" s="1" t="str">
        <f t="shared" si="312"/>
        <v>615</v>
      </c>
      <c r="B4843" s="1" t="str">
        <f>TEXT(41,"00")</f>
        <v>41</v>
      </c>
      <c r="C4843" s="1" t="str">
        <f t="shared" si="310"/>
        <v>615-41</v>
      </c>
      <c r="D4843" t="s">
        <v>4816</v>
      </c>
      <c r="E4843" t="b">
        <f>IF(COUNTIF(D4843,"*"&amp;'Keyword Search'!$C$5&amp;"*"),TRUE,FALSE)</f>
        <v>1</v>
      </c>
      <c r="G4843" t="str">
        <f t="shared" si="311"/>
        <v>615-41: File Folders: Expanding Envelopes, Wallets, etc.</v>
      </c>
    </row>
    <row r="4844" spans="1:7" x14ac:dyDescent="0.25">
      <c r="A4844" s="1" t="str">
        <f t="shared" si="312"/>
        <v>615</v>
      </c>
      <c r="B4844" s="1" t="str">
        <f>TEXT(43,"00")</f>
        <v>43</v>
      </c>
      <c r="C4844" s="1" t="str">
        <f t="shared" si="310"/>
        <v>615-43</v>
      </c>
      <c r="D4844" t="s">
        <v>4817</v>
      </c>
      <c r="E4844" t="b">
        <f>IF(COUNTIF(D4844,"*"&amp;'Keyword Search'!$C$5&amp;"*"),TRUE,FALSE)</f>
        <v>1</v>
      </c>
      <c r="G4844" t="str">
        <f t="shared" si="311"/>
        <v>615-43: File Folders, Hanging Type; and Accessories</v>
      </c>
    </row>
    <row r="4845" spans="1:7" x14ac:dyDescent="0.25">
      <c r="A4845" s="1" t="str">
        <f t="shared" si="312"/>
        <v>615</v>
      </c>
      <c r="B4845" s="1" t="str">
        <f>TEXT(45,"00")</f>
        <v>45</v>
      </c>
      <c r="C4845" s="1" t="str">
        <f t="shared" si="310"/>
        <v>615-45</v>
      </c>
      <c r="D4845" t="s">
        <v>4818</v>
      </c>
      <c r="E4845" t="b">
        <f>IF(COUNTIF(D4845,"*"&amp;'Keyword Search'!$C$5&amp;"*"),TRUE,FALSE)</f>
        <v>1</v>
      </c>
      <c r="G4845" t="str">
        <f t="shared" si="311"/>
        <v>615-45: File Folders, Regular, Legal and Letter Sizes</v>
      </c>
    </row>
    <row r="4846" spans="1:7" x14ac:dyDescent="0.25">
      <c r="A4846" s="1" t="str">
        <f t="shared" si="312"/>
        <v>615</v>
      </c>
      <c r="B4846" s="1" t="str">
        <f>TEXT(47,"00")</f>
        <v>47</v>
      </c>
      <c r="C4846" s="1" t="str">
        <f t="shared" si="310"/>
        <v>615-47</v>
      </c>
      <c r="D4846" t="s">
        <v>4819</v>
      </c>
      <c r="E4846" t="b">
        <f>IF(COUNTIF(D4846,"*"&amp;'Keyword Search'!$C$5&amp;"*"),TRUE,FALSE)</f>
        <v>1</v>
      </c>
      <c r="G4846" t="str">
        <f t="shared" si="311"/>
        <v>615-47: File Guides</v>
      </c>
    </row>
    <row r="4847" spans="1:7" x14ac:dyDescent="0.25">
      <c r="A4847" s="1" t="str">
        <f t="shared" si="312"/>
        <v>615</v>
      </c>
      <c r="B4847" s="1" t="str">
        <f>TEXT(48,"00")</f>
        <v>48</v>
      </c>
      <c r="C4847" s="1" t="str">
        <f t="shared" si="310"/>
        <v>615-48</v>
      </c>
      <c r="D4847" t="s">
        <v>4820</v>
      </c>
      <c r="E4847" t="b">
        <f>IF(COUNTIF(D4847,"*"&amp;'Keyword Search'!$C$5&amp;"*"),TRUE,FALSE)</f>
        <v>1</v>
      </c>
      <c r="G4847" t="str">
        <f t="shared" si="311"/>
        <v>615-48: Holders, Form and Memo, Including Spindles</v>
      </c>
    </row>
    <row r="4848" spans="1:7" x14ac:dyDescent="0.25">
      <c r="A4848" s="1" t="str">
        <f t="shared" si="312"/>
        <v>615</v>
      </c>
      <c r="B4848" s="1" t="str">
        <f>TEXT(49,"00")</f>
        <v>49</v>
      </c>
      <c r="C4848" s="1" t="str">
        <f t="shared" si="310"/>
        <v>615-49</v>
      </c>
      <c r="D4848" t="s">
        <v>4821</v>
      </c>
      <c r="E4848" t="b">
        <f>IF(COUNTIF(D4848,"*"&amp;'Keyword Search'!$C$5&amp;"*"),TRUE,FALSE)</f>
        <v>1</v>
      </c>
      <c r="G4848" t="str">
        <f t="shared" si="311"/>
        <v>615-49: Index Tabs: Celluloid, Cloth, etc.</v>
      </c>
    </row>
    <row r="4849" spans="1:7" x14ac:dyDescent="0.25">
      <c r="A4849" s="1" t="str">
        <f t="shared" si="312"/>
        <v>615</v>
      </c>
      <c r="B4849" s="1" t="str">
        <f>TEXT(50,"00")</f>
        <v>50</v>
      </c>
      <c r="C4849" s="1" t="str">
        <f t="shared" si="310"/>
        <v>615-50</v>
      </c>
      <c r="D4849" t="s">
        <v>4822</v>
      </c>
      <c r="E4849" t="b">
        <f>IF(COUNTIF(D4849,"*"&amp;'Keyword Search'!$C$5&amp;"*"),TRUE,FALSE)</f>
        <v>1</v>
      </c>
      <c r="G4849" t="str">
        <f t="shared" si="311"/>
        <v>615-50: Key Rings, All Types</v>
      </c>
    </row>
    <row r="4850" spans="1:7" x14ac:dyDescent="0.25">
      <c r="A4850" s="1" t="str">
        <f t="shared" si="312"/>
        <v>615</v>
      </c>
      <c r="B4850" s="1" t="str">
        <f>TEXT(51,"00")</f>
        <v>51</v>
      </c>
      <c r="C4850" s="1" t="str">
        <f t="shared" si="310"/>
        <v>615-51</v>
      </c>
      <c r="D4850" t="s">
        <v>4823</v>
      </c>
      <c r="E4850" t="b">
        <f>IF(COUNTIF(D4850,"*"&amp;'Keyword Search'!$C$5&amp;"*"),TRUE,FALSE)</f>
        <v>1</v>
      </c>
      <c r="G4850" t="str">
        <f t="shared" si="311"/>
        <v>615-51: Labels, Reinforcements, Seals, etc., Not Printed); and Sealing Wax</v>
      </c>
    </row>
    <row r="4851" spans="1:7" x14ac:dyDescent="0.25">
      <c r="A4851" s="1" t="str">
        <f t="shared" si="312"/>
        <v>615</v>
      </c>
      <c r="B4851" s="1" t="str">
        <f>TEXT(52,"00")</f>
        <v>52</v>
      </c>
      <c r="C4851" s="1" t="str">
        <f t="shared" si="310"/>
        <v>615-52</v>
      </c>
      <c r="D4851" t="s">
        <v>4824</v>
      </c>
      <c r="E4851" t="b">
        <f>IF(COUNTIF(D4851,"*"&amp;'Keyword Search'!$C$5&amp;"*"),TRUE,FALSE)</f>
        <v>1</v>
      </c>
      <c r="G4851" t="str">
        <f t="shared" si="311"/>
        <v>615-52: Label Remover Equipment</v>
      </c>
    </row>
    <row r="4852" spans="1:7" x14ac:dyDescent="0.25">
      <c r="A4852" s="1" t="str">
        <f t="shared" si="312"/>
        <v>615</v>
      </c>
      <c r="B4852" s="1" t="str">
        <f>TEXT(53,"00")</f>
        <v>53</v>
      </c>
      <c r="C4852" s="1" t="str">
        <f t="shared" si="310"/>
        <v>615-53</v>
      </c>
      <c r="D4852" t="s">
        <v>4825</v>
      </c>
      <c r="E4852" t="b">
        <f>IF(COUNTIF(D4852,"*"&amp;'Keyword Search'!$C$5&amp;"*"),TRUE,FALSE)</f>
        <v>1</v>
      </c>
      <c r="G4852" t="str">
        <f t="shared" si="311"/>
        <v>615-53: Letter Folders and Openers</v>
      </c>
    </row>
    <row r="4853" spans="1:7" x14ac:dyDescent="0.25">
      <c r="A4853" s="1" t="str">
        <f t="shared" si="312"/>
        <v>615</v>
      </c>
      <c r="B4853" s="1" t="str">
        <f>TEXT(55,"00")</f>
        <v>55</v>
      </c>
      <c r="C4853" s="1" t="str">
        <f t="shared" si="310"/>
        <v>615-55</v>
      </c>
      <c r="D4853" t="s">
        <v>4826</v>
      </c>
      <c r="E4853" t="b">
        <f>IF(COUNTIF(D4853,"*"&amp;'Keyword Search'!$C$5&amp;"*"),TRUE,FALSE)</f>
        <v>1</v>
      </c>
      <c r="G4853" t="str">
        <f t="shared" si="311"/>
        <v>615-55: Letter and Card Trays, All Types</v>
      </c>
    </row>
    <row r="4854" spans="1:7" x14ac:dyDescent="0.25">
      <c r="A4854" s="1" t="str">
        <f t="shared" si="312"/>
        <v>615</v>
      </c>
      <c r="B4854" s="1" t="str">
        <f>TEXT(57,"00")</f>
        <v>57</v>
      </c>
      <c r="C4854" s="1" t="str">
        <f t="shared" si="310"/>
        <v>615-57</v>
      </c>
      <c r="D4854" t="s">
        <v>4827</v>
      </c>
      <c r="E4854" t="b">
        <f>IF(COUNTIF(D4854,"*"&amp;'Keyword Search'!$C$5&amp;"*"),TRUE,FALSE)</f>
        <v>1</v>
      </c>
      <c r="G4854" t="str">
        <f t="shared" si="311"/>
        <v>615-57: List Finders, Rolodex, Telephone Strips, and Accessories</v>
      </c>
    </row>
    <row r="4855" spans="1:7" x14ac:dyDescent="0.25">
      <c r="A4855" s="1" t="str">
        <f t="shared" si="312"/>
        <v>615</v>
      </c>
      <c r="B4855" s="1" t="str">
        <f>TEXT(60,"00")</f>
        <v>60</v>
      </c>
      <c r="C4855" s="1" t="str">
        <f t="shared" si="310"/>
        <v>615-60</v>
      </c>
      <c r="D4855" t="s">
        <v>4828</v>
      </c>
      <c r="E4855" t="b">
        <f>IF(COUNTIF(D4855,"*"&amp;'Keyword Search'!$C$5&amp;"*"),TRUE,FALSE)</f>
        <v>1</v>
      </c>
      <c r="G4855" t="str">
        <f t="shared" si="311"/>
        <v>615-60: Office Supplies, General (Not Otherwise Classified)</v>
      </c>
    </row>
    <row r="4856" spans="1:7" x14ac:dyDescent="0.25">
      <c r="A4856" s="1" t="str">
        <f t="shared" si="312"/>
        <v>615</v>
      </c>
      <c r="B4856" s="1" t="str">
        <f>TEXT(62,"00")</f>
        <v>62</v>
      </c>
      <c r="C4856" s="1" t="str">
        <f t="shared" si="310"/>
        <v>615-62</v>
      </c>
      <c r="D4856" t="s">
        <v>4829</v>
      </c>
      <c r="E4856" t="b">
        <f>IF(COUNTIF(D4856,"*"&amp;'Keyword Search'!$C$5&amp;"*"),TRUE,FALSE)</f>
        <v>1</v>
      </c>
      <c r="G4856" t="str">
        <f t="shared" si="311"/>
        <v>615-62: Pads and Tablets: Analysis, Columnar, Figure, Memo, Note, Ruled, Post-It Notes, Telephone Message, etc.</v>
      </c>
    </row>
    <row r="4857" spans="1:7" x14ac:dyDescent="0.25">
      <c r="A4857" s="1" t="str">
        <f t="shared" si="312"/>
        <v>615</v>
      </c>
      <c r="B4857" s="1" t="str">
        <f>TEXT(65,"00")</f>
        <v>65</v>
      </c>
      <c r="C4857" s="1" t="str">
        <f t="shared" si="310"/>
        <v>615-65</v>
      </c>
      <c r="D4857" t="s">
        <v>4830</v>
      </c>
      <c r="E4857" t="b">
        <f>IF(COUNTIF(D4857,"*"&amp;'Keyword Search'!$C$5&amp;"*"),TRUE,FALSE)</f>
        <v>1</v>
      </c>
      <c r="G4857" t="str">
        <f t="shared" si="311"/>
        <v>615-65: Pads and Covers, Office Machine, All Types</v>
      </c>
    </row>
    <row r="4858" spans="1:7" x14ac:dyDescent="0.25">
      <c r="A4858" s="1" t="str">
        <f t="shared" si="312"/>
        <v>615</v>
      </c>
      <c r="B4858" s="1" t="str">
        <f>TEXT(67,"00")</f>
        <v>67</v>
      </c>
      <c r="C4858" s="1" t="str">
        <f t="shared" si="310"/>
        <v>615-67</v>
      </c>
      <c r="D4858" t="s">
        <v>4831</v>
      </c>
      <c r="E4858" t="b">
        <f>IF(COUNTIF(D4858,"*"&amp;'Keyword Search'!$C$5&amp;"*"),TRUE,FALSE)</f>
        <v>1</v>
      </c>
      <c r="G4858" t="str">
        <f t="shared" si="311"/>
        <v>615-67: Paper Clips, Ball Bearing</v>
      </c>
    </row>
    <row r="4859" spans="1:7" x14ac:dyDescent="0.25">
      <c r="A4859" s="1" t="str">
        <f t="shared" si="312"/>
        <v>615</v>
      </c>
      <c r="B4859" s="1" t="str">
        <f>TEXT(69,"00")</f>
        <v>69</v>
      </c>
      <c r="C4859" s="1" t="str">
        <f t="shared" si="310"/>
        <v>615-69</v>
      </c>
      <c r="D4859" t="s">
        <v>4832</v>
      </c>
      <c r="E4859" t="b">
        <f>IF(COUNTIF(D4859,"*"&amp;'Keyword Search'!$C$5&amp;"*"),TRUE,FALSE)</f>
        <v>1</v>
      </c>
      <c r="G4859" t="str">
        <f t="shared" si="311"/>
        <v>615-69: Paper Clips, Clamps, Fasteners, Round and Flat Head, Dispensers, etc.</v>
      </c>
    </row>
    <row r="4860" spans="1:7" x14ac:dyDescent="0.25">
      <c r="A4860" s="1" t="str">
        <f t="shared" si="312"/>
        <v>615</v>
      </c>
      <c r="B4860" s="1" t="str">
        <f>TEXT(71,"00")</f>
        <v>71</v>
      </c>
      <c r="C4860" s="1" t="str">
        <f t="shared" si="310"/>
        <v>615-71</v>
      </c>
      <c r="D4860" t="s">
        <v>4833</v>
      </c>
      <c r="E4860" t="b">
        <f>IF(COUNTIF(D4860,"*"&amp;'Keyword Search'!$C$5&amp;"*"),TRUE,FALSE)</f>
        <v>1</v>
      </c>
      <c r="G4860" t="str">
        <f t="shared" si="311"/>
        <v>615-71: Paper Fasteners, Prong Type</v>
      </c>
    </row>
    <row r="4861" spans="1:7" x14ac:dyDescent="0.25">
      <c r="A4861" s="1" t="str">
        <f t="shared" si="312"/>
        <v>615</v>
      </c>
      <c r="B4861" s="1" t="str">
        <f>TEXT(72,"00")</f>
        <v>72</v>
      </c>
      <c r="C4861" s="1" t="str">
        <f t="shared" si="310"/>
        <v>615-72</v>
      </c>
      <c r="D4861" t="s">
        <v>4834</v>
      </c>
      <c r="E4861" t="b">
        <f>IF(COUNTIF(D4861,"*"&amp;'Keyword Search'!$C$5&amp;"*"),TRUE,FALSE)</f>
        <v>1</v>
      </c>
      <c r="G4861" t="str">
        <f t="shared" si="311"/>
        <v>615-72: Planners, Organizers</v>
      </c>
    </row>
    <row r="4862" spans="1:7" x14ac:dyDescent="0.25">
      <c r="A4862" s="1" t="str">
        <f t="shared" si="312"/>
        <v>615</v>
      </c>
      <c r="B4862" s="1" t="str">
        <f>TEXT(73,"00")</f>
        <v>73</v>
      </c>
      <c r="C4862" s="1" t="str">
        <f t="shared" si="310"/>
        <v>615-73</v>
      </c>
      <c r="D4862" t="s">
        <v>4835</v>
      </c>
      <c r="E4862" t="b">
        <f>IF(COUNTIF(D4862,"*"&amp;'Keyword Search'!$C$5&amp;"*"),TRUE,FALSE)</f>
        <v>1</v>
      </c>
      <c r="G4862" t="str">
        <f t="shared" si="311"/>
        <v>615-73: Recycled Office Supplies</v>
      </c>
    </row>
    <row r="4863" spans="1:7" x14ac:dyDescent="0.25">
      <c r="A4863" s="1" t="str">
        <f t="shared" si="312"/>
        <v>615</v>
      </c>
      <c r="B4863" s="1" t="str">
        <f>TEXT(75,"00")</f>
        <v>75</v>
      </c>
      <c r="C4863" s="1" t="str">
        <f t="shared" si="310"/>
        <v>615-75</v>
      </c>
      <c r="D4863" t="s">
        <v>4836</v>
      </c>
      <c r="E4863" t="b">
        <f>IF(COUNTIF(D4863,"*"&amp;'Keyword Search'!$C$5&amp;"*"),TRUE,FALSE)</f>
        <v>1</v>
      </c>
      <c r="G4863" t="str">
        <f t="shared" si="311"/>
        <v>615-75: Rubber Bands, All Sizes</v>
      </c>
    </row>
    <row r="4864" spans="1:7" x14ac:dyDescent="0.25">
      <c r="A4864" s="1" t="str">
        <f t="shared" si="312"/>
        <v>615</v>
      </c>
      <c r="B4864" s="1" t="str">
        <f>TEXT(77,"00")</f>
        <v>77</v>
      </c>
      <c r="C4864" s="1" t="str">
        <f t="shared" si="310"/>
        <v>615-77</v>
      </c>
      <c r="D4864" t="s">
        <v>4837</v>
      </c>
      <c r="E4864" t="b">
        <f>IF(COUNTIF(D4864,"*"&amp;'Keyword Search'!$C$5&amp;"*"),TRUE,FALSE)</f>
        <v>1</v>
      </c>
      <c r="G4864" t="str">
        <f t="shared" si="311"/>
        <v>615-77: Rubber Stamps, Stamp Pads, Stamp Pad Ink and Stamp Racks</v>
      </c>
    </row>
    <row r="4865" spans="1:7" x14ac:dyDescent="0.25">
      <c r="A4865" s="1" t="str">
        <f t="shared" si="312"/>
        <v>615</v>
      </c>
      <c r="B4865" s="1" t="str">
        <f>TEXT(79,"00")</f>
        <v>79</v>
      </c>
      <c r="C4865" s="1" t="str">
        <f t="shared" si="310"/>
        <v>615-79</v>
      </c>
      <c r="D4865" t="s">
        <v>4838</v>
      </c>
      <c r="E4865" t="b">
        <f>IF(COUNTIF(D4865,"*"&amp;'Keyword Search'!$C$5&amp;"*"),TRUE,FALSE)</f>
        <v>1</v>
      </c>
      <c r="G4865" t="str">
        <f t="shared" si="311"/>
        <v>615-79: Rulers, All Types (See 305-35 For Drafting)</v>
      </c>
    </row>
    <row r="4866" spans="1:7" x14ac:dyDescent="0.25">
      <c r="A4866" s="1" t="str">
        <f t="shared" si="312"/>
        <v>615</v>
      </c>
      <c r="B4866" s="1" t="str">
        <f>TEXT(80,"00")</f>
        <v>80</v>
      </c>
      <c r="C4866" s="1" t="str">
        <f t="shared" si="310"/>
        <v>615-80</v>
      </c>
      <c r="D4866" t="s">
        <v>4839</v>
      </c>
      <c r="E4866" t="b">
        <f>IF(COUNTIF(D4866,"*"&amp;'Keyword Search'!$C$5&amp;"*"),TRUE,FALSE)</f>
        <v>1</v>
      </c>
      <c r="G4866" t="str">
        <f t="shared" si="311"/>
        <v>615-80: Sheet Protectors, All Types</v>
      </c>
    </row>
    <row r="4867" spans="1:7" x14ac:dyDescent="0.25">
      <c r="A4867" s="1" t="str">
        <f t="shared" si="312"/>
        <v>615</v>
      </c>
      <c r="B4867" s="1" t="str">
        <f>TEXT(81,"00")</f>
        <v>81</v>
      </c>
      <c r="C4867" s="1" t="str">
        <f t="shared" ref="C4867:C4930" si="313">CONCATENATE(A4867,"-",B4867)</f>
        <v>615-81</v>
      </c>
      <c r="D4867" t="s">
        <v>4840</v>
      </c>
      <c r="E4867" t="b">
        <f>IF(COUNTIF(D4867,"*"&amp;'Keyword Search'!$C$5&amp;"*"),TRUE,FALSE)</f>
        <v>1</v>
      </c>
      <c r="G4867" t="str">
        <f t="shared" si="311"/>
        <v>615-81: Staples</v>
      </c>
    </row>
    <row r="4868" spans="1:7" x14ac:dyDescent="0.25">
      <c r="A4868" s="1" t="str">
        <f t="shared" si="312"/>
        <v>615</v>
      </c>
      <c r="B4868" s="1" t="str">
        <f>TEXT(82,"00")</f>
        <v>82</v>
      </c>
      <c r="C4868" s="1" t="str">
        <f t="shared" si="313"/>
        <v>615-82</v>
      </c>
      <c r="D4868" t="s">
        <v>4841</v>
      </c>
      <c r="E4868" t="b">
        <f>IF(COUNTIF(D4868,"*"&amp;'Keyword Search'!$C$5&amp;"*"),TRUE,FALSE)</f>
        <v>1</v>
      </c>
      <c r="G4868" t="str">
        <f t="shared" ref="G4868:G4931" si="314">CONCATENATE(C4868,": ",D4868)</f>
        <v>615-82: Stock Forms and Labels: Copy Sets, Receiving Forms, Speed Letters, etc.</v>
      </c>
    </row>
    <row r="4869" spans="1:7" x14ac:dyDescent="0.25">
      <c r="A4869" s="1" t="str">
        <f t="shared" si="312"/>
        <v>615</v>
      </c>
      <c r="B4869" s="1" t="str">
        <f>TEXT(84,"00")</f>
        <v>84</v>
      </c>
      <c r="C4869" s="1" t="str">
        <f t="shared" si="313"/>
        <v>615-84</v>
      </c>
      <c r="D4869" t="s">
        <v>4842</v>
      </c>
      <c r="E4869" t="b">
        <f>IF(COUNTIF(D4869,"*"&amp;'Keyword Search'!$C$5&amp;"*"),TRUE,FALSE)</f>
        <v>1</v>
      </c>
      <c r="G4869" t="str">
        <f t="shared" si="314"/>
        <v>615-84: Tacks (Office Use): Map, Thumb, etc., Including Push and T Pins</v>
      </c>
    </row>
    <row r="4870" spans="1:7" x14ac:dyDescent="0.25">
      <c r="A4870" s="1" t="str">
        <f t="shared" si="312"/>
        <v>615</v>
      </c>
      <c r="B4870" s="1" t="str">
        <f>TEXT(86,"00")</f>
        <v>86</v>
      </c>
      <c r="C4870" s="1" t="str">
        <f t="shared" si="313"/>
        <v>615-86</v>
      </c>
      <c r="D4870" t="s">
        <v>4843</v>
      </c>
      <c r="E4870" t="b">
        <f>IF(COUNTIF(D4870,"*"&amp;'Keyword Search'!$C$5&amp;"*"),TRUE,FALSE)</f>
        <v>1</v>
      </c>
      <c r="G4870" t="str">
        <f t="shared" si="314"/>
        <v>615-86: Tags, Key, Marking and Shipping, Stock</v>
      </c>
    </row>
    <row r="4871" spans="1:7" x14ac:dyDescent="0.25">
      <c r="A4871" s="1" t="str">
        <f t="shared" si="312"/>
        <v>615</v>
      </c>
      <c r="B4871" s="1" t="str">
        <f>TEXT(88,"00")</f>
        <v>88</v>
      </c>
      <c r="C4871" s="1" t="str">
        <f t="shared" si="313"/>
        <v>615-88</v>
      </c>
      <c r="D4871" t="s">
        <v>4844</v>
      </c>
      <c r="E4871" t="b">
        <f>IF(COUNTIF(D4871,"*"&amp;'Keyword Search'!$C$5&amp;"*"),TRUE,FALSE)</f>
        <v>1</v>
      </c>
      <c r="G4871" t="str">
        <f t="shared" si="314"/>
        <v>615-88: Tape and Dispensers, Office Type</v>
      </c>
    </row>
    <row r="4872" spans="1:7" x14ac:dyDescent="0.25">
      <c r="A4872" s="1" t="str">
        <f t="shared" si="312"/>
        <v>615</v>
      </c>
      <c r="B4872" s="1" t="str">
        <f>TEXT(89,"00")</f>
        <v>89</v>
      </c>
      <c r="C4872" s="1" t="str">
        <f t="shared" si="313"/>
        <v>615-89</v>
      </c>
      <c r="D4872" t="s">
        <v>4845</v>
      </c>
      <c r="E4872" t="b">
        <f>IF(COUNTIF(D4872,"*"&amp;'Keyword Search'!$C$5&amp;"*"),TRUE,FALSE)</f>
        <v>1</v>
      </c>
      <c r="G4872" t="str">
        <f t="shared" si="314"/>
        <v>615-89: Tape, Velcro Type (See 590-69 for Clothing Type)</v>
      </c>
    </row>
    <row r="4873" spans="1:7" x14ac:dyDescent="0.25">
      <c r="A4873" s="1" t="str">
        <f t="shared" si="312"/>
        <v>615</v>
      </c>
      <c r="B4873" s="1" t="str">
        <f>TEXT(90,"00")</f>
        <v>90</v>
      </c>
      <c r="C4873" s="1" t="str">
        <f t="shared" si="313"/>
        <v>615-90</v>
      </c>
      <c r="D4873" t="s">
        <v>4846</v>
      </c>
      <c r="E4873" t="b">
        <f>IF(COUNTIF(D4873,"*"&amp;'Keyword Search'!$C$5&amp;"*"),TRUE,FALSE)</f>
        <v>1</v>
      </c>
      <c r="G4873" t="str">
        <f t="shared" si="314"/>
        <v>615-90: Typewriter Cleaners and Oils</v>
      </c>
    </row>
    <row r="4874" spans="1:7" x14ac:dyDescent="0.25">
      <c r="A4874" s="1" t="str">
        <f t="shared" si="312"/>
        <v>615</v>
      </c>
      <c r="B4874" s="1" t="str">
        <f>TEXT(93,"00")</f>
        <v>93</v>
      </c>
      <c r="C4874" s="1" t="str">
        <f t="shared" si="313"/>
        <v>615-93</v>
      </c>
      <c r="D4874" t="s">
        <v>4847</v>
      </c>
      <c r="E4874" t="b">
        <f>IF(COUNTIF(D4874,"*"&amp;'Keyword Search'!$C$5&amp;"*"),TRUE,FALSE)</f>
        <v>1</v>
      </c>
      <c r="G4874" t="str">
        <f t="shared" si="314"/>
        <v>615-93: Visible Record Supplies: Cards, Flags, Folders, Hinges, Signal, Strips, Tabs, etc.</v>
      </c>
    </row>
    <row r="4875" spans="1:7" x14ac:dyDescent="0.25">
      <c r="A4875" s="1" t="str">
        <f t="shared" si="312"/>
        <v>615</v>
      </c>
      <c r="B4875" s="1" t="str">
        <f>TEXT(95,"00")</f>
        <v>95</v>
      </c>
      <c r="C4875" s="1" t="str">
        <f t="shared" si="313"/>
        <v>615-95</v>
      </c>
      <c r="D4875" t="s">
        <v>4848</v>
      </c>
      <c r="E4875" t="b">
        <f>IF(COUNTIF(D4875,"*"&amp;'Keyword Search'!$C$5&amp;"*"),TRUE,FALSE)</f>
        <v>1</v>
      </c>
      <c r="G4875" t="str">
        <f t="shared" si="314"/>
        <v>615-95: Wastebaskets, Office, All Types</v>
      </c>
    </row>
    <row r="4876" spans="1:7" x14ac:dyDescent="0.25">
      <c r="A4876" s="5" t="str">
        <f t="shared" ref="A4876:A4934" si="315">TEXT(616,"000")</f>
        <v>616</v>
      </c>
      <c r="B4876" s="5" t="str">
        <f>TEXT(0,"00")</f>
        <v>00</v>
      </c>
      <c r="C4876" s="1"/>
      <c r="D4876" s="2" t="s">
        <v>4849</v>
      </c>
    </row>
    <row r="4877" spans="1:7" x14ac:dyDescent="0.25">
      <c r="A4877" s="1" t="str">
        <f t="shared" si="315"/>
        <v>616</v>
      </c>
      <c r="B4877" s="1" t="str">
        <f>TEXT(3,"00")</f>
        <v>03</v>
      </c>
      <c r="C4877" s="1" t="str">
        <f t="shared" si="313"/>
        <v>616-03</v>
      </c>
      <c r="D4877" t="s">
        <v>4850</v>
      </c>
      <c r="E4877" t="b">
        <f>IF(COUNTIF(D4877,"*"&amp;'Keyword Search'!$C$5&amp;"*"),TRUE,FALSE)</f>
        <v>1</v>
      </c>
      <c r="G4877" t="str">
        <f t="shared" si="314"/>
        <v>616-03: Adding Machine and Calculator Paper, Rolls, Environmentally Certified Products</v>
      </c>
    </row>
    <row r="4878" spans="1:7" x14ac:dyDescent="0.25">
      <c r="A4878" s="1" t="str">
        <f t="shared" si="315"/>
        <v>616</v>
      </c>
      <c r="B4878" s="1" t="str">
        <f>TEXT(4,"00")</f>
        <v>04</v>
      </c>
      <c r="C4878" s="1" t="str">
        <f t="shared" si="313"/>
        <v>616-04</v>
      </c>
      <c r="D4878" t="s">
        <v>4851</v>
      </c>
      <c r="E4878" t="b">
        <f>IF(COUNTIF(D4878,"*"&amp;'Keyword Search'!$C$5&amp;"*"),TRUE,FALSE)</f>
        <v>1</v>
      </c>
      <c r="G4878" t="str">
        <f t="shared" si="314"/>
        <v>616-04: Adding Machine and Calculator Paper, Rolls, Thermal Type, Treated Paper and Carbonless Type, Environmentally Certified Products</v>
      </c>
    </row>
    <row r="4879" spans="1:7" x14ac:dyDescent="0.25">
      <c r="A4879" s="1" t="str">
        <f t="shared" si="315"/>
        <v>616</v>
      </c>
      <c r="B4879" s="1" t="str">
        <f>TEXT(5,"00")</f>
        <v>05</v>
      </c>
      <c r="C4879" s="1" t="str">
        <f t="shared" si="313"/>
        <v>616-05</v>
      </c>
      <c r="D4879" t="s">
        <v>4852</v>
      </c>
      <c r="E4879" t="b">
        <f>IF(COUNTIF(D4879,"*"&amp;'Keyword Search'!$C$5&amp;"*"),TRUE,FALSE)</f>
        <v>1</v>
      </c>
      <c r="G4879" t="str">
        <f t="shared" si="314"/>
        <v>616-05: Adhesives and Applicators: Glue, Mucilage, Paste, etc., Environmentally Certified Products</v>
      </c>
    </row>
    <row r="4880" spans="1:7" x14ac:dyDescent="0.25">
      <c r="A4880" s="1" t="str">
        <f t="shared" si="315"/>
        <v>616</v>
      </c>
      <c r="B4880" s="1" t="str">
        <f>TEXT(7,"00")</f>
        <v>07</v>
      </c>
      <c r="C4880" s="1" t="str">
        <f t="shared" si="313"/>
        <v>616-07</v>
      </c>
      <c r="D4880" t="s">
        <v>4853</v>
      </c>
      <c r="E4880" t="b">
        <f>IF(COUNTIF(D4880,"*"&amp;'Keyword Search'!$C$5&amp;"*"),TRUE,FALSE)</f>
        <v>1</v>
      </c>
      <c r="G4880" t="str">
        <f t="shared" si="314"/>
        <v>616-07: Ashtrays, Desk Type, Environmentally Certified Products</v>
      </c>
    </row>
    <row r="4881" spans="1:7" x14ac:dyDescent="0.25">
      <c r="A4881" s="1" t="str">
        <f t="shared" si="315"/>
        <v>616</v>
      </c>
      <c r="B4881" s="1" t="str">
        <f>TEXT(9,"00")</f>
        <v>09</v>
      </c>
      <c r="C4881" s="1" t="str">
        <f t="shared" si="313"/>
        <v>616-09</v>
      </c>
      <c r="D4881" t="s">
        <v>4854</v>
      </c>
      <c r="E4881" t="b">
        <f>IF(COUNTIF(D4881,"*"&amp;'Keyword Search'!$C$5&amp;"*"),TRUE,FALSE)</f>
        <v>1</v>
      </c>
      <c r="G4881" t="str">
        <f t="shared" si="314"/>
        <v>616-09: Binders: Chain, Post, Prong, Ring, etc., Environmentally Certified Products</v>
      </c>
    </row>
    <row r="4882" spans="1:7" x14ac:dyDescent="0.25">
      <c r="A4882" s="1" t="str">
        <f t="shared" si="315"/>
        <v>616</v>
      </c>
      <c r="B4882" s="1" t="str">
        <f>TEXT(11,"00")</f>
        <v>11</v>
      </c>
      <c r="C4882" s="1" t="str">
        <f t="shared" si="313"/>
        <v>616-11</v>
      </c>
      <c r="D4882" t="s">
        <v>4855</v>
      </c>
      <c r="E4882" t="b">
        <f>IF(COUNTIF(D4882,"*"&amp;'Keyword Search'!$C$5&amp;"*"),TRUE,FALSE)</f>
        <v>1</v>
      </c>
      <c r="G4882" t="str">
        <f t="shared" si="314"/>
        <v>616-11: Binder Sheets: Accounting, Columnar, Index, Journal, Ledger, etc., Environmentally Certified Products</v>
      </c>
    </row>
    <row r="4883" spans="1:7" x14ac:dyDescent="0.25">
      <c r="A4883" s="1" t="str">
        <f t="shared" si="315"/>
        <v>616</v>
      </c>
      <c r="B4883" s="1" t="str">
        <f>TEXT(13,"00")</f>
        <v>13</v>
      </c>
      <c r="C4883" s="1" t="str">
        <f t="shared" si="313"/>
        <v>616-13</v>
      </c>
      <c r="D4883" t="s">
        <v>4856</v>
      </c>
      <c r="E4883" t="b">
        <f>IF(COUNTIF(D4883,"*"&amp;'Keyword Search'!$C$5&amp;"*"),TRUE,FALSE)</f>
        <v>1</v>
      </c>
      <c r="G4883" t="str">
        <f t="shared" si="314"/>
        <v>616-13: Blotters and Pads, Desk, Environmentally Certified Products</v>
      </c>
    </row>
    <row r="4884" spans="1:7" x14ac:dyDescent="0.25">
      <c r="A4884" s="1" t="str">
        <f t="shared" si="315"/>
        <v>616</v>
      </c>
      <c r="B4884" s="1" t="str">
        <f>TEXT(14,"00")</f>
        <v>14</v>
      </c>
      <c r="C4884" s="1" t="str">
        <f t="shared" si="313"/>
        <v>616-14</v>
      </c>
      <c r="D4884" t="s">
        <v>4857</v>
      </c>
      <c r="E4884" t="b">
        <f>IF(COUNTIF(D4884,"*"&amp;'Keyword Search'!$C$5&amp;"*"),TRUE,FALSE)</f>
        <v>1</v>
      </c>
      <c r="G4884" t="str">
        <f t="shared" si="314"/>
        <v>616-14: Boards: Calendar, Schedule, Dispatch, Manning, etc., Environmentally Certified Products</v>
      </c>
    </row>
    <row r="4885" spans="1:7" x14ac:dyDescent="0.25">
      <c r="A4885" s="1" t="str">
        <f t="shared" si="315"/>
        <v>616</v>
      </c>
      <c r="B4885" s="1" t="str">
        <f>TEXT(15,"00")</f>
        <v>15</v>
      </c>
      <c r="C4885" s="1" t="str">
        <f t="shared" si="313"/>
        <v>616-15</v>
      </c>
      <c r="D4885" t="s">
        <v>4858</v>
      </c>
      <c r="E4885" t="b">
        <f>IF(COUNTIF(D4885,"*"&amp;'Keyword Search'!$C$5&amp;"*"),TRUE,FALSE)</f>
        <v>1</v>
      </c>
      <c r="G4885" t="str">
        <f t="shared" si="314"/>
        <v>616-15: Books, Office: Accounting, Address, Columnar, Composition, Memo, Minute, Receipt, Steno, Time, etc., Environmentally Certified Products</v>
      </c>
    </row>
    <row r="4886" spans="1:7" x14ac:dyDescent="0.25">
      <c r="A4886" s="1" t="str">
        <f t="shared" si="315"/>
        <v>616</v>
      </c>
      <c r="B4886" s="1" t="str">
        <f>TEXT(17,"00")</f>
        <v>17</v>
      </c>
      <c r="C4886" s="1" t="str">
        <f t="shared" si="313"/>
        <v>616-17</v>
      </c>
      <c r="D4886" t="s">
        <v>4859</v>
      </c>
      <c r="E4886" t="b">
        <f>IF(COUNTIF(D4886,"*"&amp;'Keyword Search'!$C$5&amp;"*"),TRUE,FALSE)</f>
        <v>1</v>
      </c>
      <c r="G4886" t="str">
        <f t="shared" si="314"/>
        <v>616-17: Box Files, Environmentally Certified Products</v>
      </c>
    </row>
    <row r="4887" spans="1:7" x14ac:dyDescent="0.25">
      <c r="A4887" s="1" t="str">
        <f t="shared" si="315"/>
        <v>616</v>
      </c>
      <c r="B4887" s="1" t="str">
        <f>TEXT(18,"00")</f>
        <v>18</v>
      </c>
      <c r="C4887" s="1" t="str">
        <f t="shared" si="313"/>
        <v>616-18</v>
      </c>
      <c r="D4887" t="s">
        <v>4860</v>
      </c>
      <c r="E4887" t="b">
        <f>IF(COUNTIF(D4887,"*"&amp;'Keyword Search'!$C$5&amp;"*"),TRUE,FALSE)</f>
        <v>1</v>
      </c>
      <c r="G4887" t="str">
        <f t="shared" si="314"/>
        <v>616-18: Braille Labeling Material: Plastic Sheets, etc., Environmentally Certified Products</v>
      </c>
    </row>
    <row r="4888" spans="1:7" x14ac:dyDescent="0.25">
      <c r="A4888" s="1" t="str">
        <f t="shared" si="315"/>
        <v>616</v>
      </c>
      <c r="B4888" s="1" t="str">
        <f>TEXT(19,"00")</f>
        <v>19</v>
      </c>
      <c r="C4888" s="1" t="str">
        <f t="shared" si="313"/>
        <v>616-19</v>
      </c>
      <c r="D4888" t="s">
        <v>4861</v>
      </c>
      <c r="E4888" t="b">
        <f>IF(COUNTIF(D4888,"*"&amp;'Keyword Search'!$C$5&amp;"*"),TRUE,FALSE)</f>
        <v>1</v>
      </c>
      <c r="G4888" t="str">
        <f t="shared" si="314"/>
        <v>616-19: Calendars, Calendar Pads and Stands, Environmentally Certified Products</v>
      </c>
    </row>
    <row r="4889" spans="1:7" x14ac:dyDescent="0.25">
      <c r="A4889" s="1" t="str">
        <f t="shared" si="315"/>
        <v>616</v>
      </c>
      <c r="B4889" s="1" t="str">
        <f>TEXT(20,"00")</f>
        <v>20</v>
      </c>
      <c r="C4889" s="1" t="str">
        <f t="shared" si="313"/>
        <v>616-20</v>
      </c>
      <c r="D4889" t="s">
        <v>4862</v>
      </c>
      <c r="E4889" t="b">
        <f>IF(COUNTIF(D4889,"*"&amp;'Keyword Search'!$C$5&amp;"*"),TRUE,FALSE)</f>
        <v>1</v>
      </c>
      <c r="G4889" t="str">
        <f t="shared" si="314"/>
        <v>616-20: Cash Register Paper, Environmentally Certified Products</v>
      </c>
    </row>
    <row r="4890" spans="1:7" x14ac:dyDescent="0.25">
      <c r="A4890" s="1" t="str">
        <f t="shared" si="315"/>
        <v>616</v>
      </c>
      <c r="B4890" s="1" t="str">
        <f>TEXT(21,"00")</f>
        <v>21</v>
      </c>
      <c r="C4890" s="1" t="str">
        <f t="shared" si="313"/>
        <v>616-21</v>
      </c>
      <c r="D4890" t="s">
        <v>4863</v>
      </c>
      <c r="E4890" t="b">
        <f>IF(COUNTIF(D4890,"*"&amp;'Keyword Search'!$C$5&amp;"*"),TRUE,FALSE)</f>
        <v>1</v>
      </c>
      <c r="G4890" t="str">
        <f t="shared" si="314"/>
        <v>616-21: Chair Cushions, All Types, Environmentally Certified Products</v>
      </c>
    </row>
    <row r="4891" spans="1:7" x14ac:dyDescent="0.25">
      <c r="A4891" s="1" t="str">
        <f t="shared" si="315"/>
        <v>616</v>
      </c>
      <c r="B4891" s="1" t="str">
        <f>TEXT(23,"00")</f>
        <v>23</v>
      </c>
      <c r="C4891" s="1" t="str">
        <f t="shared" si="313"/>
        <v>616-23</v>
      </c>
      <c r="D4891" t="s">
        <v>4864</v>
      </c>
      <c r="E4891" t="b">
        <f>IF(COUNTIF(D4891,"*"&amp;'Keyword Search'!$C$5&amp;"*"),TRUE,FALSE)</f>
        <v>1</v>
      </c>
      <c r="G4891" t="str">
        <f t="shared" si="314"/>
        <v>616-23: Chair Mats, Carpet Protectors, All Types, Environmentally Certified Products</v>
      </c>
    </row>
    <row r="4892" spans="1:7" x14ac:dyDescent="0.25">
      <c r="A4892" s="1" t="str">
        <f t="shared" si="315"/>
        <v>616</v>
      </c>
      <c r="B4892" s="1" t="str">
        <f>TEXT(24,"00")</f>
        <v>24</v>
      </c>
      <c r="C4892" s="1" t="str">
        <f t="shared" si="313"/>
        <v>616-24</v>
      </c>
      <c r="D4892" t="s">
        <v>4865</v>
      </c>
      <c r="E4892" t="b">
        <f>IF(COUNTIF(D4892,"*"&amp;'Keyword Search'!$C$5&amp;"*"),TRUE,FALSE)</f>
        <v>1</v>
      </c>
      <c r="G4892" t="str">
        <f t="shared" si="314"/>
        <v>616-24: Cleaners, Hand, Pre-moistened Towelettes, etc., Environmentally Certified Products</v>
      </c>
    </row>
    <row r="4893" spans="1:7" x14ac:dyDescent="0.25">
      <c r="A4893" s="1" t="str">
        <f t="shared" si="315"/>
        <v>616</v>
      </c>
      <c r="B4893" s="1" t="str">
        <f>TEXT(25,"00")</f>
        <v>25</v>
      </c>
      <c r="C4893" s="1" t="str">
        <f t="shared" si="313"/>
        <v>616-25</v>
      </c>
      <c r="D4893" t="s">
        <v>4866</v>
      </c>
      <c r="E4893" t="b">
        <f>IF(COUNTIF(D4893,"*"&amp;'Keyword Search'!$C$5&amp;"*"),TRUE,FALSE)</f>
        <v>1</v>
      </c>
      <c r="G4893" t="str">
        <f t="shared" si="314"/>
        <v>616-25: Clipboards, Arch Boards, etc., Environmentally Certified Products</v>
      </c>
    </row>
    <row r="4894" spans="1:7" x14ac:dyDescent="0.25">
      <c r="A4894" s="1" t="str">
        <f t="shared" si="315"/>
        <v>616</v>
      </c>
      <c r="B4894" s="1" t="str">
        <f>TEXT(27,"00")</f>
        <v>27</v>
      </c>
      <c r="C4894" s="1" t="str">
        <f t="shared" si="313"/>
        <v>616-27</v>
      </c>
      <c r="D4894" t="s">
        <v>4867</v>
      </c>
      <c r="E4894" t="b">
        <f>IF(COUNTIF(D4894,"*"&amp;'Keyword Search'!$C$5&amp;"*"),TRUE,FALSE)</f>
        <v>1</v>
      </c>
      <c r="G4894" t="str">
        <f t="shared" si="314"/>
        <v>616-27: Coin Wrappers, Bill Straps, Bank Deposit Bags, etc., Environmentally Certified Products</v>
      </c>
    </row>
    <row r="4895" spans="1:7" x14ac:dyDescent="0.25">
      <c r="A4895" s="1" t="str">
        <f t="shared" si="315"/>
        <v>616</v>
      </c>
      <c r="B4895" s="1" t="str">
        <f>TEXT(29,"00")</f>
        <v>29</v>
      </c>
      <c r="C4895" s="1" t="str">
        <f t="shared" si="313"/>
        <v>616-29</v>
      </c>
      <c r="D4895" t="s">
        <v>4868</v>
      </c>
      <c r="E4895" t="b">
        <f>IF(COUNTIF(D4895,"*"&amp;'Keyword Search'!$C$5&amp;"*"),TRUE,FALSE)</f>
        <v>1</v>
      </c>
      <c r="G4895" t="str">
        <f t="shared" si="314"/>
        <v>616-29: Correction Fluid, Sheets and Tape, Including Thinners (See 610-96 For Typewriter Correction Tape), Environmentally Certified Products</v>
      </c>
    </row>
    <row r="4896" spans="1:7" x14ac:dyDescent="0.25">
      <c r="A4896" s="1" t="str">
        <f t="shared" si="315"/>
        <v>616</v>
      </c>
      <c r="B4896" s="1" t="str">
        <f>TEXT(31,"00")</f>
        <v>31</v>
      </c>
      <c r="C4896" s="1" t="str">
        <f t="shared" si="313"/>
        <v>616-31</v>
      </c>
      <c r="D4896" t="s">
        <v>4869</v>
      </c>
      <c r="E4896" t="b">
        <f>IF(COUNTIF(D4896,"*"&amp;'Keyword Search'!$C$5&amp;"*"),TRUE,FALSE)</f>
        <v>1</v>
      </c>
      <c r="G4896" t="str">
        <f t="shared" si="314"/>
        <v>616-31: Covers: Brief, Manuscript, Pressboard, Report, etc., Environmentally Certified Products</v>
      </c>
    </row>
    <row r="4897" spans="1:7" x14ac:dyDescent="0.25">
      <c r="A4897" s="1" t="str">
        <f t="shared" si="315"/>
        <v>616</v>
      </c>
      <c r="B4897" s="1" t="str">
        <f>TEXT(32,"00")</f>
        <v>32</v>
      </c>
      <c r="C4897" s="1" t="str">
        <f t="shared" si="313"/>
        <v>616-32</v>
      </c>
      <c r="D4897" t="s">
        <v>4870</v>
      </c>
      <c r="E4897" t="b">
        <f>IF(COUNTIF(D4897,"*"&amp;'Keyword Search'!$C$5&amp;"*"),TRUE,FALSE)</f>
        <v>1</v>
      </c>
      <c r="G4897" t="str">
        <f t="shared" si="314"/>
        <v>616-32: Covers, Sleeve, Cuffettes, Environmentally Certified Products</v>
      </c>
    </row>
    <row r="4898" spans="1:7" x14ac:dyDescent="0.25">
      <c r="A4898" s="1" t="str">
        <f t="shared" si="315"/>
        <v>616</v>
      </c>
      <c r="B4898" s="1" t="str">
        <f>TEXT(33,"00")</f>
        <v>33</v>
      </c>
      <c r="C4898" s="1" t="str">
        <f t="shared" si="313"/>
        <v>616-33</v>
      </c>
      <c r="D4898" t="s">
        <v>4871</v>
      </c>
      <c r="E4898" t="b">
        <f>IF(COUNTIF(D4898,"*"&amp;'Keyword Search'!$C$5&amp;"*"),TRUE,FALSE)</f>
        <v>1</v>
      </c>
      <c r="G4898" t="str">
        <f t="shared" si="314"/>
        <v>616-33: Desk Accessories: Alphabetizers, Cash Boxes, Desk Files, File Card Cabinets, Letter Sorters, Message Racks, etc. (See 620-10 for Desk Sets), Environmentally Certified Products</v>
      </c>
    </row>
    <row r="4899" spans="1:7" x14ac:dyDescent="0.25">
      <c r="A4899" s="1" t="str">
        <f t="shared" si="315"/>
        <v>616</v>
      </c>
      <c r="B4899" s="1" t="str">
        <f>TEXT(35,"00")</f>
        <v>35</v>
      </c>
      <c r="C4899" s="1" t="str">
        <f t="shared" si="313"/>
        <v>616-35</v>
      </c>
      <c r="D4899" t="s">
        <v>4872</v>
      </c>
      <c r="E4899" t="b">
        <f>IF(COUNTIF(D4899,"*"&amp;'Keyword Search'!$C$5&amp;"*"),TRUE,FALSE)</f>
        <v>1</v>
      </c>
      <c r="G4899" t="str">
        <f t="shared" si="314"/>
        <v>616-35: File Cards, Blank and Ruled, Environmentally Certified Products</v>
      </c>
    </row>
    <row r="4900" spans="1:7" x14ac:dyDescent="0.25">
      <c r="A4900" s="1" t="str">
        <f t="shared" si="315"/>
        <v>616</v>
      </c>
      <c r="B4900" s="1" t="str">
        <f>TEXT(37,"00")</f>
        <v>37</v>
      </c>
      <c r="C4900" s="1" t="str">
        <f t="shared" si="313"/>
        <v>616-37</v>
      </c>
      <c r="D4900" t="s">
        <v>4873</v>
      </c>
      <c r="E4900" t="b">
        <f>IF(COUNTIF(D4900,"*"&amp;'Keyword Search'!$C$5&amp;"*"),TRUE,FALSE)</f>
        <v>1</v>
      </c>
      <c r="G4900" t="str">
        <f t="shared" si="314"/>
        <v>616-37: File Cases: Jackets, Binder, Storage, Transfer, etc., Environmentally Certified Products</v>
      </c>
    </row>
    <row r="4901" spans="1:7" x14ac:dyDescent="0.25">
      <c r="A4901" s="1" t="str">
        <f t="shared" si="315"/>
        <v>616</v>
      </c>
      <c r="B4901" s="1" t="str">
        <f>TEXT(39,"00")</f>
        <v>39</v>
      </c>
      <c r="C4901" s="1" t="str">
        <f t="shared" si="313"/>
        <v>616-39</v>
      </c>
      <c r="D4901" t="s">
        <v>4874</v>
      </c>
      <c r="E4901" t="b">
        <f>IF(COUNTIF(D4901,"*"&amp;'Keyword Search'!$C$5&amp;"*"),TRUE,FALSE)</f>
        <v>1</v>
      </c>
      <c r="G4901" t="str">
        <f t="shared" si="314"/>
        <v>616-39: File Dividers, Labels, Tabs, etc., Environmentally Certified Products</v>
      </c>
    </row>
    <row r="4902" spans="1:7" x14ac:dyDescent="0.25">
      <c r="A4902" s="1" t="str">
        <f t="shared" si="315"/>
        <v>616</v>
      </c>
      <c r="B4902" s="1" t="str">
        <f>TEXT(41,"00")</f>
        <v>41</v>
      </c>
      <c r="C4902" s="1" t="str">
        <f t="shared" si="313"/>
        <v>616-41</v>
      </c>
      <c r="D4902" t="s">
        <v>4875</v>
      </c>
      <c r="E4902" t="b">
        <f>IF(COUNTIF(D4902,"*"&amp;'Keyword Search'!$C$5&amp;"*"),TRUE,FALSE)</f>
        <v>1</v>
      </c>
      <c r="G4902" t="str">
        <f t="shared" si="314"/>
        <v>616-41: File Folders: Expanding Envelopes, Wallets, etc., Environmentally Certified Products</v>
      </c>
    </row>
    <row r="4903" spans="1:7" x14ac:dyDescent="0.25">
      <c r="A4903" s="1" t="str">
        <f t="shared" si="315"/>
        <v>616</v>
      </c>
      <c r="B4903" s="1" t="str">
        <f>TEXT(43,"00")</f>
        <v>43</v>
      </c>
      <c r="C4903" s="1" t="str">
        <f t="shared" si="313"/>
        <v>616-43</v>
      </c>
      <c r="D4903" t="s">
        <v>4876</v>
      </c>
      <c r="E4903" t="b">
        <f>IF(COUNTIF(D4903,"*"&amp;'Keyword Search'!$C$5&amp;"*"),TRUE,FALSE)</f>
        <v>1</v>
      </c>
      <c r="G4903" t="str">
        <f t="shared" si="314"/>
        <v>616-43: File Folders, Hanging Type; and Accessories, Environmentally Certified Products</v>
      </c>
    </row>
    <row r="4904" spans="1:7" x14ac:dyDescent="0.25">
      <c r="A4904" s="1" t="str">
        <f t="shared" si="315"/>
        <v>616</v>
      </c>
      <c r="B4904" s="1" t="str">
        <f>TEXT(45,"00")</f>
        <v>45</v>
      </c>
      <c r="C4904" s="1" t="str">
        <f t="shared" si="313"/>
        <v>616-45</v>
      </c>
      <c r="D4904" t="s">
        <v>4877</v>
      </c>
      <c r="E4904" t="b">
        <f>IF(COUNTIF(D4904,"*"&amp;'Keyword Search'!$C$5&amp;"*"),TRUE,FALSE)</f>
        <v>1</v>
      </c>
      <c r="G4904" t="str">
        <f t="shared" si="314"/>
        <v>616-45: File Folders, Regular, Legal and Letter Sizes, Environmentally Certified Products</v>
      </c>
    </row>
    <row r="4905" spans="1:7" x14ac:dyDescent="0.25">
      <c r="A4905" s="1" t="str">
        <f t="shared" si="315"/>
        <v>616</v>
      </c>
      <c r="B4905" s="1" t="str">
        <f>TEXT(47,"00")</f>
        <v>47</v>
      </c>
      <c r="C4905" s="1" t="str">
        <f t="shared" si="313"/>
        <v>616-47</v>
      </c>
      <c r="D4905" t="s">
        <v>4878</v>
      </c>
      <c r="E4905" t="b">
        <f>IF(COUNTIF(D4905,"*"&amp;'Keyword Search'!$C$5&amp;"*"),TRUE,FALSE)</f>
        <v>1</v>
      </c>
      <c r="G4905" t="str">
        <f t="shared" si="314"/>
        <v>616-47: File Guides, Environmentally Certified Products</v>
      </c>
    </row>
    <row r="4906" spans="1:7" x14ac:dyDescent="0.25">
      <c r="A4906" s="1" t="str">
        <f t="shared" si="315"/>
        <v>616</v>
      </c>
      <c r="B4906" s="1" t="str">
        <f>TEXT(48,"00")</f>
        <v>48</v>
      </c>
      <c r="C4906" s="1" t="str">
        <f t="shared" si="313"/>
        <v>616-48</v>
      </c>
      <c r="D4906" t="s">
        <v>4879</v>
      </c>
      <c r="E4906" t="b">
        <f>IF(COUNTIF(D4906,"*"&amp;'Keyword Search'!$C$5&amp;"*"),TRUE,FALSE)</f>
        <v>1</v>
      </c>
      <c r="G4906" t="str">
        <f t="shared" si="314"/>
        <v>616-48: Holders, Form and Memo, Including Spindles, Environmentally Certified Products</v>
      </c>
    </row>
    <row r="4907" spans="1:7" x14ac:dyDescent="0.25">
      <c r="A4907" s="1" t="str">
        <f t="shared" si="315"/>
        <v>616</v>
      </c>
      <c r="B4907" s="1" t="str">
        <f>TEXT(49,"00")</f>
        <v>49</v>
      </c>
      <c r="C4907" s="1" t="str">
        <f t="shared" si="313"/>
        <v>616-49</v>
      </c>
      <c r="D4907" t="s">
        <v>4880</v>
      </c>
      <c r="E4907" t="b">
        <f>IF(COUNTIF(D4907,"*"&amp;'Keyword Search'!$C$5&amp;"*"),TRUE,FALSE)</f>
        <v>1</v>
      </c>
      <c r="G4907" t="str">
        <f t="shared" si="314"/>
        <v>616-49: Index Tabs: Celluloid, Cloth, etc., Environmentally Certified Products</v>
      </c>
    </row>
    <row r="4908" spans="1:7" x14ac:dyDescent="0.25">
      <c r="A4908" s="1" t="str">
        <f t="shared" si="315"/>
        <v>616</v>
      </c>
      <c r="B4908" s="1" t="str">
        <f>TEXT(50,"00")</f>
        <v>50</v>
      </c>
      <c r="C4908" s="1" t="str">
        <f t="shared" si="313"/>
        <v>616-50</v>
      </c>
      <c r="D4908" t="s">
        <v>4881</v>
      </c>
      <c r="E4908" t="b">
        <f>IF(COUNTIF(D4908,"*"&amp;'Keyword Search'!$C$5&amp;"*"),TRUE,FALSE)</f>
        <v>1</v>
      </c>
      <c r="G4908" t="str">
        <f t="shared" si="314"/>
        <v>616-50: Key Rings, All Types, Environmentally Certified Products</v>
      </c>
    </row>
    <row r="4909" spans="1:7" x14ac:dyDescent="0.25">
      <c r="A4909" s="1" t="str">
        <f t="shared" si="315"/>
        <v>616</v>
      </c>
      <c r="B4909" s="1" t="str">
        <f>TEXT(51,"00")</f>
        <v>51</v>
      </c>
      <c r="C4909" s="1" t="str">
        <f t="shared" si="313"/>
        <v>616-51</v>
      </c>
      <c r="D4909" t="s">
        <v>4882</v>
      </c>
      <c r="E4909" t="b">
        <f>IF(COUNTIF(D4909,"*"&amp;'Keyword Search'!$C$5&amp;"*"),TRUE,FALSE)</f>
        <v>1</v>
      </c>
      <c r="G4909" t="str">
        <f t="shared" si="314"/>
        <v>616-51: Labels, Reinforcements, Seals, etc., Not Printed and Sealing Wax, Environmentally Certified Products</v>
      </c>
    </row>
    <row r="4910" spans="1:7" x14ac:dyDescent="0.25">
      <c r="A4910" s="1" t="str">
        <f t="shared" si="315"/>
        <v>616</v>
      </c>
      <c r="B4910" s="1" t="str">
        <f>TEXT(52,"00")</f>
        <v>52</v>
      </c>
      <c r="C4910" s="1" t="str">
        <f t="shared" si="313"/>
        <v>616-52</v>
      </c>
      <c r="D4910" t="s">
        <v>4883</v>
      </c>
      <c r="E4910" t="b">
        <f>IF(COUNTIF(D4910,"*"&amp;'Keyword Search'!$C$5&amp;"*"),TRUE,FALSE)</f>
        <v>1</v>
      </c>
      <c r="G4910" t="str">
        <f t="shared" si="314"/>
        <v>616-52: Label Remover Equipment, Environmentally Certified Products</v>
      </c>
    </row>
    <row r="4911" spans="1:7" x14ac:dyDescent="0.25">
      <c r="A4911" s="1" t="str">
        <f t="shared" si="315"/>
        <v>616</v>
      </c>
      <c r="B4911" s="1" t="str">
        <f>TEXT(53,"00")</f>
        <v>53</v>
      </c>
      <c r="C4911" s="1" t="str">
        <f t="shared" si="313"/>
        <v>616-53</v>
      </c>
      <c r="D4911" t="s">
        <v>4884</v>
      </c>
      <c r="E4911" t="b">
        <f>IF(COUNTIF(D4911,"*"&amp;'Keyword Search'!$C$5&amp;"*"),TRUE,FALSE)</f>
        <v>1</v>
      </c>
      <c r="G4911" t="str">
        <f t="shared" si="314"/>
        <v>616-53: Letter Folders and Openers, Environmentally Certified Products</v>
      </c>
    </row>
    <row r="4912" spans="1:7" x14ac:dyDescent="0.25">
      <c r="A4912" s="1" t="str">
        <f t="shared" si="315"/>
        <v>616</v>
      </c>
      <c r="B4912" s="1" t="str">
        <f>TEXT(55,"00")</f>
        <v>55</v>
      </c>
      <c r="C4912" s="1" t="str">
        <f t="shared" si="313"/>
        <v>616-55</v>
      </c>
      <c r="D4912" t="s">
        <v>4885</v>
      </c>
      <c r="E4912" t="b">
        <f>IF(COUNTIF(D4912,"*"&amp;'Keyword Search'!$C$5&amp;"*"),TRUE,FALSE)</f>
        <v>1</v>
      </c>
      <c r="G4912" t="str">
        <f t="shared" si="314"/>
        <v>616-55: Letter and Card Trays, All Types, Environmentally Certified Products</v>
      </c>
    </row>
    <row r="4913" spans="1:7" x14ac:dyDescent="0.25">
      <c r="A4913" s="1" t="str">
        <f t="shared" si="315"/>
        <v>616</v>
      </c>
      <c r="B4913" s="1" t="str">
        <f>TEXT(57,"00")</f>
        <v>57</v>
      </c>
      <c r="C4913" s="1" t="str">
        <f t="shared" si="313"/>
        <v>616-57</v>
      </c>
      <c r="D4913" t="s">
        <v>4886</v>
      </c>
      <c r="E4913" t="b">
        <f>IF(COUNTIF(D4913,"*"&amp;'Keyword Search'!$C$5&amp;"*"),TRUE,FALSE)</f>
        <v>1</v>
      </c>
      <c r="G4913" t="str">
        <f t="shared" si="314"/>
        <v>616-57: List Finders, Rolodex, Telephone Strips, and Accessories, Environmentally Certified Products</v>
      </c>
    </row>
    <row r="4914" spans="1:7" x14ac:dyDescent="0.25">
      <c r="A4914" s="1" t="str">
        <f t="shared" si="315"/>
        <v>616</v>
      </c>
      <c r="B4914" s="1" t="str">
        <f>TEXT(60,"00")</f>
        <v>60</v>
      </c>
      <c r="C4914" s="1" t="str">
        <f t="shared" si="313"/>
        <v>616-60</v>
      </c>
      <c r="D4914" t="s">
        <v>4887</v>
      </c>
      <c r="E4914" t="b">
        <f>IF(COUNTIF(D4914,"*"&amp;'Keyword Search'!$C$5&amp;"*"),TRUE,FALSE)</f>
        <v>1</v>
      </c>
      <c r="G4914" t="str">
        <f t="shared" si="314"/>
        <v>616-60: Office Supplies, General (Not Otherwise Classified), Environmentally Certified Products</v>
      </c>
    </row>
    <row r="4915" spans="1:7" x14ac:dyDescent="0.25">
      <c r="A4915" s="1" t="str">
        <f t="shared" si="315"/>
        <v>616</v>
      </c>
      <c r="B4915" s="1" t="str">
        <f>TEXT(62,"00")</f>
        <v>62</v>
      </c>
      <c r="C4915" s="1" t="str">
        <f t="shared" si="313"/>
        <v>616-62</v>
      </c>
      <c r="D4915" t="s">
        <v>4888</v>
      </c>
      <c r="E4915" t="b">
        <f>IF(COUNTIF(D4915,"*"&amp;'Keyword Search'!$C$5&amp;"*"),TRUE,FALSE)</f>
        <v>1</v>
      </c>
      <c r="G4915" t="str">
        <f t="shared" si="314"/>
        <v>616-62: Pads and Tablets: Analysis, Columnar, Figure, Memo, Note, Ruled, Post-It Notes, Telephone Message, etc., Environmentally Certified Products</v>
      </c>
    </row>
    <row r="4916" spans="1:7" x14ac:dyDescent="0.25">
      <c r="A4916" s="1" t="str">
        <f t="shared" si="315"/>
        <v>616</v>
      </c>
      <c r="B4916" s="1" t="str">
        <f>TEXT(65,"00")</f>
        <v>65</v>
      </c>
      <c r="C4916" s="1" t="str">
        <f t="shared" si="313"/>
        <v>616-65</v>
      </c>
      <c r="D4916" t="s">
        <v>4889</v>
      </c>
      <c r="E4916" t="b">
        <f>IF(COUNTIF(D4916,"*"&amp;'Keyword Search'!$C$5&amp;"*"),TRUE,FALSE)</f>
        <v>1</v>
      </c>
      <c r="G4916" t="str">
        <f t="shared" si="314"/>
        <v>616-65: Pads and Covers, Office Machine, All Types, Environmentally Certified Products</v>
      </c>
    </row>
    <row r="4917" spans="1:7" x14ac:dyDescent="0.25">
      <c r="A4917" s="1" t="str">
        <f t="shared" si="315"/>
        <v>616</v>
      </c>
      <c r="B4917" s="1" t="str">
        <f>TEXT(67,"00")</f>
        <v>67</v>
      </c>
      <c r="C4917" s="1" t="str">
        <f t="shared" si="313"/>
        <v>616-67</v>
      </c>
      <c r="D4917" t="s">
        <v>4890</v>
      </c>
      <c r="E4917" t="b">
        <f>IF(COUNTIF(D4917,"*"&amp;'Keyword Search'!$C$5&amp;"*"),TRUE,FALSE)</f>
        <v>1</v>
      </c>
      <c r="G4917" t="str">
        <f t="shared" si="314"/>
        <v>616-67: Paper Clips, Ball Bearing, Environmentally Certified Products</v>
      </c>
    </row>
    <row r="4918" spans="1:7" x14ac:dyDescent="0.25">
      <c r="A4918" s="1" t="str">
        <f t="shared" si="315"/>
        <v>616</v>
      </c>
      <c r="B4918" s="1" t="str">
        <f>TEXT(69,"00")</f>
        <v>69</v>
      </c>
      <c r="C4918" s="1" t="str">
        <f t="shared" si="313"/>
        <v>616-69</v>
      </c>
      <c r="D4918" t="s">
        <v>4891</v>
      </c>
      <c r="E4918" t="b">
        <f>IF(COUNTIF(D4918,"*"&amp;'Keyword Search'!$C$5&amp;"*"),TRUE,FALSE)</f>
        <v>1</v>
      </c>
      <c r="G4918" t="str">
        <f t="shared" si="314"/>
        <v>616-69: Paper Clips, Clamps, Fasteners, Round and Flat Head, Dispensers, etc., Environmentally Certified Products</v>
      </c>
    </row>
    <row r="4919" spans="1:7" x14ac:dyDescent="0.25">
      <c r="A4919" s="1" t="str">
        <f t="shared" si="315"/>
        <v>616</v>
      </c>
      <c r="B4919" s="1" t="str">
        <f>TEXT(71,"00")</f>
        <v>71</v>
      </c>
      <c r="C4919" s="1" t="str">
        <f t="shared" si="313"/>
        <v>616-71</v>
      </c>
      <c r="D4919" t="s">
        <v>4892</v>
      </c>
      <c r="E4919" t="b">
        <f>IF(COUNTIF(D4919,"*"&amp;'Keyword Search'!$C$5&amp;"*"),TRUE,FALSE)</f>
        <v>1</v>
      </c>
      <c r="G4919" t="str">
        <f t="shared" si="314"/>
        <v>616-71: Paper Fasteners, Prong Type, Environmentally Certified Products</v>
      </c>
    </row>
    <row r="4920" spans="1:7" x14ac:dyDescent="0.25">
      <c r="A4920" s="1" t="str">
        <f t="shared" si="315"/>
        <v>616</v>
      </c>
      <c r="B4920" s="1" t="str">
        <f>TEXT(72,"00")</f>
        <v>72</v>
      </c>
      <c r="C4920" s="1" t="str">
        <f t="shared" si="313"/>
        <v>616-72</v>
      </c>
      <c r="D4920" t="s">
        <v>4893</v>
      </c>
      <c r="E4920" t="b">
        <f>IF(COUNTIF(D4920,"*"&amp;'Keyword Search'!$C$5&amp;"*"),TRUE,FALSE)</f>
        <v>1</v>
      </c>
      <c r="G4920" t="str">
        <f t="shared" si="314"/>
        <v>616-72: Planners, Organizers, Environmentally Certified Products</v>
      </c>
    </row>
    <row r="4921" spans="1:7" x14ac:dyDescent="0.25">
      <c r="A4921" s="1" t="str">
        <f t="shared" si="315"/>
        <v>616</v>
      </c>
      <c r="B4921" s="1" t="str">
        <f>TEXT(73,"00")</f>
        <v>73</v>
      </c>
      <c r="C4921" s="1" t="str">
        <f t="shared" si="313"/>
        <v>616-73</v>
      </c>
      <c r="D4921" t="s">
        <v>4894</v>
      </c>
      <c r="E4921" t="b">
        <f>IF(COUNTIF(D4921,"*"&amp;'Keyword Search'!$C$5&amp;"*"),TRUE,FALSE)</f>
        <v>1</v>
      </c>
      <c r="G4921" t="str">
        <f t="shared" si="314"/>
        <v>616-73: Recycled Office Supplies, Environmentally Certified Products</v>
      </c>
    </row>
    <row r="4922" spans="1:7" x14ac:dyDescent="0.25">
      <c r="A4922" s="1" t="str">
        <f t="shared" si="315"/>
        <v>616</v>
      </c>
      <c r="B4922" s="1" t="str">
        <f>TEXT(75,"00")</f>
        <v>75</v>
      </c>
      <c r="C4922" s="1" t="str">
        <f t="shared" si="313"/>
        <v>616-75</v>
      </c>
      <c r="D4922" t="s">
        <v>4895</v>
      </c>
      <c r="E4922" t="b">
        <f>IF(COUNTIF(D4922,"*"&amp;'Keyword Search'!$C$5&amp;"*"),TRUE,FALSE)</f>
        <v>1</v>
      </c>
      <c r="G4922" t="str">
        <f t="shared" si="314"/>
        <v>616-75: Rubber Bands, All Sizes, Environmentally Certified Products</v>
      </c>
    </row>
    <row r="4923" spans="1:7" x14ac:dyDescent="0.25">
      <c r="A4923" s="1" t="str">
        <f t="shared" si="315"/>
        <v>616</v>
      </c>
      <c r="B4923" s="1" t="str">
        <f>TEXT(77,"00")</f>
        <v>77</v>
      </c>
      <c r="C4923" s="1" t="str">
        <f t="shared" si="313"/>
        <v>616-77</v>
      </c>
      <c r="D4923" t="s">
        <v>4896</v>
      </c>
      <c r="E4923" t="b">
        <f>IF(COUNTIF(D4923,"*"&amp;'Keyword Search'!$C$5&amp;"*"),TRUE,FALSE)</f>
        <v>1</v>
      </c>
      <c r="G4923" t="str">
        <f t="shared" si="314"/>
        <v>616-77: Rubber Stamps, Stamp Pads, Stamp Pad Ink and Stamp Racks, Environmentally Certified Products</v>
      </c>
    </row>
    <row r="4924" spans="1:7" x14ac:dyDescent="0.25">
      <c r="A4924" s="1" t="str">
        <f t="shared" si="315"/>
        <v>616</v>
      </c>
      <c r="B4924" s="1" t="str">
        <f>TEXT(79,"00")</f>
        <v>79</v>
      </c>
      <c r="C4924" s="1" t="str">
        <f t="shared" si="313"/>
        <v>616-79</v>
      </c>
      <c r="D4924" t="s">
        <v>4897</v>
      </c>
      <c r="E4924" t="b">
        <f>IF(COUNTIF(D4924,"*"&amp;'Keyword Search'!$C$5&amp;"*"),TRUE,FALSE)</f>
        <v>1</v>
      </c>
      <c r="G4924" t="str">
        <f t="shared" si="314"/>
        <v>616-79: Rulers, All Types (See 305-35 For Drafting), Environmentally Certified Products</v>
      </c>
    </row>
    <row r="4925" spans="1:7" x14ac:dyDescent="0.25">
      <c r="A4925" s="1" t="str">
        <f t="shared" si="315"/>
        <v>616</v>
      </c>
      <c r="B4925" s="1" t="str">
        <f>TEXT(80,"00")</f>
        <v>80</v>
      </c>
      <c r="C4925" s="1" t="str">
        <f t="shared" si="313"/>
        <v>616-80</v>
      </c>
      <c r="D4925" t="s">
        <v>4898</v>
      </c>
      <c r="E4925" t="b">
        <f>IF(COUNTIF(D4925,"*"&amp;'Keyword Search'!$C$5&amp;"*"),TRUE,FALSE)</f>
        <v>1</v>
      </c>
      <c r="G4925" t="str">
        <f t="shared" si="314"/>
        <v>616-80: Sheet Protectors, All Types, Environmentally Certified Products</v>
      </c>
    </row>
    <row r="4926" spans="1:7" x14ac:dyDescent="0.25">
      <c r="A4926" s="1" t="str">
        <f t="shared" si="315"/>
        <v>616</v>
      </c>
      <c r="B4926" s="1" t="str">
        <f>TEXT(81,"00")</f>
        <v>81</v>
      </c>
      <c r="C4926" s="1" t="str">
        <f t="shared" si="313"/>
        <v>616-81</v>
      </c>
      <c r="D4926" t="s">
        <v>4899</v>
      </c>
      <c r="E4926" t="b">
        <f>IF(COUNTIF(D4926,"*"&amp;'Keyword Search'!$C$5&amp;"*"),TRUE,FALSE)</f>
        <v>1</v>
      </c>
      <c r="G4926" t="str">
        <f t="shared" si="314"/>
        <v>616-81: Staples, Environmentally Certified Products</v>
      </c>
    </row>
    <row r="4927" spans="1:7" x14ac:dyDescent="0.25">
      <c r="A4927" s="1" t="str">
        <f t="shared" si="315"/>
        <v>616</v>
      </c>
      <c r="B4927" s="1" t="str">
        <f>TEXT(82,"00")</f>
        <v>82</v>
      </c>
      <c r="C4927" s="1" t="str">
        <f t="shared" si="313"/>
        <v>616-82</v>
      </c>
      <c r="D4927" t="s">
        <v>4900</v>
      </c>
      <c r="E4927" t="b">
        <f>IF(COUNTIF(D4927,"*"&amp;'Keyword Search'!$C$5&amp;"*"),TRUE,FALSE)</f>
        <v>1</v>
      </c>
      <c r="G4927" t="str">
        <f t="shared" si="314"/>
        <v>616-82: Stock Forms and Labels: Copy Sets, Receiving Forms, Speed Letters, etc., Environmentally Certified Products</v>
      </c>
    </row>
    <row r="4928" spans="1:7" x14ac:dyDescent="0.25">
      <c r="A4928" s="1" t="str">
        <f t="shared" si="315"/>
        <v>616</v>
      </c>
      <c r="B4928" s="1" t="str">
        <f>TEXT(84,"00")</f>
        <v>84</v>
      </c>
      <c r="C4928" s="1" t="str">
        <f t="shared" si="313"/>
        <v>616-84</v>
      </c>
      <c r="D4928" t="s">
        <v>4901</v>
      </c>
      <c r="E4928" t="b">
        <f>IF(COUNTIF(D4928,"*"&amp;'Keyword Search'!$C$5&amp;"*"),TRUE,FALSE)</f>
        <v>1</v>
      </c>
      <c r="G4928" t="str">
        <f t="shared" si="314"/>
        <v>616-84: Tacks, Office Use: Map, Thumb, etc., Including Push and T Pins, Environmentally Certified Products</v>
      </c>
    </row>
    <row r="4929" spans="1:7" x14ac:dyDescent="0.25">
      <c r="A4929" s="1" t="str">
        <f t="shared" si="315"/>
        <v>616</v>
      </c>
      <c r="B4929" s="1" t="str">
        <f>TEXT(86,"00")</f>
        <v>86</v>
      </c>
      <c r="C4929" s="1" t="str">
        <f t="shared" si="313"/>
        <v>616-86</v>
      </c>
      <c r="D4929" t="s">
        <v>4902</v>
      </c>
      <c r="E4929" t="b">
        <f>IF(COUNTIF(D4929,"*"&amp;'Keyword Search'!$C$5&amp;"*"),TRUE,FALSE)</f>
        <v>1</v>
      </c>
      <c r="G4929" t="str">
        <f t="shared" si="314"/>
        <v>616-86: Tags, Marking and Shipping, Stock, Environmentally Certified Products</v>
      </c>
    </row>
    <row r="4930" spans="1:7" x14ac:dyDescent="0.25">
      <c r="A4930" s="1" t="str">
        <f t="shared" si="315"/>
        <v>616</v>
      </c>
      <c r="B4930" s="1" t="str">
        <f>TEXT(88,"00")</f>
        <v>88</v>
      </c>
      <c r="C4930" s="1" t="str">
        <f t="shared" si="313"/>
        <v>616-88</v>
      </c>
      <c r="D4930" t="s">
        <v>4903</v>
      </c>
      <c r="E4930" t="b">
        <f>IF(COUNTIF(D4930,"*"&amp;'Keyword Search'!$C$5&amp;"*"),TRUE,FALSE)</f>
        <v>1</v>
      </c>
      <c r="G4930" t="str">
        <f t="shared" si="314"/>
        <v>616-88: Tape and Dispensers, Office Type, Environmentally Certified Products</v>
      </c>
    </row>
    <row r="4931" spans="1:7" x14ac:dyDescent="0.25">
      <c r="A4931" s="1" t="str">
        <f t="shared" si="315"/>
        <v>616</v>
      </c>
      <c r="B4931" s="1" t="str">
        <f>TEXT(89,"00")</f>
        <v>89</v>
      </c>
      <c r="C4931" s="1" t="str">
        <f t="shared" ref="C4931:C4994" si="316">CONCATENATE(A4931,"-",B4931)</f>
        <v>616-89</v>
      </c>
      <c r="D4931" t="s">
        <v>4904</v>
      </c>
      <c r="E4931" t="b">
        <f>IF(COUNTIF(D4931,"*"&amp;'Keyword Search'!$C$5&amp;"*"),TRUE,FALSE)</f>
        <v>1</v>
      </c>
      <c r="G4931" t="str">
        <f t="shared" si="314"/>
        <v>616-89: Tape, Velcro Type (See 590-69 for Clothing Type), Environmentally Certified Products</v>
      </c>
    </row>
    <row r="4932" spans="1:7" x14ac:dyDescent="0.25">
      <c r="A4932" s="1" t="str">
        <f t="shared" si="315"/>
        <v>616</v>
      </c>
      <c r="B4932" s="1" t="str">
        <f>TEXT(90,"00")</f>
        <v>90</v>
      </c>
      <c r="C4932" s="1" t="str">
        <f t="shared" si="316"/>
        <v>616-90</v>
      </c>
      <c r="D4932" t="s">
        <v>4905</v>
      </c>
      <c r="E4932" t="b">
        <f>IF(COUNTIF(D4932,"*"&amp;'Keyword Search'!$C$5&amp;"*"),TRUE,FALSE)</f>
        <v>1</v>
      </c>
      <c r="G4932" t="str">
        <f t="shared" ref="G4932:G4995" si="317">CONCATENATE(C4932,": ",D4932)</f>
        <v>616-90: Typewriter Cleaners and Oils, Environmentally Certified Products</v>
      </c>
    </row>
    <row r="4933" spans="1:7" x14ac:dyDescent="0.25">
      <c r="A4933" s="1" t="str">
        <f t="shared" si="315"/>
        <v>616</v>
      </c>
      <c r="B4933" s="1" t="str">
        <f>TEXT(93,"00")</f>
        <v>93</v>
      </c>
      <c r="C4933" s="1" t="str">
        <f t="shared" si="316"/>
        <v>616-93</v>
      </c>
      <c r="D4933" t="s">
        <v>4906</v>
      </c>
      <c r="E4933" t="b">
        <f>IF(COUNTIF(D4933,"*"&amp;'Keyword Search'!$C$5&amp;"*"),TRUE,FALSE)</f>
        <v>1</v>
      </c>
      <c r="G4933" t="str">
        <f t="shared" si="317"/>
        <v>616-93: Visible Record Supplies: Cards, Flags, Folders, Hinges, Signal, Strips, Tabs, etc., Environmentally Certified Products</v>
      </c>
    </row>
    <row r="4934" spans="1:7" x14ac:dyDescent="0.25">
      <c r="A4934" s="1" t="str">
        <f t="shared" si="315"/>
        <v>616</v>
      </c>
      <c r="B4934" s="1" t="str">
        <f>TEXT(95,"00")</f>
        <v>95</v>
      </c>
      <c r="C4934" s="1" t="str">
        <f t="shared" si="316"/>
        <v>616-95</v>
      </c>
      <c r="D4934" t="s">
        <v>4907</v>
      </c>
      <c r="E4934" t="b">
        <f>IF(COUNTIF(D4934,"*"&amp;'Keyword Search'!$C$5&amp;"*"),TRUE,FALSE)</f>
        <v>1</v>
      </c>
      <c r="G4934" t="str">
        <f t="shared" si="317"/>
        <v>616-95: Wastebaskets, Office, All Types, Environmentally Certified Products</v>
      </c>
    </row>
    <row r="4935" spans="1:7" x14ac:dyDescent="0.25">
      <c r="A4935" s="5" t="str">
        <f t="shared" ref="A4935:A4951" si="318">TEXT(620,"000")</f>
        <v>620</v>
      </c>
      <c r="B4935" s="5" t="str">
        <f>TEXT(0,"00")</f>
        <v>00</v>
      </c>
      <c r="C4935" s="1"/>
      <c r="D4935" s="2" t="s">
        <v>4908</v>
      </c>
    </row>
    <row r="4936" spans="1:7" x14ac:dyDescent="0.25">
      <c r="A4936" s="1" t="str">
        <f t="shared" si="318"/>
        <v>620</v>
      </c>
      <c r="B4936" s="1" t="str">
        <f>TEXT(10,"00")</f>
        <v>10</v>
      </c>
      <c r="C4936" s="1" t="str">
        <f t="shared" si="316"/>
        <v>620-10</v>
      </c>
      <c r="D4936" t="s">
        <v>4909</v>
      </c>
      <c r="E4936" t="b">
        <f>IF(COUNTIF(D4936,"*"&amp;'Keyword Search'!$C$5&amp;"*"),TRUE,FALSE)</f>
        <v>1</v>
      </c>
      <c r="G4936" t="str">
        <f t="shared" si="317"/>
        <v>620-10: Desk Sets, Inkstands, Penholders, Pen Points, etc. (See 615-33 for Desk Accessories)</v>
      </c>
    </row>
    <row r="4937" spans="1:7" x14ac:dyDescent="0.25">
      <c r="A4937" s="1" t="str">
        <f t="shared" si="318"/>
        <v>620</v>
      </c>
      <c r="B4937" s="1" t="str">
        <f>TEXT(20,"00")</f>
        <v>20</v>
      </c>
      <c r="C4937" s="1" t="str">
        <f t="shared" si="316"/>
        <v>620-20</v>
      </c>
      <c r="D4937" t="s">
        <v>4910</v>
      </c>
      <c r="E4937" t="b">
        <f>IF(COUNTIF(D4937,"*"&amp;'Keyword Search'!$C$5&amp;"*"),TRUE,FALSE)</f>
        <v>1</v>
      </c>
      <c r="G4937" t="str">
        <f t="shared" si="317"/>
        <v>620-20: Erasers: Pencil Types, etc., (See 785-57 for Blackboard and Dry Erase Types)</v>
      </c>
    </row>
    <row r="4938" spans="1:7" x14ac:dyDescent="0.25">
      <c r="A4938" s="1" t="str">
        <f t="shared" si="318"/>
        <v>620</v>
      </c>
      <c r="B4938" s="1" t="str">
        <f>TEXT(30,"00")</f>
        <v>30</v>
      </c>
      <c r="C4938" s="1" t="str">
        <f t="shared" si="316"/>
        <v>620-30</v>
      </c>
      <c r="D4938" t="s">
        <v>4911</v>
      </c>
      <c r="E4938" t="b">
        <f>IF(COUNTIF(D4938,"*"&amp;'Keyword Search'!$C$5&amp;"*"),TRUE,FALSE)</f>
        <v>1</v>
      </c>
      <c r="G4938" t="str">
        <f t="shared" si="317"/>
        <v>620-30: Ink: Drawing, Marking, and Writing</v>
      </c>
    </row>
    <row r="4939" spans="1:7" x14ac:dyDescent="0.25">
      <c r="A4939" s="1" t="str">
        <f t="shared" si="318"/>
        <v>620</v>
      </c>
      <c r="B4939" s="1" t="str">
        <f>TEXT(40,"00")</f>
        <v>40</v>
      </c>
      <c r="C4939" s="1" t="str">
        <f t="shared" si="316"/>
        <v>620-40</v>
      </c>
      <c r="D4939" t="s">
        <v>4912</v>
      </c>
      <c r="E4939" t="b">
        <f>IF(COUNTIF(D4939,"*"&amp;'Keyword Search'!$C$5&amp;"*"),TRUE,FALSE)</f>
        <v>1</v>
      </c>
      <c r="G4939" t="str">
        <f t="shared" si="317"/>
        <v>620-40: Ink Eradicators</v>
      </c>
    </row>
    <row r="4940" spans="1:7" x14ac:dyDescent="0.25">
      <c r="A4940" s="1" t="str">
        <f t="shared" si="318"/>
        <v>620</v>
      </c>
      <c r="B4940" s="1" t="str">
        <f>TEXT(50,"00")</f>
        <v>50</v>
      </c>
      <c r="C4940" s="1" t="str">
        <f t="shared" si="316"/>
        <v>620-50</v>
      </c>
      <c r="D4940" t="s">
        <v>4913</v>
      </c>
      <c r="E4940" t="b">
        <f>IF(COUNTIF(D4940,"*"&amp;'Keyword Search'!$C$5&amp;"*"),TRUE,FALSE)</f>
        <v>1</v>
      </c>
      <c r="G4940" t="str">
        <f t="shared" si="317"/>
        <v>620-50: Ink Refills, Not Ballpoint, Drawing and Writing</v>
      </c>
    </row>
    <row r="4941" spans="1:7" x14ac:dyDescent="0.25">
      <c r="A4941" s="1" t="str">
        <f t="shared" si="318"/>
        <v>620</v>
      </c>
      <c r="B4941" s="1" t="str">
        <f>TEXT(55,"00")</f>
        <v>55</v>
      </c>
      <c r="C4941" s="1" t="str">
        <f t="shared" si="316"/>
        <v>620-55</v>
      </c>
      <c r="D4941" t="s">
        <v>4914</v>
      </c>
      <c r="E4941" t="b">
        <f>IF(COUNTIF(D4941,"*"&amp;'Keyword Search'!$C$5&amp;"*"),TRUE,FALSE)</f>
        <v>1</v>
      </c>
      <c r="G4941" t="str">
        <f t="shared" si="317"/>
        <v>620-55: Lumber Marking Crayons</v>
      </c>
    </row>
    <row r="4942" spans="1:7" x14ac:dyDescent="0.25">
      <c r="A4942" s="1" t="str">
        <f t="shared" si="318"/>
        <v>620</v>
      </c>
      <c r="B4942" s="1" t="str">
        <f>TEXT(60,"00")</f>
        <v>60</v>
      </c>
      <c r="C4942" s="1" t="str">
        <f t="shared" si="316"/>
        <v>620-60</v>
      </c>
      <c r="D4942" t="s">
        <v>4915</v>
      </c>
      <c r="E4942" t="b">
        <f>IF(COUNTIF(D4942,"*"&amp;'Keyword Search'!$C$5&amp;"*"),TRUE,FALSE)</f>
        <v>1</v>
      </c>
      <c r="G4942" t="str">
        <f t="shared" si="317"/>
        <v>620-60: Pencils, Lead; Including Pencil Leads and Pencil Lengtheners</v>
      </c>
    </row>
    <row r="4943" spans="1:7" x14ac:dyDescent="0.25">
      <c r="A4943" s="1" t="str">
        <f t="shared" si="318"/>
        <v>620</v>
      </c>
      <c r="B4943" s="1" t="str">
        <f>TEXT(70,"00")</f>
        <v>70</v>
      </c>
      <c r="C4943" s="1" t="str">
        <f t="shared" si="316"/>
        <v>620-70</v>
      </c>
      <c r="D4943" t="s">
        <v>4916</v>
      </c>
      <c r="E4943" t="b">
        <f>IF(COUNTIF(D4943,"*"&amp;'Keyword Search'!$C$5&amp;"*"),TRUE,FALSE)</f>
        <v>1</v>
      </c>
      <c r="G4943" t="str">
        <f t="shared" si="317"/>
        <v>620-70: Pencils, Marking, Including Mechanical Types and Refills: Grease or China Types, etc.</v>
      </c>
    </row>
    <row r="4944" spans="1:7" x14ac:dyDescent="0.25">
      <c r="A4944" s="1" t="str">
        <f t="shared" si="318"/>
        <v>620</v>
      </c>
      <c r="B4944" s="1" t="str">
        <f>TEXT(71,"00")</f>
        <v>71</v>
      </c>
      <c r="C4944" s="1" t="str">
        <f t="shared" si="316"/>
        <v>620-71</v>
      </c>
      <c r="D4944" t="s">
        <v>4917</v>
      </c>
      <c r="E4944" t="b">
        <f>IF(COUNTIF(D4944,"*"&amp;'Keyword Search'!$C$5&amp;"*"),TRUE,FALSE)</f>
        <v>1</v>
      </c>
      <c r="G4944" t="str">
        <f t="shared" si="317"/>
        <v>620-71: Pencils, Marking, Not Grease or China Types</v>
      </c>
    </row>
    <row r="4945" spans="1:7" x14ac:dyDescent="0.25">
      <c r="A4945" s="1" t="str">
        <f t="shared" si="318"/>
        <v>620</v>
      </c>
      <c r="B4945" s="1" t="str">
        <f>TEXT(79,"00")</f>
        <v>79</v>
      </c>
      <c r="C4945" s="1" t="str">
        <f t="shared" si="316"/>
        <v>620-79</v>
      </c>
      <c r="D4945" t="s">
        <v>4918</v>
      </c>
      <c r="E4945" t="b">
        <f>IF(COUNTIF(D4945,"*"&amp;'Keyword Search'!$C$5&amp;"*"),TRUE,FALSE)</f>
        <v>1</v>
      </c>
      <c r="G4945" t="str">
        <f t="shared" si="317"/>
        <v>620-79: Pens, Fountain</v>
      </c>
    </row>
    <row r="4946" spans="1:7" x14ac:dyDescent="0.25">
      <c r="A4946" s="1" t="str">
        <f t="shared" si="318"/>
        <v>620</v>
      </c>
      <c r="B4946" s="1" t="str">
        <f>TEXT(80,"00")</f>
        <v>80</v>
      </c>
      <c r="C4946" s="1" t="str">
        <f t="shared" si="316"/>
        <v>620-80</v>
      </c>
      <c r="D4946" t="s">
        <v>4919</v>
      </c>
      <c r="E4946" t="b">
        <f>IF(COUNTIF(D4946,"*"&amp;'Keyword Search'!$C$5&amp;"*"),TRUE,FALSE)</f>
        <v>1</v>
      </c>
      <c r="G4946" t="str">
        <f t="shared" si="317"/>
        <v>620-80: Pens, General Writing Types: Ball Point, Nylon Tip, Plastic Tip, Roller Ball, etc.</v>
      </c>
    </row>
    <row r="4947" spans="1:7" x14ac:dyDescent="0.25">
      <c r="A4947" s="1" t="str">
        <f t="shared" si="318"/>
        <v>620</v>
      </c>
      <c r="B4947" s="1" t="str">
        <f>TEXT(81,"00")</f>
        <v>81</v>
      </c>
      <c r="C4947" s="1" t="str">
        <f t="shared" si="316"/>
        <v>620-81</v>
      </c>
      <c r="D4947" t="s">
        <v>4920</v>
      </c>
      <c r="E4947" t="b">
        <f>IF(COUNTIF(D4947,"*"&amp;'Keyword Search'!$C$5&amp;"*"),TRUE,FALSE)</f>
        <v>1</v>
      </c>
      <c r="G4947" t="str">
        <f t="shared" si="317"/>
        <v>620-81: Pen Refills, General Writing Types: Ball Point, Nylon Tip, Plastic Tip, Roller Ball, etc.</v>
      </c>
    </row>
    <row r="4948" spans="1:7" x14ac:dyDescent="0.25">
      <c r="A4948" s="1" t="str">
        <f t="shared" si="318"/>
        <v>620</v>
      </c>
      <c r="B4948" s="1" t="str">
        <f>TEXT(85,"00")</f>
        <v>85</v>
      </c>
      <c r="C4948" s="1" t="str">
        <f t="shared" si="316"/>
        <v>620-85</v>
      </c>
      <c r="D4948" t="s">
        <v>4921</v>
      </c>
      <c r="E4948" t="b">
        <f>IF(COUNTIF(D4948,"*"&amp;'Keyword Search'!$C$5&amp;"*"),TRUE,FALSE)</f>
        <v>1</v>
      </c>
      <c r="G4948" t="str">
        <f t="shared" si="317"/>
        <v>620-85: Pen and Pencil Sets, Including Combo Type</v>
      </c>
    </row>
    <row r="4949" spans="1:7" x14ac:dyDescent="0.25">
      <c r="A4949" s="1" t="str">
        <f t="shared" si="318"/>
        <v>620</v>
      </c>
      <c r="B4949" s="1" t="str">
        <f>TEXT(86,"00")</f>
        <v>86</v>
      </c>
      <c r="C4949" s="1" t="str">
        <f t="shared" si="316"/>
        <v>620-86</v>
      </c>
      <c r="D4949" t="s">
        <v>4922</v>
      </c>
      <c r="E4949" t="b">
        <f>IF(COUNTIF(D4949,"*"&amp;'Keyword Search'!$C$5&amp;"*"),TRUE,FALSE)</f>
        <v>1</v>
      </c>
      <c r="G4949" t="str">
        <f t="shared" si="317"/>
        <v>620-86: Pens Erasable Markers</v>
      </c>
    </row>
    <row r="4950" spans="1:7" x14ac:dyDescent="0.25">
      <c r="A4950" s="1" t="str">
        <f t="shared" si="318"/>
        <v>620</v>
      </c>
      <c r="B4950" s="1" t="str">
        <f>TEXT(90,"00")</f>
        <v>90</v>
      </c>
      <c r="C4950" s="1" t="str">
        <f t="shared" si="316"/>
        <v>620-90</v>
      </c>
      <c r="D4950" t="s">
        <v>4923</v>
      </c>
      <c r="E4950" t="b">
        <f>IF(COUNTIF(D4950,"*"&amp;'Keyword Search'!$C$5&amp;"*"),TRUE,FALSE)</f>
        <v>1</v>
      </c>
      <c r="G4950" t="str">
        <f t="shared" si="317"/>
        <v>620-90: Pens, Marker Types, Including Highlighter Types</v>
      </c>
    </row>
    <row r="4951" spans="1:7" x14ac:dyDescent="0.25">
      <c r="A4951" s="1" t="str">
        <f t="shared" si="318"/>
        <v>620</v>
      </c>
      <c r="B4951" s="1" t="str">
        <f>TEXT(94,"00")</f>
        <v>94</v>
      </c>
      <c r="C4951" s="1" t="str">
        <f t="shared" si="316"/>
        <v>620-94</v>
      </c>
      <c r="D4951" t="s">
        <v>4924</v>
      </c>
      <c r="E4951" t="b">
        <f>IF(COUNTIF(D4951,"*"&amp;'Keyword Search'!$C$5&amp;"*"),TRUE,FALSE)</f>
        <v>1</v>
      </c>
      <c r="G4951" t="str">
        <f t="shared" si="317"/>
        <v>620-94: Recycled Pens and Pencils</v>
      </c>
    </row>
    <row r="4952" spans="1:7" x14ac:dyDescent="0.25">
      <c r="A4952" s="5" t="str">
        <f t="shared" ref="A4952:A4976" si="319">TEXT(625,"000")</f>
        <v>625</v>
      </c>
      <c r="B4952" s="5" t="str">
        <f>TEXT(0,"00")</f>
        <v>00</v>
      </c>
      <c r="C4952" s="1"/>
      <c r="D4952" s="2" t="s">
        <v>4925</v>
      </c>
    </row>
    <row r="4953" spans="1:7" x14ac:dyDescent="0.25">
      <c r="A4953" s="1" t="str">
        <f t="shared" si="319"/>
        <v>625</v>
      </c>
      <c r="B4953" s="1" t="str">
        <f>TEXT(13,"00")</f>
        <v>13</v>
      </c>
      <c r="C4953" s="1" t="str">
        <f t="shared" si="316"/>
        <v>625-13</v>
      </c>
      <c r="D4953" t="s">
        <v>4926</v>
      </c>
      <c r="E4953" t="b">
        <f>IF(COUNTIF(D4953,"*"&amp;'Keyword Search'!$C$5&amp;"*"),TRUE,FALSE)</f>
        <v>1</v>
      </c>
      <c r="G4953" t="str">
        <f t="shared" si="317"/>
        <v>625-13: Binoculars</v>
      </c>
    </row>
    <row r="4954" spans="1:7" x14ac:dyDescent="0.25">
      <c r="A4954" s="1" t="str">
        <f t="shared" si="319"/>
        <v>625</v>
      </c>
      <c r="B4954" s="1" t="str">
        <f>TEXT(15,"00")</f>
        <v>15</v>
      </c>
      <c r="C4954" s="1" t="str">
        <f t="shared" si="316"/>
        <v>625-15</v>
      </c>
      <c r="D4954" t="s">
        <v>4927</v>
      </c>
      <c r="E4954" t="b">
        <f>IF(COUNTIF(D4954,"*"&amp;'Keyword Search'!$C$5&amp;"*"),TRUE,FALSE)</f>
        <v>1</v>
      </c>
      <c r="G4954" t="str">
        <f t="shared" si="317"/>
        <v>625-15: Calibration Equipment, Optical</v>
      </c>
    </row>
    <row r="4955" spans="1:7" x14ac:dyDescent="0.25">
      <c r="A4955" s="1" t="str">
        <f t="shared" si="319"/>
        <v>625</v>
      </c>
      <c r="B4955" s="1" t="str">
        <f>TEXT(17,"00")</f>
        <v>17</v>
      </c>
      <c r="C4955" s="1" t="str">
        <f t="shared" si="316"/>
        <v>625-17</v>
      </c>
      <c r="D4955" t="s">
        <v>4928</v>
      </c>
      <c r="E4955" t="b">
        <f>IF(COUNTIF(D4955,"*"&amp;'Keyword Search'!$C$5&amp;"*"),TRUE,FALSE)</f>
        <v>1</v>
      </c>
      <c r="G4955" t="str">
        <f t="shared" si="317"/>
        <v>625-17: Cleaners and Wipes, Eye Glass</v>
      </c>
    </row>
    <row r="4956" spans="1:7" x14ac:dyDescent="0.25">
      <c r="A4956" s="1" t="str">
        <f t="shared" si="319"/>
        <v>625</v>
      </c>
      <c r="B4956" s="1" t="str">
        <f>TEXT(20,"00")</f>
        <v>20</v>
      </c>
      <c r="C4956" s="1" t="str">
        <f t="shared" si="316"/>
        <v>625-20</v>
      </c>
      <c r="D4956" t="s">
        <v>4929</v>
      </c>
      <c r="E4956" t="b">
        <f>IF(COUNTIF(D4956,"*"&amp;'Keyword Search'!$C$5&amp;"*"),TRUE,FALSE)</f>
        <v>1</v>
      </c>
      <c r="G4956" t="str">
        <f t="shared" si="317"/>
        <v>625-20: Contact Lenses and Supplies</v>
      </c>
    </row>
    <row r="4957" spans="1:7" x14ac:dyDescent="0.25">
      <c r="A4957" s="1" t="str">
        <f t="shared" si="319"/>
        <v>625</v>
      </c>
      <c r="B4957" s="1" t="str">
        <f>TEXT(26,"00")</f>
        <v>26</v>
      </c>
      <c r="C4957" s="1" t="str">
        <f t="shared" si="316"/>
        <v>625-26</v>
      </c>
      <c r="D4957" t="s">
        <v>4930</v>
      </c>
      <c r="E4957" t="b">
        <f>IF(COUNTIF(D4957,"*"&amp;'Keyword Search'!$C$5&amp;"*"),TRUE,FALSE)</f>
        <v>1</v>
      </c>
      <c r="G4957" t="str">
        <f t="shared" si="317"/>
        <v>625-26: Eye Glasses Including Sunglasses, Including Frames, Cases, Parts, etc.</v>
      </c>
    </row>
    <row r="4958" spans="1:7" x14ac:dyDescent="0.25">
      <c r="A4958" s="1" t="str">
        <f t="shared" si="319"/>
        <v>625</v>
      </c>
      <c r="B4958" s="1" t="str">
        <f>TEXT(39,"00")</f>
        <v>39</v>
      </c>
      <c r="C4958" s="1" t="str">
        <f t="shared" si="316"/>
        <v>625-39</v>
      </c>
      <c r="D4958" t="s">
        <v>4931</v>
      </c>
      <c r="E4958" t="b">
        <f>IF(COUNTIF(D4958,"*"&amp;'Keyword Search'!$C$5&amp;"*"),TRUE,FALSE)</f>
        <v>1</v>
      </c>
      <c r="G4958" t="str">
        <f t="shared" si="317"/>
        <v>625-39: Eye Testing Equipment, For Intraocular Pressure, Refraction, etc., (See item 97 for Vision Testers)</v>
      </c>
    </row>
    <row r="4959" spans="1:7" x14ac:dyDescent="0.25">
      <c r="A4959" s="1" t="str">
        <f t="shared" si="319"/>
        <v>625</v>
      </c>
      <c r="B4959" s="1" t="str">
        <f>TEXT(40,"00")</f>
        <v>40</v>
      </c>
      <c r="C4959" s="1" t="str">
        <f t="shared" si="316"/>
        <v>625-40</v>
      </c>
      <c r="D4959" t="s">
        <v>4932</v>
      </c>
      <c r="E4959" t="b">
        <f>IF(COUNTIF(D4959,"*"&amp;'Keyword Search'!$C$5&amp;"*"),TRUE,FALSE)</f>
        <v>1</v>
      </c>
      <c r="G4959" t="str">
        <f t="shared" si="317"/>
        <v>625-40: Eyesight Testing Charts</v>
      </c>
    </row>
    <row r="4960" spans="1:7" x14ac:dyDescent="0.25">
      <c r="A4960" s="1" t="str">
        <f t="shared" si="319"/>
        <v>625</v>
      </c>
      <c r="B4960" s="1" t="str">
        <f>TEXT(42,"00")</f>
        <v>42</v>
      </c>
      <c r="C4960" s="1" t="str">
        <f t="shared" si="316"/>
        <v>625-42</v>
      </c>
      <c r="D4960" t="s">
        <v>4933</v>
      </c>
      <c r="E4960" t="b">
        <f>IF(COUNTIF(D4960,"*"&amp;'Keyword Search'!$C$5&amp;"*"),TRUE,FALSE)</f>
        <v>1</v>
      </c>
      <c r="G4960" t="str">
        <f t="shared" si="317"/>
        <v>625-42: Laser Safety Goggles</v>
      </c>
    </row>
    <row r="4961" spans="1:7" x14ac:dyDescent="0.25">
      <c r="A4961" s="1" t="str">
        <f t="shared" si="319"/>
        <v>625</v>
      </c>
      <c r="B4961" s="1" t="str">
        <f>TEXT(43,"00")</f>
        <v>43</v>
      </c>
      <c r="C4961" s="1" t="str">
        <f t="shared" si="316"/>
        <v>625-43</v>
      </c>
      <c r="D4961" t="s">
        <v>4934</v>
      </c>
      <c r="E4961" t="b">
        <f>IF(COUNTIF(D4961,"*"&amp;'Keyword Search'!$C$5&amp;"*"),TRUE,FALSE)</f>
        <v>1</v>
      </c>
      <c r="G4961" t="str">
        <f t="shared" si="317"/>
        <v>625-43: Laser Systems Instruments and Equipment, Including Lens and Laser Windows</v>
      </c>
    </row>
    <row r="4962" spans="1:7" x14ac:dyDescent="0.25">
      <c r="A4962" s="1" t="str">
        <f t="shared" si="319"/>
        <v>625</v>
      </c>
      <c r="B4962" s="1" t="str">
        <f>TEXT(44,"00")</f>
        <v>44</v>
      </c>
      <c r="C4962" s="1" t="str">
        <f t="shared" si="316"/>
        <v>625-44</v>
      </c>
      <c r="D4962" t="s">
        <v>4935</v>
      </c>
      <c r="E4962" t="b">
        <f>IF(COUNTIF(D4962,"*"&amp;'Keyword Search'!$C$5&amp;"*"),TRUE,FALSE)</f>
        <v>1</v>
      </c>
      <c r="G4962" t="str">
        <f t="shared" si="317"/>
        <v>625-44: Lens Cutting and Grinding Machines, Ophthalmic</v>
      </c>
    </row>
    <row r="4963" spans="1:7" x14ac:dyDescent="0.25">
      <c r="A4963" s="1" t="str">
        <f t="shared" si="319"/>
        <v>625</v>
      </c>
      <c r="B4963" s="1" t="str">
        <f>TEXT(45,"00")</f>
        <v>45</v>
      </c>
      <c r="C4963" s="1" t="str">
        <f t="shared" si="316"/>
        <v>625-45</v>
      </c>
      <c r="D4963" t="s">
        <v>4936</v>
      </c>
      <c r="E4963" t="b">
        <f>IF(COUNTIF(D4963,"*"&amp;'Keyword Search'!$C$5&amp;"*"),TRUE,FALSE)</f>
        <v>1</v>
      </c>
      <c r="G4963" t="str">
        <f t="shared" si="317"/>
        <v>625-45: Lens Measuring and Polishing Equipment, Ophthalmic</v>
      </c>
    </row>
    <row r="4964" spans="1:7" x14ac:dyDescent="0.25">
      <c r="A4964" s="1" t="str">
        <f t="shared" si="319"/>
        <v>625</v>
      </c>
      <c r="B4964" s="1" t="str">
        <f>TEXT(46,"00")</f>
        <v>46</v>
      </c>
      <c r="C4964" s="1" t="str">
        <f t="shared" si="316"/>
        <v>625-46</v>
      </c>
      <c r="D4964" t="s">
        <v>4937</v>
      </c>
      <c r="E4964" t="b">
        <f>IF(COUNTIF(D4964,"*"&amp;'Keyword Search'!$C$5&amp;"*"),TRUE,FALSE)</f>
        <v>1</v>
      </c>
      <c r="G4964" t="str">
        <f t="shared" si="317"/>
        <v>625-46: Optical Components: Blanks, Domes,, Filters, Lenses, Mirrors, Prisms, etc. (See Class 490 for Microscopes</v>
      </c>
    </row>
    <row r="4965" spans="1:7" x14ac:dyDescent="0.25">
      <c r="A4965" s="1" t="str">
        <f t="shared" si="319"/>
        <v>625</v>
      </c>
      <c r="B4965" s="1" t="str">
        <f>TEXT(52,"00")</f>
        <v>52</v>
      </c>
      <c r="C4965" s="1" t="str">
        <f t="shared" si="316"/>
        <v>625-52</v>
      </c>
      <c r="D4965" t="s">
        <v>4938</v>
      </c>
      <c r="E4965" t="b">
        <f>IF(COUNTIF(D4965,"*"&amp;'Keyword Search'!$C$5&amp;"*"),TRUE,FALSE)</f>
        <v>1</v>
      </c>
      <c r="G4965" t="str">
        <f t="shared" si="317"/>
        <v>625-52: Opticians' Furniture: Cabinets, Chairs, etc.</v>
      </c>
    </row>
    <row r="4966" spans="1:7" x14ac:dyDescent="0.25">
      <c r="A4966" s="1" t="str">
        <f t="shared" si="319"/>
        <v>625</v>
      </c>
      <c r="B4966" s="1" t="str">
        <f>TEXT(65,"00")</f>
        <v>65</v>
      </c>
      <c r="C4966" s="1" t="str">
        <f t="shared" si="316"/>
        <v>625-65</v>
      </c>
      <c r="D4966" t="s">
        <v>4939</v>
      </c>
      <c r="E4966" t="b">
        <f>IF(COUNTIF(D4966,"*"&amp;'Keyword Search'!$C$5&amp;"*"),TRUE,FALSE)</f>
        <v>1</v>
      </c>
      <c r="G4966" t="str">
        <f t="shared" si="317"/>
        <v>625-65: Opticians' Tools and Supplies</v>
      </c>
    </row>
    <row r="4967" spans="1:7" x14ac:dyDescent="0.25">
      <c r="A4967" s="1" t="str">
        <f t="shared" si="319"/>
        <v>625</v>
      </c>
      <c r="B4967" s="1" t="str">
        <f>TEXT(78,"00")</f>
        <v>78</v>
      </c>
      <c r="C4967" s="1" t="str">
        <f t="shared" si="316"/>
        <v>625-78</v>
      </c>
      <c r="D4967" t="s">
        <v>4940</v>
      </c>
      <c r="E4967" t="b">
        <f>IF(COUNTIF(D4967,"*"&amp;'Keyword Search'!$C$5&amp;"*"),TRUE,FALSE)</f>
        <v>1</v>
      </c>
      <c r="G4967" t="str">
        <f t="shared" si="317"/>
        <v>625-78: Magnifiers (See Class 605 For Office Use)</v>
      </c>
    </row>
    <row r="4968" spans="1:7" x14ac:dyDescent="0.25">
      <c r="A4968" s="1" t="str">
        <f t="shared" si="319"/>
        <v>625</v>
      </c>
      <c r="B4968" s="1" t="str">
        <f>TEXT(80,"00")</f>
        <v>80</v>
      </c>
      <c r="C4968" s="1" t="str">
        <f t="shared" si="316"/>
        <v>625-80</v>
      </c>
      <c r="D4968" t="s">
        <v>4941</v>
      </c>
      <c r="E4968" t="b">
        <f>IF(COUNTIF(D4968,"*"&amp;'Keyword Search'!$C$5&amp;"*"),TRUE,FALSE)</f>
        <v>1</v>
      </c>
      <c r="G4968" t="str">
        <f t="shared" si="317"/>
        <v>625-80: *Night Vision Devices</v>
      </c>
    </row>
    <row r="4969" spans="1:7" x14ac:dyDescent="0.25">
      <c r="A4969" s="1" t="str">
        <f t="shared" si="319"/>
        <v>625</v>
      </c>
      <c r="B4969" s="1" t="str">
        <f>TEXT(82,"00")</f>
        <v>82</v>
      </c>
      <c r="C4969" s="1" t="str">
        <f t="shared" si="316"/>
        <v>625-82</v>
      </c>
      <c r="D4969" t="s">
        <v>4942</v>
      </c>
      <c r="E4969" t="b">
        <f>IF(COUNTIF(D4969,"*"&amp;'Keyword Search'!$C$5&amp;"*"),TRUE,FALSE)</f>
        <v>1</v>
      </c>
      <c r="G4969" t="str">
        <f t="shared" si="317"/>
        <v>625-82: Telescope Accessories, Stands, etc.</v>
      </c>
    </row>
    <row r="4970" spans="1:7" x14ac:dyDescent="0.25">
      <c r="A4970" s="1" t="str">
        <f t="shared" si="319"/>
        <v>625</v>
      </c>
      <c r="B4970" s="1" t="str">
        <f>TEXT(83,"00")</f>
        <v>83</v>
      </c>
      <c r="C4970" s="1" t="str">
        <f t="shared" si="316"/>
        <v>625-83</v>
      </c>
      <c r="D4970" t="s">
        <v>4943</v>
      </c>
      <c r="E4970" t="b">
        <f>IF(COUNTIF(D4970,"*"&amp;'Keyword Search'!$C$5&amp;"*"),TRUE,FALSE)</f>
        <v>1</v>
      </c>
      <c r="G4970" t="str">
        <f t="shared" si="317"/>
        <v>625-83: Telescopes, Astronomical, Amateur Sizes</v>
      </c>
    </row>
    <row r="4971" spans="1:7" x14ac:dyDescent="0.25">
      <c r="A4971" s="1" t="str">
        <f t="shared" si="319"/>
        <v>625</v>
      </c>
      <c r="B4971" s="1" t="str">
        <f>TEXT(84,"00")</f>
        <v>84</v>
      </c>
      <c r="C4971" s="1" t="str">
        <f t="shared" si="316"/>
        <v>625-84</v>
      </c>
      <c r="D4971" t="s">
        <v>4944</v>
      </c>
      <c r="E4971" t="b">
        <f>IF(COUNTIF(D4971,"*"&amp;'Keyword Search'!$C$5&amp;"*"),TRUE,FALSE)</f>
        <v>1</v>
      </c>
      <c r="G4971" t="str">
        <f t="shared" si="317"/>
        <v>625-84: Telescopes, Astronomical, Observatory Sizes, and Guide Telescopes, Schmidt Cameras, etc.</v>
      </c>
    </row>
    <row r="4972" spans="1:7" x14ac:dyDescent="0.25">
      <c r="A4972" s="1" t="str">
        <f t="shared" si="319"/>
        <v>625</v>
      </c>
      <c r="B4972" s="1" t="str">
        <f>TEXT(88,"00")</f>
        <v>88</v>
      </c>
      <c r="C4972" s="1" t="str">
        <f t="shared" si="316"/>
        <v>625-88</v>
      </c>
      <c r="D4972" t="s">
        <v>4945</v>
      </c>
      <c r="E4972" t="b">
        <f>IF(COUNTIF(D4972,"*"&amp;'Keyword Search'!$C$5&amp;"*"),TRUE,FALSE)</f>
        <v>1</v>
      </c>
      <c r="G4972" t="str">
        <f t="shared" si="317"/>
        <v>625-88: Telescopes, Surgical</v>
      </c>
    </row>
    <row r="4973" spans="1:7" x14ac:dyDescent="0.25">
      <c r="A4973" s="1" t="str">
        <f t="shared" si="319"/>
        <v>625</v>
      </c>
      <c r="B4973" s="1" t="str">
        <f>TEXT(91,"00")</f>
        <v>91</v>
      </c>
      <c r="C4973" s="1" t="str">
        <f t="shared" si="316"/>
        <v>625-91</v>
      </c>
      <c r="D4973" t="s">
        <v>4946</v>
      </c>
      <c r="E4973" t="b">
        <f>IF(COUNTIF(D4973,"*"&amp;'Keyword Search'!$C$5&amp;"*"),TRUE,FALSE)</f>
        <v>1</v>
      </c>
      <c r="G4973" t="str">
        <f t="shared" si="317"/>
        <v>625-91: Telescopes, Terrestrial: Alignment, Spotting, etc. (See Class 680 For Rifle and Range)</v>
      </c>
    </row>
    <row r="4974" spans="1:7" x14ac:dyDescent="0.25">
      <c r="A4974" s="1" t="str">
        <f t="shared" si="319"/>
        <v>625</v>
      </c>
      <c r="B4974" s="1" t="str">
        <f>TEXT(95,"00")</f>
        <v>95</v>
      </c>
      <c r="C4974" s="1" t="str">
        <f t="shared" si="316"/>
        <v>625-95</v>
      </c>
      <c r="D4974" t="s">
        <v>4947</v>
      </c>
      <c r="E4974" t="b">
        <f>IF(COUNTIF(D4974,"*"&amp;'Keyword Search'!$C$5&amp;"*"),TRUE,FALSE)</f>
        <v>1</v>
      </c>
      <c r="G4974" t="str">
        <f t="shared" si="317"/>
        <v>625-95: Testing and Measuring Equipment, For Optical Components: Spherometers, etc.</v>
      </c>
    </row>
    <row r="4975" spans="1:7" x14ac:dyDescent="0.25">
      <c r="A4975" s="1" t="str">
        <f t="shared" si="319"/>
        <v>625</v>
      </c>
      <c r="B4975" s="1" t="str">
        <f>TEXT(96,"00")</f>
        <v>96</v>
      </c>
      <c r="C4975" s="1" t="str">
        <f t="shared" si="316"/>
        <v>625-96</v>
      </c>
      <c r="D4975" t="s">
        <v>4948</v>
      </c>
      <c r="E4975" t="b">
        <f>IF(COUNTIF(D4975,"*"&amp;'Keyword Search'!$C$5&amp;"*"),TRUE,FALSE)</f>
        <v>1</v>
      </c>
      <c r="G4975" t="str">
        <f t="shared" si="317"/>
        <v>625-96: Recycled Optical Equipment and Telescopes, Including Parts and Accessories</v>
      </c>
    </row>
    <row r="4976" spans="1:7" x14ac:dyDescent="0.25">
      <c r="A4976" s="1" t="str">
        <f t="shared" si="319"/>
        <v>625</v>
      </c>
      <c r="B4976" s="1" t="str">
        <f>TEXT(97,"00")</f>
        <v>97</v>
      </c>
      <c r="C4976" s="1" t="str">
        <f t="shared" si="316"/>
        <v>625-97</v>
      </c>
      <c r="D4976" t="s">
        <v>4949</v>
      </c>
      <c r="E4976" t="b">
        <f>IF(COUNTIF(D4976,"*"&amp;'Keyword Search'!$C$5&amp;"*"),TRUE,FALSE)</f>
        <v>1</v>
      </c>
      <c r="G4976" t="str">
        <f t="shared" si="317"/>
        <v>625-97: Vision Testers (See 625-39 For Ophthalmology)</v>
      </c>
    </row>
    <row r="4977" spans="1:7" x14ac:dyDescent="0.25">
      <c r="A4977" s="5" t="str">
        <f t="shared" ref="A4977:A5022" si="320">TEXT(630,"000")</f>
        <v>630</v>
      </c>
      <c r="B4977" s="5" t="str">
        <f>TEXT(0,"00")</f>
        <v>00</v>
      </c>
      <c r="C4977" s="1"/>
      <c r="D4977" s="2" t="s">
        <v>4950</v>
      </c>
    </row>
    <row r="4978" spans="1:7" x14ac:dyDescent="0.25">
      <c r="A4978" s="1" t="str">
        <f t="shared" si="320"/>
        <v>630</v>
      </c>
      <c r="B4978" s="1" t="str">
        <f>TEXT(3,"00")</f>
        <v>03</v>
      </c>
      <c r="C4978" s="1" t="str">
        <f t="shared" si="316"/>
        <v>630-03</v>
      </c>
      <c r="D4978" t="s">
        <v>4951</v>
      </c>
      <c r="E4978" t="b">
        <f>IF(COUNTIF(D4978,"*"&amp;'Keyword Search'!$C$5&amp;"*"),TRUE,FALSE)</f>
        <v>1</v>
      </c>
      <c r="G4978" t="str">
        <f t="shared" si="317"/>
        <v>630-03: Additives and Miscellaneous Paint Ingredients: Driers, Fungicides, Latexes, Pigments, Surfactants, etc.</v>
      </c>
    </row>
    <row r="4979" spans="1:7" x14ac:dyDescent="0.25">
      <c r="A4979" s="1" t="str">
        <f t="shared" si="320"/>
        <v>630</v>
      </c>
      <c r="B4979" s="1" t="str">
        <f>TEXT(5,"00")</f>
        <v>05</v>
      </c>
      <c r="C4979" s="1" t="str">
        <f t="shared" si="316"/>
        <v>630-05</v>
      </c>
      <c r="D4979" t="s">
        <v>4952</v>
      </c>
      <c r="E4979" t="b">
        <f>IF(COUNTIF(D4979,"*"&amp;'Keyword Search'!$C$5&amp;"*"),TRUE,FALSE)</f>
        <v>1</v>
      </c>
      <c r="G4979" t="str">
        <f t="shared" si="317"/>
        <v>630-05: Bleach, Wood</v>
      </c>
    </row>
    <row r="4980" spans="1:7" x14ac:dyDescent="0.25">
      <c r="A4980" s="1" t="str">
        <f t="shared" si="320"/>
        <v>630</v>
      </c>
      <c r="B4980" s="1" t="str">
        <f>TEXT(6,"00")</f>
        <v>06</v>
      </c>
      <c r="C4980" s="1" t="str">
        <f t="shared" si="316"/>
        <v>630-06</v>
      </c>
      <c r="D4980" t="s">
        <v>4953</v>
      </c>
      <c r="E4980" t="b">
        <f>IF(COUNTIF(D4980,"*"&amp;'Keyword Search'!$C$5&amp;"*"),TRUE,FALSE)</f>
        <v>1</v>
      </c>
      <c r="G4980" t="str">
        <f t="shared" si="317"/>
        <v>630-06: Caulking Compounds, Bulk or Cartridge Type</v>
      </c>
    </row>
    <row r="4981" spans="1:7" x14ac:dyDescent="0.25">
      <c r="A4981" s="1" t="str">
        <f t="shared" si="320"/>
        <v>630</v>
      </c>
      <c r="B4981" s="1" t="str">
        <f>TEXT(9,"00")</f>
        <v>09</v>
      </c>
      <c r="C4981" s="1" t="str">
        <f t="shared" si="316"/>
        <v>630-09</v>
      </c>
      <c r="D4981" t="s">
        <v>4954</v>
      </c>
      <c r="E4981" t="b">
        <f>IF(COUNTIF(D4981,"*"&amp;'Keyword Search'!$C$5&amp;"*"),TRUE,FALSE)</f>
        <v>1</v>
      </c>
      <c r="G4981" t="str">
        <f t="shared" si="317"/>
        <v>630-09: Coatings, Masonry: Brick, Cinder Block, Concrete, Silicate Protective Coatings and Products</v>
      </c>
    </row>
    <row r="4982" spans="1:7" x14ac:dyDescent="0.25">
      <c r="A4982" s="1" t="str">
        <f t="shared" si="320"/>
        <v>630</v>
      </c>
      <c r="B4982" s="1" t="str">
        <f>TEXT(10,"00")</f>
        <v>10</v>
      </c>
      <c r="C4982" s="1" t="str">
        <f t="shared" si="316"/>
        <v>630-10</v>
      </c>
      <c r="D4982" t="s">
        <v>4955</v>
      </c>
      <c r="E4982" t="b">
        <f>IF(COUNTIF(D4982,"*"&amp;'Keyword Search'!$C$5&amp;"*"),TRUE,FALSE)</f>
        <v>1</v>
      </c>
      <c r="G4982" t="str">
        <f t="shared" si="317"/>
        <v>630-10: Coatings, Protective, Polyurethane, etc.</v>
      </c>
    </row>
    <row r="4983" spans="1:7" x14ac:dyDescent="0.25">
      <c r="A4983" s="1" t="str">
        <f t="shared" si="320"/>
        <v>630</v>
      </c>
      <c r="B4983" s="1" t="str">
        <f>TEXT(11,"00")</f>
        <v>11</v>
      </c>
      <c r="C4983" s="1" t="str">
        <f t="shared" si="316"/>
        <v>630-11</v>
      </c>
      <c r="D4983" t="s">
        <v>4956</v>
      </c>
      <c r="E4983" t="b">
        <f>IF(COUNTIF(D4983,"*"&amp;'Keyword Search'!$C$5&amp;"*"),TRUE,FALSE)</f>
        <v>1</v>
      </c>
      <c r="G4983" t="str">
        <f t="shared" si="317"/>
        <v>630-11: Coatings, Protective, High Performance, Polyureas and Polyaspartics</v>
      </c>
    </row>
    <row r="4984" spans="1:7" x14ac:dyDescent="0.25">
      <c r="A4984" s="1" t="str">
        <f t="shared" si="320"/>
        <v>630</v>
      </c>
      <c r="B4984" s="1" t="str">
        <f>TEXT(12,"00")</f>
        <v>12</v>
      </c>
      <c r="C4984" s="1" t="str">
        <f t="shared" si="316"/>
        <v>630-12</v>
      </c>
      <c r="D4984" t="s">
        <v>4957</v>
      </c>
      <c r="E4984" t="b">
        <f>IF(COUNTIF(D4984,"*"&amp;'Keyword Search'!$C$5&amp;"*"),TRUE,FALSE)</f>
        <v>1</v>
      </c>
      <c r="G4984" t="str">
        <f t="shared" si="317"/>
        <v>630-12: Coatings, Protective, Asphalt Based (Also See Class 770-26)</v>
      </c>
    </row>
    <row r="4985" spans="1:7" x14ac:dyDescent="0.25">
      <c r="A4985" s="1" t="str">
        <f t="shared" si="320"/>
        <v>630</v>
      </c>
      <c r="B4985" s="1" t="str">
        <f>TEXT(19,"00")</f>
        <v>19</v>
      </c>
      <c r="C4985" s="1" t="str">
        <f t="shared" si="316"/>
        <v>630-19</v>
      </c>
      <c r="D4985" t="s">
        <v>4958</v>
      </c>
      <c r="E4985" t="b">
        <f>IF(COUNTIF(D4985,"*"&amp;'Keyword Search'!$C$5&amp;"*"),TRUE,FALSE)</f>
        <v>1</v>
      </c>
      <c r="G4985" t="str">
        <f t="shared" si="317"/>
        <v>630-19: Coatings, Protective, Zinc-Rich, Cold Galvanizing Compound</v>
      </c>
    </row>
    <row r="4986" spans="1:7" x14ac:dyDescent="0.25">
      <c r="A4986" s="1" t="str">
        <f t="shared" si="320"/>
        <v>630</v>
      </c>
      <c r="B4986" s="1" t="str">
        <f>TEXT(21,"00")</f>
        <v>21</v>
      </c>
      <c r="C4986" s="1" t="str">
        <f t="shared" si="316"/>
        <v>630-21</v>
      </c>
      <c r="D4986" t="s">
        <v>4959</v>
      </c>
      <c r="E4986" t="b">
        <f>IF(COUNTIF(D4986,"*"&amp;'Keyword Search'!$C$5&amp;"*"),TRUE,FALSE)</f>
        <v>1</v>
      </c>
      <c r="G4986" t="str">
        <f t="shared" si="317"/>
        <v>630-21: Colors, Tinting: Oil, Mineral Silicate, or Universal Type and Lettering</v>
      </c>
    </row>
    <row r="4987" spans="1:7" x14ac:dyDescent="0.25">
      <c r="A4987" s="1" t="str">
        <f t="shared" si="320"/>
        <v>630</v>
      </c>
      <c r="B4987" s="1" t="str">
        <f>TEXT(22,"00")</f>
        <v>22</v>
      </c>
      <c r="C4987" s="1" t="str">
        <f t="shared" si="316"/>
        <v>630-22</v>
      </c>
      <c r="D4987" t="s">
        <v>4960</v>
      </c>
      <c r="E4987" t="b">
        <f>IF(COUNTIF(D4987,"*"&amp;'Keyword Search'!$C$5&amp;"*"),TRUE,FALSE)</f>
        <v>1</v>
      </c>
      <c r="G4987" t="str">
        <f t="shared" si="317"/>
        <v>630-22: Fillers and Sealers, Masonry: Block Fillers, Water Repellent Solutions, etc.</v>
      </c>
    </row>
    <row r="4988" spans="1:7" x14ac:dyDescent="0.25">
      <c r="A4988" s="1" t="str">
        <f t="shared" si="320"/>
        <v>630</v>
      </c>
      <c r="B4988" s="1" t="str">
        <f>TEXT(23,"00")</f>
        <v>23</v>
      </c>
      <c r="C4988" s="1" t="str">
        <f t="shared" si="316"/>
        <v>630-23</v>
      </c>
      <c r="D4988" t="s">
        <v>4961</v>
      </c>
      <c r="E4988" t="b">
        <f>IF(COUNTIF(D4988,"*"&amp;'Keyword Search'!$C$5&amp;"*"),TRUE,FALSE)</f>
        <v>1</v>
      </c>
      <c r="G4988" t="str">
        <f t="shared" si="317"/>
        <v>630-23: Fillers and Sealers, Wallboard</v>
      </c>
    </row>
    <row r="4989" spans="1:7" x14ac:dyDescent="0.25">
      <c r="A4989" s="1" t="str">
        <f t="shared" si="320"/>
        <v>630</v>
      </c>
      <c r="B4989" s="1" t="str">
        <f>TEXT(25,"00")</f>
        <v>25</v>
      </c>
      <c r="C4989" s="1" t="str">
        <f t="shared" si="316"/>
        <v>630-25</v>
      </c>
      <c r="D4989" t="s">
        <v>4962</v>
      </c>
      <c r="E4989" t="b">
        <f>IF(COUNTIF(D4989,"*"&amp;'Keyword Search'!$C$5&amp;"*"),TRUE,FALSE)</f>
        <v>1</v>
      </c>
      <c r="G4989" t="str">
        <f t="shared" si="317"/>
        <v>630-25: Fillers and Sealers, Metal</v>
      </c>
    </row>
    <row r="4990" spans="1:7" x14ac:dyDescent="0.25">
      <c r="A4990" s="1" t="str">
        <f t="shared" si="320"/>
        <v>630</v>
      </c>
      <c r="B4990" s="1" t="str">
        <f>TEXT(26,"00")</f>
        <v>26</v>
      </c>
      <c r="C4990" s="1" t="str">
        <f t="shared" si="316"/>
        <v>630-26</v>
      </c>
      <c r="D4990" t="s">
        <v>4963</v>
      </c>
      <c r="E4990" t="b">
        <f>IF(COUNTIF(D4990,"*"&amp;'Keyword Search'!$C$5&amp;"*"),TRUE,FALSE)</f>
        <v>1</v>
      </c>
      <c r="G4990" t="str">
        <f t="shared" si="317"/>
        <v>630-26: Fillers and Sealers, Wood: Paste, Plastic Wood, Sanding Sealers, etc.</v>
      </c>
    </row>
    <row r="4991" spans="1:7" x14ac:dyDescent="0.25">
      <c r="A4991" s="1" t="str">
        <f t="shared" si="320"/>
        <v>630</v>
      </c>
      <c r="B4991" s="1" t="str">
        <f>TEXT(27,"00")</f>
        <v>27</v>
      </c>
      <c r="C4991" s="1" t="str">
        <f t="shared" si="316"/>
        <v>630-27</v>
      </c>
      <c r="D4991" t="s">
        <v>4964</v>
      </c>
      <c r="E4991" t="b">
        <f>IF(COUNTIF(D4991,"*"&amp;'Keyword Search'!$C$5&amp;"*"),TRUE,FALSE)</f>
        <v>1</v>
      </c>
      <c r="G4991" t="str">
        <f t="shared" si="317"/>
        <v>630-27: Fillers and Sealers, Fiberglass</v>
      </c>
    </row>
    <row r="4992" spans="1:7" x14ac:dyDescent="0.25">
      <c r="A4992" s="1" t="str">
        <f t="shared" si="320"/>
        <v>630</v>
      </c>
      <c r="B4992" s="1" t="str">
        <f>TEXT(28,"00")</f>
        <v>28</v>
      </c>
      <c r="C4992" s="1" t="str">
        <f t="shared" si="316"/>
        <v>630-28</v>
      </c>
      <c r="D4992" t="s">
        <v>4965</v>
      </c>
      <c r="E4992" t="b">
        <f>IF(COUNTIF(D4992,"*"&amp;'Keyword Search'!$C$5&amp;"*"),TRUE,FALSE)</f>
        <v>1</v>
      </c>
      <c r="G4992" t="str">
        <f t="shared" si="317"/>
        <v>630-28: Fire-Retardant and Heat-Resistant Coatings, Not Aluminum Paint</v>
      </c>
    </row>
    <row r="4993" spans="1:7" x14ac:dyDescent="0.25">
      <c r="A4993" s="1" t="str">
        <f t="shared" si="320"/>
        <v>630</v>
      </c>
      <c r="B4993" s="1" t="str">
        <f>TEXT(33,"00")</f>
        <v>33</v>
      </c>
      <c r="C4993" s="1" t="str">
        <f t="shared" si="316"/>
        <v>630-33</v>
      </c>
      <c r="D4993" t="s">
        <v>4966</v>
      </c>
      <c r="E4993" t="b">
        <f>IF(COUNTIF(D4993,"*"&amp;'Keyword Search'!$C$5&amp;"*"),TRUE,FALSE)</f>
        <v>1</v>
      </c>
      <c r="G4993" t="str">
        <f t="shared" si="317"/>
        <v>630-33: Lacquer and Shellac, Clear and Colored</v>
      </c>
    </row>
    <row r="4994" spans="1:7" x14ac:dyDescent="0.25">
      <c r="A4994" s="1" t="str">
        <f t="shared" si="320"/>
        <v>630</v>
      </c>
      <c r="B4994" s="1" t="str">
        <f>TEXT(42,"00")</f>
        <v>42</v>
      </c>
      <c r="C4994" s="1" t="str">
        <f t="shared" si="316"/>
        <v>630-42</v>
      </c>
      <c r="D4994" t="s">
        <v>4967</v>
      </c>
      <c r="E4994" t="b">
        <f>IF(COUNTIF(D4994,"*"&amp;'Keyword Search'!$C$5&amp;"*"),TRUE,FALSE)</f>
        <v>1</v>
      </c>
      <c r="G4994" t="str">
        <f t="shared" si="317"/>
        <v>630-42: Linseed Oil  (Inactive, please see commodity code 630-97 effective January 1, 2016)</v>
      </c>
    </row>
    <row r="4995" spans="1:7" x14ac:dyDescent="0.25">
      <c r="A4995" s="1" t="str">
        <f t="shared" si="320"/>
        <v>630</v>
      </c>
      <c r="B4995" s="1" t="str">
        <f>TEXT(44,"00")</f>
        <v>44</v>
      </c>
      <c r="C4995" s="1" t="str">
        <f t="shared" ref="C4995:C5058" si="321">CONCATENATE(A4995,"-",B4995)</f>
        <v>630-44</v>
      </c>
      <c r="D4995" t="s">
        <v>4968</v>
      </c>
      <c r="E4995" t="b">
        <f>IF(COUNTIF(D4995,"*"&amp;'Keyword Search'!$C$5&amp;"*"),TRUE,FALSE)</f>
        <v>1</v>
      </c>
      <c r="G4995" t="str">
        <f t="shared" si="317"/>
        <v>630-44: Mix, Paint Water</v>
      </c>
    </row>
    <row r="4996" spans="1:7" x14ac:dyDescent="0.25">
      <c r="A4996" s="1" t="str">
        <f t="shared" si="320"/>
        <v>630</v>
      </c>
      <c r="B4996" s="1" t="str">
        <f>TEXT(45,"00")</f>
        <v>45</v>
      </c>
      <c r="C4996" s="1" t="str">
        <f t="shared" si="321"/>
        <v>630-45</v>
      </c>
      <c r="D4996" t="s">
        <v>4969</v>
      </c>
      <c r="E4996" t="b">
        <f>IF(COUNTIF(D4996,"*"&amp;'Keyword Search'!$C$5&amp;"*"),TRUE,FALSE)</f>
        <v>1</v>
      </c>
      <c r="G4996" t="str">
        <f t="shared" ref="G4996:G5059" si="322">CONCATENATE(C4996,": ",D4996)</f>
        <v>630-45: Paint and Varnish Removers, Including Painted Graffiti Remover, (See 485-16 for Other Types of Graffiti Removers)</v>
      </c>
    </row>
    <row r="4997" spans="1:7" x14ac:dyDescent="0.25">
      <c r="A4997" s="1" t="str">
        <f t="shared" si="320"/>
        <v>630</v>
      </c>
      <c r="B4997" s="1" t="str">
        <f>TEXT(47,"00")</f>
        <v>47</v>
      </c>
      <c r="C4997" s="1" t="str">
        <f t="shared" si="321"/>
        <v>630-47</v>
      </c>
      <c r="D4997" t="s">
        <v>4970</v>
      </c>
      <c r="E4997" t="b">
        <f>IF(COUNTIF(D4997,"*"&amp;'Keyword Search'!$C$5&amp;"*"),TRUE,FALSE)</f>
        <v>1</v>
      </c>
      <c r="G4997" t="str">
        <f t="shared" si="322"/>
        <v>630-47: Paint, Aluminum, Not Roof Coating</v>
      </c>
    </row>
    <row r="4998" spans="1:7" x14ac:dyDescent="0.25">
      <c r="A4998" s="1" t="str">
        <f t="shared" si="320"/>
        <v>630</v>
      </c>
      <c r="B4998" s="1" t="str">
        <f>TEXT(49,"00")</f>
        <v>49</v>
      </c>
      <c r="C4998" s="1" t="str">
        <f t="shared" si="321"/>
        <v>630-49</v>
      </c>
      <c r="D4998" t="s">
        <v>4971</v>
      </c>
      <c r="E4998" t="b">
        <f>IF(COUNTIF(D4998,"*"&amp;'Keyword Search'!$C$5&amp;"*"),TRUE,FALSE)</f>
        <v>1</v>
      </c>
      <c r="G4998" t="str">
        <f t="shared" si="322"/>
        <v>630-49: Paint, Automotive and Machinery</v>
      </c>
    </row>
    <row r="4999" spans="1:7" x14ac:dyDescent="0.25">
      <c r="A4999" s="1" t="str">
        <f t="shared" si="320"/>
        <v>630</v>
      </c>
      <c r="B4999" s="1" t="str">
        <f>TEXT(50,"00")</f>
        <v>50</v>
      </c>
      <c r="C4999" s="1" t="str">
        <f t="shared" si="321"/>
        <v>630-50</v>
      </c>
      <c r="D4999" t="s">
        <v>4972</v>
      </c>
      <c r="E4999" t="b">
        <f>IF(COUNTIF(D4999,"*"&amp;'Keyword Search'!$C$5&amp;"*"),TRUE,FALSE)</f>
        <v>1</v>
      </c>
      <c r="G4999" t="str">
        <f t="shared" si="322"/>
        <v>630-50: Paint, Deck and Floor</v>
      </c>
    </row>
    <row r="5000" spans="1:7" x14ac:dyDescent="0.25">
      <c r="A5000" s="1" t="str">
        <f t="shared" si="320"/>
        <v>630</v>
      </c>
      <c r="B5000" s="1" t="str">
        <f>TEXT(55,"00")</f>
        <v>55</v>
      </c>
      <c r="C5000" s="1" t="str">
        <f t="shared" si="321"/>
        <v>630-55</v>
      </c>
      <c r="D5000" t="s">
        <v>4973</v>
      </c>
      <c r="E5000" t="b">
        <f>IF(COUNTIF(D5000,"*"&amp;'Keyword Search'!$C$5&amp;"*"),TRUE,FALSE)</f>
        <v>1</v>
      </c>
      <c r="G5000" t="str">
        <f t="shared" si="322"/>
        <v>630-55: Paint, Freezer and Wet Surface</v>
      </c>
    </row>
    <row r="5001" spans="1:7" x14ac:dyDescent="0.25">
      <c r="A5001" s="1" t="str">
        <f t="shared" si="320"/>
        <v>630</v>
      </c>
      <c r="B5001" s="1" t="str">
        <f>TEXT(56,"00")</f>
        <v>56</v>
      </c>
      <c r="C5001" s="1" t="str">
        <f t="shared" si="321"/>
        <v>630-56</v>
      </c>
      <c r="D5001" t="s">
        <v>4974</v>
      </c>
      <c r="E5001" t="b">
        <f>IF(COUNTIF(D5001,"*"&amp;'Keyword Search'!$C$5&amp;"*"),TRUE,FALSE)</f>
        <v>1</v>
      </c>
      <c r="G5001" t="str">
        <f t="shared" si="322"/>
        <v>630-56: Paint, House and Trim</v>
      </c>
    </row>
    <row r="5002" spans="1:7" x14ac:dyDescent="0.25">
      <c r="A5002" s="1" t="str">
        <f t="shared" si="320"/>
        <v>630</v>
      </c>
      <c r="B5002" s="1" t="str">
        <f>TEXT(57,"00")</f>
        <v>57</v>
      </c>
      <c r="C5002" s="1" t="str">
        <f t="shared" si="321"/>
        <v>630-57</v>
      </c>
      <c r="D5002" t="s">
        <v>4975</v>
      </c>
      <c r="E5002" t="b">
        <f>IF(COUNTIF(D5002,"*"&amp;'Keyword Search'!$C$5&amp;"*"),TRUE,FALSE)</f>
        <v>1</v>
      </c>
      <c r="G5002" t="str">
        <f t="shared" si="322"/>
        <v>630-57: Paint, Miscellaneous: Blockout, Bronzing Liquid, Environmentally Safe, Epoxy, Fluorescent, License Plate, Oil Paste, Reflective, Tint Base, Tree Pruning, USDA Approved, etc.</v>
      </c>
    </row>
    <row r="5003" spans="1:7" x14ac:dyDescent="0.25">
      <c r="A5003" s="1" t="str">
        <f t="shared" si="320"/>
        <v>630</v>
      </c>
      <c r="B5003" s="1" t="str">
        <f>TEXT(59,"00")</f>
        <v>59</v>
      </c>
      <c r="C5003" s="1" t="str">
        <f t="shared" si="321"/>
        <v>630-59</v>
      </c>
      <c r="D5003" t="s">
        <v>4976</v>
      </c>
      <c r="E5003" t="b">
        <f>IF(COUNTIF(D5003,"*"&amp;'Keyword Search'!$C$5&amp;"*"),TRUE,FALSE)</f>
        <v>1</v>
      </c>
      <c r="G5003" t="str">
        <f t="shared" si="322"/>
        <v>630-59: Paint, Marine</v>
      </c>
    </row>
    <row r="5004" spans="1:7" x14ac:dyDescent="0.25">
      <c r="A5004" s="1" t="str">
        <f t="shared" si="320"/>
        <v>630</v>
      </c>
      <c r="B5004" s="1" t="str">
        <f>TEXT(61,"00")</f>
        <v>61</v>
      </c>
      <c r="C5004" s="1" t="str">
        <f t="shared" si="321"/>
        <v>630-61</v>
      </c>
      <c r="D5004" t="s">
        <v>4977</v>
      </c>
      <c r="E5004" t="b">
        <f>IF(COUNTIF(D5004,"*"&amp;'Keyword Search'!$C$5&amp;"*"),TRUE,FALSE)</f>
        <v>1</v>
      </c>
      <c r="G5004" t="str">
        <f t="shared" si="322"/>
        <v>630-61: Paint, Masonry, Including Silicate Paints</v>
      </c>
    </row>
    <row r="5005" spans="1:7" x14ac:dyDescent="0.25">
      <c r="A5005" s="1" t="str">
        <f t="shared" si="320"/>
        <v>630</v>
      </c>
      <c r="B5005" s="1" t="str">
        <f>TEXT(62,"00")</f>
        <v>62</v>
      </c>
      <c r="C5005" s="1" t="str">
        <f t="shared" si="321"/>
        <v>630-62</v>
      </c>
      <c r="D5005" t="s">
        <v>4978</v>
      </c>
      <c r="E5005" t="b">
        <f>IF(COUNTIF(D5005,"*"&amp;'Keyword Search'!$C$5&amp;"*"),TRUE,FALSE)</f>
        <v>1</v>
      </c>
      <c r="G5005" t="str">
        <f t="shared" si="322"/>
        <v>630-62: Paint, Rust Preventative</v>
      </c>
    </row>
    <row r="5006" spans="1:7" x14ac:dyDescent="0.25">
      <c r="A5006" s="1" t="str">
        <f t="shared" si="320"/>
        <v>630</v>
      </c>
      <c r="B5006" s="1" t="str">
        <f>TEXT(63,"00")</f>
        <v>63</v>
      </c>
      <c r="C5006" s="1" t="str">
        <f t="shared" si="321"/>
        <v>630-63</v>
      </c>
      <c r="D5006" t="s">
        <v>4979</v>
      </c>
      <c r="E5006" t="b">
        <f>IF(COUNTIF(D5006,"*"&amp;'Keyword Search'!$C$5&amp;"*"),TRUE,FALSE)</f>
        <v>1</v>
      </c>
      <c r="G5006" t="str">
        <f t="shared" si="322"/>
        <v>630-63: Paint, Sports Court Outdoor</v>
      </c>
    </row>
    <row r="5007" spans="1:7" x14ac:dyDescent="0.25">
      <c r="A5007" s="1" t="str">
        <f t="shared" si="320"/>
        <v>630</v>
      </c>
      <c r="B5007" s="1" t="str">
        <f>TEXT(64,"00")</f>
        <v>64</v>
      </c>
      <c r="C5007" s="1" t="str">
        <f t="shared" si="321"/>
        <v>630-64</v>
      </c>
      <c r="D5007" t="s">
        <v>4980</v>
      </c>
      <c r="E5007" t="b">
        <f>IF(COUNTIF(D5007,"*"&amp;'Keyword Search'!$C$5&amp;"*"),TRUE,FALSE)</f>
        <v>1</v>
      </c>
      <c r="G5007" t="str">
        <f t="shared" si="322"/>
        <v>630-64: Paint, Spray, Aerosol</v>
      </c>
    </row>
    <row r="5008" spans="1:7" x14ac:dyDescent="0.25">
      <c r="A5008" s="1" t="str">
        <f t="shared" si="320"/>
        <v>630</v>
      </c>
      <c r="B5008" s="1" t="str">
        <f>TEXT(65,"00")</f>
        <v>65</v>
      </c>
      <c r="C5008" s="1" t="str">
        <f t="shared" si="321"/>
        <v>630-65</v>
      </c>
      <c r="D5008" t="s">
        <v>4981</v>
      </c>
      <c r="E5008" t="b">
        <f>IF(COUNTIF(D5008,"*"&amp;'Keyword Search'!$C$5&amp;"*"),TRUE,FALSE)</f>
        <v>1</v>
      </c>
      <c r="G5008" t="str">
        <f t="shared" si="322"/>
        <v>630-65: Paint, Swimming Pool</v>
      </c>
    </row>
    <row r="5009" spans="1:7" x14ac:dyDescent="0.25">
      <c r="A5009" s="1" t="str">
        <f t="shared" si="320"/>
        <v>630</v>
      </c>
      <c r="B5009" s="1" t="str">
        <f>TEXT(66,"00")</f>
        <v>66</v>
      </c>
      <c r="C5009" s="1" t="str">
        <f t="shared" si="321"/>
        <v>630-66</v>
      </c>
      <c r="D5009" t="s">
        <v>4982</v>
      </c>
      <c r="E5009" t="b">
        <f>IF(COUNTIF(D5009,"*"&amp;'Keyword Search'!$C$5&amp;"*"),TRUE,FALSE)</f>
        <v>1</v>
      </c>
      <c r="G5009" t="str">
        <f t="shared" si="322"/>
        <v>630-66: Paints, Traffic</v>
      </c>
    </row>
    <row r="5010" spans="1:7" x14ac:dyDescent="0.25">
      <c r="A5010" s="1" t="str">
        <f t="shared" si="320"/>
        <v>630</v>
      </c>
      <c r="B5010" s="1" t="str">
        <f>TEXT(67,"00")</f>
        <v>67</v>
      </c>
      <c r="C5010" s="1" t="str">
        <f t="shared" si="321"/>
        <v>630-67</v>
      </c>
      <c r="D5010" t="s">
        <v>4983</v>
      </c>
      <c r="E5010" t="b">
        <f>IF(COUNTIF(D5010,"*"&amp;'Keyword Search'!$C$5&amp;"*"),TRUE,FALSE)</f>
        <v>1</v>
      </c>
      <c r="G5010" t="str">
        <f t="shared" si="322"/>
        <v>630-67: Paint Sticks, Annealing</v>
      </c>
    </row>
    <row r="5011" spans="1:7" x14ac:dyDescent="0.25">
      <c r="A5011" s="1" t="str">
        <f t="shared" si="320"/>
        <v>630</v>
      </c>
      <c r="B5011" s="1" t="str">
        <f>TEXT(72,"00")</f>
        <v>72</v>
      </c>
      <c r="C5011" s="1" t="str">
        <f t="shared" si="321"/>
        <v>630-72</v>
      </c>
      <c r="D5011" t="s">
        <v>4984</v>
      </c>
      <c r="E5011" t="b">
        <f>IF(COUNTIF(D5011,"*"&amp;'Keyword Search'!$C$5&amp;"*"),TRUE,FALSE)</f>
        <v>1</v>
      </c>
      <c r="G5011" t="str">
        <f t="shared" si="322"/>
        <v>630-72: Primers, Rust Inhibiting: Red Oxide, Zinc Chromate, etc.</v>
      </c>
    </row>
    <row r="5012" spans="1:7" x14ac:dyDescent="0.25">
      <c r="A5012" s="1" t="str">
        <f t="shared" si="320"/>
        <v>630</v>
      </c>
      <c r="B5012" s="1" t="str">
        <f>TEXT(75,"00")</f>
        <v>75</v>
      </c>
      <c r="C5012" s="1" t="str">
        <f t="shared" si="321"/>
        <v>630-75</v>
      </c>
      <c r="D5012" t="s">
        <v>4985</v>
      </c>
      <c r="E5012" t="b">
        <f>IF(COUNTIF(D5012,"*"&amp;'Keyword Search'!$C$5&amp;"*"),TRUE,FALSE)</f>
        <v>1</v>
      </c>
      <c r="G5012" t="str">
        <f t="shared" si="322"/>
        <v>630-75: Putty, Glazing, Metal and Wood Sash</v>
      </c>
    </row>
    <row r="5013" spans="1:7" x14ac:dyDescent="0.25">
      <c r="A5013" s="1" t="str">
        <f t="shared" si="320"/>
        <v>630</v>
      </c>
      <c r="B5013" s="1" t="str">
        <f>TEXT(76,"00")</f>
        <v>76</v>
      </c>
      <c r="C5013" s="1" t="str">
        <f t="shared" si="321"/>
        <v>630-76</v>
      </c>
      <c r="D5013" t="s">
        <v>4986</v>
      </c>
      <c r="E5013" t="b">
        <f>IF(COUNTIF(D5013,"*"&amp;'Keyword Search'!$C$5&amp;"*"),TRUE,FALSE)</f>
        <v>1</v>
      </c>
      <c r="G5013" t="str">
        <f t="shared" si="322"/>
        <v>630-76: Putty: Lacquer, Plumbers, Tape</v>
      </c>
    </row>
    <row r="5014" spans="1:7" x14ac:dyDescent="0.25">
      <c r="A5014" s="1" t="str">
        <f t="shared" si="320"/>
        <v>630</v>
      </c>
      <c r="B5014" s="1" t="str">
        <f>TEXT(79,"00")</f>
        <v>79</v>
      </c>
      <c r="C5014" s="1" t="str">
        <f t="shared" si="321"/>
        <v>630-79</v>
      </c>
      <c r="D5014" t="s">
        <v>4987</v>
      </c>
      <c r="E5014" t="b">
        <f>IF(COUNTIF(D5014,"*"&amp;'Keyword Search'!$C$5&amp;"*"),TRUE,FALSE)</f>
        <v>1</v>
      </c>
      <c r="G5014" t="str">
        <f t="shared" si="322"/>
        <v>630-79: Recycled Paints; Lacquers, Shellacs, Varnish, Primers, Coatings, Sealers</v>
      </c>
    </row>
    <row r="5015" spans="1:7" x14ac:dyDescent="0.25">
      <c r="A5015" s="1" t="str">
        <f t="shared" si="320"/>
        <v>630</v>
      </c>
      <c r="B5015" s="1" t="str">
        <f>TEXT(81,"00")</f>
        <v>81</v>
      </c>
      <c r="C5015" s="1" t="str">
        <f t="shared" si="321"/>
        <v>630-81</v>
      </c>
      <c r="D5015" t="s">
        <v>4988</v>
      </c>
      <c r="E5015" t="b">
        <f>IF(COUNTIF(D5015,"*"&amp;'Keyword Search'!$C$5&amp;"*"),TRUE,FALSE)</f>
        <v>1</v>
      </c>
      <c r="G5015" t="str">
        <f t="shared" si="322"/>
        <v>630-81: Samples, Paint Colors, Fan Decks and Liquid</v>
      </c>
    </row>
    <row r="5016" spans="1:7" x14ac:dyDescent="0.25">
      <c r="A5016" s="1" t="str">
        <f t="shared" si="320"/>
        <v>630</v>
      </c>
      <c r="B5016" s="1" t="str">
        <f>TEXT(82,"00")</f>
        <v>82</v>
      </c>
      <c r="C5016" s="1" t="str">
        <f t="shared" si="321"/>
        <v>630-82</v>
      </c>
      <c r="D5016" t="s">
        <v>4989</v>
      </c>
      <c r="E5016" t="b">
        <f>IF(COUNTIF(D5016,"*"&amp;'Keyword Search'!$C$5&amp;"*"),TRUE,FALSE)</f>
        <v>1</v>
      </c>
      <c r="G5016" t="str">
        <f t="shared" si="322"/>
        <v>630-82: Sealers and Primers, Paint</v>
      </c>
    </row>
    <row r="5017" spans="1:7" x14ac:dyDescent="0.25">
      <c r="A5017" s="1" t="str">
        <f t="shared" si="320"/>
        <v>630</v>
      </c>
      <c r="B5017" s="1" t="str">
        <f>TEXT(84,"00")</f>
        <v>84</v>
      </c>
      <c r="C5017" s="1" t="str">
        <f t="shared" si="321"/>
        <v>630-84</v>
      </c>
      <c r="D5017" t="s">
        <v>4990</v>
      </c>
      <c r="E5017" t="b">
        <f>IF(COUNTIF(D5017,"*"&amp;'Keyword Search'!$C$5&amp;"*"),TRUE,FALSE)</f>
        <v>1</v>
      </c>
      <c r="G5017" t="str">
        <f t="shared" si="322"/>
        <v>630-84: Stains and Varnishes</v>
      </c>
    </row>
    <row r="5018" spans="1:7" x14ac:dyDescent="0.25">
      <c r="A5018" s="1" t="str">
        <f t="shared" si="320"/>
        <v>630</v>
      </c>
      <c r="B5018" s="1" t="str">
        <f>TEXT(88,"00")</f>
        <v>88</v>
      </c>
      <c r="C5018" s="1" t="str">
        <f t="shared" si="321"/>
        <v>630-88</v>
      </c>
      <c r="D5018" t="s">
        <v>4991</v>
      </c>
      <c r="E5018" t="b">
        <f>IF(COUNTIF(D5018,"*"&amp;'Keyword Search'!$C$5&amp;"*"),TRUE,FALSE)</f>
        <v>1</v>
      </c>
      <c r="G5018" t="str">
        <f t="shared" si="322"/>
        <v>630-88: Textured Coatings, All Kinds</v>
      </c>
    </row>
    <row r="5019" spans="1:7" x14ac:dyDescent="0.25">
      <c r="A5019" s="1" t="str">
        <f t="shared" si="320"/>
        <v>630</v>
      </c>
      <c r="B5019" s="1" t="str">
        <f>TEXT(90,"00")</f>
        <v>90</v>
      </c>
      <c r="C5019" s="1" t="str">
        <f t="shared" si="321"/>
        <v>630-90</v>
      </c>
      <c r="D5019" t="s">
        <v>4992</v>
      </c>
      <c r="E5019" t="b">
        <f>IF(COUNTIF(D5019,"*"&amp;'Keyword Search'!$C$5&amp;"*"),TRUE,FALSE)</f>
        <v>1</v>
      </c>
      <c r="G5019" t="str">
        <f t="shared" si="322"/>
        <v>630-90: Thinners, Reducers: Alcohols, Aromatic Solvents, Esters, Ketones, Mineral Spirits, Turpentine, V M and P Naphtha, etc.</v>
      </c>
    </row>
    <row r="5020" spans="1:7" x14ac:dyDescent="0.25">
      <c r="A5020" s="1" t="str">
        <f t="shared" si="320"/>
        <v>630</v>
      </c>
      <c r="B5020" s="1" t="str">
        <f>TEXT(93,"00")</f>
        <v>93</v>
      </c>
      <c r="C5020" s="1" t="str">
        <f t="shared" si="321"/>
        <v>630-93</v>
      </c>
      <c r="D5020" t="s">
        <v>4993</v>
      </c>
      <c r="E5020" t="b">
        <f>IF(COUNTIF(D5020,"*"&amp;'Keyword Search'!$C$5&amp;"*"),TRUE,FALSE)</f>
        <v>1</v>
      </c>
      <c r="G5020" t="str">
        <f t="shared" si="322"/>
        <v>630-93: Wall Coverings, Fabric and Plastic; and Accessories, Including Recycled Types</v>
      </c>
    </row>
    <row r="5021" spans="1:7" x14ac:dyDescent="0.25">
      <c r="A5021" s="1" t="str">
        <f t="shared" si="320"/>
        <v>630</v>
      </c>
      <c r="B5021" s="1" t="str">
        <f>TEXT(95,"00")</f>
        <v>95</v>
      </c>
      <c r="C5021" s="1" t="str">
        <f t="shared" si="321"/>
        <v>630-95</v>
      </c>
      <c r="D5021" t="s">
        <v>4994</v>
      </c>
      <c r="E5021" t="b">
        <f>IF(COUNTIF(D5021,"*"&amp;'Keyword Search'!$C$5&amp;"*"),TRUE,FALSE)</f>
        <v>1</v>
      </c>
      <c r="G5021" t="str">
        <f t="shared" si="322"/>
        <v>630-95: Wallpaper, Paste, and Canvas, Including Paper Hanger Tools and Recycled Types</v>
      </c>
    </row>
    <row r="5022" spans="1:7" x14ac:dyDescent="0.25">
      <c r="A5022" s="1" t="str">
        <f t="shared" si="320"/>
        <v>630</v>
      </c>
      <c r="B5022" s="1" t="str">
        <f>TEXT(97,"00")</f>
        <v>97</v>
      </c>
      <c r="C5022" s="1" t="str">
        <f t="shared" si="321"/>
        <v>630-97</v>
      </c>
      <c r="D5022" t="s">
        <v>4995</v>
      </c>
      <c r="E5022" t="b">
        <f>IF(COUNTIF(D5022,"*"&amp;'Keyword Search'!$C$5&amp;"*"),TRUE,FALSE)</f>
        <v>1</v>
      </c>
      <c r="G5022" t="str">
        <f t="shared" si="322"/>
        <v>630-97: Wood Preservative and/or Water-Repellent Finishes</v>
      </c>
    </row>
    <row r="5023" spans="1:7" x14ac:dyDescent="0.25">
      <c r="A5023" s="5" t="str">
        <f t="shared" ref="A5023:A5066" si="323">TEXT(631,"000")</f>
        <v>631</v>
      </c>
      <c r="B5023" s="5" t="str">
        <f>TEXT(0,"00")</f>
        <v>00</v>
      </c>
      <c r="C5023" s="1"/>
      <c r="D5023" s="2" t="s">
        <v>4996</v>
      </c>
    </row>
    <row r="5024" spans="1:7" x14ac:dyDescent="0.25">
      <c r="A5024" s="1" t="str">
        <f t="shared" si="323"/>
        <v>631</v>
      </c>
      <c r="B5024" s="1" t="str">
        <f>TEXT(3,"00")</f>
        <v>03</v>
      </c>
      <c r="C5024" s="1" t="str">
        <f t="shared" si="321"/>
        <v>631-03</v>
      </c>
      <c r="D5024" t="s">
        <v>4997</v>
      </c>
      <c r="E5024" t="b">
        <f>IF(COUNTIF(D5024,"*"&amp;'Keyword Search'!$C$5&amp;"*"),TRUE,FALSE)</f>
        <v>1</v>
      </c>
      <c r="G5024" t="str">
        <f t="shared" si="322"/>
        <v>631-03: Additives and Miscellaneous Paint Ingredients: Driers, Fungicides, Latexes, Pigments, Surfactants, etc., Environmentally Certified Products</v>
      </c>
    </row>
    <row r="5025" spans="1:7" x14ac:dyDescent="0.25">
      <c r="A5025" s="1" t="str">
        <f t="shared" si="323"/>
        <v>631</v>
      </c>
      <c r="B5025" s="1" t="str">
        <f>TEXT(5,"00")</f>
        <v>05</v>
      </c>
      <c r="C5025" s="1" t="str">
        <f t="shared" si="321"/>
        <v>631-05</v>
      </c>
      <c r="D5025" t="s">
        <v>4998</v>
      </c>
      <c r="E5025" t="b">
        <f>IF(COUNTIF(D5025,"*"&amp;'Keyword Search'!$C$5&amp;"*"),TRUE,FALSE)</f>
        <v>1</v>
      </c>
      <c r="G5025" t="str">
        <f t="shared" si="322"/>
        <v>631-05: Bleach, Wood, Environmentally Certified Products</v>
      </c>
    </row>
    <row r="5026" spans="1:7" x14ac:dyDescent="0.25">
      <c r="A5026" s="1" t="str">
        <f t="shared" si="323"/>
        <v>631</v>
      </c>
      <c r="B5026" s="1" t="str">
        <f>TEXT(6,"00")</f>
        <v>06</v>
      </c>
      <c r="C5026" s="1" t="str">
        <f t="shared" si="321"/>
        <v>631-06</v>
      </c>
      <c r="D5026" t="s">
        <v>4999</v>
      </c>
      <c r="E5026" t="b">
        <f>IF(COUNTIF(D5026,"*"&amp;'Keyword Search'!$C$5&amp;"*"),TRUE,FALSE)</f>
        <v>1</v>
      </c>
      <c r="G5026" t="str">
        <f t="shared" si="322"/>
        <v>631-06: Caulking Compounds, Bulk or Cartridge Type, Environmentally Certified Products</v>
      </c>
    </row>
    <row r="5027" spans="1:7" x14ac:dyDescent="0.25">
      <c r="A5027" s="1" t="str">
        <f t="shared" si="323"/>
        <v>631</v>
      </c>
      <c r="B5027" s="1" t="str">
        <f>TEXT(9,"00")</f>
        <v>09</v>
      </c>
      <c r="C5027" s="1" t="str">
        <f t="shared" si="321"/>
        <v>631-09</v>
      </c>
      <c r="D5027" t="s">
        <v>5000</v>
      </c>
      <c r="E5027" t="b">
        <f>IF(COUNTIF(D5027,"*"&amp;'Keyword Search'!$C$5&amp;"*"),TRUE,FALSE)</f>
        <v>1</v>
      </c>
      <c r="G5027" t="str">
        <f t="shared" si="322"/>
        <v>631-09: Coatings, Masonry, Brick, Cinder Block, Concrete, etc., Including Silicate Protective Coatings and Products, Environmentally Certified Products</v>
      </c>
    </row>
    <row r="5028" spans="1:7" x14ac:dyDescent="0.25">
      <c r="A5028" s="1" t="str">
        <f t="shared" si="323"/>
        <v>631</v>
      </c>
      <c r="B5028" s="1" t="str">
        <f>TEXT(10,"00")</f>
        <v>10</v>
      </c>
      <c r="C5028" s="1" t="str">
        <f t="shared" si="321"/>
        <v>631-10</v>
      </c>
      <c r="D5028" t="s">
        <v>5001</v>
      </c>
      <c r="E5028" t="b">
        <f>IF(COUNTIF(D5028,"*"&amp;'Keyword Search'!$C$5&amp;"*"),TRUE,FALSE)</f>
        <v>1</v>
      </c>
      <c r="G5028" t="str">
        <f t="shared" si="322"/>
        <v>631-10: Coatings, Protective, Polyurethane, etc., Environmentally Certified Products</v>
      </c>
    </row>
    <row r="5029" spans="1:7" x14ac:dyDescent="0.25">
      <c r="A5029" s="1" t="str">
        <f t="shared" si="323"/>
        <v>631</v>
      </c>
      <c r="B5029" s="1" t="str">
        <f>TEXT(12,"00")</f>
        <v>12</v>
      </c>
      <c r="C5029" s="1" t="str">
        <f t="shared" si="321"/>
        <v>631-12</v>
      </c>
      <c r="D5029" t="s">
        <v>5002</v>
      </c>
      <c r="E5029" t="b">
        <f>IF(COUNTIF(D5029,"*"&amp;'Keyword Search'!$C$5&amp;"*"),TRUE,FALSE)</f>
        <v>1</v>
      </c>
      <c r="G5029" t="str">
        <f t="shared" si="322"/>
        <v>631-12: Coatings, Protective, Asphalt Based (Also See Class 770-26), Environmentally Certified Products</v>
      </c>
    </row>
    <row r="5030" spans="1:7" x14ac:dyDescent="0.25">
      <c r="A5030" s="1" t="str">
        <f t="shared" si="323"/>
        <v>631</v>
      </c>
      <c r="B5030" s="1" t="str">
        <f>TEXT(19,"00")</f>
        <v>19</v>
      </c>
      <c r="C5030" s="1" t="str">
        <f t="shared" si="321"/>
        <v>631-19</v>
      </c>
      <c r="D5030" t="s">
        <v>5003</v>
      </c>
      <c r="E5030" t="b">
        <f>IF(COUNTIF(D5030,"*"&amp;'Keyword Search'!$C$5&amp;"*"),TRUE,FALSE)</f>
        <v>1</v>
      </c>
      <c r="G5030" t="str">
        <f t="shared" si="322"/>
        <v>631-19: Coatings, Protective, Zinc-Rich, Cold Galvanizing Compound, Environmentally Certified Products</v>
      </c>
    </row>
    <row r="5031" spans="1:7" x14ac:dyDescent="0.25">
      <c r="A5031" s="1" t="str">
        <f t="shared" si="323"/>
        <v>631</v>
      </c>
      <c r="B5031" s="1" t="str">
        <f>TEXT(21,"00")</f>
        <v>21</v>
      </c>
      <c r="C5031" s="1" t="str">
        <f t="shared" si="321"/>
        <v>631-21</v>
      </c>
      <c r="D5031" t="s">
        <v>5004</v>
      </c>
      <c r="E5031" t="b">
        <f>IF(COUNTIF(D5031,"*"&amp;'Keyword Search'!$C$5&amp;"*"),TRUE,FALSE)</f>
        <v>1</v>
      </c>
      <c r="G5031" t="str">
        <f t="shared" si="322"/>
        <v>631-21: Colors, Tinting (Oil, Mineral Silicate, or Universal Type) and Lettering, Environmentally Certified Products</v>
      </c>
    </row>
    <row r="5032" spans="1:7" x14ac:dyDescent="0.25">
      <c r="A5032" s="1" t="str">
        <f t="shared" si="323"/>
        <v>631</v>
      </c>
      <c r="B5032" s="1" t="str">
        <f>TEXT(22,"00")</f>
        <v>22</v>
      </c>
      <c r="C5032" s="1" t="str">
        <f t="shared" si="321"/>
        <v>631-22</v>
      </c>
      <c r="D5032" t="s">
        <v>5005</v>
      </c>
      <c r="E5032" t="b">
        <f>IF(COUNTIF(D5032,"*"&amp;'Keyword Search'!$C$5&amp;"*"),TRUE,FALSE)</f>
        <v>1</v>
      </c>
      <c r="G5032" t="str">
        <f t="shared" si="322"/>
        <v>631-22: Fillers and Sealers, Masonry: Block Fillers, Water Repellent Solutions, etc., Environmentally Certified Products</v>
      </c>
    </row>
    <row r="5033" spans="1:7" x14ac:dyDescent="0.25">
      <c r="A5033" s="1" t="str">
        <f t="shared" si="323"/>
        <v>631</v>
      </c>
      <c r="B5033" s="1" t="str">
        <f>TEXT(23,"00")</f>
        <v>23</v>
      </c>
      <c r="C5033" s="1" t="str">
        <f t="shared" si="321"/>
        <v>631-23</v>
      </c>
      <c r="D5033" t="s">
        <v>5006</v>
      </c>
      <c r="E5033" t="b">
        <f>IF(COUNTIF(D5033,"*"&amp;'Keyword Search'!$C$5&amp;"*"),TRUE,FALSE)</f>
        <v>1</v>
      </c>
      <c r="G5033" t="str">
        <f t="shared" si="322"/>
        <v>631-23: Fillers and Sealers, Wallboard, Environmentally Certified Products</v>
      </c>
    </row>
    <row r="5034" spans="1:7" x14ac:dyDescent="0.25">
      <c r="A5034" s="1" t="str">
        <f t="shared" si="323"/>
        <v>631</v>
      </c>
      <c r="B5034" s="1" t="str">
        <f>TEXT(25,"00")</f>
        <v>25</v>
      </c>
      <c r="C5034" s="1" t="str">
        <f t="shared" si="321"/>
        <v>631-25</v>
      </c>
      <c r="D5034" t="s">
        <v>5007</v>
      </c>
      <c r="E5034" t="b">
        <f>IF(COUNTIF(D5034,"*"&amp;'Keyword Search'!$C$5&amp;"*"),TRUE,FALSE)</f>
        <v>1</v>
      </c>
      <c r="G5034" t="str">
        <f t="shared" si="322"/>
        <v>631-25: Fillers and Sealers, Metal, Environmentally Certified Products</v>
      </c>
    </row>
    <row r="5035" spans="1:7" x14ac:dyDescent="0.25">
      <c r="A5035" s="1" t="str">
        <f t="shared" si="323"/>
        <v>631</v>
      </c>
      <c r="B5035" s="1" t="str">
        <f>TEXT(26,"00")</f>
        <v>26</v>
      </c>
      <c r="C5035" s="1" t="str">
        <f t="shared" si="321"/>
        <v>631-26</v>
      </c>
      <c r="D5035" t="s">
        <v>5008</v>
      </c>
      <c r="E5035" t="b">
        <f>IF(COUNTIF(D5035,"*"&amp;'Keyword Search'!$C$5&amp;"*"),TRUE,FALSE)</f>
        <v>1</v>
      </c>
      <c r="G5035" t="str">
        <f t="shared" si="322"/>
        <v>631-26: Fillers and Sealers, Wood: Paste, Plastic Wood, Sanding Sealers, etc., Environmentally Certified Products</v>
      </c>
    </row>
    <row r="5036" spans="1:7" x14ac:dyDescent="0.25">
      <c r="A5036" s="1" t="str">
        <f t="shared" si="323"/>
        <v>631</v>
      </c>
      <c r="B5036" s="1" t="str">
        <f>TEXT(27,"00")</f>
        <v>27</v>
      </c>
      <c r="C5036" s="1" t="str">
        <f t="shared" si="321"/>
        <v>631-27</v>
      </c>
      <c r="D5036" t="s">
        <v>5009</v>
      </c>
      <c r="E5036" t="b">
        <f>IF(COUNTIF(D5036,"*"&amp;'Keyword Search'!$C$5&amp;"*"),TRUE,FALSE)</f>
        <v>1</v>
      </c>
      <c r="G5036" t="str">
        <f t="shared" si="322"/>
        <v>631-27: Fillers and Sealers, Fiberglass, Environmentally Certified Products</v>
      </c>
    </row>
    <row r="5037" spans="1:7" x14ac:dyDescent="0.25">
      <c r="A5037" s="1" t="str">
        <f t="shared" si="323"/>
        <v>631</v>
      </c>
      <c r="B5037" s="1" t="str">
        <f>TEXT(28,"00")</f>
        <v>28</v>
      </c>
      <c r="C5037" s="1" t="str">
        <f t="shared" si="321"/>
        <v>631-28</v>
      </c>
      <c r="D5037" t="s">
        <v>5010</v>
      </c>
      <c r="E5037" t="b">
        <f>IF(COUNTIF(D5037,"*"&amp;'Keyword Search'!$C$5&amp;"*"),TRUE,FALSE)</f>
        <v>1</v>
      </c>
      <c r="G5037" t="str">
        <f t="shared" si="322"/>
        <v>631-28: Fire-Retardant and Heat-Resistant Coatings, Not Aluminum Paint, Environmentally Certified Products</v>
      </c>
    </row>
    <row r="5038" spans="1:7" x14ac:dyDescent="0.25">
      <c r="A5038" s="1" t="str">
        <f t="shared" si="323"/>
        <v>631</v>
      </c>
      <c r="B5038" s="1" t="str">
        <f>TEXT(33,"00")</f>
        <v>33</v>
      </c>
      <c r="C5038" s="1" t="str">
        <f t="shared" si="321"/>
        <v>631-33</v>
      </c>
      <c r="D5038" t="s">
        <v>5011</v>
      </c>
      <c r="E5038" t="b">
        <f>IF(COUNTIF(D5038,"*"&amp;'Keyword Search'!$C$5&amp;"*"),TRUE,FALSE)</f>
        <v>1</v>
      </c>
      <c r="G5038" t="str">
        <f t="shared" si="322"/>
        <v>631-33: Lacquer and Shellac, Clear and Colored, Environmentally Certified Products</v>
      </c>
    </row>
    <row r="5039" spans="1:7" x14ac:dyDescent="0.25">
      <c r="A5039" s="1" t="str">
        <f t="shared" si="323"/>
        <v>631</v>
      </c>
      <c r="B5039" s="1" t="str">
        <f>TEXT(42,"00")</f>
        <v>42</v>
      </c>
      <c r="C5039" s="1" t="str">
        <f t="shared" si="321"/>
        <v>631-42</v>
      </c>
      <c r="D5039" t="s">
        <v>5012</v>
      </c>
      <c r="E5039" t="b">
        <f>IF(COUNTIF(D5039,"*"&amp;'Keyword Search'!$C$5&amp;"*"),TRUE,FALSE)</f>
        <v>1</v>
      </c>
      <c r="G5039" t="str">
        <f t="shared" si="322"/>
        <v>631-42: Linseed Oil, Environmentally Certified Products</v>
      </c>
    </row>
    <row r="5040" spans="1:7" x14ac:dyDescent="0.25">
      <c r="A5040" s="1" t="str">
        <f t="shared" si="323"/>
        <v>631</v>
      </c>
      <c r="B5040" s="1" t="str">
        <f>TEXT(44,"00")</f>
        <v>44</v>
      </c>
      <c r="C5040" s="1" t="str">
        <f t="shared" si="321"/>
        <v>631-44</v>
      </c>
      <c r="D5040" t="s">
        <v>5013</v>
      </c>
      <c r="E5040" t="b">
        <f>IF(COUNTIF(D5040,"*"&amp;'Keyword Search'!$C$5&amp;"*"),TRUE,FALSE)</f>
        <v>1</v>
      </c>
      <c r="G5040" t="str">
        <f t="shared" si="322"/>
        <v>631-44: Mix, Paint Water, Environmentally Certified Products</v>
      </c>
    </row>
    <row r="5041" spans="1:7" x14ac:dyDescent="0.25">
      <c r="A5041" s="1" t="str">
        <f t="shared" si="323"/>
        <v>631</v>
      </c>
      <c r="B5041" s="1" t="str">
        <f>TEXT(45,"00")</f>
        <v>45</v>
      </c>
      <c r="C5041" s="1" t="str">
        <f t="shared" si="321"/>
        <v>631-45</v>
      </c>
      <c r="D5041" t="s">
        <v>5014</v>
      </c>
      <c r="E5041" t="b">
        <f>IF(COUNTIF(D5041,"*"&amp;'Keyword Search'!$C$5&amp;"*"),TRUE,FALSE)</f>
        <v>1</v>
      </c>
      <c r="G5041" t="str">
        <f t="shared" si="322"/>
        <v>631-45: Paint and Varnish Removers (Includes Painted Graffiti Removers) (See 485-16 for Other Types of Graffiti Removers), Environmentally Certified Products</v>
      </c>
    </row>
    <row r="5042" spans="1:7" x14ac:dyDescent="0.25">
      <c r="A5042" s="1" t="str">
        <f t="shared" si="323"/>
        <v>631</v>
      </c>
      <c r="B5042" s="1" t="str">
        <f>TEXT(47,"00")</f>
        <v>47</v>
      </c>
      <c r="C5042" s="1" t="str">
        <f t="shared" si="321"/>
        <v>631-47</v>
      </c>
      <c r="D5042" t="s">
        <v>5015</v>
      </c>
      <c r="E5042" t="b">
        <f>IF(COUNTIF(D5042,"*"&amp;'Keyword Search'!$C$5&amp;"*"),TRUE,FALSE)</f>
        <v>1</v>
      </c>
      <c r="G5042" t="str">
        <f t="shared" si="322"/>
        <v>631-47: Paint, Aluminum, Not Roof Coating, Environmentally Certified Products</v>
      </c>
    </row>
    <row r="5043" spans="1:7" x14ac:dyDescent="0.25">
      <c r="A5043" s="1" t="str">
        <f t="shared" si="323"/>
        <v>631</v>
      </c>
      <c r="B5043" s="1" t="str">
        <f>TEXT(49,"00")</f>
        <v>49</v>
      </c>
      <c r="C5043" s="1" t="str">
        <f t="shared" si="321"/>
        <v>631-49</v>
      </c>
      <c r="D5043" t="s">
        <v>5016</v>
      </c>
      <c r="E5043" t="b">
        <f>IF(COUNTIF(D5043,"*"&amp;'Keyword Search'!$C$5&amp;"*"),TRUE,FALSE)</f>
        <v>1</v>
      </c>
      <c r="G5043" t="str">
        <f t="shared" si="322"/>
        <v>631-49: Paint, Automotive and Machinery, Environmentally Certified Products</v>
      </c>
    </row>
    <row r="5044" spans="1:7" x14ac:dyDescent="0.25">
      <c r="A5044" s="1" t="str">
        <f t="shared" si="323"/>
        <v>631</v>
      </c>
      <c r="B5044" s="1" t="str">
        <f>TEXT(50,"00")</f>
        <v>50</v>
      </c>
      <c r="C5044" s="1" t="str">
        <f t="shared" si="321"/>
        <v>631-50</v>
      </c>
      <c r="D5044" t="s">
        <v>5017</v>
      </c>
      <c r="E5044" t="b">
        <f>IF(COUNTIF(D5044,"*"&amp;'Keyword Search'!$C$5&amp;"*"),TRUE,FALSE)</f>
        <v>1</v>
      </c>
      <c r="G5044" t="str">
        <f t="shared" si="322"/>
        <v>631-50: Paint, Deck and Floor, Environmentally Certified Products</v>
      </c>
    </row>
    <row r="5045" spans="1:7" x14ac:dyDescent="0.25">
      <c r="A5045" s="1" t="str">
        <f t="shared" si="323"/>
        <v>631</v>
      </c>
      <c r="B5045" s="1" t="str">
        <f>TEXT(55,"00")</f>
        <v>55</v>
      </c>
      <c r="C5045" s="1" t="str">
        <f t="shared" si="321"/>
        <v>631-55</v>
      </c>
      <c r="D5045" t="s">
        <v>5018</v>
      </c>
      <c r="E5045" t="b">
        <f>IF(COUNTIF(D5045,"*"&amp;'Keyword Search'!$C$5&amp;"*"),TRUE,FALSE)</f>
        <v>1</v>
      </c>
      <c r="G5045" t="str">
        <f t="shared" si="322"/>
        <v>631-55: Paint, Freezer and Wet Surface, Environmentally Certified Products</v>
      </c>
    </row>
    <row r="5046" spans="1:7" x14ac:dyDescent="0.25">
      <c r="A5046" s="1" t="str">
        <f t="shared" si="323"/>
        <v>631</v>
      </c>
      <c r="B5046" s="1" t="str">
        <f>TEXT(56,"00")</f>
        <v>56</v>
      </c>
      <c r="C5046" s="1" t="str">
        <f t="shared" si="321"/>
        <v>631-56</v>
      </c>
      <c r="D5046" t="s">
        <v>5019</v>
      </c>
      <c r="E5046" t="b">
        <f>IF(COUNTIF(D5046,"*"&amp;'Keyword Search'!$C$5&amp;"*"),TRUE,FALSE)</f>
        <v>1</v>
      </c>
      <c r="G5046" t="str">
        <f t="shared" si="322"/>
        <v>631-56: Paint, House and Trim, Environmentally Certified Products</v>
      </c>
    </row>
    <row r="5047" spans="1:7" x14ac:dyDescent="0.25">
      <c r="A5047" s="1" t="str">
        <f t="shared" si="323"/>
        <v>631</v>
      </c>
      <c r="B5047" s="1" t="str">
        <f>TEXT(57,"00")</f>
        <v>57</v>
      </c>
      <c r="C5047" s="1" t="str">
        <f t="shared" si="321"/>
        <v>631-57</v>
      </c>
      <c r="D5047" t="s">
        <v>5020</v>
      </c>
      <c r="E5047" t="b">
        <f>IF(COUNTIF(D5047,"*"&amp;'Keyword Search'!$C$5&amp;"*"),TRUE,FALSE)</f>
        <v>1</v>
      </c>
      <c r="G5047" t="str">
        <f t="shared" si="322"/>
        <v>631-57: Paint, Miscellaneous: Blockout, Bronzing Liquid, Environmentally Safe, Epoxy, Fluorescent, License Plate, Oil Paste, Reflective, Tint Base, Tree Pruning, USDA Approved, etc., Environmentally Certified Products</v>
      </c>
    </row>
    <row r="5048" spans="1:7" x14ac:dyDescent="0.25">
      <c r="A5048" s="1" t="str">
        <f t="shared" si="323"/>
        <v>631</v>
      </c>
      <c r="B5048" s="1" t="str">
        <f>TEXT(59,"00")</f>
        <v>59</v>
      </c>
      <c r="C5048" s="1" t="str">
        <f t="shared" si="321"/>
        <v>631-59</v>
      </c>
      <c r="D5048" t="s">
        <v>5021</v>
      </c>
      <c r="E5048" t="b">
        <f>IF(COUNTIF(D5048,"*"&amp;'Keyword Search'!$C$5&amp;"*"),TRUE,FALSE)</f>
        <v>1</v>
      </c>
      <c r="G5048" t="str">
        <f t="shared" si="322"/>
        <v>631-59: Paint, Marine, Environmentally Certified Products</v>
      </c>
    </row>
    <row r="5049" spans="1:7" x14ac:dyDescent="0.25">
      <c r="A5049" s="1" t="str">
        <f t="shared" si="323"/>
        <v>631</v>
      </c>
      <c r="B5049" s="1" t="str">
        <f>TEXT(61,"00")</f>
        <v>61</v>
      </c>
      <c r="C5049" s="1" t="str">
        <f t="shared" si="321"/>
        <v>631-61</v>
      </c>
      <c r="D5049" t="s">
        <v>5022</v>
      </c>
      <c r="E5049" t="b">
        <f>IF(COUNTIF(D5049,"*"&amp;'Keyword Search'!$C$5&amp;"*"),TRUE,FALSE)</f>
        <v>1</v>
      </c>
      <c r="G5049" t="str">
        <f t="shared" si="322"/>
        <v>631-61: Paint, Masonry, Including Silicate Paints, Environmentally Certified Products</v>
      </c>
    </row>
    <row r="5050" spans="1:7" x14ac:dyDescent="0.25">
      <c r="A5050" s="1" t="str">
        <f t="shared" si="323"/>
        <v>631</v>
      </c>
      <c r="B5050" s="1" t="str">
        <f>TEXT(62,"00")</f>
        <v>62</v>
      </c>
      <c r="C5050" s="1" t="str">
        <f t="shared" si="321"/>
        <v>631-62</v>
      </c>
      <c r="D5050" t="s">
        <v>5023</v>
      </c>
      <c r="E5050" t="b">
        <f>IF(COUNTIF(D5050,"*"&amp;'Keyword Search'!$C$5&amp;"*"),TRUE,FALSE)</f>
        <v>1</v>
      </c>
      <c r="G5050" t="str">
        <f t="shared" si="322"/>
        <v>631-62: Paint, Rust Preventative, Environmentally Certified Products</v>
      </c>
    </row>
    <row r="5051" spans="1:7" x14ac:dyDescent="0.25">
      <c r="A5051" s="1" t="str">
        <f t="shared" si="323"/>
        <v>631</v>
      </c>
      <c r="B5051" s="1" t="str">
        <f>TEXT(63,"00")</f>
        <v>63</v>
      </c>
      <c r="C5051" s="1" t="str">
        <f t="shared" si="321"/>
        <v>631-63</v>
      </c>
      <c r="D5051" t="s">
        <v>5024</v>
      </c>
      <c r="E5051" t="b">
        <f>IF(COUNTIF(D5051,"*"&amp;'Keyword Search'!$C$5&amp;"*"),TRUE,FALSE)</f>
        <v>1</v>
      </c>
      <c r="G5051" t="str">
        <f t="shared" si="322"/>
        <v>631-63: Paint, Sports Court, Outdoor, Environmentally Certified Products</v>
      </c>
    </row>
    <row r="5052" spans="1:7" x14ac:dyDescent="0.25">
      <c r="A5052" s="1" t="str">
        <f t="shared" si="323"/>
        <v>631</v>
      </c>
      <c r="B5052" s="1" t="str">
        <f>TEXT(64,"00")</f>
        <v>64</v>
      </c>
      <c r="C5052" s="1" t="str">
        <f t="shared" si="321"/>
        <v>631-64</v>
      </c>
      <c r="D5052" t="s">
        <v>5025</v>
      </c>
      <c r="E5052" t="b">
        <f>IF(COUNTIF(D5052,"*"&amp;'Keyword Search'!$C$5&amp;"*"),TRUE,FALSE)</f>
        <v>1</v>
      </c>
      <c r="G5052" t="str">
        <f t="shared" si="322"/>
        <v>631-64: Paint, Spray, Aerosol, Environmentally Certified Products</v>
      </c>
    </row>
    <row r="5053" spans="1:7" x14ac:dyDescent="0.25">
      <c r="A5053" s="1" t="str">
        <f t="shared" si="323"/>
        <v>631</v>
      </c>
      <c r="B5053" s="1" t="str">
        <f>TEXT(65,"00")</f>
        <v>65</v>
      </c>
      <c r="C5053" s="1" t="str">
        <f t="shared" si="321"/>
        <v>631-65</v>
      </c>
      <c r="D5053" t="s">
        <v>5026</v>
      </c>
      <c r="E5053" t="b">
        <f>IF(COUNTIF(D5053,"*"&amp;'Keyword Search'!$C$5&amp;"*"),TRUE,FALSE)</f>
        <v>1</v>
      </c>
      <c r="G5053" t="str">
        <f t="shared" si="322"/>
        <v>631-65: Paint, Swimming Pool, Environmentally Certified Products</v>
      </c>
    </row>
    <row r="5054" spans="1:7" x14ac:dyDescent="0.25">
      <c r="A5054" s="1" t="str">
        <f t="shared" si="323"/>
        <v>631</v>
      </c>
      <c r="B5054" s="1" t="str">
        <f>TEXT(66,"00")</f>
        <v>66</v>
      </c>
      <c r="C5054" s="1" t="str">
        <f t="shared" si="321"/>
        <v>631-66</v>
      </c>
      <c r="D5054" t="s">
        <v>5027</v>
      </c>
      <c r="E5054" t="b">
        <f>IF(COUNTIF(D5054,"*"&amp;'Keyword Search'!$C$5&amp;"*"),TRUE,FALSE)</f>
        <v>1</v>
      </c>
      <c r="G5054" t="str">
        <f t="shared" si="322"/>
        <v>631-66: Paints, Traffic, Environmentally Certified Products</v>
      </c>
    </row>
    <row r="5055" spans="1:7" x14ac:dyDescent="0.25">
      <c r="A5055" s="1" t="str">
        <f t="shared" si="323"/>
        <v>631</v>
      </c>
      <c r="B5055" s="1" t="str">
        <f>TEXT(67,"00")</f>
        <v>67</v>
      </c>
      <c r="C5055" s="1" t="str">
        <f t="shared" si="321"/>
        <v>631-67</v>
      </c>
      <c r="D5055" t="s">
        <v>5028</v>
      </c>
      <c r="E5055" t="b">
        <f>IF(COUNTIF(D5055,"*"&amp;'Keyword Search'!$C$5&amp;"*"),TRUE,FALSE)</f>
        <v>1</v>
      </c>
      <c r="G5055" t="str">
        <f t="shared" si="322"/>
        <v>631-67: Paint Sticks, Annealing, Environmentally Certified Products</v>
      </c>
    </row>
    <row r="5056" spans="1:7" x14ac:dyDescent="0.25">
      <c r="A5056" s="1" t="str">
        <f t="shared" si="323"/>
        <v>631</v>
      </c>
      <c r="B5056" s="1" t="str">
        <f>TEXT(72,"00")</f>
        <v>72</v>
      </c>
      <c r="C5056" s="1" t="str">
        <f t="shared" si="321"/>
        <v>631-72</v>
      </c>
      <c r="D5056" t="s">
        <v>5029</v>
      </c>
      <c r="E5056" t="b">
        <f>IF(COUNTIF(D5056,"*"&amp;'Keyword Search'!$C$5&amp;"*"),TRUE,FALSE)</f>
        <v>1</v>
      </c>
      <c r="G5056" t="str">
        <f t="shared" si="322"/>
        <v>631-72: Primers, Rust Inhibiting: Red Oxide, Zinc Chromate, etc., Environmentally Certified Products</v>
      </c>
    </row>
    <row r="5057" spans="1:7" x14ac:dyDescent="0.25">
      <c r="A5057" s="1" t="str">
        <f t="shared" si="323"/>
        <v>631</v>
      </c>
      <c r="B5057" s="1" t="str">
        <f>TEXT(75,"00")</f>
        <v>75</v>
      </c>
      <c r="C5057" s="1" t="str">
        <f t="shared" si="321"/>
        <v>631-75</v>
      </c>
      <c r="D5057" t="s">
        <v>5030</v>
      </c>
      <c r="E5057" t="b">
        <f>IF(COUNTIF(D5057,"*"&amp;'Keyword Search'!$C$5&amp;"*"),TRUE,FALSE)</f>
        <v>1</v>
      </c>
      <c r="G5057" t="str">
        <f t="shared" si="322"/>
        <v>631-75: Putty, Glazing, Metal and Wood Sash, Environmentally Certified Products</v>
      </c>
    </row>
    <row r="5058" spans="1:7" x14ac:dyDescent="0.25">
      <c r="A5058" s="1" t="str">
        <f t="shared" si="323"/>
        <v>631</v>
      </c>
      <c r="B5058" s="1" t="str">
        <f>TEXT(76,"00")</f>
        <v>76</v>
      </c>
      <c r="C5058" s="1" t="str">
        <f t="shared" si="321"/>
        <v>631-76</v>
      </c>
      <c r="D5058" t="s">
        <v>5031</v>
      </c>
      <c r="E5058" t="b">
        <f>IF(COUNTIF(D5058,"*"&amp;'Keyword Search'!$C$5&amp;"*"),TRUE,FALSE)</f>
        <v>1</v>
      </c>
      <c r="G5058" t="str">
        <f t="shared" si="322"/>
        <v>631-76: Putty: Lacquer, Plumbers, Tape, Environmentally Certified Products</v>
      </c>
    </row>
    <row r="5059" spans="1:7" x14ac:dyDescent="0.25">
      <c r="A5059" s="1" t="str">
        <f t="shared" si="323"/>
        <v>631</v>
      </c>
      <c r="B5059" s="1" t="str">
        <f>TEXT(79,"00")</f>
        <v>79</v>
      </c>
      <c r="C5059" s="1" t="str">
        <f t="shared" ref="C5059:C5122" si="324">CONCATENATE(A5059,"-",B5059)</f>
        <v>631-79</v>
      </c>
      <c r="D5059" t="s">
        <v>5032</v>
      </c>
      <c r="E5059" t="b">
        <f>IF(COUNTIF(D5059,"*"&amp;'Keyword Search'!$C$5&amp;"*"),TRUE,FALSE)</f>
        <v>1</v>
      </c>
      <c r="G5059" t="str">
        <f t="shared" si="322"/>
        <v>631-79: Recycled Paints, Lacquers, Shellacs, Varnish, Primers, Coatings, Sealers, Environmentally Certified Products</v>
      </c>
    </row>
    <row r="5060" spans="1:7" x14ac:dyDescent="0.25">
      <c r="A5060" s="1" t="str">
        <f t="shared" si="323"/>
        <v>631</v>
      </c>
      <c r="B5060" s="1" t="str">
        <f>TEXT(82,"00")</f>
        <v>82</v>
      </c>
      <c r="C5060" s="1" t="str">
        <f t="shared" si="324"/>
        <v>631-82</v>
      </c>
      <c r="D5060" t="s">
        <v>5033</v>
      </c>
      <c r="E5060" t="b">
        <f>IF(COUNTIF(D5060,"*"&amp;'Keyword Search'!$C$5&amp;"*"),TRUE,FALSE)</f>
        <v>1</v>
      </c>
      <c r="G5060" t="str">
        <f t="shared" ref="G5060:G5123" si="325">CONCATENATE(C5060,": ",D5060)</f>
        <v>631-82: Sealers and Primers, Paint, Environmentally Certified Products</v>
      </c>
    </row>
    <row r="5061" spans="1:7" x14ac:dyDescent="0.25">
      <c r="A5061" s="1" t="str">
        <f t="shared" si="323"/>
        <v>631</v>
      </c>
      <c r="B5061" s="1" t="str">
        <f>TEXT(84,"00")</f>
        <v>84</v>
      </c>
      <c r="C5061" s="1" t="str">
        <f t="shared" si="324"/>
        <v>631-84</v>
      </c>
      <c r="D5061" t="s">
        <v>5034</v>
      </c>
      <c r="E5061" t="b">
        <f>IF(COUNTIF(D5061,"*"&amp;'Keyword Search'!$C$5&amp;"*"),TRUE,FALSE)</f>
        <v>1</v>
      </c>
      <c r="G5061" t="str">
        <f t="shared" si="325"/>
        <v>631-84: Stains and Varnishes, Environmentally Certified Products</v>
      </c>
    </row>
    <row r="5062" spans="1:7" x14ac:dyDescent="0.25">
      <c r="A5062" s="1" t="str">
        <f t="shared" si="323"/>
        <v>631</v>
      </c>
      <c r="B5062" s="1" t="str">
        <f>TEXT(88,"00")</f>
        <v>88</v>
      </c>
      <c r="C5062" s="1" t="str">
        <f t="shared" si="324"/>
        <v>631-88</v>
      </c>
      <c r="D5062" t="s">
        <v>5035</v>
      </c>
      <c r="E5062" t="b">
        <f>IF(COUNTIF(D5062,"*"&amp;'Keyword Search'!$C$5&amp;"*"),TRUE,FALSE)</f>
        <v>1</v>
      </c>
      <c r="G5062" t="str">
        <f t="shared" si="325"/>
        <v>631-88: Textured Coatings, All Kinds, Environmentally Certified Products</v>
      </c>
    </row>
    <row r="5063" spans="1:7" x14ac:dyDescent="0.25">
      <c r="A5063" s="1" t="str">
        <f t="shared" si="323"/>
        <v>631</v>
      </c>
      <c r="B5063" s="1" t="str">
        <f>TEXT(90,"00")</f>
        <v>90</v>
      </c>
      <c r="C5063" s="1" t="str">
        <f t="shared" si="324"/>
        <v>631-90</v>
      </c>
      <c r="D5063" t="s">
        <v>5036</v>
      </c>
      <c r="E5063" t="b">
        <f>IF(COUNTIF(D5063,"*"&amp;'Keyword Search'!$C$5&amp;"*"),TRUE,FALSE)</f>
        <v>1</v>
      </c>
      <c r="G5063" t="str">
        <f t="shared" si="325"/>
        <v>631-90: Thinners (Reducers): Alcohols, Aromatic Solvents, Esters, Ketones, Mineral Spirits, Turpentine, V M and P Naphtha, etc., Environmentally Certified Products</v>
      </c>
    </row>
    <row r="5064" spans="1:7" x14ac:dyDescent="0.25">
      <c r="A5064" s="1" t="str">
        <f t="shared" si="323"/>
        <v>631</v>
      </c>
      <c r="B5064" s="1" t="str">
        <f>TEXT(93,"00")</f>
        <v>93</v>
      </c>
      <c r="C5064" s="1" t="str">
        <f t="shared" si="324"/>
        <v>631-93</v>
      </c>
      <c r="D5064" t="s">
        <v>5037</v>
      </c>
      <c r="E5064" t="b">
        <f>IF(COUNTIF(D5064,"*"&amp;'Keyword Search'!$C$5&amp;"*"),TRUE,FALSE)</f>
        <v>1</v>
      </c>
      <c r="G5064" t="str">
        <f t="shared" si="325"/>
        <v>631-93: Wall Coverings, Fabric and Plastic; and Accessories, Including Recycled Types, Environmentally Certified Products</v>
      </c>
    </row>
    <row r="5065" spans="1:7" x14ac:dyDescent="0.25">
      <c r="A5065" s="1" t="str">
        <f t="shared" si="323"/>
        <v>631</v>
      </c>
      <c r="B5065" s="1" t="str">
        <f>TEXT(95,"00")</f>
        <v>95</v>
      </c>
      <c r="C5065" s="1" t="str">
        <f t="shared" si="324"/>
        <v>631-95</v>
      </c>
      <c r="D5065" t="s">
        <v>5038</v>
      </c>
      <c r="E5065" t="b">
        <f>IF(COUNTIF(D5065,"*"&amp;'Keyword Search'!$C$5&amp;"*"),TRUE,FALSE)</f>
        <v>1</v>
      </c>
      <c r="G5065" t="str">
        <f t="shared" si="325"/>
        <v>631-95: Wallpaper, Paste, and Canvas, Including Paper Hanger Tools and Recycled Types, Environmentally Certified Products</v>
      </c>
    </row>
    <row r="5066" spans="1:7" x14ac:dyDescent="0.25">
      <c r="A5066" s="1" t="str">
        <f t="shared" si="323"/>
        <v>631</v>
      </c>
      <c r="B5066" s="1" t="str">
        <f>TEXT(97,"00")</f>
        <v>97</v>
      </c>
      <c r="C5066" s="1" t="str">
        <f t="shared" si="324"/>
        <v>631-97</v>
      </c>
      <c r="D5066" t="s">
        <v>5039</v>
      </c>
      <c r="E5066" t="b">
        <f>IF(COUNTIF(D5066,"*"&amp;'Keyword Search'!$C$5&amp;"*"),TRUE,FALSE)</f>
        <v>1</v>
      </c>
      <c r="G5066" t="str">
        <f t="shared" si="325"/>
        <v>631-97: Wood Preservative and/or Water-Repellent Finishes, Environmentally Certified Products</v>
      </c>
    </row>
    <row r="5067" spans="1:7" x14ac:dyDescent="0.25">
      <c r="A5067" s="5" t="str">
        <f t="shared" ref="A5067:A5084" si="326">TEXT(635,"000")</f>
        <v>635</v>
      </c>
      <c r="B5067" s="5" t="str">
        <f>TEXT(0,"00")</f>
        <v>00</v>
      </c>
      <c r="C5067" s="1"/>
      <c r="D5067" s="2" t="s">
        <v>5040</v>
      </c>
    </row>
    <row r="5068" spans="1:7" x14ac:dyDescent="0.25">
      <c r="A5068" s="1" t="str">
        <f t="shared" si="326"/>
        <v>635</v>
      </c>
      <c r="B5068" s="1" t="str">
        <f>TEXT(6,"00")</f>
        <v>06</v>
      </c>
      <c r="C5068" s="1" t="str">
        <f t="shared" si="324"/>
        <v>635-06</v>
      </c>
      <c r="D5068" t="s">
        <v>5041</v>
      </c>
      <c r="E5068" t="b">
        <f>IF(COUNTIF(D5068,"*"&amp;'Keyword Search'!$C$5&amp;"*"),TRUE,FALSE)</f>
        <v>1</v>
      </c>
      <c r="G5068" t="str">
        <f t="shared" si="325"/>
        <v>635-06: Can Opener, Paint, Pneumatic</v>
      </c>
    </row>
    <row r="5069" spans="1:7" x14ac:dyDescent="0.25">
      <c r="A5069" s="1" t="str">
        <f t="shared" si="326"/>
        <v>635</v>
      </c>
      <c r="B5069" s="1" t="str">
        <f>TEXT(7,"00")</f>
        <v>07</v>
      </c>
      <c r="C5069" s="1" t="str">
        <f t="shared" si="324"/>
        <v>635-07</v>
      </c>
      <c r="D5069" t="s">
        <v>5042</v>
      </c>
      <c r="E5069" t="b">
        <f>IF(COUNTIF(D5069,"*"&amp;'Keyword Search'!$C$5&amp;"*"),TRUE,FALSE)</f>
        <v>1</v>
      </c>
      <c r="G5069" t="str">
        <f t="shared" si="325"/>
        <v>635-07: Cleaner and Conditioner, Paint Brush</v>
      </c>
    </row>
    <row r="5070" spans="1:7" x14ac:dyDescent="0.25">
      <c r="A5070" s="1" t="str">
        <f t="shared" si="326"/>
        <v>635</v>
      </c>
      <c r="B5070" s="1" t="str">
        <f>TEXT(8,"00")</f>
        <v>08</v>
      </c>
      <c r="C5070" s="1" t="str">
        <f t="shared" si="324"/>
        <v>635-08</v>
      </c>
      <c r="D5070" t="s">
        <v>5043</v>
      </c>
      <c r="E5070" t="b">
        <f>IF(COUNTIF(D5070,"*"&amp;'Keyword Search'!$C$5&amp;"*"),TRUE,FALSE)</f>
        <v>1</v>
      </c>
      <c r="G5070" t="str">
        <f t="shared" si="325"/>
        <v>635-08: Compressors, Portable Paint Sprayer, Electric Motor or Engine Driven (Up to 25 CFM @ 100 PSI)</v>
      </c>
    </row>
    <row r="5071" spans="1:7" x14ac:dyDescent="0.25">
      <c r="A5071" s="1" t="str">
        <f t="shared" si="326"/>
        <v>635</v>
      </c>
      <c r="B5071" s="1" t="str">
        <f>TEXT(14,"00")</f>
        <v>14</v>
      </c>
      <c r="C5071" s="1" t="str">
        <f t="shared" si="324"/>
        <v>635-14</v>
      </c>
      <c r="D5071" t="s">
        <v>5044</v>
      </c>
      <c r="E5071" t="b">
        <f>IF(COUNTIF(D5071,"*"&amp;'Keyword Search'!$C$5&amp;"*"),TRUE,FALSE)</f>
        <v>1</v>
      </c>
      <c r="G5071" t="str">
        <f t="shared" si="325"/>
        <v>635-14: Drop Cloths, Hoods and Mitts, Painter's</v>
      </c>
    </row>
    <row r="5072" spans="1:7" x14ac:dyDescent="0.25">
      <c r="A5072" s="1" t="str">
        <f t="shared" si="326"/>
        <v>635</v>
      </c>
      <c r="B5072" s="1" t="str">
        <f>TEXT(20,"00")</f>
        <v>20</v>
      </c>
      <c r="C5072" s="1" t="str">
        <f t="shared" si="324"/>
        <v>635-20</v>
      </c>
      <c r="D5072" t="s">
        <v>5045</v>
      </c>
      <c r="E5072" t="b">
        <f>IF(COUNTIF(D5072,"*"&amp;'Keyword Search'!$C$5&amp;"*"),TRUE,FALSE)</f>
        <v>1</v>
      </c>
      <c r="G5072" t="str">
        <f t="shared" si="325"/>
        <v>635-20: Filter Pads, Paint Arrester</v>
      </c>
    </row>
    <row r="5073" spans="1:7" x14ac:dyDescent="0.25">
      <c r="A5073" s="1" t="str">
        <f t="shared" si="326"/>
        <v>635</v>
      </c>
      <c r="B5073" s="1" t="str">
        <f>TEXT(38,"00")</f>
        <v>38</v>
      </c>
      <c r="C5073" s="1" t="str">
        <f t="shared" si="324"/>
        <v>635-38</v>
      </c>
      <c r="D5073" t="s">
        <v>5046</v>
      </c>
      <c r="E5073" t="b">
        <f>IF(COUNTIF(D5073,"*"&amp;'Keyword Search'!$C$5&amp;"*"),TRUE,FALSE)</f>
        <v>1</v>
      </c>
      <c r="G5073" t="str">
        <f t="shared" si="325"/>
        <v>635-38: Masking Film, Spray Booth Lining, Masking Paper, etc.</v>
      </c>
    </row>
    <row r="5074" spans="1:7" x14ac:dyDescent="0.25">
      <c r="A5074" s="1" t="str">
        <f t="shared" si="326"/>
        <v>635</v>
      </c>
      <c r="B5074" s="1" t="str">
        <f>TEXT(40,"00")</f>
        <v>40</v>
      </c>
      <c r="C5074" s="1" t="str">
        <f t="shared" si="324"/>
        <v>635-40</v>
      </c>
      <c r="D5074" t="s">
        <v>5047</v>
      </c>
      <c r="E5074" t="b">
        <f>IF(COUNTIF(D5074,"*"&amp;'Keyword Search'!$C$5&amp;"*"),TRUE,FALSE)</f>
        <v>1</v>
      </c>
      <c r="G5074" t="str">
        <f t="shared" si="325"/>
        <v>635-40: Paint Conditioners, Mixers, Shakers, and Tinting Machines</v>
      </c>
    </row>
    <row r="5075" spans="1:7" x14ac:dyDescent="0.25">
      <c r="A5075" s="1" t="str">
        <f t="shared" si="326"/>
        <v>635</v>
      </c>
      <c r="B5075" s="1" t="str">
        <f>TEXT(43,"00")</f>
        <v>43</v>
      </c>
      <c r="C5075" s="1" t="str">
        <f t="shared" si="324"/>
        <v>635-43</v>
      </c>
      <c r="D5075" t="s">
        <v>5048</v>
      </c>
      <c r="E5075" t="b">
        <f>IF(COUNTIF(D5075,"*"&amp;'Keyword Search'!$C$5&amp;"*"),TRUE,FALSE)</f>
        <v>1</v>
      </c>
      <c r="G5075" t="str">
        <f t="shared" si="325"/>
        <v>635-43: Paint Equipment, Accessories and Supplies (Not Otherwise Classified)</v>
      </c>
    </row>
    <row r="5076" spans="1:7" x14ac:dyDescent="0.25">
      <c r="A5076" s="1" t="str">
        <f t="shared" si="326"/>
        <v>635</v>
      </c>
      <c r="B5076" s="1" t="str">
        <f>TEXT(45,"00")</f>
        <v>45</v>
      </c>
      <c r="C5076" s="1" t="str">
        <f t="shared" si="324"/>
        <v>635-45</v>
      </c>
      <c r="D5076" t="s">
        <v>5049</v>
      </c>
      <c r="E5076" t="b">
        <f>IF(COUNTIF(D5076,"*"&amp;'Keyword Search'!$C$5&amp;"*"),TRUE,FALSE)</f>
        <v>1</v>
      </c>
      <c r="G5076" t="str">
        <f t="shared" si="325"/>
        <v>635-45: Paint and Varnish Removing Equipment</v>
      </c>
    </row>
    <row r="5077" spans="1:7" x14ac:dyDescent="0.25">
      <c r="A5077" s="1" t="str">
        <f t="shared" si="326"/>
        <v>635</v>
      </c>
      <c r="B5077" s="1" t="str">
        <f>TEXT(47,"00")</f>
        <v>47</v>
      </c>
      <c r="C5077" s="1" t="str">
        <f t="shared" si="324"/>
        <v>635-47</v>
      </c>
      <c r="D5077" t="s">
        <v>5050</v>
      </c>
      <c r="E5077" t="b">
        <f>IF(COUNTIF(D5077,"*"&amp;'Keyword Search'!$C$5&amp;"*"),TRUE,FALSE)</f>
        <v>1</v>
      </c>
      <c r="G5077" t="str">
        <f t="shared" si="325"/>
        <v>635-47: Rollers, Paint Can Holders, Trays and Accessories</v>
      </c>
    </row>
    <row r="5078" spans="1:7" x14ac:dyDescent="0.25">
      <c r="A5078" s="1" t="str">
        <f t="shared" si="326"/>
        <v>635</v>
      </c>
      <c r="B5078" s="1" t="str">
        <f>TEXT(50,"00")</f>
        <v>50</v>
      </c>
      <c r="C5078" s="1" t="str">
        <f t="shared" si="324"/>
        <v>635-50</v>
      </c>
      <c r="D5078" t="s">
        <v>5051</v>
      </c>
      <c r="E5078" t="b">
        <f>IF(COUNTIF(D5078,"*"&amp;'Keyword Search'!$C$5&amp;"*"),TRUE,FALSE)</f>
        <v>1</v>
      </c>
      <c r="G5078" t="str">
        <f t="shared" si="325"/>
        <v>635-50: Screens and Strainers</v>
      </c>
    </row>
    <row r="5079" spans="1:7" x14ac:dyDescent="0.25">
      <c r="A5079" s="1" t="str">
        <f t="shared" si="326"/>
        <v>635</v>
      </c>
      <c r="B5079" s="1" t="str">
        <f>TEXT(65,"00")</f>
        <v>65</v>
      </c>
      <c r="C5079" s="1" t="str">
        <f t="shared" si="324"/>
        <v>635-65</v>
      </c>
      <c r="D5079" t="s">
        <v>5052</v>
      </c>
      <c r="E5079" t="b">
        <f>IF(COUNTIF(D5079,"*"&amp;'Keyword Search'!$C$5&amp;"*"),TRUE,FALSE)</f>
        <v>1</v>
      </c>
      <c r="G5079" t="str">
        <f t="shared" si="325"/>
        <v>635-65: Spray Booths and Accessories, Paint</v>
      </c>
    </row>
    <row r="5080" spans="1:7" x14ac:dyDescent="0.25">
      <c r="A5080" s="1" t="str">
        <f t="shared" si="326"/>
        <v>635</v>
      </c>
      <c r="B5080" s="1" t="str">
        <f>TEXT(70,"00")</f>
        <v>70</v>
      </c>
      <c r="C5080" s="1" t="str">
        <f t="shared" si="324"/>
        <v>635-70</v>
      </c>
      <c r="D5080" t="s">
        <v>5053</v>
      </c>
      <c r="E5080" t="b">
        <f>IF(COUNTIF(D5080,"*"&amp;'Keyword Search'!$C$5&amp;"*"),TRUE,FALSE)</f>
        <v>1</v>
      </c>
      <c r="G5080" t="str">
        <f t="shared" si="325"/>
        <v>635-70: Spray Booths and Accessories, Water Wash</v>
      </c>
    </row>
    <row r="5081" spans="1:7" x14ac:dyDescent="0.25">
      <c r="A5081" s="1" t="str">
        <f t="shared" si="326"/>
        <v>635</v>
      </c>
      <c r="B5081" s="1" t="str">
        <f>TEXT(75,"00")</f>
        <v>75</v>
      </c>
      <c r="C5081" s="1" t="str">
        <f t="shared" si="324"/>
        <v>635-75</v>
      </c>
      <c r="D5081" t="s">
        <v>5054</v>
      </c>
      <c r="E5081" t="b">
        <f>IF(COUNTIF(D5081,"*"&amp;'Keyword Search'!$C$5&amp;"*"),TRUE,FALSE)</f>
        <v>1</v>
      </c>
      <c r="G5081" t="str">
        <f t="shared" si="325"/>
        <v>635-75: Sprayer Components and Accessories: Guns, Hoses, Pots, Regulators, Tanks, etc.</v>
      </c>
    </row>
    <row r="5082" spans="1:7" x14ac:dyDescent="0.25">
      <c r="A5082" s="1" t="str">
        <f t="shared" si="326"/>
        <v>635</v>
      </c>
      <c r="B5082" s="1" t="str">
        <f>TEXT(80,"00")</f>
        <v>80</v>
      </c>
      <c r="C5082" s="1" t="str">
        <f t="shared" si="324"/>
        <v>635-80</v>
      </c>
      <c r="D5082" t="s">
        <v>5055</v>
      </c>
      <c r="E5082" t="b">
        <f>IF(COUNTIF(D5082,"*"&amp;'Keyword Search'!$C$5&amp;"*"),TRUE,FALSE)</f>
        <v>1</v>
      </c>
      <c r="G5082" t="str">
        <f t="shared" si="325"/>
        <v>635-80: Sprayers and Spray Systems, Industrial, Heavy Duty</v>
      </c>
    </row>
    <row r="5083" spans="1:7" x14ac:dyDescent="0.25">
      <c r="A5083" s="1" t="str">
        <f t="shared" si="326"/>
        <v>635</v>
      </c>
      <c r="B5083" s="1" t="str">
        <f>TEXT(85,"00")</f>
        <v>85</v>
      </c>
      <c r="C5083" s="1" t="str">
        <f t="shared" si="324"/>
        <v>635-85</v>
      </c>
      <c r="D5083" t="s">
        <v>5056</v>
      </c>
      <c r="E5083" t="b">
        <f>IF(COUNTIF(D5083,"*"&amp;'Keyword Search'!$C$5&amp;"*"),TRUE,FALSE)</f>
        <v>1</v>
      </c>
      <c r="G5083" t="str">
        <f t="shared" si="325"/>
        <v>635-85: Spraying Outfits, Portable, Light Duty</v>
      </c>
    </row>
    <row r="5084" spans="1:7" x14ac:dyDescent="0.25">
      <c r="A5084" s="1" t="str">
        <f t="shared" si="326"/>
        <v>635</v>
      </c>
      <c r="B5084" s="1" t="str">
        <f>TEXT(95,"00")</f>
        <v>95</v>
      </c>
      <c r="C5084" s="1" t="str">
        <f t="shared" si="324"/>
        <v>635-95</v>
      </c>
      <c r="D5084" t="s">
        <v>5057</v>
      </c>
      <c r="E5084" t="b">
        <f>IF(COUNTIF(D5084,"*"&amp;'Keyword Search'!$C$5&amp;"*"),TRUE,FALSE)</f>
        <v>1</v>
      </c>
      <c r="G5084" t="str">
        <f t="shared" si="325"/>
        <v>635-95: Recycled Painting Equipment and Accessories</v>
      </c>
    </row>
    <row r="5085" spans="1:7" x14ac:dyDescent="0.25">
      <c r="A5085" s="5" t="str">
        <f t="shared" ref="A5085:A5114" si="327">TEXT(640,"000")</f>
        <v>640</v>
      </c>
      <c r="B5085" s="5" t="str">
        <f>TEXT(0,"00")</f>
        <v>00</v>
      </c>
      <c r="C5085" s="1"/>
      <c r="D5085" s="2" t="s">
        <v>5058</v>
      </c>
    </row>
    <row r="5086" spans="1:7" x14ac:dyDescent="0.25">
      <c r="A5086" s="1" t="str">
        <f t="shared" si="327"/>
        <v>640</v>
      </c>
      <c r="B5086" s="1" t="str">
        <f>TEXT(5,"00")</f>
        <v>05</v>
      </c>
      <c r="C5086" s="1" t="str">
        <f t="shared" si="324"/>
        <v>640-05</v>
      </c>
      <c r="D5086" t="s">
        <v>5059</v>
      </c>
      <c r="E5086" t="b">
        <f>IF(COUNTIF(D5086,"*"&amp;'Keyword Search'!$C$5&amp;"*"),TRUE,FALSE)</f>
        <v>1</v>
      </c>
      <c r="G5086" t="str">
        <f t="shared" si="325"/>
        <v>640-05: Bags and Boxes: Pollinating, Seed, and Soil Sampling; and Seed Germination Paper</v>
      </c>
    </row>
    <row r="5087" spans="1:7" x14ac:dyDescent="0.25">
      <c r="A5087" s="1" t="str">
        <f t="shared" si="327"/>
        <v>640</v>
      </c>
      <c r="B5087" s="1" t="str">
        <f>TEXT(8,"00")</f>
        <v>08</v>
      </c>
      <c r="C5087" s="1" t="str">
        <f t="shared" si="324"/>
        <v>640-08</v>
      </c>
      <c r="D5087" t="s">
        <v>5060</v>
      </c>
      <c r="E5087" t="b">
        <f>IF(COUNTIF(D5087,"*"&amp;'Keyword Search'!$C$5&amp;"*"),TRUE,FALSE)</f>
        <v>1</v>
      </c>
      <c r="G5087" t="str">
        <f t="shared" si="325"/>
        <v>640-08: Bags, Food Storage, Including Freezer Type</v>
      </c>
    </row>
    <row r="5088" spans="1:7" x14ac:dyDescent="0.25">
      <c r="A5088" s="1" t="str">
        <f t="shared" si="327"/>
        <v>640</v>
      </c>
      <c r="B5088" s="1" t="str">
        <f>TEXT(9,"00")</f>
        <v>09</v>
      </c>
      <c r="C5088" s="1" t="str">
        <f t="shared" si="324"/>
        <v>640-09</v>
      </c>
      <c r="D5088" t="s">
        <v>5061</v>
      </c>
      <c r="E5088" t="b">
        <f>IF(COUNTIF(D5088,"*"&amp;'Keyword Search'!$C$5&amp;"*"),TRUE,FALSE)</f>
        <v>1</v>
      </c>
      <c r="G5088" t="str">
        <f t="shared" si="325"/>
        <v>640-09: Bags, Glassine</v>
      </c>
    </row>
    <row r="5089" spans="1:7" x14ac:dyDescent="0.25">
      <c r="A5089" s="1" t="str">
        <f t="shared" si="327"/>
        <v>640</v>
      </c>
      <c r="B5089" s="1" t="str">
        <f>TEXT(10,"00")</f>
        <v>10</v>
      </c>
      <c r="C5089" s="1" t="str">
        <f t="shared" si="324"/>
        <v>640-10</v>
      </c>
      <c r="D5089" t="s">
        <v>5062</v>
      </c>
      <c r="E5089" t="b">
        <f>IF(COUNTIF(D5089,"*"&amp;'Keyword Search'!$C$5&amp;"*"),TRUE,FALSE)</f>
        <v>1</v>
      </c>
      <c r="G5089" t="str">
        <f t="shared" si="325"/>
        <v>640-10: Bags, Padded: Book Mailing, Shipping, etc., Including Biodegradable</v>
      </c>
    </row>
    <row r="5090" spans="1:7" x14ac:dyDescent="0.25">
      <c r="A5090" s="1" t="str">
        <f t="shared" si="327"/>
        <v>640</v>
      </c>
      <c r="B5090" s="1" t="str">
        <f>TEXT(15,"00")</f>
        <v>15</v>
      </c>
      <c r="C5090" s="1" t="str">
        <f t="shared" si="324"/>
        <v>640-15</v>
      </c>
      <c r="D5090" t="s">
        <v>5063</v>
      </c>
      <c r="E5090" t="b">
        <f>IF(COUNTIF(D5090,"*"&amp;'Keyword Search'!$C$5&amp;"*"),TRUE,FALSE)</f>
        <v>1</v>
      </c>
      <c r="G5090" t="str">
        <f t="shared" si="325"/>
        <v>640-15: Bags, Paper: Regular Weight, Heavy Weight, Nail, etc.</v>
      </c>
    </row>
    <row r="5091" spans="1:7" x14ac:dyDescent="0.25">
      <c r="A5091" s="1" t="str">
        <f t="shared" si="327"/>
        <v>640</v>
      </c>
      <c r="B5091" s="1" t="str">
        <f>TEXT(18,"00")</f>
        <v>18</v>
      </c>
      <c r="C5091" s="1" t="str">
        <f t="shared" si="324"/>
        <v>640-18</v>
      </c>
      <c r="D5091" t="s">
        <v>5064</v>
      </c>
      <c r="E5091" t="b">
        <f>IF(COUNTIF(D5091,"*"&amp;'Keyword Search'!$C$5&amp;"*"),TRUE,FALSE)</f>
        <v>1</v>
      </c>
      <c r="G5091" t="str">
        <f t="shared" si="325"/>
        <v>640-18: Boxes and Retention Packaging (Not Otherwise Classified)</v>
      </c>
    </row>
    <row r="5092" spans="1:7" x14ac:dyDescent="0.25">
      <c r="A5092" s="1" t="str">
        <f t="shared" si="327"/>
        <v>640</v>
      </c>
      <c r="B5092" s="1" t="str">
        <f>TEXT(20,"00")</f>
        <v>20</v>
      </c>
      <c r="C5092" s="1" t="str">
        <f t="shared" si="324"/>
        <v>640-20</v>
      </c>
      <c r="D5092" t="s">
        <v>5065</v>
      </c>
      <c r="E5092" t="b">
        <f>IF(COUNTIF(D5092,"*"&amp;'Keyword Search'!$C$5&amp;"*"),TRUE,FALSE)</f>
        <v>1</v>
      </c>
      <c r="G5092" t="str">
        <f t="shared" si="325"/>
        <v>640-20: Chipboard, Pasteboard, and Telescoping Boxes</v>
      </c>
    </row>
    <row r="5093" spans="1:7" x14ac:dyDescent="0.25">
      <c r="A5093" s="1" t="str">
        <f t="shared" si="327"/>
        <v>640</v>
      </c>
      <c r="B5093" s="1" t="str">
        <f>TEXT(21,"00")</f>
        <v>21</v>
      </c>
      <c r="C5093" s="1" t="str">
        <f t="shared" si="324"/>
        <v>640-21</v>
      </c>
      <c r="D5093" t="s">
        <v>5066</v>
      </c>
      <c r="E5093" t="b">
        <f>IF(COUNTIF(D5093,"*"&amp;'Keyword Search'!$C$5&amp;"*"),TRUE,FALSE)</f>
        <v>1</v>
      </c>
      <c r="G5093" t="str">
        <f t="shared" si="325"/>
        <v>640-21: Compostable Food Service Products, Including Biodegradable: Bowls, Covers, Hot/Cold Cups, Cutlery, Dinnerware, Servers, Trays, Napkins and Straws</v>
      </c>
    </row>
    <row r="5094" spans="1:7" x14ac:dyDescent="0.25">
      <c r="A5094" s="1" t="str">
        <f t="shared" si="327"/>
        <v>640</v>
      </c>
      <c r="B5094" s="1" t="str">
        <f>TEXT(22,"00")</f>
        <v>22</v>
      </c>
      <c r="C5094" s="1" t="str">
        <f t="shared" si="324"/>
        <v>640-22</v>
      </c>
      <c r="D5094" t="s">
        <v>5067</v>
      </c>
      <c r="E5094" t="b">
        <f>IF(COUNTIF(D5094,"*"&amp;'Keyword Search'!$C$5&amp;"*"),TRUE,FALSE)</f>
        <v>1</v>
      </c>
      <c r="G5094" t="str">
        <f t="shared" si="325"/>
        <v>640-22: Containers, Paper and Plastic</v>
      </c>
    </row>
    <row r="5095" spans="1:7" x14ac:dyDescent="0.25">
      <c r="A5095" s="1" t="str">
        <f t="shared" si="327"/>
        <v>640</v>
      </c>
      <c r="B5095" s="1" t="str">
        <f>TEXT(23,"00")</f>
        <v>23</v>
      </c>
      <c r="C5095" s="1" t="str">
        <f t="shared" si="324"/>
        <v>640-23</v>
      </c>
      <c r="D5095" t="s">
        <v>5068</v>
      </c>
      <c r="E5095" t="b">
        <f>IF(COUNTIF(D5095,"*"&amp;'Keyword Search'!$C$5&amp;"*"),TRUE,FALSE)</f>
        <v>1</v>
      </c>
      <c r="G5095" t="str">
        <f t="shared" si="325"/>
        <v>640-23: Containers, Cylindrical, Cardboard, Not Mailing Type)</v>
      </c>
    </row>
    <row r="5096" spans="1:7" x14ac:dyDescent="0.25">
      <c r="A5096" s="1" t="str">
        <f t="shared" si="327"/>
        <v>640</v>
      </c>
      <c r="B5096" s="1" t="str">
        <f>TEXT(25,"00")</f>
        <v>25</v>
      </c>
      <c r="C5096" s="1" t="str">
        <f t="shared" si="324"/>
        <v>640-25</v>
      </c>
      <c r="D5096" t="s">
        <v>5069</v>
      </c>
      <c r="E5096" t="b">
        <f>IF(COUNTIF(D5096,"*"&amp;'Keyword Search'!$C$5&amp;"*"),TRUE,FALSE)</f>
        <v>1</v>
      </c>
      <c r="G5096" t="str">
        <f t="shared" si="325"/>
        <v>640-25: Corrugated Boxes and Sheets, Including Fillers</v>
      </c>
    </row>
    <row r="5097" spans="1:7" x14ac:dyDescent="0.25">
      <c r="A5097" s="1" t="str">
        <f t="shared" si="327"/>
        <v>640</v>
      </c>
      <c r="B5097" s="1" t="str">
        <f>TEXT(26,"00")</f>
        <v>26</v>
      </c>
      <c r="C5097" s="1" t="str">
        <f t="shared" si="324"/>
        <v>640-26</v>
      </c>
      <c r="D5097" t="s">
        <v>5070</v>
      </c>
      <c r="E5097" t="b">
        <f>IF(COUNTIF(D5097,"*"&amp;'Keyword Search'!$C$5&amp;"*"),TRUE,FALSE)</f>
        <v>1</v>
      </c>
      <c r="G5097" t="str">
        <f t="shared" si="325"/>
        <v>640-26: Fiber Type Dishes, Trays, Oil Pans, Parts Trays, etc., Disposable</v>
      </c>
    </row>
    <row r="5098" spans="1:7" x14ac:dyDescent="0.25">
      <c r="A5098" s="1" t="str">
        <f t="shared" si="327"/>
        <v>640</v>
      </c>
      <c r="B5098" s="1" t="str">
        <f>TEXT(27,"00")</f>
        <v>27</v>
      </c>
      <c r="C5098" s="1" t="str">
        <f t="shared" si="324"/>
        <v>640-27</v>
      </c>
      <c r="D5098" t="s">
        <v>5071</v>
      </c>
      <c r="E5098" t="b">
        <f>IF(COUNTIF(D5098,"*"&amp;'Keyword Search'!$C$5&amp;"*"),TRUE,FALSE)</f>
        <v>1</v>
      </c>
      <c r="G5098" t="str">
        <f t="shared" si="325"/>
        <v>640-27: Foil Containers and Bags</v>
      </c>
    </row>
    <row r="5099" spans="1:7" x14ac:dyDescent="0.25">
      <c r="A5099" s="1" t="str">
        <f t="shared" si="327"/>
        <v>640</v>
      </c>
      <c r="B5099" s="1" t="str">
        <f>TEXT(28,"00")</f>
        <v>28</v>
      </c>
      <c r="C5099" s="1" t="str">
        <f t="shared" si="324"/>
        <v>640-28</v>
      </c>
      <c r="D5099" t="s">
        <v>5072</v>
      </c>
      <c r="E5099" t="b">
        <f>IF(COUNTIF(D5099,"*"&amp;'Keyword Search'!$C$5&amp;"*"),TRUE,FALSE)</f>
        <v>1</v>
      </c>
      <c r="G5099" t="str">
        <f t="shared" si="325"/>
        <v>640-28: Gift Wrap Paper Including Tissue Paper and Ribbons</v>
      </c>
    </row>
    <row r="5100" spans="1:7" x14ac:dyDescent="0.25">
      <c r="A5100" s="1" t="str">
        <f t="shared" si="327"/>
        <v>640</v>
      </c>
      <c r="B5100" s="1" t="str">
        <f>TEXT(30,"00")</f>
        <v>30</v>
      </c>
      <c r="C5100" s="1" t="str">
        <f t="shared" si="324"/>
        <v>640-30</v>
      </c>
      <c r="D5100" t="s">
        <v>5073</v>
      </c>
      <c r="E5100" t="b">
        <f>IF(COUNTIF(D5100,"*"&amp;'Keyword Search'!$C$5&amp;"*"),TRUE,FALSE)</f>
        <v>1</v>
      </c>
      <c r="G5100" t="str">
        <f t="shared" si="325"/>
        <v>640-30: Mailing Tubes and Storage Tubes</v>
      </c>
    </row>
    <row r="5101" spans="1:7" x14ac:dyDescent="0.25">
      <c r="A5101" s="1" t="str">
        <f t="shared" si="327"/>
        <v>640</v>
      </c>
      <c r="B5101" s="1" t="str">
        <f>TEXT(40,"00")</f>
        <v>40</v>
      </c>
      <c r="C5101" s="1" t="str">
        <f t="shared" si="324"/>
        <v>640-40</v>
      </c>
      <c r="D5101" t="s">
        <v>5074</v>
      </c>
      <c r="E5101" t="b">
        <f>IF(COUNTIF(D5101,"*"&amp;'Keyword Search'!$C$5&amp;"*"),TRUE,FALSE)</f>
        <v>1</v>
      </c>
      <c r="G5101" t="str">
        <f t="shared" si="325"/>
        <v>640-40: Multiwall Paper Bags</v>
      </c>
    </row>
    <row r="5102" spans="1:7" x14ac:dyDescent="0.25">
      <c r="A5102" s="1" t="str">
        <f t="shared" si="327"/>
        <v>640</v>
      </c>
      <c r="B5102" s="1" t="str">
        <f>TEXT(42,"00")</f>
        <v>42</v>
      </c>
      <c r="C5102" s="1" t="str">
        <f t="shared" si="324"/>
        <v>640-42</v>
      </c>
      <c r="D5102" t="s">
        <v>5075</v>
      </c>
      <c r="E5102" t="b">
        <f>IF(COUNTIF(D5102,"*"&amp;'Keyword Search'!$C$5&amp;"*"),TRUE,FALSE)</f>
        <v>1</v>
      </c>
      <c r="G5102" t="str">
        <f t="shared" si="325"/>
        <v>640-42: Multiwall Wrapping Paper, Rolls or Sheets</v>
      </c>
    </row>
    <row r="5103" spans="1:7" x14ac:dyDescent="0.25">
      <c r="A5103" s="1" t="str">
        <f t="shared" si="327"/>
        <v>640</v>
      </c>
      <c r="B5103" s="1" t="str">
        <f>TEXT(43,"00")</f>
        <v>43</v>
      </c>
      <c r="C5103" s="1" t="str">
        <f t="shared" si="324"/>
        <v>640-43</v>
      </c>
      <c r="D5103" t="s">
        <v>5076</v>
      </c>
      <c r="E5103" t="b">
        <f>IF(COUNTIF(D5103,"*"&amp;'Keyword Search'!$C$5&amp;"*"),TRUE,FALSE)</f>
        <v>1</v>
      </c>
      <c r="G5103" t="str">
        <f t="shared" si="325"/>
        <v>640-43: Packing Materials for Mailing and Shipping, Not Containers</v>
      </c>
    </row>
    <row r="5104" spans="1:7" x14ac:dyDescent="0.25">
      <c r="A5104" s="1" t="str">
        <f t="shared" si="327"/>
        <v>640</v>
      </c>
      <c r="B5104" s="1" t="str">
        <f>TEXT(44,"00")</f>
        <v>44</v>
      </c>
      <c r="C5104" s="1" t="str">
        <f t="shared" si="324"/>
        <v>640-44</v>
      </c>
      <c r="D5104" t="s">
        <v>5077</v>
      </c>
      <c r="E5104" t="b">
        <f>IF(COUNTIF(D5104,"*"&amp;'Keyword Search'!$C$5&amp;"*"),TRUE,FALSE)</f>
        <v>1</v>
      </c>
      <c r="G5104" t="str">
        <f t="shared" si="325"/>
        <v>640-44: Packing List Envelopes, Plastic and Paper, Self Adhesive</v>
      </c>
    </row>
    <row r="5105" spans="1:7" x14ac:dyDescent="0.25">
      <c r="A5105" s="1" t="str">
        <f t="shared" si="327"/>
        <v>640</v>
      </c>
      <c r="B5105" s="1" t="str">
        <f>TEXT(45,"00")</f>
        <v>45</v>
      </c>
      <c r="C5105" s="1" t="str">
        <f t="shared" si="324"/>
        <v>640-45</v>
      </c>
      <c r="D5105" t="s">
        <v>5078</v>
      </c>
      <c r="E5105" t="b">
        <f>IF(COUNTIF(D5105,"*"&amp;'Keyword Search'!$C$5&amp;"*"),TRUE,FALSE)</f>
        <v>1</v>
      </c>
      <c r="G5105" t="str">
        <f t="shared" si="325"/>
        <v>640-45: Paper, Food Processing, Fresh and Frozen: Butcher Paper, Butter Paper, Freezer Paper, Vegetable Paper, etc.</v>
      </c>
    </row>
    <row r="5106" spans="1:7" x14ac:dyDescent="0.25">
      <c r="A5106" s="1" t="str">
        <f t="shared" si="327"/>
        <v>640</v>
      </c>
      <c r="B5106" s="1" t="str">
        <f>TEXT(50,"00")</f>
        <v>50</v>
      </c>
      <c r="C5106" s="1" t="str">
        <f t="shared" si="324"/>
        <v>640-50</v>
      </c>
      <c r="D5106" t="s">
        <v>5079</v>
      </c>
      <c r="E5106" t="b">
        <f>IF(COUNTIF(D5106,"*"&amp;'Keyword Search'!$C$5&amp;"*"),TRUE,FALSE)</f>
        <v>1</v>
      </c>
      <c r="G5106" t="str">
        <f t="shared" si="325"/>
        <v>640-50: Paper Products: Cups, Doilies, Napkins, Plates, Straws, Facial Tissues, Other Than Hospital</v>
      </c>
    </row>
    <row r="5107" spans="1:7" x14ac:dyDescent="0.25">
      <c r="A5107" s="1" t="str">
        <f t="shared" si="327"/>
        <v>640</v>
      </c>
      <c r="B5107" s="1" t="str">
        <f>TEXT(60,"00")</f>
        <v>60</v>
      </c>
      <c r="C5107" s="1" t="str">
        <f t="shared" si="324"/>
        <v>640-60</v>
      </c>
      <c r="D5107" t="s">
        <v>5080</v>
      </c>
      <c r="E5107" t="b">
        <f>IF(COUNTIF(D5107,"*"&amp;'Keyword Search'!$C$5&amp;"*"),TRUE,FALSE)</f>
        <v>1</v>
      </c>
      <c r="G5107" t="str">
        <f t="shared" si="325"/>
        <v>640-60: Plastic and Styrofoam Products: Cups, Forks, Plastic Coated Dishes, Plastic Food Wrap, Cooking Bags, Sandwich Bags, Spoons, Straws, Doilies, etc.</v>
      </c>
    </row>
    <row r="5108" spans="1:7" x14ac:dyDescent="0.25">
      <c r="A5108" s="1" t="str">
        <f t="shared" si="327"/>
        <v>640</v>
      </c>
      <c r="B5108" s="1" t="str">
        <f>TEXT(66,"00")</f>
        <v>66</v>
      </c>
      <c r="C5108" s="1" t="str">
        <f t="shared" si="324"/>
        <v>640-66</v>
      </c>
      <c r="D5108" t="s">
        <v>5081</v>
      </c>
      <c r="E5108" t="b">
        <f>IF(COUNTIF(D5108,"*"&amp;'Keyword Search'!$C$5&amp;"*"),TRUE,FALSE)</f>
        <v>1</v>
      </c>
      <c r="G5108" t="str">
        <f t="shared" si="325"/>
        <v>640-66: Recycled Paper, Plastic, and Styrofoam Products, Disposable Type ,Including Wax Paper, Aluminum Foil and Cellophane</v>
      </c>
    </row>
    <row r="5109" spans="1:7" x14ac:dyDescent="0.25">
      <c r="A5109" s="1" t="str">
        <f t="shared" si="327"/>
        <v>640</v>
      </c>
      <c r="B5109" s="1" t="str">
        <f>TEXT(69,"00")</f>
        <v>69</v>
      </c>
      <c r="C5109" s="1" t="str">
        <f t="shared" si="324"/>
        <v>640-69</v>
      </c>
      <c r="D5109" t="s">
        <v>5082</v>
      </c>
      <c r="E5109" t="b">
        <f>IF(COUNTIF(D5109,"*"&amp;'Keyword Search'!$C$5&amp;"*"),TRUE,FALSE)</f>
        <v>1</v>
      </c>
      <c r="G5109" t="str">
        <f t="shared" si="325"/>
        <v>640-69: Sheeting, Slip, Paper</v>
      </c>
    </row>
    <row r="5110" spans="1:7" x14ac:dyDescent="0.25">
      <c r="A5110" s="1" t="str">
        <f t="shared" si="327"/>
        <v>640</v>
      </c>
      <c r="B5110" s="1" t="str">
        <f>TEXT(70,"00")</f>
        <v>70</v>
      </c>
      <c r="C5110" s="1" t="str">
        <f t="shared" si="324"/>
        <v>640-70</v>
      </c>
      <c r="D5110" t="s">
        <v>5083</v>
      </c>
      <c r="E5110" t="b">
        <f>IF(COUNTIF(D5110,"*"&amp;'Keyword Search'!$C$5&amp;"*"),TRUE,FALSE)</f>
        <v>1</v>
      </c>
      <c r="G5110" t="str">
        <f t="shared" si="325"/>
        <v>640-70: Shelf Paper</v>
      </c>
    </row>
    <row r="5111" spans="1:7" x14ac:dyDescent="0.25">
      <c r="A5111" s="1" t="str">
        <f t="shared" si="327"/>
        <v>640</v>
      </c>
      <c r="B5111" s="1" t="str">
        <f>TEXT(75,"00")</f>
        <v>75</v>
      </c>
      <c r="C5111" s="1" t="str">
        <f t="shared" si="324"/>
        <v>640-75</v>
      </c>
      <c r="D5111" t="s">
        <v>5084</v>
      </c>
      <c r="E5111" t="b">
        <f>IF(COUNTIF(D5111,"*"&amp;'Keyword Search'!$C$5&amp;"*"),TRUE,FALSE)</f>
        <v>1</v>
      </c>
      <c r="G5111" t="str">
        <f t="shared" si="325"/>
        <v>640-75: Toilet Tissues, Paper Towels, and Toilet Seat Covers</v>
      </c>
    </row>
    <row r="5112" spans="1:7" x14ac:dyDescent="0.25">
      <c r="A5112" s="1" t="str">
        <f t="shared" si="327"/>
        <v>640</v>
      </c>
      <c r="B5112" s="1" t="str">
        <f>TEXT(80,"00")</f>
        <v>80</v>
      </c>
      <c r="C5112" s="1" t="str">
        <f t="shared" si="324"/>
        <v>640-80</v>
      </c>
      <c r="D5112" t="s">
        <v>5085</v>
      </c>
      <c r="E5112" t="b">
        <f>IF(COUNTIF(D5112,"*"&amp;'Keyword Search'!$C$5&amp;"*"),TRUE,FALSE)</f>
        <v>1</v>
      </c>
      <c r="G5112" t="str">
        <f t="shared" si="325"/>
        <v>640-80: Waxed Paper, Aluminum Foil and Cellophane</v>
      </c>
    </row>
    <row r="5113" spans="1:7" x14ac:dyDescent="0.25">
      <c r="A5113" s="1" t="str">
        <f t="shared" si="327"/>
        <v>640</v>
      </c>
      <c r="B5113" s="1" t="str">
        <f>TEXT(85,"00")</f>
        <v>85</v>
      </c>
      <c r="C5113" s="1" t="str">
        <f t="shared" si="324"/>
        <v>640-85</v>
      </c>
      <c r="D5113" t="s">
        <v>5086</v>
      </c>
      <c r="E5113" t="b">
        <f>IF(COUNTIF(D5113,"*"&amp;'Keyword Search'!$C$5&amp;"*"),TRUE,FALSE)</f>
        <v>1</v>
      </c>
      <c r="G5113" t="str">
        <f t="shared" si="325"/>
        <v>640-85: Wipers, Shop and Food Service Use</v>
      </c>
    </row>
    <row r="5114" spans="1:7" x14ac:dyDescent="0.25">
      <c r="A5114" s="1" t="str">
        <f t="shared" si="327"/>
        <v>640</v>
      </c>
      <c r="B5114" s="1" t="str">
        <f>TEXT(87,"00")</f>
        <v>87</v>
      </c>
      <c r="C5114" s="1" t="str">
        <f t="shared" si="324"/>
        <v>640-87</v>
      </c>
      <c r="D5114" t="s">
        <v>5087</v>
      </c>
      <c r="E5114" t="b">
        <f>IF(COUNTIF(D5114,"*"&amp;'Keyword Search'!$C$5&amp;"*"),TRUE,FALSE)</f>
        <v>1</v>
      </c>
      <c r="G5114" t="str">
        <f t="shared" si="325"/>
        <v>640-87: Wrapping Paper, Brown Kraft Paper, etc.</v>
      </c>
    </row>
    <row r="5115" spans="1:7" x14ac:dyDescent="0.25">
      <c r="A5115" s="5" t="str">
        <f t="shared" ref="A5115:A5143" si="328">TEXT(641,"000")</f>
        <v>641</v>
      </c>
      <c r="B5115" s="5" t="str">
        <f>TEXT(0,"00")</f>
        <v>00</v>
      </c>
      <c r="C5115" s="1"/>
      <c r="D5115" s="2" t="s">
        <v>5088</v>
      </c>
    </row>
    <row r="5116" spans="1:7" x14ac:dyDescent="0.25">
      <c r="A5116" s="1" t="str">
        <f t="shared" si="328"/>
        <v>641</v>
      </c>
      <c r="B5116" s="1" t="str">
        <f>TEXT(5,"00")</f>
        <v>05</v>
      </c>
      <c r="C5116" s="1" t="str">
        <f t="shared" si="324"/>
        <v>641-05</v>
      </c>
      <c r="D5116" t="s">
        <v>5089</v>
      </c>
      <c r="E5116" t="b">
        <f>IF(COUNTIF(D5116,"*"&amp;'Keyword Search'!$C$5&amp;"*"),TRUE,FALSE)</f>
        <v>1</v>
      </c>
      <c r="G5116" t="str">
        <f t="shared" si="325"/>
        <v>641-05: Bags and Boxes: Pollinating, Seed, and Soil Sampling; and Seed Germination Paper, Environmentally Certified Products</v>
      </c>
    </row>
    <row r="5117" spans="1:7" x14ac:dyDescent="0.25">
      <c r="A5117" s="1" t="str">
        <f t="shared" si="328"/>
        <v>641</v>
      </c>
      <c r="B5117" s="1" t="str">
        <f>TEXT(8,"00")</f>
        <v>08</v>
      </c>
      <c r="C5117" s="1" t="str">
        <f t="shared" si="324"/>
        <v>641-08</v>
      </c>
      <c r="D5117" t="s">
        <v>5090</v>
      </c>
      <c r="E5117" t="b">
        <f>IF(COUNTIF(D5117,"*"&amp;'Keyword Search'!$C$5&amp;"*"),TRUE,FALSE)</f>
        <v>1</v>
      </c>
      <c r="G5117" t="str">
        <f t="shared" si="325"/>
        <v>641-08: Bags, Food Storage, Including Freezer Type, Environmentally Certified Products</v>
      </c>
    </row>
    <row r="5118" spans="1:7" x14ac:dyDescent="0.25">
      <c r="A5118" s="1" t="str">
        <f t="shared" si="328"/>
        <v>641</v>
      </c>
      <c r="B5118" s="1" t="str">
        <f>TEXT(9,"00")</f>
        <v>09</v>
      </c>
      <c r="C5118" s="1" t="str">
        <f t="shared" si="324"/>
        <v>641-09</v>
      </c>
      <c r="D5118" t="s">
        <v>5091</v>
      </c>
      <c r="E5118" t="b">
        <f>IF(COUNTIF(D5118,"*"&amp;'Keyword Search'!$C$5&amp;"*"),TRUE,FALSE)</f>
        <v>1</v>
      </c>
      <c r="G5118" t="str">
        <f t="shared" si="325"/>
        <v>641-09: Bags, Glassine, Environmentally Certified Products</v>
      </c>
    </row>
    <row r="5119" spans="1:7" x14ac:dyDescent="0.25">
      <c r="A5119" s="1" t="str">
        <f t="shared" si="328"/>
        <v>641</v>
      </c>
      <c r="B5119" s="1" t="str">
        <f>TEXT(10,"00")</f>
        <v>10</v>
      </c>
      <c r="C5119" s="1" t="str">
        <f t="shared" si="324"/>
        <v>641-10</v>
      </c>
      <c r="D5119" t="s">
        <v>5092</v>
      </c>
      <c r="E5119" t="b">
        <f>IF(COUNTIF(D5119,"*"&amp;'Keyword Search'!$C$5&amp;"*"),TRUE,FALSE)</f>
        <v>1</v>
      </c>
      <c r="G5119" t="str">
        <f t="shared" si="325"/>
        <v>641-10: Bags, Padded: Book Mailing, Shipping, etc., Including Biodegradable, Environmentally Certified Products</v>
      </c>
    </row>
    <row r="5120" spans="1:7" x14ac:dyDescent="0.25">
      <c r="A5120" s="1" t="str">
        <f t="shared" si="328"/>
        <v>641</v>
      </c>
      <c r="B5120" s="1" t="str">
        <f>TEXT(15,"00")</f>
        <v>15</v>
      </c>
      <c r="C5120" s="1" t="str">
        <f t="shared" si="324"/>
        <v>641-15</v>
      </c>
      <c r="D5120" t="s">
        <v>5093</v>
      </c>
      <c r="E5120" t="b">
        <f>IF(COUNTIF(D5120,"*"&amp;'Keyword Search'!$C$5&amp;"*"),TRUE,FALSE)</f>
        <v>1</v>
      </c>
      <c r="G5120" t="str">
        <f t="shared" si="325"/>
        <v>641-15: Bags, Paper: Regular Weight, Heavy Weight, Nail, etc., Environmentally Certified Products</v>
      </c>
    </row>
    <row r="5121" spans="1:7" x14ac:dyDescent="0.25">
      <c r="A5121" s="1" t="str">
        <f t="shared" si="328"/>
        <v>641</v>
      </c>
      <c r="B5121" s="1" t="str">
        <f>TEXT(18,"00")</f>
        <v>18</v>
      </c>
      <c r="C5121" s="1" t="str">
        <f t="shared" si="324"/>
        <v>641-18</v>
      </c>
      <c r="D5121" t="s">
        <v>5094</v>
      </c>
      <c r="E5121" t="b">
        <f>IF(COUNTIF(D5121,"*"&amp;'Keyword Search'!$C$5&amp;"*"),TRUE,FALSE)</f>
        <v>1</v>
      </c>
      <c r="G5121" t="str">
        <f t="shared" si="325"/>
        <v>641-18: Boxes and Retention Packaging (Not Otherwise Classified), Environmentally Certified Products</v>
      </c>
    </row>
    <row r="5122" spans="1:7" x14ac:dyDescent="0.25">
      <c r="A5122" s="1" t="str">
        <f t="shared" si="328"/>
        <v>641</v>
      </c>
      <c r="B5122" s="1" t="str">
        <f>TEXT(20,"00")</f>
        <v>20</v>
      </c>
      <c r="C5122" s="1" t="str">
        <f t="shared" si="324"/>
        <v>641-20</v>
      </c>
      <c r="D5122" t="s">
        <v>5095</v>
      </c>
      <c r="E5122" t="b">
        <f>IF(COUNTIF(D5122,"*"&amp;'Keyword Search'!$C$5&amp;"*"),TRUE,FALSE)</f>
        <v>1</v>
      </c>
      <c r="G5122" t="str">
        <f t="shared" si="325"/>
        <v>641-20: Chipboard, Pasteboard, and Telescoping Boxes, Environmentally Certified Products</v>
      </c>
    </row>
    <row r="5123" spans="1:7" x14ac:dyDescent="0.25">
      <c r="A5123" s="1" t="str">
        <f t="shared" si="328"/>
        <v>641</v>
      </c>
      <c r="B5123" s="1" t="str">
        <f>TEXT(22,"00")</f>
        <v>22</v>
      </c>
      <c r="C5123" s="1" t="str">
        <f t="shared" ref="C5123:C5186" si="329">CONCATENATE(A5123,"-",B5123)</f>
        <v>641-22</v>
      </c>
      <c r="D5123" t="s">
        <v>5096</v>
      </c>
      <c r="E5123" t="b">
        <f>IF(COUNTIF(D5123,"*"&amp;'Keyword Search'!$C$5&amp;"*"),TRUE,FALSE)</f>
        <v>1</v>
      </c>
      <c r="G5123" t="str">
        <f t="shared" si="325"/>
        <v>641-22: Containers, Paper and Plastic, Environmentally Certified Products</v>
      </c>
    </row>
    <row r="5124" spans="1:7" x14ac:dyDescent="0.25">
      <c r="A5124" s="1" t="str">
        <f t="shared" si="328"/>
        <v>641</v>
      </c>
      <c r="B5124" s="1" t="str">
        <f>TEXT(23,"00")</f>
        <v>23</v>
      </c>
      <c r="C5124" s="1" t="str">
        <f t="shared" si="329"/>
        <v>641-23</v>
      </c>
      <c r="D5124" t="s">
        <v>5097</v>
      </c>
      <c r="E5124" t="b">
        <f>IF(COUNTIF(D5124,"*"&amp;'Keyword Search'!$C$5&amp;"*"),TRUE,FALSE)</f>
        <v>1</v>
      </c>
      <c r="G5124" t="str">
        <f t="shared" ref="G5124:G5187" si="330">CONCATENATE(C5124,": ",D5124)</f>
        <v>641-23: Containers, Cylindrical, Cardboard, Not Mailing Type, Environmentally Certified Products</v>
      </c>
    </row>
    <row r="5125" spans="1:7" x14ac:dyDescent="0.25">
      <c r="A5125" s="1" t="str">
        <f t="shared" si="328"/>
        <v>641</v>
      </c>
      <c r="B5125" s="1" t="str">
        <f>TEXT(25,"00")</f>
        <v>25</v>
      </c>
      <c r="C5125" s="1" t="str">
        <f t="shared" si="329"/>
        <v>641-25</v>
      </c>
      <c r="D5125" t="s">
        <v>5098</v>
      </c>
      <c r="E5125" t="b">
        <f>IF(COUNTIF(D5125,"*"&amp;'Keyword Search'!$C$5&amp;"*"),TRUE,FALSE)</f>
        <v>1</v>
      </c>
      <c r="G5125" t="str">
        <f t="shared" si="330"/>
        <v>641-25: Corrugated Boxes and Sheets, Including Fillers, Environmentally Certified Products</v>
      </c>
    </row>
    <row r="5126" spans="1:7" x14ac:dyDescent="0.25">
      <c r="A5126" s="1" t="str">
        <f t="shared" si="328"/>
        <v>641</v>
      </c>
      <c r="B5126" s="1" t="str">
        <f>TEXT(26,"00")</f>
        <v>26</v>
      </c>
      <c r="C5126" s="1" t="str">
        <f t="shared" si="329"/>
        <v>641-26</v>
      </c>
      <c r="D5126" t="s">
        <v>5099</v>
      </c>
      <c r="E5126" t="b">
        <f>IF(COUNTIF(D5126,"*"&amp;'Keyword Search'!$C$5&amp;"*"),TRUE,FALSE)</f>
        <v>1</v>
      </c>
      <c r="G5126" t="str">
        <f t="shared" si="330"/>
        <v>641-26: Fiber Type Dishes, Trays, etc., Disposable, Environmentally Certified Products</v>
      </c>
    </row>
    <row r="5127" spans="1:7" x14ac:dyDescent="0.25">
      <c r="A5127" s="1" t="str">
        <f t="shared" si="328"/>
        <v>641</v>
      </c>
      <c r="B5127" s="1" t="str">
        <f>TEXT(27,"00")</f>
        <v>27</v>
      </c>
      <c r="C5127" s="1" t="str">
        <f t="shared" si="329"/>
        <v>641-27</v>
      </c>
      <c r="D5127" t="s">
        <v>5100</v>
      </c>
      <c r="E5127" t="b">
        <f>IF(COUNTIF(D5127,"*"&amp;'Keyword Search'!$C$5&amp;"*"),TRUE,FALSE)</f>
        <v>1</v>
      </c>
      <c r="G5127" t="str">
        <f t="shared" si="330"/>
        <v>641-27: Foil Containers and Bags, Environmentally Certified Products</v>
      </c>
    </row>
    <row r="5128" spans="1:7" x14ac:dyDescent="0.25">
      <c r="A5128" s="1" t="str">
        <f t="shared" si="328"/>
        <v>641</v>
      </c>
      <c r="B5128" s="1" t="str">
        <f>TEXT(28,"00")</f>
        <v>28</v>
      </c>
      <c r="C5128" s="1" t="str">
        <f t="shared" si="329"/>
        <v>641-28</v>
      </c>
      <c r="D5128" t="s">
        <v>5101</v>
      </c>
      <c r="E5128" t="b">
        <f>IF(COUNTIF(D5128,"*"&amp;'Keyword Search'!$C$5&amp;"*"),TRUE,FALSE)</f>
        <v>1</v>
      </c>
      <c r="G5128" t="str">
        <f t="shared" si="330"/>
        <v>641-28: Gift Wrap Paper Including Tissue Paper and Ribbons, Environmentally Certified Products</v>
      </c>
    </row>
    <row r="5129" spans="1:7" x14ac:dyDescent="0.25">
      <c r="A5129" s="1" t="str">
        <f t="shared" si="328"/>
        <v>641</v>
      </c>
      <c r="B5129" s="1" t="str">
        <f>TEXT(30,"00")</f>
        <v>30</v>
      </c>
      <c r="C5129" s="1" t="str">
        <f t="shared" si="329"/>
        <v>641-30</v>
      </c>
      <c r="D5129" t="s">
        <v>5102</v>
      </c>
      <c r="E5129" t="b">
        <f>IF(COUNTIF(D5129,"*"&amp;'Keyword Search'!$C$5&amp;"*"),TRUE,FALSE)</f>
        <v>1</v>
      </c>
      <c r="G5129" t="str">
        <f t="shared" si="330"/>
        <v>641-30: Mailing Tubes and Storage Tubes, Environmentally Certified Products</v>
      </c>
    </row>
    <row r="5130" spans="1:7" x14ac:dyDescent="0.25">
      <c r="A5130" s="1" t="str">
        <f t="shared" si="328"/>
        <v>641</v>
      </c>
      <c r="B5130" s="1" t="str">
        <f>TEXT(40,"00")</f>
        <v>40</v>
      </c>
      <c r="C5130" s="1" t="str">
        <f t="shared" si="329"/>
        <v>641-40</v>
      </c>
      <c r="D5130" t="s">
        <v>5103</v>
      </c>
      <c r="E5130" t="b">
        <f>IF(COUNTIF(D5130,"*"&amp;'Keyword Search'!$C$5&amp;"*"),TRUE,FALSE)</f>
        <v>1</v>
      </c>
      <c r="G5130" t="str">
        <f t="shared" si="330"/>
        <v>641-40: Multiwall Paper Bags, Environmentally Certified Products</v>
      </c>
    </row>
    <row r="5131" spans="1:7" x14ac:dyDescent="0.25">
      <c r="A5131" s="1" t="str">
        <f t="shared" si="328"/>
        <v>641</v>
      </c>
      <c r="B5131" s="1" t="str">
        <f>TEXT(42,"00")</f>
        <v>42</v>
      </c>
      <c r="C5131" s="1" t="str">
        <f t="shared" si="329"/>
        <v>641-42</v>
      </c>
      <c r="D5131" t="s">
        <v>5104</v>
      </c>
      <c r="E5131" t="b">
        <f>IF(COUNTIF(D5131,"*"&amp;'Keyword Search'!$C$5&amp;"*"),TRUE,FALSE)</f>
        <v>1</v>
      </c>
      <c r="G5131" t="str">
        <f t="shared" si="330"/>
        <v>641-42: Multiwall Wrapping Paper, Rolls or Sheets, Environmentally Certified Products</v>
      </c>
    </row>
    <row r="5132" spans="1:7" x14ac:dyDescent="0.25">
      <c r="A5132" s="1" t="str">
        <f t="shared" si="328"/>
        <v>641</v>
      </c>
      <c r="B5132" s="1" t="str">
        <f>TEXT(43,"00")</f>
        <v>43</v>
      </c>
      <c r="C5132" s="1" t="str">
        <f t="shared" si="329"/>
        <v>641-43</v>
      </c>
      <c r="D5132" t="s">
        <v>5105</v>
      </c>
      <c r="E5132" t="b">
        <f>IF(COUNTIF(D5132,"*"&amp;'Keyword Search'!$C$5&amp;"*"),TRUE,FALSE)</f>
        <v>1</v>
      </c>
      <c r="G5132" t="str">
        <f t="shared" si="330"/>
        <v>641-43: Packing Materials for Mailing and Shipping, Not Containers, Environmentally Certified Products</v>
      </c>
    </row>
    <row r="5133" spans="1:7" x14ac:dyDescent="0.25">
      <c r="A5133" s="1" t="str">
        <f t="shared" si="328"/>
        <v>641</v>
      </c>
      <c r="B5133" s="1" t="str">
        <f>TEXT(44,"00")</f>
        <v>44</v>
      </c>
      <c r="C5133" s="1" t="str">
        <f t="shared" si="329"/>
        <v>641-44</v>
      </c>
      <c r="D5133" t="s">
        <v>5106</v>
      </c>
      <c r="E5133" t="b">
        <f>IF(COUNTIF(D5133,"*"&amp;'Keyword Search'!$C$5&amp;"*"),TRUE,FALSE)</f>
        <v>1</v>
      </c>
      <c r="G5133" t="str">
        <f t="shared" si="330"/>
        <v>641-44: Packing List Envelopes, Plastic and Paper, Self Adhesive, Environmentally Certified Products</v>
      </c>
    </row>
    <row r="5134" spans="1:7" x14ac:dyDescent="0.25">
      <c r="A5134" s="1" t="str">
        <f t="shared" si="328"/>
        <v>641</v>
      </c>
      <c r="B5134" s="1" t="str">
        <f>TEXT(45,"00")</f>
        <v>45</v>
      </c>
      <c r="C5134" s="1" t="str">
        <f t="shared" si="329"/>
        <v>641-45</v>
      </c>
      <c r="D5134" t="s">
        <v>5107</v>
      </c>
      <c r="E5134" t="b">
        <f>IF(COUNTIF(D5134,"*"&amp;'Keyword Search'!$C$5&amp;"*"),TRUE,FALSE)</f>
        <v>1</v>
      </c>
      <c r="G5134" t="str">
        <f t="shared" si="330"/>
        <v>641-45: Paper, Food Processing, Fresh and Frozen: Butcher Paper, Butter Paper, Freezer Paper, Vegetable Paper, etc., Environmentally Certified Products</v>
      </c>
    </row>
    <row r="5135" spans="1:7" x14ac:dyDescent="0.25">
      <c r="A5135" s="1" t="str">
        <f t="shared" si="328"/>
        <v>641</v>
      </c>
      <c r="B5135" s="1" t="str">
        <f>TEXT(50,"00")</f>
        <v>50</v>
      </c>
      <c r="C5135" s="1" t="str">
        <f t="shared" si="329"/>
        <v>641-50</v>
      </c>
      <c r="D5135" t="s">
        <v>5108</v>
      </c>
      <c r="E5135" t="b">
        <f>IF(COUNTIF(D5135,"*"&amp;'Keyword Search'!$C$5&amp;"*"),TRUE,FALSE)</f>
        <v>1</v>
      </c>
      <c r="G5135" t="str">
        <f t="shared" si="330"/>
        <v>641-50: Paper Products: Cups, Doilies, Napkins, Plates, Straws, Facial Tissues, Other Than Hospital, Environmentally Certified Products</v>
      </c>
    </row>
    <row r="5136" spans="1:7" x14ac:dyDescent="0.25">
      <c r="A5136" s="1" t="str">
        <f t="shared" si="328"/>
        <v>641</v>
      </c>
      <c r="B5136" s="1" t="str">
        <f>TEXT(60,"00")</f>
        <v>60</v>
      </c>
      <c r="C5136" s="1" t="str">
        <f t="shared" si="329"/>
        <v>641-60</v>
      </c>
      <c r="D5136" t="s">
        <v>5109</v>
      </c>
      <c r="E5136" t="b">
        <f>IF(COUNTIF(D5136,"*"&amp;'Keyword Search'!$C$5&amp;"*"),TRUE,FALSE)</f>
        <v>1</v>
      </c>
      <c r="G5136" t="str">
        <f t="shared" si="330"/>
        <v>641-60: Plastic and Styrofoam Products: Cups, Forks, Plastic Coated Dishes, Plastic Food Wrap, Cooking Bags, Sandwich Bags, Spoons, Straws, Doilies, etc., Environmentally Certified Products</v>
      </c>
    </row>
    <row r="5137" spans="1:7" x14ac:dyDescent="0.25">
      <c r="A5137" s="1" t="str">
        <f t="shared" si="328"/>
        <v>641</v>
      </c>
      <c r="B5137" s="1" t="str">
        <f>TEXT(66,"00")</f>
        <v>66</v>
      </c>
      <c r="C5137" s="1" t="str">
        <f t="shared" si="329"/>
        <v>641-66</v>
      </c>
      <c r="D5137" t="s">
        <v>5110</v>
      </c>
      <c r="E5137" t="b">
        <f>IF(COUNTIF(D5137,"*"&amp;'Keyword Search'!$C$5&amp;"*"),TRUE,FALSE)</f>
        <v>1</v>
      </c>
      <c r="G5137" t="str">
        <f t="shared" si="330"/>
        <v>641-66: Recycled Paper, Plastic, and Styrofoam Products, Disposable Type, Including Wax Paper, Aluminum Foil and Cellophane, Environmentally Certified Products</v>
      </c>
    </row>
    <row r="5138" spans="1:7" x14ac:dyDescent="0.25">
      <c r="A5138" s="1" t="str">
        <f t="shared" si="328"/>
        <v>641</v>
      </c>
      <c r="B5138" s="1" t="str">
        <f>TEXT(69,"00")</f>
        <v>69</v>
      </c>
      <c r="C5138" s="1" t="str">
        <f t="shared" si="329"/>
        <v>641-69</v>
      </c>
      <c r="D5138" t="s">
        <v>5111</v>
      </c>
      <c r="E5138" t="b">
        <f>IF(COUNTIF(D5138,"*"&amp;'Keyword Search'!$C$5&amp;"*"),TRUE,FALSE)</f>
        <v>1</v>
      </c>
      <c r="G5138" t="str">
        <f t="shared" si="330"/>
        <v>641-69: Sheeting, Slip, Paper, Environmentally Certified Products</v>
      </c>
    </row>
    <row r="5139" spans="1:7" x14ac:dyDescent="0.25">
      <c r="A5139" s="1" t="str">
        <f t="shared" si="328"/>
        <v>641</v>
      </c>
      <c r="B5139" s="1" t="str">
        <f>TEXT(70,"00")</f>
        <v>70</v>
      </c>
      <c r="C5139" s="1" t="str">
        <f t="shared" si="329"/>
        <v>641-70</v>
      </c>
      <c r="D5139" t="s">
        <v>5112</v>
      </c>
      <c r="E5139" t="b">
        <f>IF(COUNTIF(D5139,"*"&amp;'Keyword Search'!$C$5&amp;"*"),TRUE,FALSE)</f>
        <v>1</v>
      </c>
      <c r="G5139" t="str">
        <f t="shared" si="330"/>
        <v>641-70: Shelf Paper, Environmentally Certified Products</v>
      </c>
    </row>
    <row r="5140" spans="1:7" x14ac:dyDescent="0.25">
      <c r="A5140" s="1" t="str">
        <f t="shared" si="328"/>
        <v>641</v>
      </c>
      <c r="B5140" s="1" t="str">
        <f>TEXT(75,"00")</f>
        <v>75</v>
      </c>
      <c r="C5140" s="1" t="str">
        <f t="shared" si="329"/>
        <v>641-75</v>
      </c>
      <c r="D5140" t="s">
        <v>5113</v>
      </c>
      <c r="E5140" t="b">
        <f>IF(COUNTIF(D5140,"*"&amp;'Keyword Search'!$C$5&amp;"*"),TRUE,FALSE)</f>
        <v>1</v>
      </c>
      <c r="G5140" t="str">
        <f t="shared" si="330"/>
        <v>641-75: Toilet Tissues, Paper Towels, and Toilet Seat Covers, Environmentally Certified Products</v>
      </c>
    </row>
    <row r="5141" spans="1:7" x14ac:dyDescent="0.25">
      <c r="A5141" s="1" t="str">
        <f t="shared" si="328"/>
        <v>641</v>
      </c>
      <c r="B5141" s="1" t="str">
        <f>TEXT(80,"00")</f>
        <v>80</v>
      </c>
      <c r="C5141" s="1" t="str">
        <f t="shared" si="329"/>
        <v>641-80</v>
      </c>
      <c r="D5141" t="s">
        <v>5114</v>
      </c>
      <c r="E5141" t="b">
        <f>IF(COUNTIF(D5141,"*"&amp;'Keyword Search'!$C$5&amp;"*"),TRUE,FALSE)</f>
        <v>1</v>
      </c>
      <c r="G5141" t="str">
        <f t="shared" si="330"/>
        <v>641-80: Waxed Paper, Aluminum Foil and Cellophane, Environmentally Certified Products</v>
      </c>
    </row>
    <row r="5142" spans="1:7" x14ac:dyDescent="0.25">
      <c r="A5142" s="1" t="str">
        <f t="shared" si="328"/>
        <v>641</v>
      </c>
      <c r="B5142" s="1" t="str">
        <f>TEXT(85,"00")</f>
        <v>85</v>
      </c>
      <c r="C5142" s="1" t="str">
        <f t="shared" si="329"/>
        <v>641-85</v>
      </c>
      <c r="D5142" t="s">
        <v>5115</v>
      </c>
      <c r="E5142" t="b">
        <f>IF(COUNTIF(D5142,"*"&amp;'Keyword Search'!$C$5&amp;"*"),TRUE,FALSE)</f>
        <v>1</v>
      </c>
      <c r="G5142" t="str">
        <f t="shared" si="330"/>
        <v>641-85: Wipers, Shop and Food Service Use, Environmentally Certified Products</v>
      </c>
    </row>
    <row r="5143" spans="1:7" x14ac:dyDescent="0.25">
      <c r="A5143" s="1" t="str">
        <f t="shared" si="328"/>
        <v>641</v>
      </c>
      <c r="B5143" s="1" t="str">
        <f>TEXT(87,"00")</f>
        <v>87</v>
      </c>
      <c r="C5143" s="1" t="str">
        <f t="shared" si="329"/>
        <v>641-87</v>
      </c>
      <c r="D5143" t="s">
        <v>5116</v>
      </c>
      <c r="E5143" t="b">
        <f>IF(COUNTIF(D5143,"*"&amp;'Keyword Search'!$C$5&amp;"*"),TRUE,FALSE)</f>
        <v>1</v>
      </c>
      <c r="G5143" t="str">
        <f t="shared" si="330"/>
        <v>641-87: Wrapping Paper, Brown Kraft Paper, etc., Environmentally Certified Products</v>
      </c>
    </row>
    <row r="5144" spans="1:7" x14ac:dyDescent="0.25">
      <c r="A5144" s="5" t="str">
        <f t="shared" ref="A5144:A5175" si="331">TEXT(645,"000")</f>
        <v>645</v>
      </c>
      <c r="B5144" s="5" t="str">
        <f>TEXT(0,"00")</f>
        <v>00</v>
      </c>
      <c r="C5144" s="1"/>
      <c r="D5144" s="2" t="s">
        <v>5117</v>
      </c>
    </row>
    <row r="5145" spans="1:7" x14ac:dyDescent="0.25">
      <c r="A5145" s="1" t="str">
        <f t="shared" si="331"/>
        <v>645</v>
      </c>
      <c r="B5145" s="1" t="str">
        <f>TEXT(10,"00")</f>
        <v>10</v>
      </c>
      <c r="C5145" s="1" t="str">
        <f t="shared" si="329"/>
        <v>645-10</v>
      </c>
      <c r="D5145" t="s">
        <v>5118</v>
      </c>
      <c r="E5145" t="b">
        <f>IF(COUNTIF(D5145,"*"&amp;'Keyword Search'!$C$5&amp;"*"),TRUE,FALSE)</f>
        <v>1</v>
      </c>
      <c r="G5145" t="str">
        <f t="shared" si="330"/>
        <v>645-10: Announcement Stock, Including Recycled</v>
      </c>
    </row>
    <row r="5146" spans="1:7" x14ac:dyDescent="0.25">
      <c r="A5146" s="1" t="str">
        <f t="shared" si="331"/>
        <v>645</v>
      </c>
      <c r="B5146" s="1" t="str">
        <f>TEXT(15,"00")</f>
        <v>15</v>
      </c>
      <c r="C5146" s="1" t="str">
        <f t="shared" si="329"/>
        <v>645-15</v>
      </c>
      <c r="D5146" t="s">
        <v>5119</v>
      </c>
      <c r="E5146" t="b">
        <f>IF(COUNTIF(D5146,"*"&amp;'Keyword Search'!$C$5&amp;"*"),TRUE,FALSE)</f>
        <v>1</v>
      </c>
      <c r="G5146" t="str">
        <f t="shared" si="330"/>
        <v>645-15: Backing Sheets and Liners for Decals, Bumper Stickers, etc., Crack and Peel)</v>
      </c>
    </row>
    <row r="5147" spans="1:7" x14ac:dyDescent="0.25">
      <c r="A5147" s="1" t="str">
        <f t="shared" si="331"/>
        <v>645</v>
      </c>
      <c r="B5147" s="1" t="str">
        <f>TEXT(18,"00")</f>
        <v>18</v>
      </c>
      <c r="C5147" s="1" t="str">
        <f t="shared" si="329"/>
        <v>645-18</v>
      </c>
      <c r="D5147" t="s">
        <v>5120</v>
      </c>
      <c r="E5147" t="b">
        <f>IF(COUNTIF(D5147,"*"&amp;'Keyword Search'!$C$5&amp;"*"),TRUE,FALSE)</f>
        <v>1</v>
      </c>
      <c r="G5147" t="str">
        <f t="shared" si="330"/>
        <v>645-18: Boards: Poster, Pressboard, Railroad, etc., Including Recycled</v>
      </c>
    </row>
    <row r="5148" spans="1:7" x14ac:dyDescent="0.25">
      <c r="A5148" s="1" t="str">
        <f t="shared" si="331"/>
        <v>645</v>
      </c>
      <c r="B5148" s="1" t="str">
        <f>TEXT(21,"00")</f>
        <v>21</v>
      </c>
      <c r="C5148" s="1" t="str">
        <f t="shared" si="329"/>
        <v>645-21</v>
      </c>
      <c r="D5148" t="s">
        <v>5121</v>
      </c>
      <c r="E5148" t="b">
        <f>IF(COUNTIF(D5148,"*"&amp;'Keyword Search'!$C$5&amp;"*"),TRUE,FALSE)</f>
        <v>1</v>
      </c>
      <c r="G5148" t="str">
        <f t="shared" si="330"/>
        <v>645-21: Bond Paper, Including Recycled</v>
      </c>
    </row>
    <row r="5149" spans="1:7" x14ac:dyDescent="0.25">
      <c r="A5149" s="1" t="str">
        <f t="shared" si="331"/>
        <v>645</v>
      </c>
      <c r="B5149" s="1" t="str">
        <f>TEXT(25,"00")</f>
        <v>25</v>
      </c>
      <c r="C5149" s="1" t="str">
        <f t="shared" si="329"/>
        <v>645-25</v>
      </c>
      <c r="D5149" t="s">
        <v>5122</v>
      </c>
      <c r="E5149" t="b">
        <f>IF(COUNTIF(D5149,"*"&amp;'Keyword Search'!$C$5&amp;"*"),TRUE,FALSE)</f>
        <v>1</v>
      </c>
      <c r="G5149" t="str">
        <f t="shared" si="330"/>
        <v>645-25: Book Paper, Including Recycled</v>
      </c>
    </row>
    <row r="5150" spans="1:7" x14ac:dyDescent="0.25">
      <c r="A5150" s="1" t="str">
        <f t="shared" si="331"/>
        <v>645</v>
      </c>
      <c r="B5150" s="1" t="str">
        <f>TEXT(28,"00")</f>
        <v>28</v>
      </c>
      <c r="C5150" s="1" t="str">
        <f t="shared" si="329"/>
        <v>645-28</v>
      </c>
      <c r="D5150" t="s">
        <v>5123</v>
      </c>
      <c r="E5150" t="b">
        <f>IF(COUNTIF(D5150,"*"&amp;'Keyword Search'!$C$5&amp;"*"),TRUE,FALSE)</f>
        <v>1</v>
      </c>
      <c r="G5150" t="str">
        <f t="shared" si="330"/>
        <v>645-28: Bristol, Including Recycled</v>
      </c>
    </row>
    <row r="5151" spans="1:7" x14ac:dyDescent="0.25">
      <c r="A5151" s="1" t="str">
        <f t="shared" si="331"/>
        <v>645</v>
      </c>
      <c r="B5151" s="1" t="str">
        <f>TEXT(30,"00")</f>
        <v>30</v>
      </c>
      <c r="C5151" s="1" t="str">
        <f t="shared" si="329"/>
        <v>645-30</v>
      </c>
      <c r="D5151" t="s">
        <v>5124</v>
      </c>
      <c r="E5151" t="b">
        <f>IF(COUNTIF(D5151,"*"&amp;'Keyword Search'!$C$5&amp;"*"),TRUE,FALSE)</f>
        <v>1</v>
      </c>
      <c r="G5151" t="str">
        <f t="shared" si="330"/>
        <v>645-30: Carbonless Paper, Chemical Transfer, Including Recycled</v>
      </c>
    </row>
    <row r="5152" spans="1:7" x14ac:dyDescent="0.25">
      <c r="A5152" s="1" t="str">
        <f t="shared" si="331"/>
        <v>645</v>
      </c>
      <c r="B5152" s="1" t="str">
        <f>TEXT(31,"00")</f>
        <v>31</v>
      </c>
      <c r="C5152" s="1" t="str">
        <f t="shared" si="329"/>
        <v>645-31</v>
      </c>
      <c r="D5152" t="s">
        <v>5125</v>
      </c>
      <c r="E5152" t="b">
        <f>IF(COUNTIF(D5152,"*"&amp;'Keyword Search'!$C$5&amp;"*"),TRUE,FALSE)</f>
        <v>1</v>
      </c>
      <c r="G5152" t="str">
        <f t="shared" si="330"/>
        <v>645-31: Card Stock, Including Recycled</v>
      </c>
    </row>
    <row r="5153" spans="1:7" x14ac:dyDescent="0.25">
      <c r="A5153" s="1" t="str">
        <f t="shared" si="331"/>
        <v>645</v>
      </c>
      <c r="B5153" s="1" t="str">
        <f>TEXT(32,"00")</f>
        <v>32</v>
      </c>
      <c r="C5153" s="1" t="str">
        <f t="shared" si="329"/>
        <v>645-32</v>
      </c>
      <c r="D5153" t="s">
        <v>5126</v>
      </c>
      <c r="E5153" t="b">
        <f>IF(COUNTIF(D5153,"*"&amp;'Keyword Search'!$C$5&amp;"*"),TRUE,FALSE)</f>
        <v>1</v>
      </c>
      <c r="G5153" t="str">
        <f t="shared" si="330"/>
        <v>645-32: Coated Paper, Not Otherwise Classified, Including Recycled</v>
      </c>
    </row>
    <row r="5154" spans="1:7" x14ac:dyDescent="0.25">
      <c r="A5154" s="1" t="str">
        <f t="shared" si="331"/>
        <v>645</v>
      </c>
      <c r="B5154" s="1" t="str">
        <f>TEXT(33,"00")</f>
        <v>33</v>
      </c>
      <c r="C5154" s="1" t="str">
        <f t="shared" si="329"/>
        <v>645-33</v>
      </c>
      <c r="D5154" t="s">
        <v>5127</v>
      </c>
      <c r="E5154" t="b">
        <f>IF(COUNTIF(D5154,"*"&amp;'Keyword Search'!$C$5&amp;"*"),TRUE,FALSE)</f>
        <v>1</v>
      </c>
      <c r="G5154" t="str">
        <f t="shared" si="330"/>
        <v>645-33: Copy Paper, Specialized High Speed, Including Recycled</v>
      </c>
    </row>
    <row r="5155" spans="1:7" x14ac:dyDescent="0.25">
      <c r="A5155" s="1" t="str">
        <f t="shared" si="331"/>
        <v>645</v>
      </c>
      <c r="B5155" s="1" t="str">
        <f>TEXT(35,"00")</f>
        <v>35</v>
      </c>
      <c r="C5155" s="1" t="str">
        <f t="shared" si="329"/>
        <v>645-35</v>
      </c>
      <c r="D5155" t="s">
        <v>5128</v>
      </c>
      <c r="E5155" t="b">
        <f>IF(COUNTIF(D5155,"*"&amp;'Keyword Search'!$C$5&amp;"*"),TRUE,FALSE)</f>
        <v>1</v>
      </c>
      <c r="G5155" t="str">
        <f t="shared" si="330"/>
        <v>645-35: Cover Stock, Including Recycled</v>
      </c>
    </row>
    <row r="5156" spans="1:7" x14ac:dyDescent="0.25">
      <c r="A5156" s="1" t="str">
        <f t="shared" si="331"/>
        <v>645</v>
      </c>
      <c r="B5156" s="1" t="str">
        <f>TEXT(39,"00")</f>
        <v>39</v>
      </c>
      <c r="C5156" s="1" t="str">
        <f t="shared" si="329"/>
        <v>645-39</v>
      </c>
      <c r="D5156" t="s">
        <v>5129</v>
      </c>
      <c r="E5156" t="b">
        <f>IF(COUNTIF(D5156,"*"&amp;'Keyword Search'!$C$5&amp;"*"),TRUE,FALSE)</f>
        <v>1</v>
      </c>
      <c r="G5156" t="str">
        <f t="shared" si="330"/>
        <v>645-39: Duplicator and Mimeograph Paper, Including Recycled</v>
      </c>
    </row>
    <row r="5157" spans="1:7" x14ac:dyDescent="0.25">
      <c r="A5157" s="1" t="str">
        <f t="shared" si="331"/>
        <v>645</v>
      </c>
      <c r="B5157" s="1" t="str">
        <f>TEXT(44,"00")</f>
        <v>44</v>
      </c>
      <c r="C5157" s="1" t="str">
        <f t="shared" si="329"/>
        <v>645-44</v>
      </c>
      <c r="D5157" t="s">
        <v>5130</v>
      </c>
      <c r="E5157" t="b">
        <f>IF(COUNTIF(D5157,"*"&amp;'Keyword Search'!$C$5&amp;"*"),TRUE,FALSE)</f>
        <v>1</v>
      </c>
      <c r="G5157" t="str">
        <f t="shared" si="330"/>
        <v>645-44: Facsimile (Fax) Paper, Including Recycled</v>
      </c>
    </row>
    <row r="5158" spans="1:7" x14ac:dyDescent="0.25">
      <c r="A5158" s="1" t="str">
        <f t="shared" si="331"/>
        <v>645</v>
      </c>
      <c r="B5158" s="1" t="str">
        <f>TEXT(47,"00")</f>
        <v>47</v>
      </c>
      <c r="C5158" s="1" t="str">
        <f t="shared" si="329"/>
        <v>645-47</v>
      </c>
      <c r="D5158" t="s">
        <v>5131</v>
      </c>
      <c r="E5158" t="b">
        <f>IF(COUNTIF(D5158,"*"&amp;'Keyword Search'!$C$5&amp;"*"),TRUE,FALSE)</f>
        <v>1</v>
      </c>
      <c r="G5158" t="str">
        <f t="shared" si="330"/>
        <v>645-47: Gummed Paper, Including Recycled</v>
      </c>
    </row>
    <row r="5159" spans="1:7" x14ac:dyDescent="0.25">
      <c r="A5159" s="1" t="str">
        <f t="shared" si="331"/>
        <v>645</v>
      </c>
      <c r="B5159" s="1" t="str">
        <f>TEXT(51,"00")</f>
        <v>51</v>
      </c>
      <c r="C5159" s="1" t="str">
        <f t="shared" si="329"/>
        <v>645-51</v>
      </c>
      <c r="D5159" t="s">
        <v>5132</v>
      </c>
      <c r="E5159" t="b">
        <f>IF(COUNTIF(D5159,"*"&amp;'Keyword Search'!$C$5&amp;"*"),TRUE,FALSE)</f>
        <v>1</v>
      </c>
      <c r="G5159" t="str">
        <f t="shared" si="330"/>
        <v>645-51: Index Paper, Including Recycled</v>
      </c>
    </row>
    <row r="5160" spans="1:7" x14ac:dyDescent="0.25">
      <c r="A5160" s="1" t="str">
        <f t="shared" si="331"/>
        <v>645</v>
      </c>
      <c r="B5160" s="1" t="str">
        <f>TEXT(54,"00")</f>
        <v>54</v>
      </c>
      <c r="C5160" s="1" t="str">
        <f t="shared" si="329"/>
        <v>645-54</v>
      </c>
      <c r="D5160" t="s">
        <v>5133</v>
      </c>
      <c r="E5160" t="b">
        <f>IF(COUNTIF(D5160,"*"&amp;'Keyword Search'!$C$5&amp;"*"),TRUE,FALSE)</f>
        <v>1</v>
      </c>
      <c r="G5160" t="str">
        <f t="shared" si="330"/>
        <v>645-54: Kenaf Tree Free Paper, Including Recycled</v>
      </c>
    </row>
    <row r="5161" spans="1:7" x14ac:dyDescent="0.25">
      <c r="A5161" s="1" t="str">
        <f t="shared" si="331"/>
        <v>645</v>
      </c>
      <c r="B5161" s="1" t="str">
        <f>TEXT(55,"00")</f>
        <v>55</v>
      </c>
      <c r="C5161" s="1" t="str">
        <f t="shared" si="329"/>
        <v>645-55</v>
      </c>
      <c r="D5161" t="s">
        <v>5134</v>
      </c>
      <c r="E5161" t="b">
        <f>IF(COUNTIF(D5161,"*"&amp;'Keyword Search'!$C$5&amp;"*"),TRUE,FALSE)</f>
        <v>1</v>
      </c>
      <c r="G5161" t="str">
        <f t="shared" si="330"/>
        <v>645-55: Ledger Pape, (Including Recycled</v>
      </c>
    </row>
    <row r="5162" spans="1:7" x14ac:dyDescent="0.25">
      <c r="A5162" s="1" t="str">
        <f t="shared" si="331"/>
        <v>645</v>
      </c>
      <c r="B5162" s="1" t="str">
        <f>TEXT(58,"00")</f>
        <v>58</v>
      </c>
      <c r="C5162" s="1" t="str">
        <f t="shared" si="329"/>
        <v>645-58</v>
      </c>
      <c r="D5162" t="s">
        <v>5135</v>
      </c>
      <c r="E5162" t="b">
        <f>IF(COUNTIF(D5162,"*"&amp;'Keyword Search'!$C$5&amp;"*"),TRUE,FALSE)</f>
        <v>1</v>
      </c>
      <c r="G5162" t="str">
        <f t="shared" si="330"/>
        <v>645-58: Manifold Paper, Including Recycled</v>
      </c>
    </row>
    <row r="5163" spans="1:7" x14ac:dyDescent="0.25">
      <c r="A5163" s="1" t="str">
        <f t="shared" si="331"/>
        <v>645</v>
      </c>
      <c r="B5163" s="1" t="str">
        <f>TEXT(59,"00")</f>
        <v>59</v>
      </c>
      <c r="C5163" s="1" t="str">
        <f t="shared" si="329"/>
        <v>645-59</v>
      </c>
      <c r="D5163" t="s">
        <v>5136</v>
      </c>
      <c r="E5163" t="b">
        <f>IF(COUNTIF(D5163,"*"&amp;'Keyword Search'!$C$5&amp;"*"),TRUE,FALSE)</f>
        <v>1</v>
      </c>
      <c r="G5163" t="str">
        <f t="shared" si="330"/>
        <v>645-59: Map Pape, Including Recycled</v>
      </c>
    </row>
    <row r="5164" spans="1:7" x14ac:dyDescent="0.25">
      <c r="A5164" s="1" t="str">
        <f t="shared" si="331"/>
        <v>645</v>
      </c>
      <c r="B5164" s="1" t="str">
        <f>TEXT(61,"00")</f>
        <v>61</v>
      </c>
      <c r="C5164" s="1" t="str">
        <f t="shared" si="329"/>
        <v>645-61</v>
      </c>
      <c r="D5164" t="s">
        <v>5137</v>
      </c>
      <c r="E5164" t="b">
        <f>IF(COUNTIF(D5164,"*"&amp;'Keyword Search'!$C$5&amp;"*"),TRUE,FALSE)</f>
        <v>1</v>
      </c>
      <c r="G5164" t="str">
        <f t="shared" si="330"/>
        <v>645-61: Newsprint, Including Recycled</v>
      </c>
    </row>
    <row r="5165" spans="1:7" x14ac:dyDescent="0.25">
      <c r="A5165" s="1" t="str">
        <f t="shared" si="331"/>
        <v>645</v>
      </c>
      <c r="B5165" s="1" t="str">
        <f>TEXT(64,"00")</f>
        <v>64</v>
      </c>
      <c r="C5165" s="1" t="str">
        <f t="shared" si="329"/>
        <v>645-64</v>
      </c>
      <c r="D5165" t="s">
        <v>5138</v>
      </c>
      <c r="E5165" t="b">
        <f>IF(COUNTIF(D5165,"*"&amp;'Keyword Search'!$C$5&amp;"*"),TRUE,FALSE)</f>
        <v>1</v>
      </c>
      <c r="G5165" t="str">
        <f t="shared" si="330"/>
        <v>645-64: Offset Paper, Including Recycled</v>
      </c>
    </row>
    <row r="5166" spans="1:7" x14ac:dyDescent="0.25">
      <c r="A5166" s="1" t="str">
        <f t="shared" si="331"/>
        <v>645</v>
      </c>
      <c r="B5166" s="1" t="str">
        <f>TEXT(66,"00")</f>
        <v>66</v>
      </c>
      <c r="C5166" s="1" t="str">
        <f t="shared" si="329"/>
        <v>645-66</v>
      </c>
      <c r="D5166" t="s">
        <v>5139</v>
      </c>
      <c r="E5166" t="b">
        <f>IF(COUNTIF(D5166,"*"&amp;'Keyword Search'!$C$5&amp;"*"),TRUE,FALSE)</f>
        <v>1</v>
      </c>
      <c r="G5166" t="str">
        <f t="shared" si="330"/>
        <v>645-66: Onionskin (Including Recycled)</v>
      </c>
    </row>
    <row r="5167" spans="1:7" x14ac:dyDescent="0.25">
      <c r="A5167" s="1" t="str">
        <f t="shared" si="331"/>
        <v>645</v>
      </c>
      <c r="B5167" s="1" t="str">
        <f>TEXT(68,"00")</f>
        <v>68</v>
      </c>
      <c r="C5167" s="1" t="str">
        <f t="shared" si="329"/>
        <v>645-68</v>
      </c>
      <c r="D5167" t="s">
        <v>5140</v>
      </c>
      <c r="E5167" t="b">
        <f>IF(COUNTIF(D5167,"*"&amp;'Keyword Search'!$C$5&amp;"*"),TRUE,FALSE)</f>
        <v>1</v>
      </c>
      <c r="G5167" t="str">
        <f t="shared" si="330"/>
        <v>645-68: Parchment Paper, Including Recycled</v>
      </c>
    </row>
    <row r="5168" spans="1:7" x14ac:dyDescent="0.25">
      <c r="A5168" s="1" t="str">
        <f t="shared" si="331"/>
        <v>645</v>
      </c>
      <c r="B5168" s="1" t="str">
        <f>TEXT(69,"00")</f>
        <v>69</v>
      </c>
      <c r="C5168" s="1" t="str">
        <f t="shared" si="329"/>
        <v>645-69</v>
      </c>
      <c r="D5168" t="s">
        <v>5141</v>
      </c>
      <c r="E5168" t="b">
        <f>IF(COUNTIF(D5168,"*"&amp;'Keyword Search'!$C$5&amp;"*"),TRUE,FALSE)</f>
        <v>1</v>
      </c>
      <c r="G5168" t="str">
        <f t="shared" si="330"/>
        <v>645-69: Paper and Paper Products, Scrap or Waste, Including Recycled</v>
      </c>
    </row>
    <row r="5169" spans="1:7" x14ac:dyDescent="0.25">
      <c r="A5169" s="1" t="str">
        <f t="shared" si="331"/>
        <v>645</v>
      </c>
      <c r="B5169" s="1" t="str">
        <f>TEXT(71,"00")</f>
        <v>71</v>
      </c>
      <c r="C5169" s="1" t="str">
        <f t="shared" si="329"/>
        <v>645-71</v>
      </c>
      <c r="D5169" t="s">
        <v>5142</v>
      </c>
      <c r="E5169" t="b">
        <f>IF(COUNTIF(D5169,"*"&amp;'Keyword Search'!$C$5&amp;"*"),TRUE,FALSE)</f>
        <v>1</v>
      </c>
      <c r="G5169" t="str">
        <f t="shared" si="330"/>
        <v>645-71: Poster Paper, Including Recycled</v>
      </c>
    </row>
    <row r="5170" spans="1:7" x14ac:dyDescent="0.25">
      <c r="A5170" s="1" t="str">
        <f t="shared" si="331"/>
        <v>645</v>
      </c>
      <c r="B5170" s="1" t="str">
        <f>TEXT(74,"00")</f>
        <v>74</v>
      </c>
      <c r="C5170" s="1" t="str">
        <f t="shared" si="329"/>
        <v>645-74</v>
      </c>
      <c r="D5170" t="s">
        <v>5143</v>
      </c>
      <c r="E5170" t="b">
        <f>IF(COUNTIF(D5170,"*"&amp;'Keyword Search'!$C$5&amp;"*"),TRUE,FALSE)</f>
        <v>1</v>
      </c>
      <c r="G5170" t="str">
        <f t="shared" si="330"/>
        <v>645-74: Pressure Sensitive Paper, Including Recycled</v>
      </c>
    </row>
    <row r="5171" spans="1:7" x14ac:dyDescent="0.25">
      <c r="A5171" s="1" t="str">
        <f t="shared" si="331"/>
        <v>645</v>
      </c>
      <c r="B5171" s="1" t="str">
        <f>TEXT(80,"00")</f>
        <v>80</v>
      </c>
      <c r="C5171" s="1" t="str">
        <f t="shared" si="329"/>
        <v>645-80</v>
      </c>
      <c r="D5171" t="s">
        <v>5144</v>
      </c>
      <c r="E5171" t="b">
        <f>IF(COUNTIF(D5171,"*"&amp;'Keyword Search'!$C$5&amp;"*"),TRUE,FALSE)</f>
        <v>1</v>
      </c>
      <c r="G5171" t="str">
        <f t="shared" si="330"/>
        <v>645-80: Stationery With Envelopes, Including Recycled</v>
      </c>
    </row>
    <row r="5172" spans="1:7" x14ac:dyDescent="0.25">
      <c r="A5172" s="1" t="str">
        <f t="shared" si="331"/>
        <v>645</v>
      </c>
      <c r="B5172" s="1" t="str">
        <f>TEXT(83,"00")</f>
        <v>83</v>
      </c>
      <c r="C5172" s="1" t="str">
        <f t="shared" si="329"/>
        <v>645-83</v>
      </c>
      <c r="D5172" t="s">
        <v>5145</v>
      </c>
      <c r="E5172" t="b">
        <f>IF(COUNTIF(D5172,"*"&amp;'Keyword Search'!$C$5&amp;"*"),TRUE,FALSE)</f>
        <v>1</v>
      </c>
      <c r="G5172" t="str">
        <f t="shared" si="330"/>
        <v>645-83: Tag Stock, Including Recycled</v>
      </c>
    </row>
    <row r="5173" spans="1:7" x14ac:dyDescent="0.25">
      <c r="A5173" s="1" t="str">
        <f t="shared" si="331"/>
        <v>645</v>
      </c>
      <c r="B5173" s="1" t="str">
        <f>TEXT(88,"00")</f>
        <v>88</v>
      </c>
      <c r="C5173" s="1" t="str">
        <f t="shared" si="329"/>
        <v>645-88</v>
      </c>
      <c r="D5173" t="s">
        <v>5146</v>
      </c>
      <c r="E5173" t="b">
        <f>IF(COUNTIF(D5173,"*"&amp;'Keyword Search'!$C$5&amp;"*"),TRUE,FALSE)</f>
        <v>1</v>
      </c>
      <c r="G5173" t="str">
        <f t="shared" si="330"/>
        <v>645-88: Teletype and Telex Paper, Including Recycled</v>
      </c>
    </row>
    <row r="5174" spans="1:7" x14ac:dyDescent="0.25">
      <c r="A5174" s="1" t="str">
        <f t="shared" si="331"/>
        <v>645</v>
      </c>
      <c r="B5174" s="1" t="str">
        <f>TEXT(90,"00")</f>
        <v>90</v>
      </c>
      <c r="C5174" s="1" t="str">
        <f t="shared" si="329"/>
        <v>645-90</v>
      </c>
      <c r="D5174" t="s">
        <v>5147</v>
      </c>
      <c r="E5174" t="b">
        <f>IF(COUNTIF(D5174,"*"&amp;'Keyword Search'!$C$5&amp;"*"),TRUE,FALSE)</f>
        <v>1</v>
      </c>
      <c r="G5174" t="str">
        <f t="shared" si="330"/>
        <v>645-90: Text Paper, Including Recycled</v>
      </c>
    </row>
    <row r="5175" spans="1:7" x14ac:dyDescent="0.25">
      <c r="A5175" s="1" t="str">
        <f t="shared" si="331"/>
        <v>645</v>
      </c>
      <c r="B5175" s="1" t="str">
        <f>TEXT(94,"00")</f>
        <v>94</v>
      </c>
      <c r="C5175" s="1" t="str">
        <f t="shared" si="329"/>
        <v>645-94</v>
      </c>
      <c r="D5175" t="s">
        <v>5148</v>
      </c>
      <c r="E5175" t="b">
        <f>IF(COUNTIF(D5175,"*"&amp;'Keyword Search'!$C$5&amp;"*"),TRUE,FALSE)</f>
        <v>1</v>
      </c>
      <c r="G5175" t="str">
        <f t="shared" si="330"/>
        <v>645-94: Uncoated Paper (Not Otherwise Classified)</v>
      </c>
    </row>
    <row r="5176" spans="1:7" x14ac:dyDescent="0.25">
      <c r="A5176" s="5" t="str">
        <f t="shared" ref="A5176:A5207" si="332">TEXT(646,"000")</f>
        <v>646</v>
      </c>
      <c r="B5176" s="5" t="str">
        <f>TEXT(0,"00")</f>
        <v>00</v>
      </c>
      <c r="C5176" s="1"/>
      <c r="D5176" s="2" t="s">
        <v>5149</v>
      </c>
    </row>
    <row r="5177" spans="1:7" x14ac:dyDescent="0.25">
      <c r="A5177" s="1" t="str">
        <f t="shared" si="332"/>
        <v>646</v>
      </c>
      <c r="B5177" s="1" t="str">
        <f>TEXT(10,"00")</f>
        <v>10</v>
      </c>
      <c r="C5177" s="1" t="str">
        <f t="shared" si="329"/>
        <v>646-10</v>
      </c>
      <c r="D5177" t="s">
        <v>5150</v>
      </c>
      <c r="E5177" t="b">
        <f>IF(COUNTIF(D5177,"*"&amp;'Keyword Search'!$C$5&amp;"*"),TRUE,FALSE)</f>
        <v>1</v>
      </c>
      <c r="G5177" t="str">
        <f t="shared" si="330"/>
        <v>646-10: Announcement Stock, Including Recycled, Environmentally Certified Products</v>
      </c>
    </row>
    <row r="5178" spans="1:7" x14ac:dyDescent="0.25">
      <c r="A5178" s="1" t="str">
        <f t="shared" si="332"/>
        <v>646</v>
      </c>
      <c r="B5178" s="1" t="str">
        <f>TEXT(15,"00")</f>
        <v>15</v>
      </c>
      <c r="C5178" s="1" t="str">
        <f t="shared" si="329"/>
        <v>646-15</v>
      </c>
      <c r="D5178" t="s">
        <v>5151</v>
      </c>
      <c r="E5178" t="b">
        <f>IF(COUNTIF(D5178,"*"&amp;'Keyword Search'!$C$5&amp;"*"),TRUE,FALSE)</f>
        <v>1</v>
      </c>
      <c r="G5178" t="str">
        <f t="shared" si="330"/>
        <v>646-15: Backing Sheets and Liners for Decals, Bumper Stickers, etc., Crack and Peel, Environmentally Certified Products</v>
      </c>
    </row>
    <row r="5179" spans="1:7" x14ac:dyDescent="0.25">
      <c r="A5179" s="1" t="str">
        <f t="shared" si="332"/>
        <v>646</v>
      </c>
      <c r="B5179" s="1" t="str">
        <f>TEXT(18,"00")</f>
        <v>18</v>
      </c>
      <c r="C5179" s="1" t="str">
        <f t="shared" si="329"/>
        <v>646-18</v>
      </c>
      <c r="D5179" t="s">
        <v>5152</v>
      </c>
      <c r="E5179" t="b">
        <f>IF(COUNTIF(D5179,"*"&amp;'Keyword Search'!$C$5&amp;"*"),TRUE,FALSE)</f>
        <v>1</v>
      </c>
      <c r="G5179" t="str">
        <f t="shared" si="330"/>
        <v>646-18: Boards: Poster, Pressboard, Railroad, etc., Including Recycled, Environmentally Certified Products</v>
      </c>
    </row>
    <row r="5180" spans="1:7" x14ac:dyDescent="0.25">
      <c r="A5180" s="1" t="str">
        <f t="shared" si="332"/>
        <v>646</v>
      </c>
      <c r="B5180" s="1" t="str">
        <f>TEXT(21,"00")</f>
        <v>21</v>
      </c>
      <c r="C5180" s="1" t="str">
        <f t="shared" si="329"/>
        <v>646-21</v>
      </c>
      <c r="D5180" t="s">
        <v>5153</v>
      </c>
      <c r="E5180" t="b">
        <f>IF(COUNTIF(D5180,"*"&amp;'Keyword Search'!$C$5&amp;"*"),TRUE,FALSE)</f>
        <v>1</v>
      </c>
      <c r="G5180" t="str">
        <f t="shared" si="330"/>
        <v>646-21: Bond Paper, Including Recycled, Environmentally Certified Products</v>
      </c>
    </row>
    <row r="5181" spans="1:7" x14ac:dyDescent="0.25">
      <c r="A5181" s="1" t="str">
        <f t="shared" si="332"/>
        <v>646</v>
      </c>
      <c r="B5181" s="1" t="str">
        <f>TEXT(25,"00")</f>
        <v>25</v>
      </c>
      <c r="C5181" s="1" t="str">
        <f t="shared" si="329"/>
        <v>646-25</v>
      </c>
      <c r="D5181" t="s">
        <v>5154</v>
      </c>
      <c r="E5181" t="b">
        <f>IF(COUNTIF(D5181,"*"&amp;'Keyword Search'!$C$5&amp;"*"),TRUE,FALSE)</f>
        <v>1</v>
      </c>
      <c r="G5181" t="str">
        <f t="shared" si="330"/>
        <v>646-25: Book Paper, Including Recycled, Environmentally Certified Products</v>
      </c>
    </row>
    <row r="5182" spans="1:7" x14ac:dyDescent="0.25">
      <c r="A5182" s="1" t="str">
        <f t="shared" si="332"/>
        <v>646</v>
      </c>
      <c r="B5182" s="1" t="str">
        <f>TEXT(28,"00")</f>
        <v>28</v>
      </c>
      <c r="C5182" s="1" t="str">
        <f t="shared" si="329"/>
        <v>646-28</v>
      </c>
      <c r="D5182" t="s">
        <v>5155</v>
      </c>
      <c r="E5182" t="b">
        <f>IF(COUNTIF(D5182,"*"&amp;'Keyword Search'!$C$5&amp;"*"),TRUE,FALSE)</f>
        <v>1</v>
      </c>
      <c r="G5182" t="str">
        <f t="shared" si="330"/>
        <v>646-28: Bristol, Including Recycled, Environmentally Certified Products</v>
      </c>
    </row>
    <row r="5183" spans="1:7" x14ac:dyDescent="0.25">
      <c r="A5183" s="1" t="str">
        <f t="shared" si="332"/>
        <v>646</v>
      </c>
      <c r="B5183" s="1" t="str">
        <f>TEXT(30,"00")</f>
        <v>30</v>
      </c>
      <c r="C5183" s="1" t="str">
        <f t="shared" si="329"/>
        <v>646-30</v>
      </c>
      <c r="D5183" t="s">
        <v>5156</v>
      </c>
      <c r="E5183" t="b">
        <f>IF(COUNTIF(D5183,"*"&amp;'Keyword Search'!$C$5&amp;"*"),TRUE,FALSE)</f>
        <v>1</v>
      </c>
      <c r="G5183" t="str">
        <f t="shared" si="330"/>
        <v>646-30: Carbonless Paper, Chemical Transfer, Including Recycled, Environmentally Certified Products</v>
      </c>
    </row>
    <row r="5184" spans="1:7" x14ac:dyDescent="0.25">
      <c r="A5184" s="1" t="str">
        <f t="shared" si="332"/>
        <v>646</v>
      </c>
      <c r="B5184" s="1" t="str">
        <f>TEXT(31,"00")</f>
        <v>31</v>
      </c>
      <c r="C5184" s="1" t="str">
        <f t="shared" si="329"/>
        <v>646-31</v>
      </c>
      <c r="D5184" t="s">
        <v>5157</v>
      </c>
      <c r="E5184" t="b">
        <f>IF(COUNTIF(D5184,"*"&amp;'Keyword Search'!$C$5&amp;"*"),TRUE,FALSE)</f>
        <v>1</v>
      </c>
      <c r="G5184" t="str">
        <f t="shared" si="330"/>
        <v>646-31: Card Stock, Including Recycled, Environmentally Certified Products</v>
      </c>
    </row>
    <row r="5185" spans="1:7" x14ac:dyDescent="0.25">
      <c r="A5185" s="1" t="str">
        <f t="shared" si="332"/>
        <v>646</v>
      </c>
      <c r="B5185" s="1" t="str">
        <f>TEXT(32,"00")</f>
        <v>32</v>
      </c>
      <c r="C5185" s="1" t="str">
        <f t="shared" si="329"/>
        <v>646-32</v>
      </c>
      <c r="D5185" t="s">
        <v>5158</v>
      </c>
      <c r="E5185" t="b">
        <f>IF(COUNTIF(D5185,"*"&amp;'Keyword Search'!$C$5&amp;"*"),TRUE,FALSE)</f>
        <v>1</v>
      </c>
      <c r="G5185" t="str">
        <f t="shared" si="330"/>
        <v>646-32: Coated Paper (Not Otherwise Classified), Including Recycled, Environmentally Certified Products</v>
      </c>
    </row>
    <row r="5186" spans="1:7" x14ac:dyDescent="0.25">
      <c r="A5186" s="1" t="str">
        <f t="shared" si="332"/>
        <v>646</v>
      </c>
      <c r="B5186" s="1" t="str">
        <f>TEXT(33,"00")</f>
        <v>33</v>
      </c>
      <c r="C5186" s="1" t="str">
        <f t="shared" si="329"/>
        <v>646-33</v>
      </c>
      <c r="D5186" t="s">
        <v>5159</v>
      </c>
      <c r="E5186" t="b">
        <f>IF(COUNTIF(D5186,"*"&amp;'Keyword Search'!$C$5&amp;"*"),TRUE,FALSE)</f>
        <v>1</v>
      </c>
      <c r="G5186" t="str">
        <f t="shared" si="330"/>
        <v>646-33: Copy Paper, Specialized High Speed, Including Recycled,, Environmentally Certified Products</v>
      </c>
    </row>
    <row r="5187" spans="1:7" x14ac:dyDescent="0.25">
      <c r="A5187" s="1" t="str">
        <f t="shared" si="332"/>
        <v>646</v>
      </c>
      <c r="B5187" s="1" t="str">
        <f>TEXT(35,"00")</f>
        <v>35</v>
      </c>
      <c r="C5187" s="1" t="str">
        <f t="shared" ref="C5187:C5250" si="333">CONCATENATE(A5187,"-",B5187)</f>
        <v>646-35</v>
      </c>
      <c r="D5187" t="s">
        <v>5160</v>
      </c>
      <c r="E5187" t="b">
        <f>IF(COUNTIF(D5187,"*"&amp;'Keyword Search'!$C$5&amp;"*"),TRUE,FALSE)</f>
        <v>1</v>
      </c>
      <c r="G5187" t="str">
        <f t="shared" si="330"/>
        <v>646-35: Cover Stock, Including Recycled, Environmentally Certified Products</v>
      </c>
    </row>
    <row r="5188" spans="1:7" x14ac:dyDescent="0.25">
      <c r="A5188" s="1" t="str">
        <f t="shared" si="332"/>
        <v>646</v>
      </c>
      <c r="B5188" s="1" t="str">
        <f>TEXT(39,"00")</f>
        <v>39</v>
      </c>
      <c r="C5188" s="1" t="str">
        <f t="shared" si="333"/>
        <v>646-39</v>
      </c>
      <c r="D5188" t="s">
        <v>5161</v>
      </c>
      <c r="E5188" t="b">
        <f>IF(COUNTIF(D5188,"*"&amp;'Keyword Search'!$C$5&amp;"*"),TRUE,FALSE)</f>
        <v>1</v>
      </c>
      <c r="G5188" t="str">
        <f t="shared" ref="G5188:G5251" si="334">CONCATENATE(C5188,": ",D5188)</f>
        <v>646-39: Duplicator and Mimeograph Paper, Including Recycled, Environmentally Certified Products</v>
      </c>
    </row>
    <row r="5189" spans="1:7" x14ac:dyDescent="0.25">
      <c r="A5189" s="1" t="str">
        <f t="shared" si="332"/>
        <v>646</v>
      </c>
      <c r="B5189" s="1" t="str">
        <f>TEXT(44,"00")</f>
        <v>44</v>
      </c>
      <c r="C5189" s="1" t="str">
        <f t="shared" si="333"/>
        <v>646-44</v>
      </c>
      <c r="D5189" t="s">
        <v>5162</v>
      </c>
      <c r="E5189" t="b">
        <f>IF(COUNTIF(D5189,"*"&amp;'Keyword Search'!$C$5&amp;"*"),TRUE,FALSE)</f>
        <v>1</v>
      </c>
      <c r="G5189" t="str">
        <f t="shared" si="334"/>
        <v>646-44: Facsimile (Fax) Paper, Including Recycled, Environmentally Certified Products</v>
      </c>
    </row>
    <row r="5190" spans="1:7" x14ac:dyDescent="0.25">
      <c r="A5190" s="1" t="str">
        <f t="shared" si="332"/>
        <v>646</v>
      </c>
      <c r="B5190" s="1" t="str">
        <f>TEXT(47,"00")</f>
        <v>47</v>
      </c>
      <c r="C5190" s="1" t="str">
        <f t="shared" si="333"/>
        <v>646-47</v>
      </c>
      <c r="D5190" t="s">
        <v>5163</v>
      </c>
      <c r="E5190" t="b">
        <f>IF(COUNTIF(D5190,"*"&amp;'Keyword Search'!$C$5&amp;"*"),TRUE,FALSE)</f>
        <v>1</v>
      </c>
      <c r="G5190" t="str">
        <f t="shared" si="334"/>
        <v>646-47: Gummed Paper, Including Recycled, Environmentally Certified Products</v>
      </c>
    </row>
    <row r="5191" spans="1:7" x14ac:dyDescent="0.25">
      <c r="A5191" s="1" t="str">
        <f t="shared" si="332"/>
        <v>646</v>
      </c>
      <c r="B5191" s="1" t="str">
        <f>TEXT(51,"00")</f>
        <v>51</v>
      </c>
      <c r="C5191" s="1" t="str">
        <f t="shared" si="333"/>
        <v>646-51</v>
      </c>
      <c r="D5191" t="s">
        <v>5164</v>
      </c>
      <c r="E5191" t="b">
        <f>IF(COUNTIF(D5191,"*"&amp;'Keyword Search'!$C$5&amp;"*"),TRUE,FALSE)</f>
        <v>1</v>
      </c>
      <c r="G5191" t="str">
        <f t="shared" si="334"/>
        <v>646-51: Index Paper, Including Recycled, Environmentally Certified Products</v>
      </c>
    </row>
    <row r="5192" spans="1:7" x14ac:dyDescent="0.25">
      <c r="A5192" s="1" t="str">
        <f t="shared" si="332"/>
        <v>646</v>
      </c>
      <c r="B5192" s="1" t="str">
        <f>TEXT(54,"00")</f>
        <v>54</v>
      </c>
      <c r="C5192" s="1" t="str">
        <f t="shared" si="333"/>
        <v>646-54</v>
      </c>
      <c r="D5192" t="s">
        <v>5165</v>
      </c>
      <c r="E5192" t="b">
        <f>IF(COUNTIF(D5192,"*"&amp;'Keyword Search'!$C$5&amp;"*"),TRUE,FALSE)</f>
        <v>1</v>
      </c>
      <c r="G5192" t="str">
        <f t="shared" si="334"/>
        <v>646-54: Kenaf Tree Free Paper, Including Recycled, Environmentally Certified Products</v>
      </c>
    </row>
    <row r="5193" spans="1:7" x14ac:dyDescent="0.25">
      <c r="A5193" s="1" t="str">
        <f t="shared" si="332"/>
        <v>646</v>
      </c>
      <c r="B5193" s="1" t="str">
        <f>TEXT(55,"00")</f>
        <v>55</v>
      </c>
      <c r="C5193" s="1" t="str">
        <f t="shared" si="333"/>
        <v>646-55</v>
      </c>
      <c r="D5193" t="s">
        <v>5166</v>
      </c>
      <c r="E5193" t="b">
        <f>IF(COUNTIF(D5193,"*"&amp;'Keyword Search'!$C$5&amp;"*"),TRUE,FALSE)</f>
        <v>1</v>
      </c>
      <c r="G5193" t="str">
        <f t="shared" si="334"/>
        <v>646-55: Ledger Paper, Including Recycled, Environmentally Certified Products</v>
      </c>
    </row>
    <row r="5194" spans="1:7" x14ac:dyDescent="0.25">
      <c r="A5194" s="1" t="str">
        <f t="shared" si="332"/>
        <v>646</v>
      </c>
      <c r="B5194" s="1" t="str">
        <f>TEXT(58,"00")</f>
        <v>58</v>
      </c>
      <c r="C5194" s="1" t="str">
        <f t="shared" si="333"/>
        <v>646-58</v>
      </c>
      <c r="D5194" t="s">
        <v>5167</v>
      </c>
      <c r="E5194" t="b">
        <f>IF(COUNTIF(D5194,"*"&amp;'Keyword Search'!$C$5&amp;"*"),TRUE,FALSE)</f>
        <v>1</v>
      </c>
      <c r="G5194" t="str">
        <f t="shared" si="334"/>
        <v>646-58: Manifold Paper, Including Recycled, Environmentally Certified Products</v>
      </c>
    </row>
    <row r="5195" spans="1:7" x14ac:dyDescent="0.25">
      <c r="A5195" s="1" t="str">
        <f t="shared" si="332"/>
        <v>646</v>
      </c>
      <c r="B5195" s="1" t="str">
        <f>TEXT(59,"00")</f>
        <v>59</v>
      </c>
      <c r="C5195" s="1" t="str">
        <f t="shared" si="333"/>
        <v>646-59</v>
      </c>
      <c r="D5195" t="s">
        <v>5168</v>
      </c>
      <c r="E5195" t="b">
        <f>IF(COUNTIF(D5195,"*"&amp;'Keyword Search'!$C$5&amp;"*"),TRUE,FALSE)</f>
        <v>1</v>
      </c>
      <c r="G5195" t="str">
        <f t="shared" si="334"/>
        <v>646-59: Map Paper, Including Recycled, Environmentally Certified Products</v>
      </c>
    </row>
    <row r="5196" spans="1:7" x14ac:dyDescent="0.25">
      <c r="A5196" s="1" t="str">
        <f t="shared" si="332"/>
        <v>646</v>
      </c>
      <c r="B5196" s="1" t="str">
        <f>TEXT(61,"00")</f>
        <v>61</v>
      </c>
      <c r="C5196" s="1" t="str">
        <f t="shared" si="333"/>
        <v>646-61</v>
      </c>
      <c r="D5196" t="s">
        <v>5169</v>
      </c>
      <c r="E5196" t="b">
        <f>IF(COUNTIF(D5196,"*"&amp;'Keyword Search'!$C$5&amp;"*"),TRUE,FALSE)</f>
        <v>1</v>
      </c>
      <c r="G5196" t="str">
        <f t="shared" si="334"/>
        <v>646-61: Newsprint, Including Recycled, Environmentally Certified Products</v>
      </c>
    </row>
    <row r="5197" spans="1:7" x14ac:dyDescent="0.25">
      <c r="A5197" s="1" t="str">
        <f t="shared" si="332"/>
        <v>646</v>
      </c>
      <c r="B5197" s="1" t="str">
        <f>TEXT(64,"00")</f>
        <v>64</v>
      </c>
      <c r="C5197" s="1" t="str">
        <f t="shared" si="333"/>
        <v>646-64</v>
      </c>
      <c r="D5197" t="s">
        <v>5170</v>
      </c>
      <c r="E5197" t="b">
        <f>IF(COUNTIF(D5197,"*"&amp;'Keyword Search'!$C$5&amp;"*"),TRUE,FALSE)</f>
        <v>1</v>
      </c>
      <c r="G5197" t="str">
        <f t="shared" si="334"/>
        <v>646-64: Offset Paper, Including Recycled, Environmentally Certified Products</v>
      </c>
    </row>
    <row r="5198" spans="1:7" x14ac:dyDescent="0.25">
      <c r="A5198" s="1" t="str">
        <f t="shared" si="332"/>
        <v>646</v>
      </c>
      <c r="B5198" s="1" t="str">
        <f>TEXT(66,"00")</f>
        <v>66</v>
      </c>
      <c r="C5198" s="1" t="str">
        <f t="shared" si="333"/>
        <v>646-66</v>
      </c>
      <c r="D5198" t="s">
        <v>5171</v>
      </c>
      <c r="E5198" t="b">
        <f>IF(COUNTIF(D5198,"*"&amp;'Keyword Search'!$C$5&amp;"*"),TRUE,FALSE)</f>
        <v>1</v>
      </c>
      <c r="G5198" t="str">
        <f t="shared" si="334"/>
        <v>646-66: Onionskin, Including Recycled, Environmentally Certified Products</v>
      </c>
    </row>
    <row r="5199" spans="1:7" x14ac:dyDescent="0.25">
      <c r="A5199" s="1" t="str">
        <f t="shared" si="332"/>
        <v>646</v>
      </c>
      <c r="B5199" s="1" t="str">
        <f>TEXT(68,"00")</f>
        <v>68</v>
      </c>
      <c r="C5199" s="1" t="str">
        <f t="shared" si="333"/>
        <v>646-68</v>
      </c>
      <c r="D5199" t="s">
        <v>5172</v>
      </c>
      <c r="E5199" t="b">
        <f>IF(COUNTIF(D5199,"*"&amp;'Keyword Search'!$C$5&amp;"*"),TRUE,FALSE)</f>
        <v>1</v>
      </c>
      <c r="G5199" t="str">
        <f t="shared" si="334"/>
        <v>646-68: Parchment Paper, Including Recycled, Environmentally Certified Products</v>
      </c>
    </row>
    <row r="5200" spans="1:7" x14ac:dyDescent="0.25">
      <c r="A5200" s="1" t="str">
        <f t="shared" si="332"/>
        <v>646</v>
      </c>
      <c r="B5200" s="1" t="str">
        <f>TEXT(69,"00")</f>
        <v>69</v>
      </c>
      <c r="C5200" s="1" t="str">
        <f t="shared" si="333"/>
        <v>646-69</v>
      </c>
      <c r="D5200" t="s">
        <v>5173</v>
      </c>
      <c r="E5200" t="b">
        <f>IF(COUNTIF(D5200,"*"&amp;'Keyword Search'!$C$5&amp;"*"),TRUE,FALSE)</f>
        <v>1</v>
      </c>
      <c r="G5200" t="str">
        <f t="shared" si="334"/>
        <v>646-69: Paper and Paper Products, Scrap or Waste, Including Recycled, Environmentally Certified Products</v>
      </c>
    </row>
    <row r="5201" spans="1:7" x14ac:dyDescent="0.25">
      <c r="A5201" s="1" t="str">
        <f t="shared" si="332"/>
        <v>646</v>
      </c>
      <c r="B5201" s="1" t="str">
        <f>TEXT(71,"00")</f>
        <v>71</v>
      </c>
      <c r="C5201" s="1" t="str">
        <f t="shared" si="333"/>
        <v>646-71</v>
      </c>
      <c r="D5201" t="s">
        <v>5174</v>
      </c>
      <c r="E5201" t="b">
        <f>IF(COUNTIF(D5201,"*"&amp;'Keyword Search'!$C$5&amp;"*"),TRUE,FALSE)</f>
        <v>1</v>
      </c>
      <c r="G5201" t="str">
        <f t="shared" si="334"/>
        <v>646-71: Poster Paper, Including Recycled, Environmentally Certified Products</v>
      </c>
    </row>
    <row r="5202" spans="1:7" x14ac:dyDescent="0.25">
      <c r="A5202" s="1" t="str">
        <f t="shared" si="332"/>
        <v>646</v>
      </c>
      <c r="B5202" s="1" t="str">
        <f>TEXT(74,"00")</f>
        <v>74</v>
      </c>
      <c r="C5202" s="1" t="str">
        <f t="shared" si="333"/>
        <v>646-74</v>
      </c>
      <c r="D5202" t="s">
        <v>5175</v>
      </c>
      <c r="E5202" t="b">
        <f>IF(COUNTIF(D5202,"*"&amp;'Keyword Search'!$C$5&amp;"*"),TRUE,FALSE)</f>
        <v>1</v>
      </c>
      <c r="G5202" t="str">
        <f t="shared" si="334"/>
        <v>646-74: Pressure Sensitive Paper, Including Recycled, Environmentally Certified Products</v>
      </c>
    </row>
    <row r="5203" spans="1:7" x14ac:dyDescent="0.25">
      <c r="A5203" s="1" t="str">
        <f t="shared" si="332"/>
        <v>646</v>
      </c>
      <c r="B5203" s="1" t="str">
        <f>TEXT(80,"00")</f>
        <v>80</v>
      </c>
      <c r="C5203" s="1" t="str">
        <f t="shared" si="333"/>
        <v>646-80</v>
      </c>
      <c r="D5203" t="s">
        <v>5176</v>
      </c>
      <c r="E5203" t="b">
        <f>IF(COUNTIF(D5203,"*"&amp;'Keyword Search'!$C$5&amp;"*"),TRUE,FALSE)</f>
        <v>1</v>
      </c>
      <c r="G5203" t="str">
        <f t="shared" si="334"/>
        <v>646-80: Stationery w/Envelopes, Including Recycled, Environmentally Certified Products</v>
      </c>
    </row>
    <row r="5204" spans="1:7" x14ac:dyDescent="0.25">
      <c r="A5204" s="1" t="str">
        <f t="shared" si="332"/>
        <v>646</v>
      </c>
      <c r="B5204" s="1" t="str">
        <f>TEXT(83,"00")</f>
        <v>83</v>
      </c>
      <c r="C5204" s="1" t="str">
        <f t="shared" si="333"/>
        <v>646-83</v>
      </c>
      <c r="D5204" t="s">
        <v>5177</v>
      </c>
      <c r="E5204" t="b">
        <f>IF(COUNTIF(D5204,"*"&amp;'Keyword Search'!$C$5&amp;"*"),TRUE,FALSE)</f>
        <v>1</v>
      </c>
      <c r="G5204" t="str">
        <f t="shared" si="334"/>
        <v>646-83: Tag Stock, Including Recycled, Environmentally Certified Products</v>
      </c>
    </row>
    <row r="5205" spans="1:7" x14ac:dyDescent="0.25">
      <c r="A5205" s="1" t="str">
        <f t="shared" si="332"/>
        <v>646</v>
      </c>
      <c r="B5205" s="1" t="str">
        <f>TEXT(88,"00")</f>
        <v>88</v>
      </c>
      <c r="C5205" s="1" t="str">
        <f t="shared" si="333"/>
        <v>646-88</v>
      </c>
      <c r="D5205" t="s">
        <v>5178</v>
      </c>
      <c r="E5205" t="b">
        <f>IF(COUNTIF(D5205,"*"&amp;'Keyword Search'!$C$5&amp;"*"),TRUE,FALSE)</f>
        <v>1</v>
      </c>
      <c r="G5205" t="str">
        <f t="shared" si="334"/>
        <v>646-88: Teletype and Telex Paper, Including Recycled, Environmentally Certified Products</v>
      </c>
    </row>
    <row r="5206" spans="1:7" x14ac:dyDescent="0.25">
      <c r="A5206" s="1" t="str">
        <f t="shared" si="332"/>
        <v>646</v>
      </c>
      <c r="B5206" s="1" t="str">
        <f>TEXT(90,"00")</f>
        <v>90</v>
      </c>
      <c r="C5206" s="1" t="str">
        <f t="shared" si="333"/>
        <v>646-90</v>
      </c>
      <c r="D5206" t="s">
        <v>5179</v>
      </c>
      <c r="E5206" t="b">
        <f>IF(COUNTIF(D5206,"*"&amp;'Keyword Search'!$C$5&amp;"*"),TRUE,FALSE)</f>
        <v>1</v>
      </c>
      <c r="G5206" t="str">
        <f t="shared" si="334"/>
        <v>646-90: Text Paper, Including Recycled, Environmentally Certified Products</v>
      </c>
    </row>
    <row r="5207" spans="1:7" x14ac:dyDescent="0.25">
      <c r="A5207" s="1" t="str">
        <f t="shared" si="332"/>
        <v>646</v>
      </c>
      <c r="B5207" s="1" t="str">
        <f>TEXT(94,"00")</f>
        <v>94</v>
      </c>
      <c r="C5207" s="1" t="str">
        <f t="shared" si="333"/>
        <v>646-94</v>
      </c>
      <c r="D5207" t="s">
        <v>5180</v>
      </c>
      <c r="E5207" t="b">
        <f>IF(COUNTIF(D5207,"*"&amp;'Keyword Search'!$C$5&amp;"*"),TRUE,FALSE)</f>
        <v>1</v>
      </c>
      <c r="G5207" t="str">
        <f t="shared" si="334"/>
        <v>646-94: Uncoated Paper (Not Otherwise Classified), Environmentally Certified Products</v>
      </c>
    </row>
    <row r="5208" spans="1:7" x14ac:dyDescent="0.25">
      <c r="A5208" s="5" t="str">
        <f t="shared" ref="A5208:A5234" si="335">TEXT(650,"000")</f>
        <v>650</v>
      </c>
      <c r="B5208" s="5" t="str">
        <f>TEXT(0,"00")</f>
        <v>00</v>
      </c>
      <c r="C5208" s="1"/>
      <c r="D5208" s="2" t="s">
        <v>5181</v>
      </c>
    </row>
    <row r="5209" spans="1:7" x14ac:dyDescent="0.25">
      <c r="A5209" s="1" t="str">
        <f t="shared" si="335"/>
        <v>650</v>
      </c>
      <c r="B5209" s="1" t="str">
        <f>TEXT(4,"00")</f>
        <v>04</v>
      </c>
      <c r="C5209" s="1" t="str">
        <f t="shared" si="333"/>
        <v>650-04</v>
      </c>
      <c r="D5209" t="s">
        <v>5182</v>
      </c>
      <c r="E5209" t="b">
        <f>IF(COUNTIF(D5209,"*"&amp;'Keyword Search'!$C$5&amp;"*"),TRUE,FALSE)</f>
        <v>1</v>
      </c>
      <c r="G5209" t="str">
        <f t="shared" si="334"/>
        <v>650-04: Amusement Park Ride Equipment, Including Parts and Accessories</v>
      </c>
    </row>
    <row r="5210" spans="1:7" x14ac:dyDescent="0.25">
      <c r="A5210" s="1" t="str">
        <f t="shared" si="335"/>
        <v>650</v>
      </c>
      <c r="B5210" s="1" t="str">
        <f>TEXT(6,"00")</f>
        <v>06</v>
      </c>
      <c r="C5210" s="1" t="str">
        <f t="shared" si="333"/>
        <v>650-06</v>
      </c>
      <c r="D5210" t="s">
        <v>5183</v>
      </c>
      <c r="E5210" t="b">
        <f>IF(COUNTIF(D5210,"*"&amp;'Keyword Search'!$C$5&amp;"*"),TRUE,FALSE)</f>
        <v>1</v>
      </c>
      <c r="G5210" t="str">
        <f t="shared" si="334"/>
        <v>650-06: Benches, Park, Including Bus Stop Benches</v>
      </c>
    </row>
    <row r="5211" spans="1:7" x14ac:dyDescent="0.25">
      <c r="A5211" s="1" t="str">
        <f t="shared" si="335"/>
        <v>650</v>
      </c>
      <c r="B5211" s="1" t="str">
        <f>TEXT(10,"00")</f>
        <v>10</v>
      </c>
      <c r="C5211" s="1" t="str">
        <f t="shared" si="333"/>
        <v>650-10</v>
      </c>
      <c r="D5211" t="s">
        <v>5184</v>
      </c>
      <c r="E5211" t="b">
        <f>IF(COUNTIF(D5211,"*"&amp;'Keyword Search'!$C$5&amp;"*"),TRUE,FALSE)</f>
        <v>1</v>
      </c>
      <c r="G5211" t="str">
        <f t="shared" si="334"/>
        <v>650-10: Bicycle Racks</v>
      </c>
    </row>
    <row r="5212" spans="1:7" x14ac:dyDescent="0.25">
      <c r="A5212" s="1" t="str">
        <f t="shared" si="335"/>
        <v>650</v>
      </c>
      <c r="B5212" s="1" t="str">
        <f>TEXT(12,"00")</f>
        <v>12</v>
      </c>
      <c r="C5212" s="1" t="str">
        <f t="shared" si="333"/>
        <v>650-12</v>
      </c>
      <c r="D5212" t="s">
        <v>5185</v>
      </c>
      <c r="E5212" t="b">
        <f>IF(COUNTIF(D5212,"*"&amp;'Keyword Search'!$C$5&amp;"*"),TRUE,FALSE)</f>
        <v>1</v>
      </c>
      <c r="G5212" t="str">
        <f t="shared" si="334"/>
        <v>650-12: Climbers, Playground</v>
      </c>
    </row>
    <row r="5213" spans="1:7" x14ac:dyDescent="0.25">
      <c r="A5213" s="1" t="str">
        <f t="shared" si="335"/>
        <v>650</v>
      </c>
      <c r="B5213" s="1" t="str">
        <f>TEXT(18,"00")</f>
        <v>18</v>
      </c>
      <c r="C5213" s="1" t="str">
        <f t="shared" si="333"/>
        <v>650-18</v>
      </c>
      <c r="D5213" t="s">
        <v>5186</v>
      </c>
      <c r="E5213" t="b">
        <f>IF(COUNTIF(D5213,"*"&amp;'Keyword Search'!$C$5&amp;"*"),TRUE,FALSE)</f>
        <v>1</v>
      </c>
      <c r="G5213" t="str">
        <f t="shared" si="334"/>
        <v>650-18: Combination Sets, Playground</v>
      </c>
    </row>
    <row r="5214" spans="1:7" x14ac:dyDescent="0.25">
      <c r="A5214" s="1" t="str">
        <f t="shared" si="335"/>
        <v>650</v>
      </c>
      <c r="B5214" s="1" t="str">
        <f>TEXT(19,"00")</f>
        <v>19</v>
      </c>
      <c r="C5214" s="1" t="str">
        <f t="shared" si="333"/>
        <v>650-19</v>
      </c>
      <c r="D5214" t="s">
        <v>5187</v>
      </c>
      <c r="E5214" t="b">
        <f>IF(COUNTIF(D5214,"*"&amp;'Keyword Search'!$C$5&amp;"*"),TRUE,FALSE)</f>
        <v>1</v>
      </c>
      <c r="G5214" t="str">
        <f t="shared" si="334"/>
        <v>650-19: Fish Cleaning Stations</v>
      </c>
    </row>
    <row r="5215" spans="1:7" x14ac:dyDescent="0.25">
      <c r="A5215" s="1" t="str">
        <f t="shared" si="335"/>
        <v>650</v>
      </c>
      <c r="B5215" s="1" t="str">
        <f>TEXT(20,"00")</f>
        <v>20</v>
      </c>
      <c r="C5215" s="1" t="str">
        <f t="shared" si="333"/>
        <v>650-20</v>
      </c>
      <c r="D5215" t="s">
        <v>5188</v>
      </c>
      <c r="E5215" t="b">
        <f>IF(COUNTIF(D5215,"*"&amp;'Keyword Search'!$C$5&amp;"*"),TRUE,FALSE)</f>
        <v>1</v>
      </c>
      <c r="G5215" t="str">
        <f t="shared" si="334"/>
        <v>650-20: Fountains, Decorative</v>
      </c>
    </row>
    <row r="5216" spans="1:7" x14ac:dyDescent="0.25">
      <c r="A5216" s="1" t="str">
        <f t="shared" si="335"/>
        <v>650</v>
      </c>
      <c r="B5216" s="1" t="str">
        <f>TEXT(21,"00")</f>
        <v>21</v>
      </c>
      <c r="C5216" s="1" t="str">
        <f t="shared" si="333"/>
        <v>650-21</v>
      </c>
      <c r="D5216" t="s">
        <v>5189</v>
      </c>
      <c r="E5216" t="b">
        <f>IF(COUNTIF(D5216,"*"&amp;'Keyword Search'!$C$5&amp;"*"),TRUE,FALSE)</f>
        <v>1</v>
      </c>
      <c r="G5216" t="str">
        <f t="shared" si="334"/>
        <v>650-21: Fountains, Pet Drinking</v>
      </c>
    </row>
    <row r="5217" spans="1:7" x14ac:dyDescent="0.25">
      <c r="A5217" s="1" t="str">
        <f t="shared" si="335"/>
        <v>650</v>
      </c>
      <c r="B5217" s="1" t="str">
        <f>TEXT(23,"00")</f>
        <v>23</v>
      </c>
      <c r="C5217" s="1" t="str">
        <f t="shared" si="333"/>
        <v>650-23</v>
      </c>
      <c r="D5217" t="s">
        <v>5190</v>
      </c>
      <c r="E5217" t="b">
        <f>IF(COUNTIF(D5217,"*"&amp;'Keyword Search'!$C$5&amp;"*"),TRUE,FALSE)</f>
        <v>1</v>
      </c>
      <c r="G5217" t="str">
        <f t="shared" si="334"/>
        <v>650-23: Golf Course Maintenance Tools and Equipment (See Class 515 For Lawn Mowers)</v>
      </c>
    </row>
    <row r="5218" spans="1:7" x14ac:dyDescent="0.25">
      <c r="A5218" s="1" t="str">
        <f t="shared" si="335"/>
        <v>650</v>
      </c>
      <c r="B5218" s="1" t="str">
        <f>TEXT(24,"00")</f>
        <v>24</v>
      </c>
      <c r="C5218" s="1" t="str">
        <f t="shared" si="333"/>
        <v>650-24</v>
      </c>
      <c r="D5218" t="s">
        <v>5191</v>
      </c>
      <c r="E5218" t="b">
        <f>IF(COUNTIF(D5218,"*"&amp;'Keyword Search'!$C$5&amp;"*"),TRUE,FALSE)</f>
        <v>1</v>
      </c>
      <c r="G5218" t="str">
        <f t="shared" si="334"/>
        <v>650-24: Grill and Park Stoves, Outdoor</v>
      </c>
    </row>
    <row r="5219" spans="1:7" x14ac:dyDescent="0.25">
      <c r="A5219" s="1" t="str">
        <f t="shared" si="335"/>
        <v>650</v>
      </c>
      <c r="B5219" s="1" t="str">
        <f>TEXT(25,"00")</f>
        <v>25</v>
      </c>
      <c r="C5219" s="1" t="str">
        <f t="shared" si="333"/>
        <v>650-25</v>
      </c>
      <c r="D5219" t="s">
        <v>5192</v>
      </c>
      <c r="E5219" t="b">
        <f>IF(COUNTIF(D5219,"*"&amp;'Keyword Search'!$C$5&amp;"*"),TRUE,FALSE)</f>
        <v>1</v>
      </c>
      <c r="G5219" t="str">
        <f t="shared" si="334"/>
        <v>650-25: Groomers, Snow, Self-Propelled or Towed Behind</v>
      </c>
    </row>
    <row r="5220" spans="1:7" x14ac:dyDescent="0.25">
      <c r="A5220" s="1" t="str">
        <f t="shared" si="335"/>
        <v>650</v>
      </c>
      <c r="B5220" s="1" t="str">
        <f>TEXT(30,"00")</f>
        <v>30</v>
      </c>
      <c r="C5220" s="1" t="str">
        <f t="shared" si="333"/>
        <v>650-30</v>
      </c>
      <c r="D5220" t="s">
        <v>5193</v>
      </c>
      <c r="E5220" t="b">
        <f>IF(COUNTIF(D5220,"*"&amp;'Keyword Search'!$C$5&amp;"*"),TRUE,FALSE)</f>
        <v>1</v>
      </c>
      <c r="G5220" t="str">
        <f t="shared" si="334"/>
        <v>650-30: Ice Rink Resurfacer</v>
      </c>
    </row>
    <row r="5221" spans="1:7" x14ac:dyDescent="0.25">
      <c r="A5221" s="1" t="str">
        <f t="shared" si="335"/>
        <v>650</v>
      </c>
      <c r="B5221" s="1" t="str">
        <f>TEXT(36,"00")</f>
        <v>36</v>
      </c>
      <c r="C5221" s="1" t="str">
        <f t="shared" si="333"/>
        <v>650-36</v>
      </c>
      <c r="D5221" t="s">
        <v>5194</v>
      </c>
      <c r="E5221" t="b">
        <f>IF(COUNTIF(D5221,"*"&amp;'Keyword Search'!$C$5&amp;"*"),TRUE,FALSE)</f>
        <v>1</v>
      </c>
      <c r="G5221" t="str">
        <f t="shared" si="334"/>
        <v>650-36: Picnic Tables</v>
      </c>
    </row>
    <row r="5222" spans="1:7" x14ac:dyDescent="0.25">
      <c r="A5222" s="1" t="str">
        <f t="shared" si="335"/>
        <v>650</v>
      </c>
      <c r="B5222" s="1" t="str">
        <f>TEXT(38,"00")</f>
        <v>38</v>
      </c>
      <c r="C5222" s="1" t="str">
        <f t="shared" si="333"/>
        <v>650-38</v>
      </c>
      <c r="D5222" t="s">
        <v>5195</v>
      </c>
      <c r="E5222" t="b">
        <f>IF(COUNTIF(D5222,"*"&amp;'Keyword Search'!$C$5&amp;"*"),TRUE,FALSE)</f>
        <v>1</v>
      </c>
      <c r="G5222" t="str">
        <f t="shared" si="334"/>
        <v>650-38: Playground Equipment, (Not Otherwise Classified), (See 420-04 for Bleachers)</v>
      </c>
    </row>
    <row r="5223" spans="1:7" x14ac:dyDescent="0.25">
      <c r="A5223" s="1" t="str">
        <f t="shared" si="335"/>
        <v>650</v>
      </c>
      <c r="B5223" s="1" t="str">
        <f>TEXT(40,"00")</f>
        <v>40</v>
      </c>
      <c r="C5223" s="1" t="str">
        <f t="shared" si="333"/>
        <v>650-40</v>
      </c>
      <c r="D5223" t="s">
        <v>5196</v>
      </c>
      <c r="E5223" t="b">
        <f>IF(COUNTIF(D5223,"*"&amp;'Keyword Search'!$C$5&amp;"*"),TRUE,FALSE)</f>
        <v>1</v>
      </c>
      <c r="G5223" t="str">
        <f t="shared" si="334"/>
        <v>650-40: Pond Maintenance Equipment</v>
      </c>
    </row>
    <row r="5224" spans="1:7" x14ac:dyDescent="0.25">
      <c r="A5224" s="1" t="str">
        <f t="shared" si="335"/>
        <v>650</v>
      </c>
      <c r="B5224" s="1" t="str">
        <f>TEXT(46,"00")</f>
        <v>46</v>
      </c>
      <c r="C5224" s="1" t="str">
        <f t="shared" si="333"/>
        <v>650-46</v>
      </c>
      <c r="D5224" t="s">
        <v>5197</v>
      </c>
      <c r="E5224" t="b">
        <f>IF(COUNTIF(D5224,"*"&amp;'Keyword Search'!$C$5&amp;"*"),TRUE,FALSE)</f>
        <v>1</v>
      </c>
      <c r="G5224" t="str">
        <f t="shared" si="334"/>
        <v>650-46: Rakes/Screeners, Beach, Tractor Towed</v>
      </c>
    </row>
    <row r="5225" spans="1:7" x14ac:dyDescent="0.25">
      <c r="A5225" s="1" t="str">
        <f t="shared" si="335"/>
        <v>650</v>
      </c>
      <c r="B5225" s="1" t="str">
        <f>TEXT(48,"00")</f>
        <v>48</v>
      </c>
      <c r="C5225" s="1" t="str">
        <f t="shared" si="333"/>
        <v>650-48</v>
      </c>
      <c r="D5225" t="s">
        <v>5198</v>
      </c>
      <c r="E5225" t="b">
        <f>IF(COUNTIF(D5225,"*"&amp;'Keyword Search'!$C$5&amp;"*"),TRUE,FALSE)</f>
        <v>1</v>
      </c>
      <c r="G5225" t="str">
        <f t="shared" si="334"/>
        <v>650-48: Recycled Recreational and Park Equipment</v>
      </c>
    </row>
    <row r="5226" spans="1:7" x14ac:dyDescent="0.25">
      <c r="A5226" s="1" t="str">
        <f t="shared" si="335"/>
        <v>650</v>
      </c>
      <c r="B5226" s="1" t="str">
        <f>TEXT(50,"00")</f>
        <v>50</v>
      </c>
      <c r="C5226" s="1" t="str">
        <f t="shared" si="333"/>
        <v>650-50</v>
      </c>
      <c r="D5226" t="s">
        <v>5199</v>
      </c>
      <c r="E5226" t="b">
        <f>IF(COUNTIF(D5226,"*"&amp;'Keyword Search'!$C$5&amp;"*"),TRUE,FALSE)</f>
        <v>1</v>
      </c>
      <c r="G5226" t="str">
        <f t="shared" si="334"/>
        <v>650-50: Safety Surfaces, Playground</v>
      </c>
    </row>
    <row r="5227" spans="1:7" x14ac:dyDescent="0.25">
      <c r="A5227" s="1" t="str">
        <f t="shared" si="335"/>
        <v>650</v>
      </c>
      <c r="B5227" s="1" t="str">
        <f>TEXT(54,"00")</f>
        <v>54</v>
      </c>
      <c r="C5227" s="1" t="str">
        <f t="shared" si="333"/>
        <v>650-54</v>
      </c>
      <c r="D5227" t="s">
        <v>5200</v>
      </c>
      <c r="E5227" t="b">
        <f>IF(COUNTIF(D5227,"*"&amp;'Keyword Search'!$C$5&amp;"*"),TRUE,FALSE)</f>
        <v>1</v>
      </c>
      <c r="G5227" t="str">
        <f t="shared" si="334"/>
        <v>650-54: Seesaws, Playground</v>
      </c>
    </row>
    <row r="5228" spans="1:7" x14ac:dyDescent="0.25">
      <c r="A5228" s="1" t="str">
        <f t="shared" si="335"/>
        <v>650</v>
      </c>
      <c r="B5228" s="1" t="str">
        <f>TEXT(60,"00")</f>
        <v>60</v>
      </c>
      <c r="C5228" s="1" t="str">
        <f t="shared" si="333"/>
        <v>650-60</v>
      </c>
      <c r="D5228" t="s">
        <v>5201</v>
      </c>
      <c r="E5228" t="b">
        <f>IF(COUNTIF(D5228,"*"&amp;'Keyword Search'!$C$5&amp;"*"),TRUE,FALSE)</f>
        <v>1</v>
      </c>
      <c r="G5228" t="str">
        <f t="shared" si="334"/>
        <v>650-60: Slides, Playground</v>
      </c>
    </row>
    <row r="5229" spans="1:7" x14ac:dyDescent="0.25">
      <c r="A5229" s="1" t="str">
        <f t="shared" si="335"/>
        <v>650</v>
      </c>
      <c r="B5229" s="1" t="str">
        <f>TEXT(62,"00")</f>
        <v>62</v>
      </c>
      <c r="C5229" s="1" t="str">
        <f t="shared" si="333"/>
        <v>650-62</v>
      </c>
      <c r="D5229" t="s">
        <v>5202</v>
      </c>
      <c r="E5229" t="b">
        <f>IF(COUNTIF(D5229,"*"&amp;'Keyword Search'!$C$5&amp;"*"),TRUE,FALSE)</f>
        <v>1</v>
      </c>
      <c r="G5229" t="str">
        <f t="shared" si="334"/>
        <v>650-62: Sports Field Maintenance Equipment</v>
      </c>
    </row>
    <row r="5230" spans="1:7" x14ac:dyDescent="0.25">
      <c r="A5230" s="1" t="str">
        <f t="shared" si="335"/>
        <v>650</v>
      </c>
      <c r="B5230" s="1" t="str">
        <f>TEXT(66,"00")</f>
        <v>66</v>
      </c>
      <c r="C5230" s="1" t="str">
        <f t="shared" si="333"/>
        <v>650-66</v>
      </c>
      <c r="D5230" t="s">
        <v>5203</v>
      </c>
      <c r="E5230" t="b">
        <f>IF(COUNTIF(D5230,"*"&amp;'Keyword Search'!$C$5&amp;"*"),TRUE,FALSE)</f>
        <v>1</v>
      </c>
      <c r="G5230" t="str">
        <f t="shared" si="334"/>
        <v>650-66: Swimming Pools, Equipment, and Supplies: Heaters, Lights, and Vacuum Machines; for Chemicals See Class 885</v>
      </c>
    </row>
    <row r="5231" spans="1:7" x14ac:dyDescent="0.25">
      <c r="A5231" s="1" t="str">
        <f t="shared" si="335"/>
        <v>650</v>
      </c>
      <c r="B5231" s="1" t="str">
        <f>TEXT(72,"00")</f>
        <v>72</v>
      </c>
      <c r="C5231" s="1" t="str">
        <f t="shared" si="333"/>
        <v>650-72</v>
      </c>
      <c r="D5231" t="s">
        <v>5204</v>
      </c>
      <c r="E5231" t="b">
        <f>IF(COUNTIF(D5231,"*"&amp;'Keyword Search'!$C$5&amp;"*"),TRUE,FALSE)</f>
        <v>1</v>
      </c>
      <c r="G5231" t="str">
        <f t="shared" si="334"/>
        <v>650-72: Swings, Playground</v>
      </c>
    </row>
    <row r="5232" spans="1:7" x14ac:dyDescent="0.25">
      <c r="A5232" s="1" t="str">
        <f t="shared" si="335"/>
        <v>650</v>
      </c>
      <c r="B5232" s="1" t="str">
        <f>TEXT(75,"00")</f>
        <v>75</v>
      </c>
      <c r="C5232" s="1" t="str">
        <f t="shared" si="333"/>
        <v>650-75</v>
      </c>
      <c r="D5232" t="s">
        <v>5205</v>
      </c>
      <c r="E5232" t="b">
        <f>IF(COUNTIF(D5232,"*"&amp;'Keyword Search'!$C$5&amp;"*"),TRUE,FALSE)</f>
        <v>1</v>
      </c>
      <c r="G5232" t="str">
        <f t="shared" si="334"/>
        <v>650-75: Water Park Equipment: Slides, Splash Pads, Aqua Climb</v>
      </c>
    </row>
    <row r="5233" spans="1:7" x14ac:dyDescent="0.25">
      <c r="A5233" s="1" t="str">
        <f t="shared" si="335"/>
        <v>650</v>
      </c>
      <c r="B5233" s="1" t="str">
        <f>TEXT(78,"00")</f>
        <v>78</v>
      </c>
      <c r="C5233" s="1" t="str">
        <f t="shared" si="333"/>
        <v>650-78</v>
      </c>
      <c r="D5233" t="s">
        <v>5206</v>
      </c>
      <c r="E5233" t="b">
        <f>IF(COUNTIF(D5233,"*"&amp;'Keyword Search'!$C$5&amp;"*"),TRUE,FALSE)</f>
        <v>1</v>
      </c>
      <c r="G5233" t="str">
        <f t="shared" si="334"/>
        <v>650-78: Umbrellas, Lawn and Picnic Type</v>
      </c>
    </row>
    <row r="5234" spans="1:7" x14ac:dyDescent="0.25">
      <c r="A5234" s="1" t="str">
        <f t="shared" si="335"/>
        <v>650</v>
      </c>
      <c r="B5234" s="1" t="str">
        <f>TEXT(80,"00")</f>
        <v>80</v>
      </c>
      <c r="C5234" s="1" t="str">
        <f t="shared" si="333"/>
        <v>650-80</v>
      </c>
      <c r="D5234" t="s">
        <v>5207</v>
      </c>
      <c r="E5234" t="b">
        <f>IF(COUNTIF(D5234,"*"&amp;'Keyword Search'!$C$5&amp;"*"),TRUE,FALSE)</f>
        <v>1</v>
      </c>
      <c r="G5234" t="str">
        <f t="shared" si="334"/>
        <v>650-80: Whirls</v>
      </c>
    </row>
    <row r="5235" spans="1:7" x14ac:dyDescent="0.25">
      <c r="A5235" s="5" t="str">
        <f t="shared" ref="A5235:A5259" si="336">TEXT(652,"000")</f>
        <v>652</v>
      </c>
      <c r="B5235" s="5" t="str">
        <f>TEXT(0,"00")</f>
        <v>00</v>
      </c>
      <c r="C5235" s="1"/>
      <c r="D5235" s="2" t="s">
        <v>5208</v>
      </c>
    </row>
    <row r="5236" spans="1:7" x14ac:dyDescent="0.25">
      <c r="A5236" s="1" t="str">
        <f t="shared" si="336"/>
        <v>652</v>
      </c>
      <c r="B5236" s="1" t="str">
        <f>TEXT(12,"00")</f>
        <v>12</v>
      </c>
      <c r="C5236" s="1" t="str">
        <f t="shared" si="333"/>
        <v>652-12</v>
      </c>
      <c r="D5236" t="s">
        <v>5209</v>
      </c>
      <c r="E5236" t="b">
        <f>IF(COUNTIF(D5236,"*"&amp;'Keyword Search'!$C$5&amp;"*"),TRUE,FALSE)</f>
        <v>1</v>
      </c>
      <c r="G5236" t="str">
        <f t="shared" si="334"/>
        <v>652-12: Baby Powder, Lotions, Oils and Creams</v>
      </c>
    </row>
    <row r="5237" spans="1:7" x14ac:dyDescent="0.25">
      <c r="A5237" s="1" t="str">
        <f t="shared" si="336"/>
        <v>652</v>
      </c>
      <c r="B5237" s="1" t="str">
        <f>TEXT(15,"00")</f>
        <v>15</v>
      </c>
      <c r="C5237" s="1" t="str">
        <f t="shared" si="333"/>
        <v>652-15</v>
      </c>
      <c r="D5237" t="s">
        <v>5210</v>
      </c>
      <c r="E5237" t="b">
        <f>IF(COUNTIF(D5237,"*"&amp;'Keyword Search'!$C$5&amp;"*"),TRUE,FALSE)</f>
        <v>1</v>
      </c>
      <c r="G5237" t="str">
        <f t="shared" si="334"/>
        <v>652-15: Bath Accessories (Not Otherwise Classified)</v>
      </c>
    </row>
    <row r="5238" spans="1:7" x14ac:dyDescent="0.25">
      <c r="A5238" s="1" t="str">
        <f t="shared" si="336"/>
        <v>652</v>
      </c>
      <c r="B5238" s="1" t="str">
        <f>TEXT(16,"00")</f>
        <v>16</v>
      </c>
      <c r="C5238" s="1" t="str">
        <f t="shared" si="333"/>
        <v>652-16</v>
      </c>
      <c r="D5238" t="s">
        <v>5211</v>
      </c>
      <c r="E5238" t="b">
        <f>IF(COUNTIF(D5238,"*"&amp;'Keyword Search'!$C$5&amp;"*"),TRUE,FALSE)</f>
        <v>1</v>
      </c>
      <c r="G5238" t="str">
        <f t="shared" si="334"/>
        <v>652-16: Bath Powder, Shower Gel and Soaps, Including Talc</v>
      </c>
    </row>
    <row r="5239" spans="1:7" x14ac:dyDescent="0.25">
      <c r="A5239" s="1" t="str">
        <f t="shared" si="336"/>
        <v>652</v>
      </c>
      <c r="B5239" s="1" t="str">
        <f>TEXT(27,"00")</f>
        <v>27</v>
      </c>
      <c r="C5239" s="1" t="str">
        <f t="shared" si="333"/>
        <v>652-27</v>
      </c>
      <c r="D5239" t="s">
        <v>5212</v>
      </c>
      <c r="E5239" t="b">
        <f>IF(COUNTIF(D5239,"*"&amp;'Keyword Search'!$C$5&amp;"*"),TRUE,FALSE)</f>
        <v>1</v>
      </c>
      <c r="G5239" t="str">
        <f t="shared" si="334"/>
        <v>652-27: Combs and Brushes, Hair</v>
      </c>
    </row>
    <row r="5240" spans="1:7" x14ac:dyDescent="0.25">
      <c r="A5240" s="1" t="str">
        <f t="shared" si="336"/>
        <v>652</v>
      </c>
      <c r="B5240" s="1" t="str">
        <f>TEXT(29,"00")</f>
        <v>29</v>
      </c>
      <c r="C5240" s="1" t="str">
        <f t="shared" si="333"/>
        <v>652-29</v>
      </c>
      <c r="D5240" t="s">
        <v>5213</v>
      </c>
      <c r="E5240" t="b">
        <f>IF(COUNTIF(D5240,"*"&amp;'Keyword Search'!$C$5&amp;"*"),TRUE,FALSE)</f>
        <v>1</v>
      </c>
      <c r="G5240" t="str">
        <f t="shared" si="334"/>
        <v>652-29: Cosmetics and Skin Care: Colognes, Creams, Lipsticks, Lotions, Perfumes, Powders, Soaps w/Lotion, Sunscreen,  etc.</v>
      </c>
    </row>
    <row r="5241" spans="1:7" x14ac:dyDescent="0.25">
      <c r="A5241" s="1" t="str">
        <f t="shared" si="336"/>
        <v>652</v>
      </c>
      <c r="B5241" s="1" t="str">
        <f>TEXT(32,"00")</f>
        <v>32</v>
      </c>
      <c r="C5241" s="1" t="str">
        <f t="shared" si="333"/>
        <v>652-32</v>
      </c>
      <c r="D5241" t="s">
        <v>5214</v>
      </c>
      <c r="E5241" t="b">
        <f>IF(COUNTIF(D5241,"*"&amp;'Keyword Search'!$C$5&amp;"*"),TRUE,FALSE)</f>
        <v>1</v>
      </c>
      <c r="G5241" t="str">
        <f t="shared" si="334"/>
        <v>652-32: Dispensers for Personal Hygiene, Skin Care, and Grooming Equipment and Supplies</v>
      </c>
    </row>
    <row r="5242" spans="1:7" x14ac:dyDescent="0.25">
      <c r="A5242" s="1" t="str">
        <f t="shared" si="336"/>
        <v>652</v>
      </c>
      <c r="B5242" s="1" t="str">
        <f>TEXT(35,"00")</f>
        <v>35</v>
      </c>
      <c r="C5242" s="1" t="str">
        <f t="shared" si="333"/>
        <v>652-35</v>
      </c>
      <c r="D5242" t="s">
        <v>5215</v>
      </c>
      <c r="E5242" t="b">
        <f>IF(COUNTIF(D5242,"*"&amp;'Keyword Search'!$C$5&amp;"*"),TRUE,FALSE)</f>
        <v>1</v>
      </c>
      <c r="G5242" t="str">
        <f t="shared" si="334"/>
        <v>652-35: Electrolysis Equipment, Hair Removal</v>
      </c>
    </row>
    <row r="5243" spans="1:7" x14ac:dyDescent="0.25">
      <c r="A5243" s="1" t="str">
        <f t="shared" si="336"/>
        <v>652</v>
      </c>
      <c r="B5243" s="1" t="str">
        <f>TEXT(37,"00")</f>
        <v>37</v>
      </c>
      <c r="C5243" s="1" t="str">
        <f t="shared" si="333"/>
        <v>652-37</v>
      </c>
      <c r="D5243" t="s">
        <v>5216</v>
      </c>
      <c r="E5243" t="b">
        <f>IF(COUNTIF(D5243,"*"&amp;'Keyword Search'!$C$5&amp;"*"),TRUE,FALSE)</f>
        <v>1</v>
      </c>
      <c r="G5243" t="str">
        <f t="shared" si="334"/>
        <v>652-37: Deodorants, Body</v>
      </c>
    </row>
    <row r="5244" spans="1:7" x14ac:dyDescent="0.25">
      <c r="A5244" s="1" t="str">
        <f t="shared" si="336"/>
        <v>652</v>
      </c>
      <c r="B5244" s="1" t="str">
        <f>TEXT(39,"00")</f>
        <v>39</v>
      </c>
      <c r="C5244" s="1" t="str">
        <f t="shared" si="333"/>
        <v>652-39</v>
      </c>
      <c r="D5244" t="s">
        <v>5217</v>
      </c>
      <c r="E5244" t="b">
        <f>IF(COUNTIF(D5244,"*"&amp;'Keyword Search'!$C$5&amp;"*"),TRUE,FALSE)</f>
        <v>1</v>
      </c>
      <c r="G5244" t="str">
        <f t="shared" si="334"/>
        <v>652-39: Feminine Personal Hygiene Items: Sanitary Napkins, Pads and Belts, Tampons, etc.</v>
      </c>
    </row>
    <row r="5245" spans="1:7" x14ac:dyDescent="0.25">
      <c r="A5245" s="1" t="str">
        <f t="shared" si="336"/>
        <v>652</v>
      </c>
      <c r="B5245" s="1" t="str">
        <f>TEXT(42,"00")</f>
        <v>42</v>
      </c>
      <c r="C5245" s="1" t="str">
        <f t="shared" si="333"/>
        <v>652-42</v>
      </c>
      <c r="D5245" t="s">
        <v>5218</v>
      </c>
      <c r="E5245" t="b">
        <f>IF(COUNTIF(D5245,"*"&amp;'Keyword Search'!$C$5&amp;"*"),TRUE,FALSE)</f>
        <v>1</v>
      </c>
      <c r="G5245" t="str">
        <f t="shared" si="334"/>
        <v>652-42: Hair Cleaning and Conditioning Supplies: Colors, Creams, Dressings, Oils, Rinses, Shampoos, Sprays, Tonics, Waving Solutions, etc.</v>
      </c>
    </row>
    <row r="5246" spans="1:7" x14ac:dyDescent="0.25">
      <c r="A5246" s="1" t="str">
        <f t="shared" si="336"/>
        <v>652</v>
      </c>
      <c r="B5246" s="1" t="str">
        <f>TEXT(43,"00")</f>
        <v>43</v>
      </c>
      <c r="C5246" s="1" t="str">
        <f t="shared" si="333"/>
        <v>652-43</v>
      </c>
      <c r="D5246" t="s">
        <v>5219</v>
      </c>
      <c r="E5246" t="b">
        <f>IF(COUNTIF(D5246,"*"&amp;'Keyword Search'!$C$5&amp;"*"),TRUE,FALSE)</f>
        <v>1</v>
      </c>
      <c r="G5246" t="str">
        <f t="shared" si="334"/>
        <v>652-43: Hair Care Accessories: Bands, Curlers, Nets, Pins, Rollers, etc.</v>
      </c>
    </row>
    <row r="5247" spans="1:7" x14ac:dyDescent="0.25">
      <c r="A5247" s="1" t="str">
        <f t="shared" si="336"/>
        <v>652</v>
      </c>
      <c r="B5247" s="1" t="str">
        <f>TEXT(50,"00")</f>
        <v>50</v>
      </c>
      <c r="C5247" s="1" t="str">
        <f t="shared" si="333"/>
        <v>652-50</v>
      </c>
      <c r="D5247" t="s">
        <v>5220</v>
      </c>
      <c r="E5247" t="b">
        <f>IF(COUNTIF(D5247,"*"&amp;'Keyword Search'!$C$5&amp;"*"),TRUE,FALSE)</f>
        <v>1</v>
      </c>
      <c r="G5247" t="str">
        <f t="shared" si="334"/>
        <v>652-50: Manicuring Equipment and Supplies: Nail Files, Nail Clippers, Nail Polish, Polish Remover, etc.</v>
      </c>
    </row>
    <row r="5248" spans="1:7" x14ac:dyDescent="0.25">
      <c r="A5248" s="1" t="str">
        <f t="shared" si="336"/>
        <v>652</v>
      </c>
      <c r="B5248" s="1" t="str">
        <f>TEXT(54,"00")</f>
        <v>54</v>
      </c>
      <c r="C5248" s="1" t="str">
        <f t="shared" si="333"/>
        <v>652-54</v>
      </c>
      <c r="D5248" t="s">
        <v>5221</v>
      </c>
      <c r="E5248" t="b">
        <f>IF(COUNTIF(D5248,"*"&amp;'Keyword Search'!$C$5&amp;"*"),TRUE,FALSE)</f>
        <v>1</v>
      </c>
      <c r="G5248" t="str">
        <f t="shared" si="334"/>
        <v>652-54: Mouthwash</v>
      </c>
    </row>
    <row r="5249" spans="1:7" x14ac:dyDescent="0.25">
      <c r="A5249" s="1" t="str">
        <f t="shared" si="336"/>
        <v>652</v>
      </c>
      <c r="B5249" s="1" t="str">
        <f>TEXT(57,"00")</f>
        <v>57</v>
      </c>
      <c r="C5249" s="1" t="str">
        <f t="shared" si="333"/>
        <v>652-57</v>
      </c>
      <c r="D5249" t="s">
        <v>5222</v>
      </c>
      <c r="E5249" t="b">
        <f>IF(COUNTIF(D5249,"*"&amp;'Keyword Search'!$C$5&amp;"*"),TRUE,FALSE)</f>
        <v>1</v>
      </c>
      <c r="G5249" t="str">
        <f t="shared" si="334"/>
        <v>652-57: Personal Hygiene Kits for Men and Women, Including Toothpaste, Shampoo, Deodorant, etc.</v>
      </c>
    </row>
    <row r="5250" spans="1:7" x14ac:dyDescent="0.25">
      <c r="A5250" s="1" t="str">
        <f t="shared" si="336"/>
        <v>652</v>
      </c>
      <c r="B5250" s="1" t="str">
        <f>TEXT(64,"00")</f>
        <v>64</v>
      </c>
      <c r="C5250" s="1" t="str">
        <f t="shared" si="333"/>
        <v>652-64</v>
      </c>
      <c r="D5250" t="s">
        <v>5223</v>
      </c>
      <c r="E5250" t="b">
        <f>IF(COUNTIF(D5250,"*"&amp;'Keyword Search'!$C$5&amp;"*"),TRUE,FALSE)</f>
        <v>1</v>
      </c>
      <c r="G5250" t="str">
        <f t="shared" si="334"/>
        <v>652-64: Razors and Blades, Electric</v>
      </c>
    </row>
    <row r="5251" spans="1:7" x14ac:dyDescent="0.25">
      <c r="A5251" s="1" t="str">
        <f t="shared" si="336"/>
        <v>652</v>
      </c>
      <c r="B5251" s="1" t="str">
        <f>TEXT(65,"00")</f>
        <v>65</v>
      </c>
      <c r="C5251" s="1" t="str">
        <f t="shared" ref="C5251:C5314" si="337">CONCATENATE(A5251,"-",B5251)</f>
        <v>652-65</v>
      </c>
      <c r="D5251" t="s">
        <v>5224</v>
      </c>
      <c r="E5251" t="b">
        <f>IF(COUNTIF(D5251,"*"&amp;'Keyword Search'!$C$5&amp;"*"),TRUE,FALSE)</f>
        <v>1</v>
      </c>
      <c r="G5251" t="str">
        <f t="shared" si="334"/>
        <v>652-65: Razors and Blades, Safety</v>
      </c>
    </row>
    <row r="5252" spans="1:7" x14ac:dyDescent="0.25">
      <c r="A5252" s="1" t="str">
        <f t="shared" si="336"/>
        <v>652</v>
      </c>
      <c r="B5252" s="1" t="str">
        <f>TEXT(66,"00")</f>
        <v>66</v>
      </c>
      <c r="C5252" s="1" t="str">
        <f t="shared" si="337"/>
        <v>652-66</v>
      </c>
      <c r="D5252" t="s">
        <v>5225</v>
      </c>
      <c r="E5252" t="b">
        <f>IF(COUNTIF(D5252,"*"&amp;'Keyword Search'!$C$5&amp;"*"),TRUE,FALSE)</f>
        <v>1</v>
      </c>
      <c r="G5252" t="str">
        <f t="shared" ref="G5252:G5315" si="338">CONCATENATE(C5252,": ",D5252)</f>
        <v>652-66: Razors and Keys, Security</v>
      </c>
    </row>
    <row r="5253" spans="1:7" x14ac:dyDescent="0.25">
      <c r="A5253" s="1" t="str">
        <f t="shared" si="336"/>
        <v>652</v>
      </c>
      <c r="B5253" s="1" t="str">
        <f>TEXT(67,"00")</f>
        <v>67</v>
      </c>
      <c r="C5253" s="1" t="str">
        <f t="shared" si="337"/>
        <v>652-67</v>
      </c>
      <c r="D5253" t="s">
        <v>5226</v>
      </c>
      <c r="E5253" t="b">
        <f>IF(COUNTIF(D5253,"*"&amp;'Keyword Search'!$C$5&amp;"*"),TRUE,FALSE)</f>
        <v>1</v>
      </c>
      <c r="G5253" t="str">
        <f t="shared" si="338"/>
        <v>652-67: Razors, Shaper and Straight</v>
      </c>
    </row>
    <row r="5254" spans="1:7" x14ac:dyDescent="0.25">
      <c r="A5254" s="1" t="str">
        <f t="shared" si="336"/>
        <v>652</v>
      </c>
      <c r="B5254" s="1" t="str">
        <f>TEXT(70,"00")</f>
        <v>70</v>
      </c>
      <c r="C5254" s="1" t="str">
        <f t="shared" si="337"/>
        <v>652-70</v>
      </c>
      <c r="D5254" t="s">
        <v>5227</v>
      </c>
      <c r="E5254" t="b">
        <f>IF(COUNTIF(D5254,"*"&amp;'Keyword Search'!$C$5&amp;"*"),TRUE,FALSE)</f>
        <v>1</v>
      </c>
      <c r="G5254" t="str">
        <f t="shared" si="338"/>
        <v>652-70: Recycled Personal Hygiene and Grooming Equipment and Supplies</v>
      </c>
    </row>
    <row r="5255" spans="1:7" x14ac:dyDescent="0.25">
      <c r="A5255" s="1" t="str">
        <f t="shared" si="336"/>
        <v>652</v>
      </c>
      <c r="B5255" s="1" t="str">
        <f>TEXT(75,"00")</f>
        <v>75</v>
      </c>
      <c r="C5255" s="1" t="str">
        <f t="shared" si="337"/>
        <v>652-75</v>
      </c>
      <c r="D5255" t="s">
        <v>5228</v>
      </c>
      <c r="E5255" t="b">
        <f>IF(COUNTIF(D5255,"*"&amp;'Keyword Search'!$C$5&amp;"*"),TRUE,FALSE)</f>
        <v>1</v>
      </c>
      <c r="G5255" t="str">
        <f t="shared" si="338"/>
        <v>652-75: Shaving Supplies: Soaps, Brushes, Creams, Lathers, Lotions, etc.</v>
      </c>
    </row>
    <row r="5256" spans="1:7" x14ac:dyDescent="0.25">
      <c r="A5256" s="1" t="str">
        <f t="shared" si="336"/>
        <v>652</v>
      </c>
      <c r="B5256" s="1" t="str">
        <f>TEXT(84,"00")</f>
        <v>84</v>
      </c>
      <c r="C5256" s="1" t="str">
        <f t="shared" si="337"/>
        <v>652-84</v>
      </c>
      <c r="D5256" t="s">
        <v>5229</v>
      </c>
      <c r="E5256" t="b">
        <f>IF(COUNTIF(D5256,"*"&amp;'Keyword Search'!$C$5&amp;"*"),TRUE,FALSE)</f>
        <v>1</v>
      </c>
      <c r="G5256" t="str">
        <f t="shared" si="338"/>
        <v>652-84: Toothbrushes and Holders</v>
      </c>
    </row>
    <row r="5257" spans="1:7" x14ac:dyDescent="0.25">
      <c r="A5257" s="1" t="str">
        <f t="shared" si="336"/>
        <v>652</v>
      </c>
      <c r="B5257" s="1" t="str">
        <f>TEXT(85,"00")</f>
        <v>85</v>
      </c>
      <c r="C5257" s="1" t="str">
        <f t="shared" si="337"/>
        <v>652-85</v>
      </c>
      <c r="D5257" t="s">
        <v>5230</v>
      </c>
      <c r="E5257" t="b">
        <f>IF(COUNTIF(D5257,"*"&amp;'Keyword Search'!$C$5&amp;"*"),TRUE,FALSE)</f>
        <v>1</v>
      </c>
      <c r="G5257" t="str">
        <f t="shared" si="338"/>
        <v>652-85: Tooth Paste, Polish, and Powders</v>
      </c>
    </row>
    <row r="5258" spans="1:7" x14ac:dyDescent="0.25">
      <c r="A5258" s="1" t="str">
        <f t="shared" si="336"/>
        <v>652</v>
      </c>
      <c r="B5258" s="1" t="str">
        <f>TEXT(89,"00")</f>
        <v>89</v>
      </c>
      <c r="C5258" s="1" t="str">
        <f t="shared" si="337"/>
        <v>652-89</v>
      </c>
      <c r="D5258" t="s">
        <v>5231</v>
      </c>
      <c r="E5258" t="b">
        <f>IF(COUNTIF(D5258,"*"&amp;'Keyword Search'!$C$5&amp;"*"),TRUE,FALSE)</f>
        <v>1</v>
      </c>
      <c r="G5258" t="str">
        <f t="shared" si="338"/>
        <v>652-89: Valets and Vanity Kits</v>
      </c>
    </row>
    <row r="5259" spans="1:7" x14ac:dyDescent="0.25">
      <c r="A5259" s="1" t="str">
        <f t="shared" si="336"/>
        <v>652</v>
      </c>
      <c r="B5259" s="1" t="str">
        <f>TEXT(91,"00")</f>
        <v>91</v>
      </c>
      <c r="C5259" s="1" t="str">
        <f t="shared" si="337"/>
        <v>652-91</v>
      </c>
      <c r="D5259" t="s">
        <v>5232</v>
      </c>
      <c r="E5259" t="b">
        <f>IF(COUNTIF(D5259,"*"&amp;'Keyword Search'!$C$5&amp;"*"),TRUE,FALSE)</f>
        <v>1</v>
      </c>
      <c r="G5259" t="str">
        <f t="shared" si="338"/>
        <v>652-91: Wigs, Wiglets, Holders, and Manikins</v>
      </c>
    </row>
    <row r="5260" spans="1:7" x14ac:dyDescent="0.25">
      <c r="A5260" s="5" t="str">
        <f t="shared" ref="A5260:A5289" si="339">TEXT(655,"000")</f>
        <v>655</v>
      </c>
      <c r="B5260" s="5" t="str">
        <f>TEXT(0,"00")</f>
        <v>00</v>
      </c>
      <c r="C5260" s="1"/>
      <c r="D5260" s="2" t="s">
        <v>5233</v>
      </c>
    </row>
    <row r="5261" spans="1:7" x14ac:dyDescent="0.25">
      <c r="A5261" s="1" t="str">
        <f t="shared" si="339"/>
        <v>655</v>
      </c>
      <c r="B5261" s="1" t="str">
        <f>TEXT(4,"00")</f>
        <v>04</v>
      </c>
      <c r="C5261" s="1" t="str">
        <f t="shared" si="337"/>
        <v>655-04</v>
      </c>
      <c r="D5261" t="s">
        <v>5234</v>
      </c>
      <c r="E5261" t="b">
        <f>IF(COUNTIF(D5261,"*"&amp;'Keyword Search'!$C$5&amp;"*"),TRUE,FALSE)</f>
        <v>1</v>
      </c>
      <c r="G5261" t="str">
        <f t="shared" si="338"/>
        <v>655-04: Albums and Organizers, Picture</v>
      </c>
    </row>
    <row r="5262" spans="1:7" x14ac:dyDescent="0.25">
      <c r="A5262" s="1" t="str">
        <f t="shared" si="339"/>
        <v>655</v>
      </c>
      <c r="B5262" s="1" t="str">
        <f>TEXT(5,"00")</f>
        <v>05</v>
      </c>
      <c r="C5262" s="1" t="str">
        <f t="shared" si="337"/>
        <v>655-05</v>
      </c>
      <c r="D5262" t="s">
        <v>5235</v>
      </c>
      <c r="E5262" t="b">
        <f>IF(COUNTIF(D5262,"*"&amp;'Keyword Search'!$C$5&amp;"*"),TRUE,FALSE)</f>
        <v>1</v>
      </c>
      <c r="G5262" t="str">
        <f t="shared" si="338"/>
        <v>655-05: Animation Equipment and Supplies</v>
      </c>
    </row>
    <row r="5263" spans="1:7" x14ac:dyDescent="0.25">
      <c r="A5263" s="1" t="str">
        <f t="shared" si="339"/>
        <v>655</v>
      </c>
      <c r="B5263" s="1" t="str">
        <f>TEXT(15,"00")</f>
        <v>15</v>
      </c>
      <c r="C5263" s="1" t="str">
        <f t="shared" si="337"/>
        <v>655-15</v>
      </c>
      <c r="D5263" t="s">
        <v>5236</v>
      </c>
      <c r="E5263" t="b">
        <f>IF(COUNTIF(D5263,"*"&amp;'Keyword Search'!$C$5&amp;"*"),TRUE,FALSE)</f>
        <v>1</v>
      </c>
      <c r="G5263" t="str">
        <f t="shared" si="338"/>
        <v>655-15: Camera Accessories: Batteries, Exposure Meters, Light Meters, Flash Equipment and Bar Lights (See Class 285 for Lamps), Power Packs and Chargers, Tripods, etc.</v>
      </c>
    </row>
    <row r="5264" spans="1:7" x14ac:dyDescent="0.25">
      <c r="A5264" s="1" t="str">
        <f t="shared" si="339"/>
        <v>655</v>
      </c>
      <c r="B5264" s="1" t="str">
        <f>TEXT(20,"00")</f>
        <v>20</v>
      </c>
      <c r="C5264" s="1" t="str">
        <f t="shared" si="337"/>
        <v>655-20</v>
      </c>
      <c r="D5264" t="s">
        <v>5237</v>
      </c>
      <c r="E5264" t="b">
        <f>IF(COUNTIF(D5264,"*"&amp;'Keyword Search'!$C$5&amp;"*"),TRUE,FALSE)</f>
        <v>1</v>
      </c>
      <c r="G5264" t="str">
        <f t="shared" si="338"/>
        <v>655-20: Camera Attachments: Adapter Rings, Collimators, Filters, Lenses, etc.</v>
      </c>
    </row>
    <row r="5265" spans="1:7" x14ac:dyDescent="0.25">
      <c r="A5265" s="1" t="str">
        <f t="shared" si="339"/>
        <v>655</v>
      </c>
      <c r="B5265" s="1" t="str">
        <f>TEXT(25,"00")</f>
        <v>25</v>
      </c>
      <c r="C5265" s="1" t="str">
        <f t="shared" si="337"/>
        <v>655-25</v>
      </c>
      <c r="D5265" t="s">
        <v>5238</v>
      </c>
      <c r="E5265" t="b">
        <f>IF(COUNTIF(D5265,"*"&amp;'Keyword Search'!$C$5&amp;"*"),TRUE,FALSE)</f>
        <v>1</v>
      </c>
      <c r="G5265" t="str">
        <f t="shared" si="338"/>
        <v>655-25: Camera Carrying Cases, Gadget Bags, etc.</v>
      </c>
    </row>
    <row r="5266" spans="1:7" x14ac:dyDescent="0.25">
      <c r="A5266" s="1" t="str">
        <f t="shared" si="339"/>
        <v>655</v>
      </c>
      <c r="B5266" s="1" t="str">
        <f>TEXT(27,"00")</f>
        <v>27</v>
      </c>
      <c r="C5266" s="1" t="str">
        <f t="shared" si="337"/>
        <v>655-27</v>
      </c>
      <c r="D5266" t="s">
        <v>5239</v>
      </c>
      <c r="E5266" t="b">
        <f>IF(COUNTIF(D5266,"*"&amp;'Keyword Search'!$C$5&amp;"*"),TRUE,FALSE)</f>
        <v>1</v>
      </c>
      <c r="G5266" t="str">
        <f t="shared" si="338"/>
        <v>655-27: Camera Tools, Books, Instruction Manuals, etc.</v>
      </c>
    </row>
    <row r="5267" spans="1:7" x14ac:dyDescent="0.25">
      <c r="A5267" s="1" t="str">
        <f t="shared" si="339"/>
        <v>655</v>
      </c>
      <c r="B5267" s="1" t="str">
        <f>TEXT(29,"00")</f>
        <v>29</v>
      </c>
      <c r="C5267" s="1" t="str">
        <f t="shared" si="337"/>
        <v>655-29</v>
      </c>
      <c r="D5267" t="s">
        <v>5240</v>
      </c>
      <c r="E5267" t="b">
        <f>IF(COUNTIF(D5267,"*"&amp;'Keyword Search'!$C$5&amp;"*"),TRUE,FALSE)</f>
        <v>1</v>
      </c>
      <c r="G5267" t="str">
        <f t="shared" si="338"/>
        <v>655-29: *Cameras, Digital Type, Including Digital Network Cameras</v>
      </c>
    </row>
    <row r="5268" spans="1:7" x14ac:dyDescent="0.25">
      <c r="A5268" s="1" t="str">
        <f t="shared" si="339"/>
        <v>655</v>
      </c>
      <c r="B5268" s="1" t="str">
        <f>TEXT(30,"00")</f>
        <v>30</v>
      </c>
      <c r="C5268" s="1" t="str">
        <f t="shared" si="337"/>
        <v>655-30</v>
      </c>
      <c r="D5268" t="s">
        <v>5241</v>
      </c>
      <c r="E5268" t="b">
        <f>IF(COUNTIF(D5268,"*"&amp;'Keyword Search'!$C$5&amp;"*"),TRUE,FALSE)</f>
        <v>1</v>
      </c>
      <c r="G5268" t="str">
        <f t="shared" si="338"/>
        <v>655-30: Cameras, Movie, Including Parts and Accessories</v>
      </c>
    </row>
    <row r="5269" spans="1:7" x14ac:dyDescent="0.25">
      <c r="A5269" s="1" t="str">
        <f t="shared" si="339"/>
        <v>655</v>
      </c>
      <c r="B5269" s="1" t="str">
        <f>TEXT(35,"00")</f>
        <v>35</v>
      </c>
      <c r="C5269" s="1" t="str">
        <f t="shared" si="337"/>
        <v>655-35</v>
      </c>
      <c r="D5269" t="s">
        <v>5242</v>
      </c>
      <c r="E5269" t="b">
        <f>IF(COUNTIF(D5269,"*"&amp;'Keyword Search'!$C$5&amp;"*"),TRUE,FALSE)</f>
        <v>1</v>
      </c>
      <c r="G5269" t="str">
        <f t="shared" si="338"/>
        <v>655-35: Cameras, Still, Non-specialized, Including  Infrared Types, Self-Developing Types, etc.</v>
      </c>
    </row>
    <row r="5270" spans="1:7" x14ac:dyDescent="0.25">
      <c r="A5270" s="1" t="str">
        <f t="shared" si="339"/>
        <v>655</v>
      </c>
      <c r="B5270" s="1" t="str">
        <f>TEXT(39,"00")</f>
        <v>39</v>
      </c>
      <c r="C5270" s="1" t="str">
        <f t="shared" si="337"/>
        <v>655-39</v>
      </c>
      <c r="D5270" t="s">
        <v>5243</v>
      </c>
      <c r="E5270" t="b">
        <f>IF(COUNTIF(D5270,"*"&amp;'Keyword Search'!$C$5&amp;"*"),TRUE,FALSE)</f>
        <v>1</v>
      </c>
      <c r="G5270" t="str">
        <f t="shared" si="338"/>
        <v>655-39: Cameras, Still, Specialized, Including Complete Systems for Medical and Dental Photography, Photomicrography, etc.</v>
      </c>
    </row>
    <row r="5271" spans="1:7" x14ac:dyDescent="0.25">
      <c r="A5271" s="1" t="str">
        <f t="shared" si="339"/>
        <v>655</v>
      </c>
      <c r="B5271" s="1" t="str">
        <f>TEXT(40,"00")</f>
        <v>40</v>
      </c>
      <c r="C5271" s="1" t="str">
        <f t="shared" si="337"/>
        <v>655-40</v>
      </c>
      <c r="D5271" t="s">
        <v>5244</v>
      </c>
      <c r="E5271" t="b">
        <f>IF(COUNTIF(D5271,"*"&amp;'Keyword Search'!$C$5&amp;"*"),TRUE,FALSE)</f>
        <v>1</v>
      </c>
      <c r="G5271" t="str">
        <f t="shared" si="338"/>
        <v>655-40: *Cameras, Video, Portable, Body and Dash Cams</v>
      </c>
    </row>
    <row r="5272" spans="1:7" x14ac:dyDescent="0.25">
      <c r="A5272" s="1" t="str">
        <f t="shared" si="339"/>
        <v>655</v>
      </c>
      <c r="B5272" s="1" t="str">
        <f>TEXT(41,"00")</f>
        <v>41</v>
      </c>
      <c r="C5272" s="1" t="str">
        <f t="shared" si="337"/>
        <v>655-41</v>
      </c>
      <c r="D5272" t="s">
        <v>5245</v>
      </c>
      <c r="E5272" t="b">
        <f>IF(COUNTIF(D5272,"*"&amp;'Keyword Search'!$C$5&amp;"*"),TRUE,FALSE)</f>
        <v>1</v>
      </c>
      <c r="G5272" t="str">
        <f t="shared" si="338"/>
        <v>655-41: Chemicals, Photographic</v>
      </c>
    </row>
    <row r="5273" spans="1:7" x14ac:dyDescent="0.25">
      <c r="A5273" s="1" t="str">
        <f t="shared" si="339"/>
        <v>655</v>
      </c>
      <c r="B5273" s="1" t="str">
        <f>TEXT(43,"00")</f>
        <v>43</v>
      </c>
      <c r="C5273" s="1" t="str">
        <f t="shared" si="337"/>
        <v>655-43</v>
      </c>
      <c r="D5273" t="s">
        <v>5246</v>
      </c>
      <c r="E5273" t="b">
        <f>IF(COUNTIF(D5273,"*"&amp;'Keyword Search'!$C$5&amp;"*"),TRUE,FALSE)</f>
        <v>1</v>
      </c>
      <c r="G5273" t="str">
        <f t="shared" si="338"/>
        <v>655-43: Color Film Adhesive, For Adding Color to Visuals</v>
      </c>
    </row>
    <row r="5274" spans="1:7" x14ac:dyDescent="0.25">
      <c r="A5274" s="1" t="str">
        <f t="shared" si="339"/>
        <v>655</v>
      </c>
      <c r="B5274" s="1" t="str">
        <f>TEXT(50,"00")</f>
        <v>50</v>
      </c>
      <c r="C5274" s="1" t="str">
        <f t="shared" si="337"/>
        <v>655-50</v>
      </c>
      <c r="D5274" t="s">
        <v>5247</v>
      </c>
      <c r="E5274" t="b">
        <f>IF(COUNTIF(D5274,"*"&amp;'Keyword Search'!$C$5&amp;"*"),TRUE,FALSE)</f>
        <v>1</v>
      </c>
      <c r="G5274" t="str">
        <f t="shared" si="338"/>
        <v>655-50: Copying Equipment, Including Slide Duplicators</v>
      </c>
    </row>
    <row r="5275" spans="1:7" x14ac:dyDescent="0.25">
      <c r="A5275" s="1" t="str">
        <f t="shared" si="339"/>
        <v>655</v>
      </c>
      <c r="B5275" s="1" t="str">
        <f>TEXT(55,"00")</f>
        <v>55</v>
      </c>
      <c r="C5275" s="1" t="str">
        <f t="shared" si="337"/>
        <v>655-55</v>
      </c>
      <c r="D5275" t="s">
        <v>5248</v>
      </c>
      <c r="E5275" t="b">
        <f>IF(COUNTIF(D5275,"*"&amp;'Keyword Search'!$C$5&amp;"*"),TRUE,FALSE)</f>
        <v>1</v>
      </c>
      <c r="G5275" t="str">
        <f t="shared" si="338"/>
        <v>655-55: Darkroom Equipment, Not Graphic Arts Type: Cabinets, Color Analyzers, Counters, Densitometers, Developing Tanks, Enlargers, etc.</v>
      </c>
    </row>
    <row r="5276" spans="1:7" x14ac:dyDescent="0.25">
      <c r="A5276" s="1" t="str">
        <f t="shared" si="339"/>
        <v>655</v>
      </c>
      <c r="B5276" s="1" t="str">
        <f>TEXT(60,"00")</f>
        <v>60</v>
      </c>
      <c r="C5276" s="1" t="str">
        <f t="shared" si="337"/>
        <v>655-60</v>
      </c>
      <c r="D5276" t="s">
        <v>5249</v>
      </c>
      <c r="E5276" t="b">
        <f>IF(COUNTIF(D5276,"*"&amp;'Keyword Search'!$C$5&amp;"*"),TRUE,FALSE)</f>
        <v>1</v>
      </c>
      <c r="G5276" t="str">
        <f t="shared" si="338"/>
        <v>655-60: Darkroom Supplies: Enlarger Easels, Film Holders, Film Loaders, Lens Cleaner, Safelights and Filters, Thermometers, Timers, Trays, Water Filtering Elements, etc.</v>
      </c>
    </row>
    <row r="5277" spans="1:7" x14ac:dyDescent="0.25">
      <c r="A5277" s="1" t="str">
        <f t="shared" si="339"/>
        <v>655</v>
      </c>
      <c r="B5277" s="1" t="str">
        <f>TEXT(66,"00")</f>
        <v>66</v>
      </c>
      <c r="C5277" s="1" t="str">
        <f t="shared" si="337"/>
        <v>655-66</v>
      </c>
      <c r="D5277" t="s">
        <v>5250</v>
      </c>
      <c r="E5277" t="b">
        <f>IF(COUNTIF(D5277,"*"&amp;'Keyword Search'!$C$5&amp;"*"),TRUE,FALSE)</f>
        <v>1</v>
      </c>
      <c r="G5277" t="str">
        <f t="shared" si="338"/>
        <v>655-66: Film Developing and Processing Equipment, (Not Otherwise Classified)</v>
      </c>
    </row>
    <row r="5278" spans="1:7" x14ac:dyDescent="0.25">
      <c r="A5278" s="1" t="str">
        <f t="shared" si="339"/>
        <v>655</v>
      </c>
      <c r="B5278" s="1" t="str">
        <f>TEXT(67,"00")</f>
        <v>67</v>
      </c>
      <c r="C5278" s="1" t="str">
        <f t="shared" si="337"/>
        <v>655-67</v>
      </c>
      <c r="D5278" t="s">
        <v>5251</v>
      </c>
      <c r="E5278" t="b">
        <f>IF(COUNTIF(D5278,"*"&amp;'Keyword Search'!$C$5&amp;"*"),TRUE,FALSE)</f>
        <v>1</v>
      </c>
      <c r="G5278" t="str">
        <f t="shared" si="338"/>
        <v>655-67: Film, Photographic, Including Movie Films and Polaroid Type</v>
      </c>
    </row>
    <row r="5279" spans="1:7" x14ac:dyDescent="0.25">
      <c r="A5279" s="1" t="str">
        <f t="shared" si="339"/>
        <v>655</v>
      </c>
      <c r="B5279" s="1" t="str">
        <f>TEXT(71,"00")</f>
        <v>71</v>
      </c>
      <c r="C5279" s="1" t="str">
        <f t="shared" si="337"/>
        <v>655-71</v>
      </c>
      <c r="D5279" t="s">
        <v>5252</v>
      </c>
      <c r="E5279" t="b">
        <f>IF(COUNTIF(D5279,"*"&amp;'Keyword Search'!$C$5&amp;"*"),TRUE,FALSE)</f>
        <v>1</v>
      </c>
      <c r="G5279" t="str">
        <f t="shared" si="338"/>
        <v>655-71: Paper and Plates, Photographic</v>
      </c>
    </row>
    <row r="5280" spans="1:7" x14ac:dyDescent="0.25">
      <c r="A5280" s="1" t="str">
        <f t="shared" si="339"/>
        <v>655</v>
      </c>
      <c r="B5280" s="1" t="str">
        <f>TEXT(78,"00")</f>
        <v>78</v>
      </c>
      <c r="C5280" s="1" t="str">
        <f t="shared" si="337"/>
        <v>655-78</v>
      </c>
      <c r="D5280" t="s">
        <v>5253</v>
      </c>
      <c r="E5280" t="b">
        <f>IF(COUNTIF(D5280,"*"&amp;'Keyword Search'!$C$5&amp;"*"),TRUE,FALSE)</f>
        <v>1</v>
      </c>
      <c r="G5280" t="str">
        <f t="shared" si="338"/>
        <v>655-78: *Photo Identification Systems, Complete</v>
      </c>
    </row>
    <row r="5281" spans="1:7" x14ac:dyDescent="0.25">
      <c r="A5281" s="1" t="str">
        <f t="shared" si="339"/>
        <v>655</v>
      </c>
      <c r="B5281" s="1" t="str">
        <f>TEXT(79,"00")</f>
        <v>79</v>
      </c>
      <c r="C5281" s="1" t="str">
        <f t="shared" si="337"/>
        <v>655-79</v>
      </c>
      <c r="D5281" t="s">
        <v>5254</v>
      </c>
      <c r="E5281" t="b">
        <f>IF(COUNTIF(D5281,"*"&amp;'Keyword Search'!$C$5&amp;"*"),TRUE,FALSE)</f>
        <v>1</v>
      </c>
      <c r="G5281" t="str">
        <f t="shared" si="338"/>
        <v>655-79: Recycled Photographic Equipment and Supplies</v>
      </c>
    </row>
    <row r="5282" spans="1:7" x14ac:dyDescent="0.25">
      <c r="A5282" s="1" t="str">
        <f t="shared" si="339"/>
        <v>655</v>
      </c>
      <c r="B5282" s="1" t="str">
        <f>TEXT(80,"00")</f>
        <v>80</v>
      </c>
      <c r="C5282" s="1" t="str">
        <f t="shared" si="337"/>
        <v>655-80</v>
      </c>
      <c r="D5282" t="s">
        <v>5255</v>
      </c>
      <c r="E5282" t="b">
        <f>IF(COUNTIF(D5282,"*"&amp;'Keyword Search'!$C$5&amp;"*"),TRUE,FALSE)</f>
        <v>1</v>
      </c>
      <c r="G5282" t="str">
        <f t="shared" si="338"/>
        <v>655-80: Silver Recovery Devices</v>
      </c>
    </row>
    <row r="5283" spans="1:7" x14ac:dyDescent="0.25">
      <c r="A5283" s="1" t="str">
        <f t="shared" si="339"/>
        <v>655</v>
      </c>
      <c r="B5283" s="1" t="str">
        <f>TEXT(84,"00")</f>
        <v>84</v>
      </c>
      <c r="C5283" s="1" t="str">
        <f t="shared" si="337"/>
        <v>655-84</v>
      </c>
      <c r="D5283" t="s">
        <v>5256</v>
      </c>
      <c r="E5283" t="b">
        <f>IF(COUNTIF(D5283,"*"&amp;'Keyword Search'!$C$5&amp;"*"),TRUE,FALSE)</f>
        <v>1</v>
      </c>
      <c r="G5283" t="str">
        <f t="shared" si="338"/>
        <v>655-84: Slide Maker, Computerized</v>
      </c>
    </row>
    <row r="5284" spans="1:7" x14ac:dyDescent="0.25">
      <c r="A5284" s="1" t="str">
        <f t="shared" si="339"/>
        <v>655</v>
      </c>
      <c r="B5284" s="1" t="str">
        <f>TEXT(85,"00")</f>
        <v>85</v>
      </c>
      <c r="C5284" s="1" t="str">
        <f t="shared" si="337"/>
        <v>655-85</v>
      </c>
      <c r="D5284" t="s">
        <v>5257</v>
      </c>
      <c r="E5284" t="b">
        <f>IF(COUNTIF(D5284,"*"&amp;'Keyword Search'!$C$5&amp;"*"),TRUE,FALSE)</f>
        <v>1</v>
      </c>
      <c r="G5284" t="str">
        <f t="shared" si="338"/>
        <v>655-85: Slide Preparation Supplies: Mounting Presses, Mounts, etc.</v>
      </c>
    </row>
    <row r="5285" spans="1:7" x14ac:dyDescent="0.25">
      <c r="A5285" s="1" t="str">
        <f t="shared" si="339"/>
        <v>655</v>
      </c>
      <c r="B5285" s="1" t="str">
        <f>TEXT(88,"00")</f>
        <v>88</v>
      </c>
      <c r="C5285" s="1" t="str">
        <f t="shared" si="337"/>
        <v>655-88</v>
      </c>
      <c r="D5285" t="s">
        <v>5258</v>
      </c>
      <c r="E5285" t="b">
        <f>IF(COUNTIF(D5285,"*"&amp;'Keyword Search'!$C$5&amp;"*"),TRUE,FALSE)</f>
        <v>1</v>
      </c>
      <c r="G5285" t="str">
        <f t="shared" si="338"/>
        <v>655-88: Storage and Mailing Materials, For Negatives, Prints, or Slides: Envelopes, Files, Sleeves, etc.</v>
      </c>
    </row>
    <row r="5286" spans="1:7" x14ac:dyDescent="0.25">
      <c r="A5286" s="1" t="str">
        <f t="shared" si="339"/>
        <v>655</v>
      </c>
      <c r="B5286" s="1" t="str">
        <f>TEXT(90,"00")</f>
        <v>90</v>
      </c>
      <c r="C5286" s="1" t="str">
        <f t="shared" si="337"/>
        <v>655-90</v>
      </c>
      <c r="D5286" t="s">
        <v>5259</v>
      </c>
      <c r="E5286" t="b">
        <f>IF(COUNTIF(D5286,"*"&amp;'Keyword Search'!$C$5&amp;"*"),TRUE,FALSE)</f>
        <v>1</v>
      </c>
      <c r="G5286" t="str">
        <f t="shared" si="338"/>
        <v>655-90: Studio Production Equipment: Backdrop Mechanisms, Floods, Posing Stools, Reflectors, Spots, Stands, Strobe Systems, etc. (See Class 285 for Lamps)</v>
      </c>
    </row>
    <row r="5287" spans="1:7" x14ac:dyDescent="0.25">
      <c r="A5287" s="1" t="str">
        <f t="shared" si="339"/>
        <v>655</v>
      </c>
      <c r="B5287" s="1" t="str">
        <f>TEXT(92,"00")</f>
        <v>92</v>
      </c>
      <c r="C5287" s="1" t="str">
        <f t="shared" si="337"/>
        <v>655-92</v>
      </c>
      <c r="D5287" t="s">
        <v>5260</v>
      </c>
      <c r="E5287" t="b">
        <f>IF(COUNTIF(D5287,"*"&amp;'Keyword Search'!$C$5&amp;"*"),TRUE,FALSE)</f>
        <v>1</v>
      </c>
      <c r="G5287" t="str">
        <f t="shared" si="338"/>
        <v>655-92: Transparency Film</v>
      </c>
    </row>
    <row r="5288" spans="1:7" x14ac:dyDescent="0.25">
      <c r="A5288" s="1" t="str">
        <f t="shared" si="339"/>
        <v>655</v>
      </c>
      <c r="B5288" s="1" t="str">
        <f>TEXT(95,"00")</f>
        <v>95</v>
      </c>
      <c r="C5288" s="1" t="str">
        <f t="shared" si="337"/>
        <v>655-95</v>
      </c>
      <c r="D5288" t="s">
        <v>5261</v>
      </c>
      <c r="E5288" t="b">
        <f>IF(COUNTIF(D5288,"*"&amp;'Keyword Search'!$C$5&amp;"*"),TRUE,FALSE)</f>
        <v>1</v>
      </c>
      <c r="G5288" t="str">
        <f t="shared" si="338"/>
        <v>655-95: Video Equipment and Accessories</v>
      </c>
    </row>
    <row r="5289" spans="1:7" x14ac:dyDescent="0.25">
      <c r="A5289" s="1" t="str">
        <f t="shared" si="339"/>
        <v>655</v>
      </c>
      <c r="B5289" s="1" t="str">
        <f>TEXT(96,"00")</f>
        <v>96</v>
      </c>
      <c r="C5289" s="1" t="str">
        <f t="shared" si="337"/>
        <v>655-96</v>
      </c>
      <c r="D5289" t="s">
        <v>5262</v>
      </c>
      <c r="E5289" t="b">
        <f>IF(COUNTIF(D5289,"*"&amp;'Keyword Search'!$C$5&amp;"*"),TRUE,FALSE)</f>
        <v>1</v>
      </c>
      <c r="G5289" t="str">
        <f t="shared" si="338"/>
        <v>655-96: *Video Capturing Devices Connected to Computers or Computer Networks, Web Cameras</v>
      </c>
    </row>
    <row r="5290" spans="1:7" x14ac:dyDescent="0.25">
      <c r="A5290" s="5" t="str">
        <f t="shared" ref="A5290:A5331" si="340">TEXT(658,"000")</f>
        <v>658</v>
      </c>
      <c r="B5290" s="5" t="str">
        <f>TEXT(0,"00")</f>
        <v>00</v>
      </c>
      <c r="C5290" s="1"/>
      <c r="D5290" s="2" t="s">
        <v>5263</v>
      </c>
    </row>
    <row r="5291" spans="1:7" x14ac:dyDescent="0.25">
      <c r="A5291" s="1" t="str">
        <f t="shared" si="340"/>
        <v>658</v>
      </c>
      <c r="B5291" s="1" t="str">
        <f>TEXT(2,"00")</f>
        <v>02</v>
      </c>
      <c r="C5291" s="1" t="str">
        <f t="shared" si="337"/>
        <v>658-02</v>
      </c>
      <c r="D5291" t="s">
        <v>5264</v>
      </c>
      <c r="E5291" t="b">
        <f>IF(COUNTIF(D5291,"*"&amp;'Keyword Search'!$C$5&amp;"*"),TRUE,FALSE)</f>
        <v>1</v>
      </c>
      <c r="G5291" t="str">
        <f t="shared" si="338"/>
        <v>658-02: Brass, Plumbing Tubular Goods</v>
      </c>
    </row>
    <row r="5292" spans="1:7" x14ac:dyDescent="0.25">
      <c r="A5292" s="1" t="str">
        <f t="shared" si="340"/>
        <v>658</v>
      </c>
      <c r="B5292" s="1" t="str">
        <f>TEXT(4,"00")</f>
        <v>04</v>
      </c>
      <c r="C5292" s="1" t="str">
        <f t="shared" si="337"/>
        <v>658-04</v>
      </c>
      <c r="D5292" t="s">
        <v>5265</v>
      </c>
      <c r="E5292" t="b">
        <f>IF(COUNTIF(D5292,"*"&amp;'Keyword Search'!$C$5&amp;"*"),TRUE,FALSE)</f>
        <v>1</v>
      </c>
      <c r="G5292" t="str">
        <f t="shared" si="338"/>
        <v>658-04: Pipe, Alloy Steel, Chrome, Chrome-Moly, Ferrous and Non Ferrous Alloy, Stainless</v>
      </c>
    </row>
    <row r="5293" spans="1:7" x14ac:dyDescent="0.25">
      <c r="A5293" s="1" t="str">
        <f t="shared" si="340"/>
        <v>658</v>
      </c>
      <c r="B5293" s="1" t="str">
        <f>TEXT(5,"00")</f>
        <v>05</v>
      </c>
      <c r="C5293" s="1" t="str">
        <f t="shared" si="337"/>
        <v>658-05</v>
      </c>
      <c r="D5293" t="s">
        <v>5266</v>
      </c>
      <c r="E5293" t="b">
        <f>IF(COUNTIF(D5293,"*"&amp;'Keyword Search'!$C$5&amp;"*"),TRUE,FALSE)</f>
        <v>1</v>
      </c>
      <c r="G5293" t="str">
        <f t="shared" si="338"/>
        <v>658-05: Pipe, Aluminum  (Inactive, please see commodity code 658-09 effective January 1, 2016)</v>
      </c>
    </row>
    <row r="5294" spans="1:7" x14ac:dyDescent="0.25">
      <c r="A5294" s="1" t="str">
        <f t="shared" si="340"/>
        <v>658</v>
      </c>
      <c r="B5294" s="1" t="str">
        <f>TEXT(9,"00")</f>
        <v>09</v>
      </c>
      <c r="C5294" s="1" t="str">
        <f t="shared" si="337"/>
        <v>658-09</v>
      </c>
      <c r="D5294" t="s">
        <v>5267</v>
      </c>
      <c r="E5294" t="b">
        <f>IF(COUNTIF(D5294,"*"&amp;'Keyword Search'!$C$5&amp;"*"),TRUE,FALSE)</f>
        <v>1</v>
      </c>
      <c r="G5294" t="str">
        <f t="shared" si="338"/>
        <v>658-09: Pipe, Aluminum, Lead, Magnesium. Metal. Tin. Titanium, Zinc</v>
      </c>
    </row>
    <row r="5295" spans="1:7" x14ac:dyDescent="0.25">
      <c r="A5295" s="1" t="str">
        <f t="shared" si="340"/>
        <v>658</v>
      </c>
      <c r="B5295" s="1" t="str">
        <f>TEXT(18,"00")</f>
        <v>18</v>
      </c>
      <c r="C5295" s="1" t="str">
        <f t="shared" si="337"/>
        <v>658-18</v>
      </c>
      <c r="D5295" t="s">
        <v>5268</v>
      </c>
      <c r="E5295" t="b">
        <f>IF(COUNTIF(D5295,"*"&amp;'Keyword Search'!$C$5&amp;"*"),TRUE,FALSE)</f>
        <v>1</v>
      </c>
      <c r="G5295" t="str">
        <f t="shared" si="338"/>
        <v>658-18: Pipe, Bituminized Fiber, Concrete, Clay, Fiberglass, Rubber, Terra Cotta</v>
      </c>
    </row>
    <row r="5296" spans="1:7" x14ac:dyDescent="0.25">
      <c r="A5296" s="1" t="str">
        <f t="shared" si="340"/>
        <v>658</v>
      </c>
      <c r="B5296" s="1" t="str">
        <f>TEXT(19,"00")</f>
        <v>19</v>
      </c>
      <c r="C5296" s="1" t="str">
        <f t="shared" si="337"/>
        <v>658-19</v>
      </c>
      <c r="D5296" t="s">
        <v>5269</v>
      </c>
      <c r="E5296" t="b">
        <f>IF(COUNTIF(D5296,"*"&amp;'Keyword Search'!$C$5&amp;"*"),TRUE,FALSE)</f>
        <v>1</v>
      </c>
      <c r="G5296" t="str">
        <f t="shared" si="338"/>
        <v>658-19: Pipe, Bonded, All Types  (Inactive, please see commodity code 658-18 effective January 1, 2016)</v>
      </c>
    </row>
    <row r="5297" spans="1:7" x14ac:dyDescent="0.25">
      <c r="A5297" s="1" t="str">
        <f t="shared" si="340"/>
        <v>658</v>
      </c>
      <c r="B5297" s="1" t="str">
        <f>TEXT(22,"00")</f>
        <v>22</v>
      </c>
      <c r="C5297" s="1" t="str">
        <f t="shared" si="337"/>
        <v>658-22</v>
      </c>
      <c r="D5297" t="s">
        <v>5270</v>
      </c>
      <c r="E5297" t="b">
        <f>IF(COUNTIF(D5297,"*"&amp;'Keyword Search'!$C$5&amp;"*"),TRUE,FALSE)</f>
        <v>1</v>
      </c>
      <c r="G5297" t="str">
        <f t="shared" si="338"/>
        <v>658-22: Pipe, Brass, Bronze, Copper</v>
      </c>
    </row>
    <row r="5298" spans="1:7" x14ac:dyDescent="0.25">
      <c r="A5298" s="1" t="str">
        <f t="shared" si="340"/>
        <v>658</v>
      </c>
      <c r="B5298" s="1" t="str">
        <f>TEXT(24,"00")</f>
        <v>24</v>
      </c>
      <c r="C5298" s="1" t="str">
        <f t="shared" si="337"/>
        <v>658-24</v>
      </c>
      <c r="D5298" t="s">
        <v>5271</v>
      </c>
      <c r="E5298" t="b">
        <f>IF(COUNTIF(D5298,"*"&amp;'Keyword Search'!$C$5&amp;"*"),TRUE,FALSE)</f>
        <v>1</v>
      </c>
      <c r="G5298" t="str">
        <f t="shared" si="338"/>
        <v>658-24: Pipe, Bronze (Inactive, please see commodity code 658-22 effective January 1, 2016)</v>
      </c>
    </row>
    <row r="5299" spans="1:7" x14ac:dyDescent="0.25">
      <c r="A5299" s="1" t="str">
        <f t="shared" si="340"/>
        <v>658</v>
      </c>
      <c r="B5299" s="1" t="str">
        <f>TEXT(28,"00")</f>
        <v>28</v>
      </c>
      <c r="C5299" s="1" t="str">
        <f t="shared" si="337"/>
        <v>658-28</v>
      </c>
      <c r="D5299" t="s">
        <v>5272</v>
      </c>
      <c r="E5299" t="b">
        <f>IF(COUNTIF(D5299,"*"&amp;'Keyword Search'!$C$5&amp;"*"),TRUE,FALSE)</f>
        <v>1</v>
      </c>
      <c r="G5299" t="str">
        <f t="shared" si="338"/>
        <v>658-28: Pipe, Cast Iron  (Inactive, please see commodity code 658-46 effective January 1, 2016)</v>
      </c>
    </row>
    <row r="5300" spans="1:7" x14ac:dyDescent="0.25">
      <c r="A5300" s="1" t="str">
        <f t="shared" si="340"/>
        <v>658</v>
      </c>
      <c r="B5300" s="1" t="str">
        <f>TEXT(30,"00")</f>
        <v>30</v>
      </c>
      <c r="C5300" s="1" t="str">
        <f t="shared" si="337"/>
        <v>658-30</v>
      </c>
      <c r="D5300" t="s">
        <v>5273</v>
      </c>
      <c r="E5300" t="b">
        <f>IF(COUNTIF(D5300,"*"&amp;'Keyword Search'!$C$5&amp;"*"),TRUE,FALSE)</f>
        <v>1</v>
      </c>
      <c r="G5300" t="str">
        <f t="shared" si="338"/>
        <v>658-30: Pipe, Chrome  (Inactive, please see commodity code 658-04 effective January 1, 2016)</v>
      </c>
    </row>
    <row r="5301" spans="1:7" x14ac:dyDescent="0.25">
      <c r="A5301" s="1" t="str">
        <f t="shared" si="340"/>
        <v>658</v>
      </c>
      <c r="B5301" s="1" t="str">
        <f>TEXT(31,"00")</f>
        <v>31</v>
      </c>
      <c r="C5301" s="1" t="str">
        <f t="shared" si="337"/>
        <v>658-31</v>
      </c>
      <c r="D5301" t="s">
        <v>5274</v>
      </c>
      <c r="E5301" t="b">
        <f>IF(COUNTIF(D5301,"*"&amp;'Keyword Search'!$C$5&amp;"*"),TRUE,FALSE)</f>
        <v>1</v>
      </c>
      <c r="G5301" t="str">
        <f t="shared" si="338"/>
        <v>658-31: Pipe, Clay, Terra Cotta (Inactive, please see commodity code 658-18 effective January 1, 2016)</v>
      </c>
    </row>
    <row r="5302" spans="1:7" x14ac:dyDescent="0.25">
      <c r="A5302" s="1" t="str">
        <f t="shared" si="340"/>
        <v>658</v>
      </c>
      <c r="B5302" s="1" t="str">
        <f>TEXT(34,"00")</f>
        <v>34</v>
      </c>
      <c r="C5302" s="1" t="str">
        <f t="shared" si="337"/>
        <v>658-34</v>
      </c>
      <c r="D5302" t="s">
        <v>5275</v>
      </c>
      <c r="E5302" t="b">
        <f>IF(COUNTIF(D5302,"*"&amp;'Keyword Search'!$C$5&amp;"*"),TRUE,FALSE)</f>
        <v>1</v>
      </c>
      <c r="G5302" t="str">
        <f t="shared" si="338"/>
        <v>658-34: Pipe, Concrete  (Inactive, please see commodity code 658-18 effective January 1, 2016)</v>
      </c>
    </row>
    <row r="5303" spans="1:7" x14ac:dyDescent="0.25">
      <c r="A5303" s="1" t="str">
        <f t="shared" si="340"/>
        <v>658</v>
      </c>
      <c r="B5303" s="1" t="str">
        <f>TEXT(35,"00")</f>
        <v>35</v>
      </c>
      <c r="C5303" s="1" t="str">
        <f t="shared" si="337"/>
        <v>658-35</v>
      </c>
      <c r="D5303" t="s">
        <v>5276</v>
      </c>
      <c r="E5303" t="b">
        <f>IF(COUNTIF(D5303,"*"&amp;'Keyword Search'!$C$5&amp;"*"),TRUE,FALSE)</f>
        <v>1</v>
      </c>
      <c r="G5303" t="str">
        <f t="shared" si="338"/>
        <v>658-35: Pipe, Copper  (Inactive, please see commodity code 658-22 effective January 1, 2016)</v>
      </c>
    </row>
    <row r="5304" spans="1:7" x14ac:dyDescent="0.25">
      <c r="A5304" s="1" t="str">
        <f t="shared" si="340"/>
        <v>658</v>
      </c>
      <c r="B5304" s="1" t="str">
        <f>TEXT(40,"00")</f>
        <v>40</v>
      </c>
      <c r="C5304" s="1" t="str">
        <f t="shared" si="337"/>
        <v>658-40</v>
      </c>
      <c r="D5304" t="s">
        <v>5277</v>
      </c>
      <c r="E5304" t="b">
        <f>IF(COUNTIF(D5304,"*"&amp;'Keyword Search'!$C$5&amp;"*"),TRUE,FALSE)</f>
        <v>1</v>
      </c>
      <c r="G5304" t="str">
        <f t="shared" si="338"/>
        <v>658-40: Pipe, Ferrous Alloy  (Inactive, please see commodity code 658-04 effective January 1, 2016)</v>
      </c>
    </row>
    <row r="5305" spans="1:7" x14ac:dyDescent="0.25">
      <c r="A5305" s="1" t="str">
        <f t="shared" si="340"/>
        <v>658</v>
      </c>
      <c r="B5305" s="1" t="str">
        <f>TEXT(41,"00")</f>
        <v>41</v>
      </c>
      <c r="C5305" s="1" t="str">
        <f t="shared" si="337"/>
        <v>658-41</v>
      </c>
      <c r="D5305" t="s">
        <v>5278</v>
      </c>
      <c r="E5305" t="b">
        <f>IF(COUNTIF(D5305,"*"&amp;'Keyword Search'!$C$5&amp;"*"),TRUE,FALSE)</f>
        <v>1</v>
      </c>
      <c r="G5305" t="str">
        <f t="shared" si="338"/>
        <v>658-41: Pipe, Fiberglass  (Inactive, please see commodity code 658-18 effective January 1, 2016)</v>
      </c>
    </row>
    <row r="5306" spans="1:7" x14ac:dyDescent="0.25">
      <c r="A5306" s="1" t="str">
        <f t="shared" si="340"/>
        <v>658</v>
      </c>
      <c r="B5306" s="1" t="str">
        <f>TEXT(46,"00")</f>
        <v>46</v>
      </c>
      <c r="C5306" s="1" t="str">
        <f t="shared" si="337"/>
        <v>658-46</v>
      </c>
      <c r="D5306" t="s">
        <v>5279</v>
      </c>
      <c r="E5306" t="b">
        <f>IF(COUNTIF(D5306,"*"&amp;'Keyword Search'!$C$5&amp;"*"),TRUE,FALSE)</f>
        <v>1</v>
      </c>
      <c r="G5306" t="str">
        <f t="shared" si="338"/>
        <v>658-46: Pipe, Iron, Including Ductile Iron Pipe and Cast Iron Pipe</v>
      </c>
    </row>
    <row r="5307" spans="1:7" x14ac:dyDescent="0.25">
      <c r="A5307" s="1" t="str">
        <f t="shared" si="340"/>
        <v>658</v>
      </c>
      <c r="B5307" s="1" t="str">
        <f>TEXT(50,"00")</f>
        <v>50</v>
      </c>
      <c r="C5307" s="1" t="str">
        <f t="shared" si="337"/>
        <v>658-50</v>
      </c>
      <c r="D5307" t="s">
        <v>5280</v>
      </c>
      <c r="E5307" t="b">
        <f>IF(COUNTIF(D5307,"*"&amp;'Keyword Search'!$C$5&amp;"*"),TRUE,FALSE)</f>
        <v>1</v>
      </c>
      <c r="G5307" t="str">
        <f t="shared" si="338"/>
        <v>658-50: Pipe, Lead  (Inactive, please see commodity code 658-09 effective January 1, 2016)</v>
      </c>
    </row>
    <row r="5308" spans="1:7" x14ac:dyDescent="0.25">
      <c r="A5308" s="1" t="str">
        <f t="shared" si="340"/>
        <v>658</v>
      </c>
      <c r="B5308" s="1" t="str">
        <f>TEXT(52,"00")</f>
        <v>52</v>
      </c>
      <c r="C5308" s="1" t="str">
        <f t="shared" si="337"/>
        <v>658-52</v>
      </c>
      <c r="D5308" t="s">
        <v>5281</v>
      </c>
      <c r="E5308" t="b">
        <f>IF(COUNTIF(D5308,"*"&amp;'Keyword Search'!$C$5&amp;"*"),TRUE,FALSE)</f>
        <v>1</v>
      </c>
      <c r="G5308" t="str">
        <f t="shared" si="338"/>
        <v>658-52: Pipe, Magnesium (Inactive, please see commodity code 658-09 effective January 1, 2016)</v>
      </c>
    </row>
    <row r="5309" spans="1:7" x14ac:dyDescent="0.25">
      <c r="A5309" s="1" t="str">
        <f t="shared" si="340"/>
        <v>658</v>
      </c>
      <c r="B5309" s="1" t="str">
        <f>TEXT(54,"00")</f>
        <v>54</v>
      </c>
      <c r="C5309" s="1" t="str">
        <f t="shared" si="337"/>
        <v>658-54</v>
      </c>
      <c r="D5309" t="s">
        <v>5282</v>
      </c>
      <c r="E5309" t="b">
        <f>IF(COUNTIF(D5309,"*"&amp;'Keyword Search'!$C$5&amp;"*"),TRUE,FALSE)</f>
        <v>1</v>
      </c>
      <c r="G5309" t="str">
        <f t="shared" si="338"/>
        <v>658-54: Pipe, Non-Ferrous Alloy (Inactive, please see commodity code 658-04 effective January 1, 2016)</v>
      </c>
    </row>
    <row r="5310" spans="1:7" x14ac:dyDescent="0.25">
      <c r="A5310" s="1" t="str">
        <f t="shared" si="340"/>
        <v>658</v>
      </c>
      <c r="B5310" s="1" t="str">
        <f>TEXT(56,"00")</f>
        <v>56</v>
      </c>
      <c r="C5310" s="1" t="str">
        <f t="shared" si="337"/>
        <v>658-56</v>
      </c>
      <c r="D5310" t="s">
        <v>5283</v>
      </c>
      <c r="E5310" t="b">
        <f>IF(COUNTIF(D5310,"*"&amp;'Keyword Search'!$C$5&amp;"*"),TRUE,FALSE)</f>
        <v>1</v>
      </c>
      <c r="G5310" t="str">
        <f t="shared" si="338"/>
        <v>658-56: Pipe, Plastic, Including Fiber Reinforced Plastic Pipe, Polybutylene Pipe, PVC</v>
      </c>
    </row>
    <row r="5311" spans="1:7" x14ac:dyDescent="0.25">
      <c r="A5311" s="1" t="str">
        <f t="shared" si="340"/>
        <v>658</v>
      </c>
      <c r="B5311" s="1" t="str">
        <f>TEXT(58,"00")</f>
        <v>58</v>
      </c>
      <c r="C5311" s="1" t="str">
        <f t="shared" si="337"/>
        <v>658-58</v>
      </c>
      <c r="D5311" t="s">
        <v>5284</v>
      </c>
      <c r="E5311" t="b">
        <f>IF(COUNTIF(D5311,"*"&amp;'Keyword Search'!$C$5&amp;"*"),TRUE,FALSE)</f>
        <v>1</v>
      </c>
      <c r="G5311" t="str">
        <f t="shared" si="338"/>
        <v>658-58: Pipe, Polyethylene  (Inactive, please see commodity code 658-56 effective January 1, 2016) (Inactive, please see commodity code 658-60 effective January 1, 2016)</v>
      </c>
    </row>
    <row r="5312" spans="1:7" x14ac:dyDescent="0.25">
      <c r="A5312" s="1" t="str">
        <f t="shared" si="340"/>
        <v>658</v>
      </c>
      <c r="B5312" s="1" t="str">
        <f>TEXT(60,"00")</f>
        <v>60</v>
      </c>
      <c r="C5312" s="1" t="str">
        <f t="shared" si="337"/>
        <v>658-60</v>
      </c>
      <c r="D5312" t="s">
        <v>5285</v>
      </c>
      <c r="E5312" t="b">
        <f>IF(COUNTIF(D5312,"*"&amp;'Keyword Search'!$C$5&amp;"*"),TRUE,FALSE)</f>
        <v>1</v>
      </c>
      <c r="G5312" t="str">
        <f t="shared" si="338"/>
        <v>658-60: Pipe, PVC (Polyvinyl Chloride) (Inactive, please see commodity code 658-56 effective January 1, 2016)</v>
      </c>
    </row>
    <row r="5313" spans="1:7" x14ac:dyDescent="0.25">
      <c r="A5313" s="1" t="str">
        <f t="shared" si="340"/>
        <v>658</v>
      </c>
      <c r="B5313" s="1" t="str">
        <f>TEXT(68,"00")</f>
        <v>68</v>
      </c>
      <c r="C5313" s="1" t="str">
        <f t="shared" si="337"/>
        <v>658-68</v>
      </c>
      <c r="D5313" t="s">
        <v>5286</v>
      </c>
      <c r="E5313" t="b">
        <f>IF(COUNTIF(D5313,"*"&amp;'Keyword Search'!$C$5&amp;"*"),TRUE,FALSE)</f>
        <v>1</v>
      </c>
      <c r="G5313" t="str">
        <f t="shared" si="338"/>
        <v>658-68: Pipe, Rubber (Inactive, please see commodity code 658-18 effective January 1, 2016)</v>
      </c>
    </row>
    <row r="5314" spans="1:7" x14ac:dyDescent="0.25">
      <c r="A5314" s="1" t="str">
        <f t="shared" si="340"/>
        <v>658</v>
      </c>
      <c r="B5314" s="1" t="str">
        <f>TEXT(74,"00")</f>
        <v>74</v>
      </c>
      <c r="C5314" s="1" t="str">
        <f t="shared" si="337"/>
        <v>658-74</v>
      </c>
      <c r="D5314" t="s">
        <v>5287</v>
      </c>
      <c r="E5314" t="b">
        <f>IF(COUNTIF(D5314,"*"&amp;'Keyword Search'!$C$5&amp;"*"),TRUE,FALSE)</f>
        <v>1</v>
      </c>
      <c r="G5314" t="str">
        <f t="shared" si="338"/>
        <v>658-74: Pipe, Soil  (Inactive, please see commodity code 658-28 effective January 1, 2016)</v>
      </c>
    </row>
    <row r="5315" spans="1:7" x14ac:dyDescent="0.25">
      <c r="A5315" s="1" t="str">
        <f t="shared" si="340"/>
        <v>658</v>
      </c>
      <c r="B5315" s="1" t="str">
        <f>TEXT(77,"00")</f>
        <v>77</v>
      </c>
      <c r="C5315" s="1" t="str">
        <f t="shared" ref="C5315:C5378" si="341">CONCATENATE(A5315,"-",B5315)</f>
        <v>658-77</v>
      </c>
      <c r="D5315" t="s">
        <v>5288</v>
      </c>
      <c r="E5315" t="b">
        <f>IF(COUNTIF(D5315,"*"&amp;'Keyword Search'!$C$5&amp;"*"),TRUE,FALSE)</f>
        <v>1</v>
      </c>
      <c r="G5315" t="str">
        <f t="shared" si="338"/>
        <v>658-77: Pipe, Stainless Steel  (Inactive, please see commodity code 658-80 effective January 1, 2016)</v>
      </c>
    </row>
    <row r="5316" spans="1:7" x14ac:dyDescent="0.25">
      <c r="A5316" s="1" t="str">
        <f t="shared" si="340"/>
        <v>658</v>
      </c>
      <c r="B5316" s="1" t="str">
        <f>TEXT(80,"00")</f>
        <v>80</v>
      </c>
      <c r="C5316" s="1" t="str">
        <f t="shared" si="341"/>
        <v>658-80</v>
      </c>
      <c r="D5316" t="s">
        <v>5289</v>
      </c>
      <c r="E5316" t="b">
        <f>IF(COUNTIF(D5316,"*"&amp;'Keyword Search'!$C$5&amp;"*"),TRUE,FALSE)</f>
        <v>1</v>
      </c>
      <c r="G5316" t="str">
        <f t="shared" ref="G5316:G5378" si="342">CONCATENATE(C5316,": ",D5316)</f>
        <v>658-80: Pipe, Steel, Stainless Steel and Wrought Steel</v>
      </c>
    </row>
    <row r="5317" spans="1:7" x14ac:dyDescent="0.25">
      <c r="A5317" s="1" t="str">
        <f t="shared" si="340"/>
        <v>658</v>
      </c>
      <c r="B5317" s="1" t="str">
        <f>TEXT(81,"00")</f>
        <v>81</v>
      </c>
      <c r="C5317" s="1" t="str">
        <f t="shared" si="341"/>
        <v>658-81</v>
      </c>
      <c r="D5317" t="s">
        <v>5290</v>
      </c>
      <c r="E5317" t="b">
        <f>IF(COUNTIF(D5317,"*"&amp;'Keyword Search'!$C$5&amp;"*"),TRUE,FALSE)</f>
        <v>1</v>
      </c>
      <c r="G5317" t="str">
        <f t="shared" si="342"/>
        <v>658-81: Pipe, Threaded</v>
      </c>
    </row>
    <row r="5318" spans="1:7" x14ac:dyDescent="0.25">
      <c r="A5318" s="1" t="str">
        <f t="shared" si="340"/>
        <v>658</v>
      </c>
      <c r="B5318" s="1" t="str">
        <f>TEXT(82,"00")</f>
        <v>82</v>
      </c>
      <c r="C5318" s="1" t="str">
        <f t="shared" si="341"/>
        <v>658-82</v>
      </c>
      <c r="D5318" t="s">
        <v>5291</v>
      </c>
      <c r="E5318" t="b">
        <f>IF(COUNTIF(D5318,"*"&amp;'Keyword Search'!$C$5&amp;"*"),TRUE,FALSE)</f>
        <v>1</v>
      </c>
      <c r="G5318" t="str">
        <f t="shared" si="342"/>
        <v>658-82: Pipe, Steel, Wrought  (Inactive, please see commodity code 658-80 effective January 1, 2016)</v>
      </c>
    </row>
    <row r="5319" spans="1:7" x14ac:dyDescent="0.25">
      <c r="A5319" s="1" t="str">
        <f t="shared" si="340"/>
        <v>658</v>
      </c>
      <c r="B5319" s="1" t="str">
        <f>TEXT(83,"00")</f>
        <v>83</v>
      </c>
      <c r="C5319" s="1" t="str">
        <f t="shared" si="341"/>
        <v>658-83</v>
      </c>
      <c r="D5319" t="s">
        <v>5292</v>
      </c>
      <c r="E5319" t="b">
        <f>IF(COUNTIF(D5319,"*"&amp;'Keyword Search'!$C$5&amp;"*"),TRUE,FALSE)</f>
        <v>1</v>
      </c>
      <c r="G5319" t="str">
        <f t="shared" si="342"/>
        <v>658-83: Pipe, Tin  (Inactive, please see commodity code 658-09 effective January 1, 2016)</v>
      </c>
    </row>
    <row r="5320" spans="1:7" x14ac:dyDescent="0.25">
      <c r="A5320" s="1" t="str">
        <f t="shared" si="340"/>
        <v>658</v>
      </c>
      <c r="B5320" s="1" t="str">
        <f>TEXT(84,"00")</f>
        <v>84</v>
      </c>
      <c r="C5320" s="1" t="str">
        <f t="shared" si="341"/>
        <v>658-84</v>
      </c>
      <c r="D5320" t="s">
        <v>5293</v>
      </c>
      <c r="E5320" t="b">
        <f>IF(COUNTIF(D5320,"*"&amp;'Keyword Search'!$C$5&amp;"*"),TRUE,FALSE)</f>
        <v>1</v>
      </c>
      <c r="G5320" t="str">
        <f t="shared" si="342"/>
        <v>658-84: Pipe, Titanium  (Inactive, please see commodity code 658-09 effective January 1, 2016)</v>
      </c>
    </row>
    <row r="5321" spans="1:7" x14ac:dyDescent="0.25">
      <c r="A5321" s="1" t="str">
        <f t="shared" si="340"/>
        <v>658</v>
      </c>
      <c r="B5321" s="1" t="str">
        <f>TEXT(86,"00")</f>
        <v>86</v>
      </c>
      <c r="C5321" s="1" t="str">
        <f t="shared" si="341"/>
        <v>658-86</v>
      </c>
      <c r="D5321" t="s">
        <v>5294</v>
      </c>
      <c r="E5321" t="b">
        <f>IF(COUNTIF(D5321,"*"&amp;'Keyword Search'!$C$5&amp;"*"),TRUE,FALSE)</f>
        <v>1</v>
      </c>
      <c r="G5321" t="str">
        <f t="shared" si="342"/>
        <v>658-86: Pipe, Unthreaded (Inactive, please see commodity code 658-81 effective January 1, 2016)</v>
      </c>
    </row>
    <row r="5322" spans="1:7" x14ac:dyDescent="0.25">
      <c r="A5322" s="1" t="str">
        <f t="shared" si="340"/>
        <v>658</v>
      </c>
      <c r="B5322" s="1" t="str">
        <f>TEXT(87,"00")</f>
        <v>87</v>
      </c>
      <c r="C5322" s="1" t="str">
        <f t="shared" si="341"/>
        <v>658-87</v>
      </c>
      <c r="D5322" t="s">
        <v>5295</v>
      </c>
      <c r="E5322" t="b">
        <f>IF(COUNTIF(D5322,"*"&amp;'Keyword Search'!$C$5&amp;"*"),TRUE,FALSE)</f>
        <v>1</v>
      </c>
      <c r="G5322" t="str">
        <f t="shared" si="342"/>
        <v>658-87: Pipe, Zinc (Inactive, please see commodity code 658-09 effective January 1, 2016)</v>
      </c>
    </row>
    <row r="5323" spans="1:7" x14ac:dyDescent="0.25">
      <c r="A5323" s="1" t="str">
        <f t="shared" si="340"/>
        <v>658</v>
      </c>
      <c r="B5323" s="1" t="str">
        <f>TEXT(88,"00")</f>
        <v>88</v>
      </c>
      <c r="C5323" s="1" t="str">
        <f t="shared" si="341"/>
        <v>658-88</v>
      </c>
      <c r="D5323" t="s">
        <v>5296</v>
      </c>
      <c r="E5323" t="b">
        <f>IF(COUNTIF(D5323,"*"&amp;'Keyword Search'!$C$5&amp;"*"),TRUE,FALSE)</f>
        <v>1</v>
      </c>
      <c r="G5323" t="str">
        <f t="shared" si="342"/>
        <v>658-88: Tubing: Brass, Bronze, and Copper (See 570-91 for Structural Tubing)</v>
      </c>
    </row>
    <row r="5324" spans="1:7" x14ac:dyDescent="0.25">
      <c r="A5324" s="1" t="str">
        <f t="shared" si="340"/>
        <v>658</v>
      </c>
      <c r="B5324" s="1" t="str">
        <f>TEXT(89,"00")</f>
        <v>89</v>
      </c>
      <c r="C5324" s="1" t="str">
        <f t="shared" si="341"/>
        <v>658-89</v>
      </c>
      <c r="D5324" t="s">
        <v>5297</v>
      </c>
      <c r="E5324" t="b">
        <f>IF(COUNTIF(D5324,"*"&amp;'Keyword Search'!$C$5&amp;"*"),TRUE,FALSE)</f>
        <v>1</v>
      </c>
      <c r="G5324" t="str">
        <f t="shared" si="342"/>
        <v>658-89: Tubing, Ferrous and Non-Ferrous Alloy</v>
      </c>
    </row>
    <row r="5325" spans="1:7" x14ac:dyDescent="0.25">
      <c r="A5325" s="1" t="str">
        <f t="shared" si="340"/>
        <v>658</v>
      </c>
      <c r="B5325" s="1" t="str">
        <f>TEXT(90,"00")</f>
        <v>90</v>
      </c>
      <c r="C5325" s="1" t="str">
        <f t="shared" si="341"/>
        <v>658-90</v>
      </c>
      <c r="D5325" t="s">
        <v>5298</v>
      </c>
      <c r="E5325" t="b">
        <f>IF(COUNTIF(D5325,"*"&amp;'Keyword Search'!$C$5&amp;"*"),TRUE,FALSE)</f>
        <v>1</v>
      </c>
      <c r="G5325" t="str">
        <f t="shared" si="342"/>
        <v>658-90: Tubing: Iron, Lead, Magnesium</v>
      </c>
    </row>
    <row r="5326" spans="1:7" x14ac:dyDescent="0.25">
      <c r="A5326" s="1" t="str">
        <f t="shared" si="340"/>
        <v>658</v>
      </c>
      <c r="B5326" s="1" t="str">
        <f>TEXT(91,"00")</f>
        <v>91</v>
      </c>
      <c r="C5326" s="1" t="str">
        <f t="shared" si="341"/>
        <v>658-91</v>
      </c>
      <c r="D5326" t="s">
        <v>5299</v>
      </c>
      <c r="E5326" t="b">
        <f>IF(COUNTIF(D5326,"*"&amp;'Keyword Search'!$C$5&amp;"*"),TRUE,FALSE)</f>
        <v>1</v>
      </c>
      <c r="G5326" t="str">
        <f t="shared" si="342"/>
        <v>658-91: Tubing, Plastic and PVC</v>
      </c>
    </row>
    <row r="5327" spans="1:7" x14ac:dyDescent="0.25">
      <c r="A5327" s="1" t="str">
        <f t="shared" si="340"/>
        <v>658</v>
      </c>
      <c r="B5327" s="1" t="str">
        <f>TEXT(93,"00")</f>
        <v>93</v>
      </c>
      <c r="C5327" s="1" t="str">
        <f t="shared" si="341"/>
        <v>658-93</v>
      </c>
      <c r="D5327" t="s">
        <v>5300</v>
      </c>
      <c r="E5327" t="b">
        <f>IF(COUNTIF(D5327,"*"&amp;'Keyword Search'!$C$5&amp;"*"),TRUE,FALSE)</f>
        <v>1</v>
      </c>
      <c r="G5327" t="str">
        <f t="shared" si="342"/>
        <v>658-93: Tubing: Tin, Titanium, Zinc  (Inactive, please see commodity code 658-97 effective January 1, 2016)</v>
      </c>
    </row>
    <row r="5328" spans="1:7" x14ac:dyDescent="0.25">
      <c r="A5328" s="1" t="str">
        <f t="shared" si="340"/>
        <v>658</v>
      </c>
      <c r="B5328" s="1" t="str">
        <f>TEXT(94,"00")</f>
        <v>94</v>
      </c>
      <c r="C5328" s="1" t="str">
        <f t="shared" si="341"/>
        <v>658-94</v>
      </c>
      <c r="D5328" t="s">
        <v>5301</v>
      </c>
      <c r="E5328" t="b">
        <f>IF(COUNTIF(D5328,"*"&amp;'Keyword Search'!$C$5&amp;"*"),TRUE,FALSE)</f>
        <v>1</v>
      </c>
      <c r="G5328" t="str">
        <f t="shared" si="342"/>
        <v>658-94: Tubing, Stainless Steel (See 570-91 for Structural Tubing)</v>
      </c>
    </row>
    <row r="5329" spans="1:7" x14ac:dyDescent="0.25">
      <c r="A5329" s="1" t="str">
        <f t="shared" si="340"/>
        <v>658</v>
      </c>
      <c r="B5329" s="1" t="str">
        <f>TEXT(95,"00")</f>
        <v>95</v>
      </c>
      <c r="C5329" s="1" t="str">
        <f t="shared" si="341"/>
        <v>658-95</v>
      </c>
      <c r="D5329" t="s">
        <v>5302</v>
      </c>
      <c r="E5329" t="b">
        <f>IF(COUNTIF(D5329,"*"&amp;'Keyword Search'!$C$5&amp;"*"),TRUE,FALSE)</f>
        <v>1</v>
      </c>
      <c r="G5329" t="str">
        <f t="shared" si="342"/>
        <v>658-95: Tubing, Steel (Inactive, please see commodity code 658-94 effective January 1, 2016)</v>
      </c>
    </row>
    <row r="5330" spans="1:7" x14ac:dyDescent="0.25">
      <c r="A5330" s="1" t="str">
        <f t="shared" si="340"/>
        <v>658</v>
      </c>
      <c r="B5330" s="1" t="str">
        <f>TEXT(96,"00")</f>
        <v>96</v>
      </c>
      <c r="C5330" s="1" t="str">
        <f t="shared" si="341"/>
        <v>658-96</v>
      </c>
      <c r="D5330" t="s">
        <v>5303</v>
      </c>
      <c r="E5330" t="b">
        <f>IF(COUNTIF(D5330,"*"&amp;'Keyword Search'!$C$5&amp;"*"),TRUE,FALSE)</f>
        <v>1</v>
      </c>
      <c r="G5330" t="str">
        <f t="shared" si="342"/>
        <v>658-96: Recycled Pipe and Tubing</v>
      </c>
    </row>
    <row r="5331" spans="1:7" x14ac:dyDescent="0.25">
      <c r="A5331" s="1" t="str">
        <f t="shared" si="340"/>
        <v>658</v>
      </c>
      <c r="B5331" s="1" t="str">
        <f>TEXT(97,"00")</f>
        <v>97</v>
      </c>
      <c r="C5331" s="1" t="str">
        <f t="shared" si="341"/>
        <v>658-97</v>
      </c>
      <c r="D5331" t="s">
        <v>5304</v>
      </c>
      <c r="E5331" t="b">
        <f>IF(COUNTIF(D5331,"*"&amp;'Keyword Search'!$C$5&amp;"*"),TRUE,FALSE)</f>
        <v>1</v>
      </c>
      <c r="G5331" t="str">
        <f t="shared" si="342"/>
        <v>658-97: Tubing (Not Otherwise Classified)</v>
      </c>
    </row>
    <row r="5332" spans="1:7" x14ac:dyDescent="0.25">
      <c r="A5332" s="5" t="str">
        <f t="shared" ref="A5332:A5365" si="343">TEXT(659,"000")</f>
        <v>659</v>
      </c>
      <c r="B5332" s="5" t="str">
        <f>TEXT(0,"00")</f>
        <v>00</v>
      </c>
      <c r="C5332" s="1"/>
      <c r="D5332" s="2" t="s">
        <v>5305</v>
      </c>
    </row>
    <row r="5333" spans="1:7" x14ac:dyDescent="0.25">
      <c r="A5333" s="1" t="str">
        <f t="shared" si="343"/>
        <v>659</v>
      </c>
      <c r="B5333" s="1" t="str">
        <f>TEXT(6,"00")</f>
        <v>06</v>
      </c>
      <c r="C5333" s="1" t="str">
        <f t="shared" si="341"/>
        <v>659-06</v>
      </c>
      <c r="D5333" t="s">
        <v>5306</v>
      </c>
      <c r="E5333" t="b">
        <f>IF(COUNTIF(D5333,"*"&amp;'Keyword Search'!$C$5&amp;"*"),TRUE,FALSE)</f>
        <v>1</v>
      </c>
      <c r="G5333" t="str">
        <f t="shared" si="342"/>
        <v>659-06: Adapters</v>
      </c>
    </row>
    <row r="5334" spans="1:7" x14ac:dyDescent="0.25">
      <c r="A5334" s="1" t="str">
        <f t="shared" si="343"/>
        <v>659</v>
      </c>
      <c r="B5334" s="1" t="str">
        <f>TEXT(16,"00")</f>
        <v>16</v>
      </c>
      <c r="C5334" s="1" t="str">
        <f t="shared" si="341"/>
        <v>659-16</v>
      </c>
      <c r="D5334" t="s">
        <v>5307</v>
      </c>
      <c r="E5334" t="b">
        <f>IF(COUNTIF(D5334,"*"&amp;'Keyword Search'!$C$5&amp;"*"),TRUE,FALSE)</f>
        <v>1</v>
      </c>
      <c r="G5334" t="str">
        <f t="shared" si="342"/>
        <v>659-16: Bands</v>
      </c>
    </row>
    <row r="5335" spans="1:7" x14ac:dyDescent="0.25">
      <c r="A5335" s="1" t="str">
        <f t="shared" si="343"/>
        <v>659</v>
      </c>
      <c r="B5335" s="1" t="str">
        <f>TEXT(17,"00")</f>
        <v>17</v>
      </c>
      <c r="C5335" s="1" t="str">
        <f t="shared" si="341"/>
        <v>659-17</v>
      </c>
      <c r="D5335" t="s">
        <v>5308</v>
      </c>
      <c r="E5335" t="b">
        <f>IF(COUNTIF(D5335,"*"&amp;'Keyword Search'!$C$5&amp;"*"),TRUE,FALSE)</f>
        <v>1</v>
      </c>
      <c r="G5335" t="str">
        <f t="shared" si="342"/>
        <v>659-17: Bends</v>
      </c>
    </row>
    <row r="5336" spans="1:7" x14ac:dyDescent="0.25">
      <c r="A5336" s="1" t="str">
        <f t="shared" si="343"/>
        <v>659</v>
      </c>
      <c r="B5336" s="1" t="str">
        <f>TEXT(24,"00")</f>
        <v>24</v>
      </c>
      <c r="C5336" s="1" t="str">
        <f t="shared" si="341"/>
        <v>659-24</v>
      </c>
      <c r="D5336" t="s">
        <v>5309</v>
      </c>
      <c r="E5336" t="b">
        <f>IF(COUNTIF(D5336,"*"&amp;'Keyword Search'!$C$5&amp;"*"),TRUE,FALSE)</f>
        <v>1</v>
      </c>
      <c r="G5336" t="str">
        <f t="shared" si="342"/>
        <v>659-24: Bushings</v>
      </c>
    </row>
    <row r="5337" spans="1:7" x14ac:dyDescent="0.25">
      <c r="A5337" s="1" t="str">
        <f t="shared" si="343"/>
        <v>659</v>
      </c>
      <c r="B5337" s="1" t="str">
        <f>TEXT(27,"00")</f>
        <v>27</v>
      </c>
      <c r="C5337" s="1" t="str">
        <f t="shared" si="341"/>
        <v>659-27</v>
      </c>
      <c r="D5337" t="s">
        <v>5310</v>
      </c>
      <c r="E5337" t="b">
        <f>IF(COUNTIF(D5337,"*"&amp;'Keyword Search'!$C$5&amp;"*"),TRUE,FALSE)</f>
        <v>1</v>
      </c>
      <c r="G5337" t="str">
        <f t="shared" si="342"/>
        <v>659-27: Caps</v>
      </c>
    </row>
    <row r="5338" spans="1:7" x14ac:dyDescent="0.25">
      <c r="A5338" s="1" t="str">
        <f t="shared" si="343"/>
        <v>659</v>
      </c>
      <c r="B5338" s="1" t="str">
        <f>TEXT(30,"00")</f>
        <v>30</v>
      </c>
      <c r="C5338" s="1" t="str">
        <f t="shared" si="341"/>
        <v>659-30</v>
      </c>
      <c r="D5338" t="s">
        <v>5311</v>
      </c>
      <c r="E5338" t="b">
        <f>IF(COUNTIF(D5338,"*"&amp;'Keyword Search'!$C$5&amp;"*"),TRUE,FALSE)</f>
        <v>1</v>
      </c>
      <c r="G5338" t="str">
        <f t="shared" si="342"/>
        <v>659-30: Connectors</v>
      </c>
    </row>
    <row r="5339" spans="1:7" x14ac:dyDescent="0.25">
      <c r="A5339" s="1" t="str">
        <f t="shared" si="343"/>
        <v>659</v>
      </c>
      <c r="B5339" s="1" t="str">
        <f>TEXT(33,"00")</f>
        <v>33</v>
      </c>
      <c r="C5339" s="1" t="str">
        <f t="shared" si="341"/>
        <v>659-33</v>
      </c>
      <c r="D5339" t="s">
        <v>5312</v>
      </c>
      <c r="E5339" t="b">
        <f>IF(COUNTIF(D5339,"*"&amp;'Keyword Search'!$C$5&amp;"*"),TRUE,FALSE)</f>
        <v>1</v>
      </c>
      <c r="G5339" t="str">
        <f t="shared" si="342"/>
        <v>659-33: Couplings</v>
      </c>
    </row>
    <row r="5340" spans="1:7" x14ac:dyDescent="0.25">
      <c r="A5340" s="1" t="str">
        <f t="shared" si="343"/>
        <v>659</v>
      </c>
      <c r="B5340" s="1" t="str">
        <f>TEXT(36,"00")</f>
        <v>36</v>
      </c>
      <c r="C5340" s="1" t="str">
        <f t="shared" si="341"/>
        <v>659-36</v>
      </c>
      <c r="D5340" t="s">
        <v>5313</v>
      </c>
      <c r="E5340" t="b">
        <f>IF(COUNTIF(D5340,"*"&amp;'Keyword Search'!$C$5&amp;"*"),TRUE,FALSE)</f>
        <v>1</v>
      </c>
      <c r="G5340" t="str">
        <f t="shared" si="342"/>
        <v>659-36: Crosses, Crossovers, Curves</v>
      </c>
    </row>
    <row r="5341" spans="1:7" x14ac:dyDescent="0.25">
      <c r="A5341" s="1" t="str">
        <f t="shared" si="343"/>
        <v>659</v>
      </c>
      <c r="B5341" s="1" t="str">
        <f>TEXT(39,"00")</f>
        <v>39</v>
      </c>
      <c r="C5341" s="1" t="str">
        <f t="shared" si="341"/>
        <v>659-39</v>
      </c>
      <c r="D5341" t="s">
        <v>5314</v>
      </c>
      <c r="E5341" t="b">
        <f>IF(COUNTIF(D5341,"*"&amp;'Keyword Search'!$C$5&amp;"*"),TRUE,FALSE)</f>
        <v>1</v>
      </c>
      <c r="G5341" t="str">
        <f t="shared" si="342"/>
        <v>659-39: Elbows, Miscellaneous</v>
      </c>
    </row>
    <row r="5342" spans="1:7" x14ac:dyDescent="0.25">
      <c r="A5342" s="1" t="str">
        <f t="shared" si="343"/>
        <v>659</v>
      </c>
      <c r="B5342" s="1" t="str">
        <f>TEXT(40,"00")</f>
        <v>40</v>
      </c>
      <c r="C5342" s="1" t="str">
        <f t="shared" si="341"/>
        <v>659-40</v>
      </c>
      <c r="D5342" t="s">
        <v>5315</v>
      </c>
      <c r="E5342" t="b">
        <f>IF(COUNTIF(D5342,"*"&amp;'Keyword Search'!$C$5&amp;"*"),TRUE,FALSE)</f>
        <v>1</v>
      </c>
      <c r="G5342" t="str">
        <f t="shared" si="342"/>
        <v>659-40: Elbows, Steel</v>
      </c>
    </row>
    <row r="5343" spans="1:7" x14ac:dyDescent="0.25">
      <c r="A5343" s="1" t="str">
        <f t="shared" si="343"/>
        <v>659</v>
      </c>
      <c r="B5343" s="1" t="str">
        <f>TEXT(41,"00")</f>
        <v>41</v>
      </c>
      <c r="C5343" s="1" t="str">
        <f t="shared" si="341"/>
        <v>659-41</v>
      </c>
      <c r="D5343" t="s">
        <v>5316</v>
      </c>
      <c r="E5343" t="b">
        <f>IF(COUNTIF(D5343,"*"&amp;'Keyword Search'!$C$5&amp;"*"),TRUE,FALSE)</f>
        <v>1</v>
      </c>
      <c r="G5343" t="str">
        <f t="shared" si="342"/>
        <v>659-41: Elbows, Other than Steel</v>
      </c>
    </row>
    <row r="5344" spans="1:7" x14ac:dyDescent="0.25">
      <c r="A5344" s="1" t="str">
        <f t="shared" si="343"/>
        <v>659</v>
      </c>
      <c r="B5344" s="1" t="str">
        <f>TEXT(42,"00")</f>
        <v>42</v>
      </c>
      <c r="C5344" s="1" t="str">
        <f t="shared" si="341"/>
        <v>659-42</v>
      </c>
      <c r="D5344" t="s">
        <v>5317</v>
      </c>
      <c r="E5344" t="b">
        <f>IF(COUNTIF(D5344,"*"&amp;'Keyword Search'!$C$5&amp;"*"),TRUE,FALSE)</f>
        <v>1</v>
      </c>
      <c r="G5344" t="str">
        <f t="shared" si="342"/>
        <v>659-42: Ells</v>
      </c>
    </row>
    <row r="5345" spans="1:7" x14ac:dyDescent="0.25">
      <c r="A5345" s="1" t="str">
        <f t="shared" si="343"/>
        <v>659</v>
      </c>
      <c r="B5345" s="1" t="str">
        <f>TEXT(43,"00")</f>
        <v>43</v>
      </c>
      <c r="C5345" s="1" t="str">
        <f t="shared" si="341"/>
        <v>659-43</v>
      </c>
      <c r="D5345" t="s">
        <v>5318</v>
      </c>
      <c r="E5345" t="b">
        <f>IF(COUNTIF(D5345,"*"&amp;'Keyword Search'!$C$5&amp;"*"),TRUE,FALSE)</f>
        <v>1</v>
      </c>
      <c r="G5345" t="str">
        <f t="shared" si="342"/>
        <v>659-43: Extensions, Pipe</v>
      </c>
    </row>
    <row r="5346" spans="1:7" x14ac:dyDescent="0.25">
      <c r="A5346" s="1" t="str">
        <f t="shared" si="343"/>
        <v>659</v>
      </c>
      <c r="B5346" s="1" t="str">
        <f>TEXT(44,"00")</f>
        <v>44</v>
      </c>
      <c r="C5346" s="1" t="str">
        <f t="shared" si="341"/>
        <v>659-44</v>
      </c>
      <c r="D5346" t="s">
        <v>5319</v>
      </c>
      <c r="E5346" t="b">
        <f>IF(COUNTIF(D5346,"*"&amp;'Keyword Search'!$C$5&amp;"*"),TRUE,FALSE)</f>
        <v>1</v>
      </c>
      <c r="G5346" t="str">
        <f t="shared" si="342"/>
        <v>659-44: Ferrules, Flanges, Glands</v>
      </c>
    </row>
    <row r="5347" spans="1:7" x14ac:dyDescent="0.25">
      <c r="A5347" s="1" t="str">
        <f t="shared" si="343"/>
        <v>659</v>
      </c>
      <c r="B5347" s="1" t="str">
        <f>TEXT(47,"00")</f>
        <v>47</v>
      </c>
      <c r="C5347" s="1" t="str">
        <f t="shared" si="341"/>
        <v>659-47</v>
      </c>
      <c r="D5347" t="s">
        <v>5320</v>
      </c>
      <c r="E5347" t="b">
        <f>IF(COUNTIF(D5347,"*"&amp;'Keyword Search'!$C$5&amp;"*"),TRUE,FALSE)</f>
        <v>1</v>
      </c>
      <c r="G5347" t="str">
        <f t="shared" si="342"/>
        <v>659-47: Hubs, Increasers, Inserts, Joints</v>
      </c>
    </row>
    <row r="5348" spans="1:7" x14ac:dyDescent="0.25">
      <c r="A5348" s="1" t="str">
        <f t="shared" si="343"/>
        <v>659</v>
      </c>
      <c r="B5348" s="1" t="str">
        <f>TEXT(50,"00")</f>
        <v>50</v>
      </c>
      <c r="C5348" s="1" t="str">
        <f t="shared" si="341"/>
        <v>659-50</v>
      </c>
      <c r="D5348" t="s">
        <v>5321</v>
      </c>
      <c r="E5348" t="b">
        <f>IF(COUNTIF(D5348,"*"&amp;'Keyword Search'!$C$5&amp;"*"),TRUE,FALSE)</f>
        <v>1</v>
      </c>
      <c r="G5348" t="str">
        <f t="shared" si="342"/>
        <v>659-50: Laterals, Nipples</v>
      </c>
    </row>
    <row r="5349" spans="1:7" x14ac:dyDescent="0.25">
      <c r="A5349" s="1" t="str">
        <f t="shared" si="343"/>
        <v>659</v>
      </c>
      <c r="B5349" s="1" t="str">
        <f>TEXT(51,"00")</f>
        <v>51</v>
      </c>
      <c r="C5349" s="1" t="str">
        <f t="shared" si="341"/>
        <v>659-51</v>
      </c>
      <c r="D5349" t="s">
        <v>5322</v>
      </c>
      <c r="E5349" t="b">
        <f>IF(COUNTIF(D5349,"*"&amp;'Keyword Search'!$C$5&amp;"*"),TRUE,FALSE)</f>
        <v>1</v>
      </c>
      <c r="G5349" t="str">
        <f t="shared" si="342"/>
        <v>659-51: Lining, Pipe, Cement, Cure-in-place, Epoxy, Trenchless, etc.</v>
      </c>
    </row>
    <row r="5350" spans="1:7" x14ac:dyDescent="0.25">
      <c r="A5350" s="1" t="str">
        <f t="shared" si="343"/>
        <v>659</v>
      </c>
      <c r="B5350" s="1" t="str">
        <f>TEXT(54,"00")</f>
        <v>54</v>
      </c>
      <c r="C5350" s="1" t="str">
        <f t="shared" si="341"/>
        <v>659-54</v>
      </c>
      <c r="D5350" t="s">
        <v>5323</v>
      </c>
      <c r="E5350" t="b">
        <f>IF(COUNTIF(D5350,"*"&amp;'Keyword Search'!$C$5&amp;"*"),TRUE,FALSE)</f>
        <v>1</v>
      </c>
      <c r="G5350" t="str">
        <f t="shared" si="342"/>
        <v>659-54: Offsets, Plugs, Pipe Rests</v>
      </c>
    </row>
    <row r="5351" spans="1:7" x14ac:dyDescent="0.25">
      <c r="A5351" s="1" t="str">
        <f t="shared" si="343"/>
        <v>659</v>
      </c>
      <c r="B5351" s="1" t="str">
        <f>TEXT(55,"00")</f>
        <v>55</v>
      </c>
      <c r="C5351" s="1" t="str">
        <f t="shared" si="341"/>
        <v>659-55</v>
      </c>
      <c r="D5351" t="s">
        <v>5324</v>
      </c>
      <c r="E5351" t="b">
        <f>IF(COUNTIF(D5351,"*"&amp;'Keyword Search'!$C$5&amp;"*"),TRUE,FALSE)</f>
        <v>1</v>
      </c>
      <c r="G5351" t="str">
        <f t="shared" si="342"/>
        <v>659-55: Pipe Repair Clamps, Couplings, Leak Kits, etc.</v>
      </c>
    </row>
    <row r="5352" spans="1:7" x14ac:dyDescent="0.25">
      <c r="A5352" s="1" t="str">
        <f t="shared" si="343"/>
        <v>659</v>
      </c>
      <c r="B5352" s="1" t="str">
        <f>TEXT(65,"00")</f>
        <v>65</v>
      </c>
      <c r="C5352" s="1" t="str">
        <f t="shared" si="341"/>
        <v>659-65</v>
      </c>
      <c r="D5352" t="s">
        <v>5325</v>
      </c>
      <c r="E5352" t="b">
        <f>IF(COUNTIF(D5352,"*"&amp;'Keyword Search'!$C$5&amp;"*"),TRUE,FALSE)</f>
        <v>1</v>
      </c>
      <c r="G5352" t="str">
        <f t="shared" si="342"/>
        <v>659-65: Reducers</v>
      </c>
    </row>
    <row r="5353" spans="1:7" x14ac:dyDescent="0.25">
      <c r="A5353" s="1" t="str">
        <f t="shared" si="343"/>
        <v>659</v>
      </c>
      <c r="B5353" s="1" t="str">
        <f>TEXT(73,"00")</f>
        <v>73</v>
      </c>
      <c r="C5353" s="1" t="str">
        <f t="shared" si="341"/>
        <v>659-73</v>
      </c>
      <c r="D5353" t="s">
        <v>5326</v>
      </c>
      <c r="E5353" t="b">
        <f>IF(COUNTIF(D5353,"*"&amp;'Keyword Search'!$C$5&amp;"*"),TRUE,FALSE)</f>
        <v>1</v>
      </c>
      <c r="G5353" t="str">
        <f t="shared" si="342"/>
        <v>659-73: Saddles, Sleeves, Straps</v>
      </c>
    </row>
    <row r="5354" spans="1:7" x14ac:dyDescent="0.25">
      <c r="A5354" s="1" t="str">
        <f t="shared" si="343"/>
        <v>659</v>
      </c>
      <c r="B5354" s="1" t="str">
        <f>TEXT(78,"00")</f>
        <v>78</v>
      </c>
      <c r="C5354" s="1" t="str">
        <f t="shared" si="341"/>
        <v>659-78</v>
      </c>
      <c r="D5354" t="s">
        <v>5327</v>
      </c>
      <c r="E5354" t="b">
        <f>IF(COUNTIF(D5354,"*"&amp;'Keyword Search'!$C$5&amp;"*"),TRUE,FALSE)</f>
        <v>1</v>
      </c>
      <c r="G5354" t="str">
        <f t="shared" si="342"/>
        <v>659-78: Tubing Fittings: Brass, Bronze, and Copper</v>
      </c>
    </row>
    <row r="5355" spans="1:7" x14ac:dyDescent="0.25">
      <c r="A5355" s="1" t="str">
        <f t="shared" si="343"/>
        <v>659</v>
      </c>
      <c r="B5355" s="1" t="str">
        <f>TEXT(79,"00")</f>
        <v>79</v>
      </c>
      <c r="C5355" s="1" t="str">
        <f t="shared" si="341"/>
        <v>659-79</v>
      </c>
      <c r="D5355" t="s">
        <v>5328</v>
      </c>
      <c r="E5355" t="b">
        <f>IF(COUNTIF(D5355,"*"&amp;'Keyword Search'!$C$5&amp;"*"),TRUE,FALSE)</f>
        <v>1</v>
      </c>
      <c r="G5355" t="str">
        <f t="shared" si="342"/>
        <v>659-79: Tubing Fittings, Plastic, PVC</v>
      </c>
    </row>
    <row r="5356" spans="1:7" x14ac:dyDescent="0.25">
      <c r="A5356" s="1" t="str">
        <f t="shared" si="343"/>
        <v>659</v>
      </c>
      <c r="B5356" s="1" t="str">
        <f>TEXT(80,"00")</f>
        <v>80</v>
      </c>
      <c r="C5356" s="1" t="str">
        <f t="shared" si="341"/>
        <v>659-80</v>
      </c>
      <c r="D5356" t="s">
        <v>5329</v>
      </c>
      <c r="E5356" t="b">
        <f>IF(COUNTIF(D5356,"*"&amp;'Keyword Search'!$C$5&amp;"*"),TRUE,FALSE)</f>
        <v>1</v>
      </c>
      <c r="G5356" t="str">
        <f t="shared" si="342"/>
        <v>659-80: Tubing Fittings, Stainless Steel</v>
      </c>
    </row>
    <row r="5357" spans="1:7" x14ac:dyDescent="0.25">
      <c r="A5357" s="1" t="str">
        <f t="shared" si="343"/>
        <v>659</v>
      </c>
      <c r="B5357" s="1" t="str">
        <f>TEXT(81,"00")</f>
        <v>81</v>
      </c>
      <c r="C5357" s="1" t="str">
        <f t="shared" si="341"/>
        <v>659-81</v>
      </c>
      <c r="D5357" t="s">
        <v>5330</v>
      </c>
      <c r="E5357" t="b">
        <f>IF(COUNTIF(D5357,"*"&amp;'Keyword Search'!$C$5&amp;"*"),TRUE,FALSE)</f>
        <v>1</v>
      </c>
      <c r="G5357" t="str">
        <f t="shared" si="342"/>
        <v>659-81: Tubing Fittings, Steel</v>
      </c>
    </row>
    <row r="5358" spans="1:7" x14ac:dyDescent="0.25">
      <c r="A5358" s="1" t="str">
        <f t="shared" si="343"/>
        <v>659</v>
      </c>
      <c r="B5358" s="1" t="str">
        <f>TEXT(83,"00")</f>
        <v>83</v>
      </c>
      <c r="C5358" s="1" t="str">
        <f t="shared" si="341"/>
        <v>659-83</v>
      </c>
      <c r="D5358" t="s">
        <v>5331</v>
      </c>
      <c r="E5358" t="b">
        <f>IF(COUNTIF(D5358,"*"&amp;'Keyword Search'!$C$5&amp;"*"),TRUE,FALSE)</f>
        <v>1</v>
      </c>
      <c r="G5358" t="str">
        <f t="shared" si="342"/>
        <v>659-83: Tees, Compression, Miscellaneous</v>
      </c>
    </row>
    <row r="5359" spans="1:7" x14ac:dyDescent="0.25">
      <c r="A5359" s="1" t="str">
        <f t="shared" si="343"/>
        <v>659</v>
      </c>
      <c r="B5359" s="1" t="str">
        <f>TEXT(84,"00")</f>
        <v>84</v>
      </c>
      <c r="C5359" s="1" t="str">
        <f t="shared" si="341"/>
        <v>659-84</v>
      </c>
      <c r="D5359" t="s">
        <v>5332</v>
      </c>
      <c r="E5359" t="b">
        <f>IF(COUNTIF(D5359,"*"&amp;'Keyword Search'!$C$5&amp;"*"),TRUE,FALSE)</f>
        <v>1</v>
      </c>
      <c r="G5359" t="str">
        <f t="shared" si="342"/>
        <v>659-84: Tees, Steel</v>
      </c>
    </row>
    <row r="5360" spans="1:7" x14ac:dyDescent="0.25">
      <c r="A5360" s="1" t="str">
        <f t="shared" si="343"/>
        <v>659</v>
      </c>
      <c r="B5360" s="1" t="str">
        <f>TEXT(85,"00")</f>
        <v>85</v>
      </c>
      <c r="C5360" s="1" t="str">
        <f t="shared" si="341"/>
        <v>659-85</v>
      </c>
      <c r="D5360" t="s">
        <v>5333</v>
      </c>
      <c r="E5360" t="b">
        <f>IF(COUNTIF(D5360,"*"&amp;'Keyword Search'!$C$5&amp;"*"),TRUE,FALSE)</f>
        <v>1</v>
      </c>
      <c r="G5360" t="str">
        <f t="shared" si="342"/>
        <v>659-85: Tees, Other Than Steel</v>
      </c>
    </row>
    <row r="5361" spans="1:7" x14ac:dyDescent="0.25">
      <c r="A5361" s="1" t="str">
        <f t="shared" si="343"/>
        <v>659</v>
      </c>
      <c r="B5361" s="1" t="str">
        <f>TEXT(87,"00")</f>
        <v>87</v>
      </c>
      <c r="C5361" s="1" t="str">
        <f t="shared" si="341"/>
        <v>659-87</v>
      </c>
      <c r="D5361" t="s">
        <v>5334</v>
      </c>
      <c r="E5361" t="b">
        <f>IF(COUNTIF(D5361,"*"&amp;'Keyword Search'!$C$5&amp;"*"),TRUE,FALSE)</f>
        <v>1</v>
      </c>
      <c r="G5361" t="str">
        <f t="shared" si="342"/>
        <v>659-87: Unions</v>
      </c>
    </row>
    <row r="5362" spans="1:7" x14ac:dyDescent="0.25">
      <c r="A5362" s="1" t="str">
        <f t="shared" si="343"/>
        <v>659</v>
      </c>
      <c r="B5362" s="1" t="str">
        <f>TEXT(90,"00")</f>
        <v>90</v>
      </c>
      <c r="C5362" s="1" t="str">
        <f t="shared" si="341"/>
        <v>659-90</v>
      </c>
      <c r="D5362" t="s">
        <v>5335</v>
      </c>
      <c r="E5362" t="b">
        <f>IF(COUNTIF(D5362,"*"&amp;'Keyword Search'!$C$5&amp;"*"),TRUE,FALSE)</f>
        <v>1</v>
      </c>
      <c r="G5362" t="str">
        <f t="shared" si="342"/>
        <v>659-90: Vees (V)</v>
      </c>
    </row>
    <row r="5363" spans="1:7" x14ac:dyDescent="0.25">
      <c r="A5363" s="1" t="str">
        <f t="shared" si="343"/>
        <v>659</v>
      </c>
      <c r="B5363" s="1" t="str">
        <f>TEXT(94,"00")</f>
        <v>94</v>
      </c>
      <c r="C5363" s="1" t="str">
        <f t="shared" si="341"/>
        <v>659-94</v>
      </c>
      <c r="D5363" t="s">
        <v>5336</v>
      </c>
      <c r="E5363" t="b">
        <f>IF(COUNTIF(D5363,"*"&amp;'Keyword Search'!$C$5&amp;"*"),TRUE,FALSE)</f>
        <v>1</v>
      </c>
      <c r="G5363" t="str">
        <f t="shared" si="342"/>
        <v>659-94: Wyes (Y)</v>
      </c>
    </row>
    <row r="5364" spans="1:7" x14ac:dyDescent="0.25">
      <c r="A5364" s="1" t="str">
        <f t="shared" si="343"/>
        <v>659</v>
      </c>
      <c r="B5364" s="1" t="str">
        <f>TEXT(96,"00")</f>
        <v>96</v>
      </c>
      <c r="C5364" s="1" t="str">
        <f t="shared" si="341"/>
        <v>659-96</v>
      </c>
      <c r="D5364" t="s">
        <v>5337</v>
      </c>
      <c r="E5364" t="b">
        <f>IF(COUNTIF(D5364,"*"&amp;'Keyword Search'!$C$5&amp;"*"),TRUE,FALSE)</f>
        <v>1</v>
      </c>
      <c r="G5364" t="str">
        <f t="shared" si="342"/>
        <v>659-96: Recycled Pipe and Tubing Fittings</v>
      </c>
    </row>
    <row r="5365" spans="1:7" x14ac:dyDescent="0.25">
      <c r="A5365" s="1" t="str">
        <f t="shared" si="343"/>
        <v>659</v>
      </c>
      <c r="B5365" s="1" t="str">
        <f>TEXT(97,"00")</f>
        <v>97</v>
      </c>
      <c r="C5365" s="1" t="str">
        <f t="shared" si="341"/>
        <v>659-97</v>
      </c>
      <c r="D5365" t="s">
        <v>5338</v>
      </c>
      <c r="E5365" t="b">
        <f>IF(COUNTIF(D5365,"*"&amp;'Keyword Search'!$C$5&amp;"*"),TRUE,FALSE)</f>
        <v>1</v>
      </c>
      <c r="G5365" t="str">
        <f t="shared" si="342"/>
        <v>659-97: Pipe Fittings, Misc. (Not Otherwise Classified)</v>
      </c>
    </row>
    <row r="5366" spans="1:7" x14ac:dyDescent="0.25">
      <c r="A5366" s="5" t="str">
        <f t="shared" ref="A5366:A5378" si="344">TEXT(660,"000")</f>
        <v>660</v>
      </c>
      <c r="B5366" s="5" t="str">
        <f>TEXT(0,"00")</f>
        <v>00</v>
      </c>
      <c r="C5366" s="1"/>
      <c r="D5366" s="2" t="s">
        <v>5339</v>
      </c>
    </row>
    <row r="5367" spans="1:7" x14ac:dyDescent="0.25">
      <c r="A5367" s="1" t="str">
        <f t="shared" si="344"/>
        <v>660</v>
      </c>
      <c r="B5367" s="1" t="str">
        <f>TEXT(5,"00")</f>
        <v>05</v>
      </c>
      <c r="C5367" s="1" t="str">
        <f t="shared" si="341"/>
        <v>660-05</v>
      </c>
      <c r="D5367" t="s">
        <v>5340</v>
      </c>
      <c r="E5367" t="b">
        <f>IF(COUNTIF(D5367,"*"&amp;'Keyword Search'!$C$5&amp;"*"),TRUE,FALSE)</f>
        <v>1</v>
      </c>
      <c r="G5367" t="str">
        <f t="shared" si="342"/>
        <v>660-05: Alcoholic Beverages, All Types</v>
      </c>
    </row>
    <row r="5368" spans="1:7" x14ac:dyDescent="0.25">
      <c r="A5368" s="1" t="str">
        <f t="shared" si="344"/>
        <v>660</v>
      </c>
      <c r="B5368" s="1" t="str">
        <f>TEXT(10,"00")</f>
        <v>10</v>
      </c>
      <c r="C5368" s="1" t="str">
        <f t="shared" si="341"/>
        <v>660-10</v>
      </c>
      <c r="D5368" t="s">
        <v>5341</v>
      </c>
      <c r="E5368" t="b">
        <f>IF(COUNTIF(D5368,"*"&amp;'Keyword Search'!$C$5&amp;"*"),TRUE,FALSE)</f>
        <v>1</v>
      </c>
      <c r="G5368" t="str">
        <f t="shared" si="342"/>
        <v>660-10: Cigarettes and Electronic Cigarettes</v>
      </c>
    </row>
    <row r="5369" spans="1:7" x14ac:dyDescent="0.25">
      <c r="A5369" s="1" t="str">
        <f t="shared" si="344"/>
        <v>660</v>
      </c>
      <c r="B5369" s="1" t="str">
        <f>TEXT(15,"00")</f>
        <v>15</v>
      </c>
      <c r="C5369" s="1" t="str">
        <f t="shared" si="341"/>
        <v>660-15</v>
      </c>
      <c r="D5369" t="s">
        <v>5342</v>
      </c>
      <c r="E5369" t="b">
        <f>IF(COUNTIF(D5369,"*"&amp;'Keyword Search'!$C$5&amp;"*"),TRUE,FALSE)</f>
        <v>1</v>
      </c>
      <c r="G5369" t="str">
        <f t="shared" si="342"/>
        <v>660-15: Cigars</v>
      </c>
    </row>
    <row r="5370" spans="1:7" x14ac:dyDescent="0.25">
      <c r="A5370" s="1" t="str">
        <f t="shared" si="344"/>
        <v>660</v>
      </c>
      <c r="B5370" s="1" t="str">
        <f>TEXT(23,"00")</f>
        <v>23</v>
      </c>
      <c r="C5370" s="1" t="str">
        <f t="shared" si="341"/>
        <v>660-23</v>
      </c>
      <c r="D5370" t="s">
        <v>5343</v>
      </c>
      <c r="E5370" t="b">
        <f>IF(COUNTIF(D5370,"*"&amp;'Keyword Search'!$C$5&amp;"*"),TRUE,FALSE)</f>
        <v>1</v>
      </c>
      <c r="G5370" t="str">
        <f t="shared" si="342"/>
        <v>660-23: Lighters, Cigarette</v>
      </c>
    </row>
    <row r="5371" spans="1:7" x14ac:dyDescent="0.25">
      <c r="A5371" s="1" t="str">
        <f t="shared" si="344"/>
        <v>660</v>
      </c>
      <c r="B5371" s="1" t="str">
        <f>TEXT(29,"00")</f>
        <v>29</v>
      </c>
      <c r="C5371" s="1" t="str">
        <f t="shared" si="341"/>
        <v>660-29</v>
      </c>
      <c r="D5371" t="s">
        <v>5344</v>
      </c>
      <c r="E5371" t="b">
        <f>IF(COUNTIF(D5371,"*"&amp;'Keyword Search'!$C$5&amp;"*"),TRUE,FALSE)</f>
        <v>1</v>
      </c>
      <c r="G5371" t="str">
        <f t="shared" si="342"/>
        <v>660-29: Papers and Storage Bags, Tobacco</v>
      </c>
    </row>
    <row r="5372" spans="1:7" x14ac:dyDescent="0.25">
      <c r="A5372" s="1" t="str">
        <f t="shared" si="344"/>
        <v>660</v>
      </c>
      <c r="B5372" s="1" t="str">
        <f>TEXT(30,"00")</f>
        <v>30</v>
      </c>
      <c r="C5372" s="1" t="str">
        <f t="shared" si="341"/>
        <v>660-30</v>
      </c>
      <c r="D5372" t="s">
        <v>5345</v>
      </c>
      <c r="E5372" t="b">
        <f>IF(COUNTIF(D5372,"*"&amp;'Keyword Search'!$C$5&amp;"*"),TRUE,FALSE)</f>
        <v>1</v>
      </c>
      <c r="G5372" t="str">
        <f t="shared" si="342"/>
        <v>660-30: Pipes, Smoking, All Types; and Pipe Cleaners, Filters, etc.</v>
      </c>
    </row>
    <row r="5373" spans="1:7" x14ac:dyDescent="0.25">
      <c r="A5373" s="1" t="str">
        <f t="shared" si="344"/>
        <v>660</v>
      </c>
      <c r="B5373" s="1" t="str">
        <f>TEXT(40,"00")</f>
        <v>40</v>
      </c>
      <c r="C5373" s="1" t="str">
        <f t="shared" si="341"/>
        <v>660-40</v>
      </c>
      <c r="D5373" t="s">
        <v>5346</v>
      </c>
      <c r="E5373" t="b">
        <f>IF(COUNTIF(D5373,"*"&amp;'Keyword Search'!$C$5&amp;"*"),TRUE,FALSE)</f>
        <v>1</v>
      </c>
      <c r="G5373" t="str">
        <f t="shared" si="342"/>
        <v>660-40: Snuff</v>
      </c>
    </row>
    <row r="5374" spans="1:7" x14ac:dyDescent="0.25">
      <c r="A5374" s="1" t="str">
        <f t="shared" si="344"/>
        <v>660</v>
      </c>
      <c r="B5374" s="1" t="str">
        <f>TEXT(42,"00")</f>
        <v>42</v>
      </c>
      <c r="C5374" s="1" t="str">
        <f t="shared" si="341"/>
        <v>660-42</v>
      </c>
      <c r="D5374" t="s">
        <v>5347</v>
      </c>
      <c r="E5374" t="b">
        <f>IF(COUNTIF(D5374,"*"&amp;'Keyword Search'!$C$5&amp;"*"),TRUE,FALSE)</f>
        <v>1</v>
      </c>
      <c r="G5374" t="str">
        <f t="shared" si="342"/>
        <v>660-42: Holders, Cigarette and Cigar</v>
      </c>
    </row>
    <row r="5375" spans="1:7" x14ac:dyDescent="0.25">
      <c r="A5375" s="1" t="str">
        <f t="shared" si="344"/>
        <v>660</v>
      </c>
      <c r="B5375" s="1" t="str">
        <f>TEXT(50,"00")</f>
        <v>50</v>
      </c>
      <c r="C5375" s="1" t="str">
        <f t="shared" si="341"/>
        <v>660-50</v>
      </c>
      <c r="D5375" t="s">
        <v>5348</v>
      </c>
      <c r="E5375" t="b">
        <f>IF(COUNTIF(D5375,"*"&amp;'Keyword Search'!$C$5&amp;"*"),TRUE,FALSE)</f>
        <v>1</v>
      </c>
      <c r="G5375" t="str">
        <f t="shared" si="342"/>
        <v>660-50: Tobacco, Chewing</v>
      </c>
    </row>
    <row r="5376" spans="1:7" x14ac:dyDescent="0.25">
      <c r="A5376" s="1" t="str">
        <f t="shared" si="344"/>
        <v>660</v>
      </c>
      <c r="B5376" s="1" t="str">
        <f>TEXT(60,"00")</f>
        <v>60</v>
      </c>
      <c r="C5376" s="1" t="str">
        <f t="shared" si="341"/>
        <v>660-60</v>
      </c>
      <c r="D5376" t="s">
        <v>5349</v>
      </c>
      <c r="E5376" t="b">
        <f>IF(COUNTIF(D5376,"*"&amp;'Keyword Search'!$C$5&amp;"*"),TRUE,FALSE)</f>
        <v>1</v>
      </c>
      <c r="G5376" t="str">
        <f t="shared" si="342"/>
        <v>660-60: Tobacco, Smoking</v>
      </c>
    </row>
    <row r="5377" spans="1:7" x14ac:dyDescent="0.25">
      <c r="A5377" s="1" t="str">
        <f t="shared" si="344"/>
        <v>660</v>
      </c>
      <c r="B5377" s="1" t="str">
        <f>TEXT(63,"00")</f>
        <v>63</v>
      </c>
      <c r="C5377" s="1" t="str">
        <f t="shared" si="341"/>
        <v>660-63</v>
      </c>
      <c r="D5377" t="s">
        <v>5350</v>
      </c>
      <c r="E5377" t="b">
        <f>IF(COUNTIF(D5377,"*"&amp;'Keyword Search'!$C$5&amp;"*"),TRUE,FALSE)</f>
        <v>1</v>
      </c>
      <c r="G5377" t="str">
        <f t="shared" si="342"/>
        <v>660-63: Tobacco and Smoking Accessories, Scrap or Waste</v>
      </c>
    </row>
    <row r="5378" spans="1:7" x14ac:dyDescent="0.25">
      <c r="A5378" s="1" t="str">
        <f t="shared" si="344"/>
        <v>660</v>
      </c>
      <c r="B5378" s="1" t="str">
        <f>TEXT(95,"00")</f>
        <v>95</v>
      </c>
      <c r="C5378" s="1" t="str">
        <f t="shared" si="341"/>
        <v>660-95</v>
      </c>
      <c r="D5378" t="s">
        <v>5351</v>
      </c>
      <c r="E5378" t="b">
        <f>IF(COUNTIF(D5378,"*"&amp;'Keyword Search'!$C$5&amp;"*"),TRUE,FALSE)</f>
        <v>1</v>
      </c>
      <c r="G5378" t="str">
        <f t="shared" si="342"/>
        <v>660-95: Recycled Tobacco and Alcoholic Beverages Accessories and Supplies</v>
      </c>
    </row>
    <row r="5379" spans="1:7" x14ac:dyDescent="0.25">
      <c r="A5379" s="5" t="str">
        <f t="shared" ref="A5379:A5430" si="345">TEXT(665,"000")</f>
        <v>665</v>
      </c>
      <c r="B5379" s="5" t="str">
        <f>TEXT(0,"00")</f>
        <v>00</v>
      </c>
      <c r="C5379" s="1"/>
      <c r="D5379" s="2" t="s">
        <v>5352</v>
      </c>
    </row>
    <row r="5380" spans="1:7" x14ac:dyDescent="0.25">
      <c r="A5380" s="1" t="str">
        <f t="shared" si="345"/>
        <v>665</v>
      </c>
      <c r="B5380" s="1" t="str">
        <f>TEXT(6,"00")</f>
        <v>06</v>
      </c>
      <c r="C5380" s="1" t="str">
        <f t="shared" ref="C5380:C5442" si="346">CONCATENATE(A5380,"-",B5380)</f>
        <v>665-06</v>
      </c>
      <c r="D5380" t="s">
        <v>5353</v>
      </c>
      <c r="E5380" t="b">
        <f>IF(COUNTIF(D5380,"*"&amp;'Keyword Search'!$C$5&amp;"*"),TRUE,FALSE)</f>
        <v>1</v>
      </c>
      <c r="G5380" t="str">
        <f t="shared" ref="G5380:G5443" si="347">CONCATENATE(C5380,": ",D5380)</f>
        <v>665-06: Acetate Film and Sheets</v>
      </c>
    </row>
    <row r="5381" spans="1:7" x14ac:dyDescent="0.25">
      <c r="A5381" s="1" t="str">
        <f t="shared" si="345"/>
        <v>665</v>
      </c>
      <c r="B5381" s="1" t="str">
        <f>TEXT(10,"00")</f>
        <v>10</v>
      </c>
      <c r="C5381" s="1" t="str">
        <f t="shared" si="346"/>
        <v>665-10</v>
      </c>
      <c r="D5381" t="s">
        <v>5354</v>
      </c>
      <c r="E5381" t="b">
        <f>IF(COUNTIF(D5381,"*"&amp;'Keyword Search'!$C$5&amp;"*"),TRUE,FALSE)</f>
        <v>1</v>
      </c>
      <c r="G5381" t="str">
        <f t="shared" si="347"/>
        <v>665-10: Acrylic, Liquid</v>
      </c>
    </row>
    <row r="5382" spans="1:7" x14ac:dyDescent="0.25">
      <c r="A5382" s="1" t="str">
        <f t="shared" si="345"/>
        <v>665</v>
      </c>
      <c r="B5382" s="1" t="str">
        <f>TEXT(12,"00")</f>
        <v>12</v>
      </c>
      <c r="C5382" s="1" t="str">
        <f t="shared" si="346"/>
        <v>665-12</v>
      </c>
      <c r="D5382" t="s">
        <v>5355</v>
      </c>
      <c r="E5382" t="b">
        <f>IF(COUNTIF(D5382,"*"&amp;'Keyword Search'!$C$5&amp;"*"),TRUE,FALSE)</f>
        <v>1</v>
      </c>
      <c r="G5382" t="str">
        <f t="shared" si="347"/>
        <v>665-12: Acrylic Rods and Tubes, Methyl Methacrylate</v>
      </c>
    </row>
    <row r="5383" spans="1:7" x14ac:dyDescent="0.25">
      <c r="A5383" s="1" t="str">
        <f t="shared" si="345"/>
        <v>665</v>
      </c>
      <c r="B5383" s="1" t="str">
        <f>TEXT(16,"00")</f>
        <v>16</v>
      </c>
      <c r="C5383" s="1" t="str">
        <f t="shared" si="346"/>
        <v>665-16</v>
      </c>
      <c r="D5383" t="s">
        <v>5356</v>
      </c>
      <c r="E5383" t="b">
        <f>IF(COUNTIF(D5383,"*"&amp;'Keyword Search'!$C$5&amp;"*"),TRUE,FALSE)</f>
        <v>1</v>
      </c>
      <c r="G5383" t="str">
        <f t="shared" si="347"/>
        <v>665-16: Acrylic Mirrors</v>
      </c>
    </row>
    <row r="5384" spans="1:7" x14ac:dyDescent="0.25">
      <c r="A5384" s="1" t="str">
        <f t="shared" si="345"/>
        <v>665</v>
      </c>
      <c r="B5384" s="1" t="str">
        <f>TEXT(17,"00")</f>
        <v>17</v>
      </c>
      <c r="C5384" s="1" t="str">
        <f t="shared" si="346"/>
        <v>665-17</v>
      </c>
      <c r="D5384" t="s">
        <v>5357</v>
      </c>
      <c r="E5384" t="b">
        <f>IF(COUNTIF(D5384,"*"&amp;'Keyword Search'!$C$5&amp;"*"),TRUE,FALSE)</f>
        <v>1</v>
      </c>
      <c r="G5384" t="str">
        <f t="shared" si="347"/>
        <v>665-17: Acrylic Polymer and Natural Material Blends, Corian</v>
      </c>
    </row>
    <row r="5385" spans="1:7" x14ac:dyDescent="0.25">
      <c r="A5385" s="1" t="str">
        <f t="shared" si="345"/>
        <v>665</v>
      </c>
      <c r="B5385" s="1" t="str">
        <f>TEXT(18,"00")</f>
        <v>18</v>
      </c>
      <c r="C5385" s="1" t="str">
        <f t="shared" si="346"/>
        <v>665-18</v>
      </c>
      <c r="D5385" t="s">
        <v>5358</v>
      </c>
      <c r="E5385" t="b">
        <f>IF(COUNTIF(D5385,"*"&amp;'Keyword Search'!$C$5&amp;"*"),TRUE,FALSE)</f>
        <v>1</v>
      </c>
      <c r="G5385" t="str">
        <f t="shared" si="347"/>
        <v>665-18: Acrylic Sheets, Methyl Methacrylate, Plexiglass</v>
      </c>
    </row>
    <row r="5386" spans="1:7" x14ac:dyDescent="0.25">
      <c r="A5386" s="1" t="str">
        <f t="shared" si="345"/>
        <v>665</v>
      </c>
      <c r="B5386" s="1" t="str">
        <f>TEXT(21,"00")</f>
        <v>21</v>
      </c>
      <c r="C5386" s="1" t="str">
        <f t="shared" si="346"/>
        <v>665-21</v>
      </c>
      <c r="D5386" t="s">
        <v>5359</v>
      </c>
      <c r="E5386" t="b">
        <f>IF(COUNTIF(D5386,"*"&amp;'Keyword Search'!$C$5&amp;"*"),TRUE,FALSE)</f>
        <v>1</v>
      </c>
      <c r="G5386" t="str">
        <f t="shared" si="347"/>
        <v>665-21: Bag Sealing Equipment, Including Tape and Accessories</v>
      </c>
    </row>
    <row r="5387" spans="1:7" x14ac:dyDescent="0.25">
      <c r="A5387" s="1" t="str">
        <f t="shared" si="345"/>
        <v>665</v>
      </c>
      <c r="B5387" s="1" t="str">
        <f>TEXT(23,"00")</f>
        <v>23</v>
      </c>
      <c r="C5387" s="1" t="str">
        <f t="shared" si="346"/>
        <v>665-23</v>
      </c>
      <c r="D5387" t="s">
        <v>5360</v>
      </c>
      <c r="E5387" t="b">
        <f>IF(COUNTIF(D5387,"*"&amp;'Keyword Search'!$C$5&amp;"*"),TRUE,FALSE)</f>
        <v>1</v>
      </c>
      <c r="G5387" t="str">
        <f t="shared" si="347"/>
        <v>665-23: Bumper and Guard Rails, Poly. (See Class 570 for Metal Type)</v>
      </c>
    </row>
    <row r="5388" spans="1:7" x14ac:dyDescent="0.25">
      <c r="A5388" s="1" t="str">
        <f t="shared" si="345"/>
        <v>665</v>
      </c>
      <c r="B5388" s="1" t="str">
        <f>TEXT(24,"00")</f>
        <v>24</v>
      </c>
      <c r="C5388" s="1" t="str">
        <f t="shared" si="346"/>
        <v>665-24</v>
      </c>
      <c r="D5388" t="s">
        <v>5361</v>
      </c>
      <c r="E5388" t="b">
        <f>IF(COUNTIF(D5388,"*"&amp;'Keyword Search'!$C$5&amp;"*"),TRUE,FALSE)</f>
        <v>1</v>
      </c>
      <c r="G5388" t="str">
        <f t="shared" si="347"/>
        <v>665-24: Bags and Liners, Plastic: Garbage Can Liners, Janitor Cart Liners, Linen Hamper Liners, Litter Bags, Polyethylene Bags, etc., Including Biodegradable (Inactive, please see commodity code 485-05 effective January 1, 2016)</v>
      </c>
    </row>
    <row r="5389" spans="1:7" x14ac:dyDescent="0.25">
      <c r="A5389" s="1" t="str">
        <f t="shared" si="345"/>
        <v>665</v>
      </c>
      <c r="B5389" s="1" t="str">
        <f>TEXT(25,"00")</f>
        <v>25</v>
      </c>
      <c r="C5389" s="1" t="str">
        <f t="shared" si="346"/>
        <v>665-25</v>
      </c>
      <c r="D5389" t="s">
        <v>5362</v>
      </c>
      <c r="E5389" t="b">
        <f>IF(COUNTIF(D5389,"*"&amp;'Keyword Search'!$C$5&amp;"*"),TRUE,FALSE)</f>
        <v>1</v>
      </c>
      <c r="G5389" t="str">
        <f t="shared" si="347"/>
        <v>665-25: Burnishers for Plastic</v>
      </c>
    </row>
    <row r="5390" spans="1:7" x14ac:dyDescent="0.25">
      <c r="A5390" s="1" t="str">
        <f t="shared" si="345"/>
        <v>665</v>
      </c>
      <c r="B5390" s="1" t="str">
        <f>TEXT(26,"00")</f>
        <v>26</v>
      </c>
      <c r="C5390" s="1" t="str">
        <f t="shared" si="346"/>
        <v>665-26</v>
      </c>
      <c r="D5390" t="s">
        <v>5363</v>
      </c>
      <c r="E5390" t="b">
        <f>IF(COUNTIF(D5390,"*"&amp;'Keyword Search'!$C$5&amp;"*"),TRUE,FALSE)</f>
        <v>1</v>
      </c>
      <c r="G5390" t="str">
        <f t="shared" si="347"/>
        <v>665-26: Contact Cement, For Plastic Laminates</v>
      </c>
    </row>
    <row r="5391" spans="1:7" x14ac:dyDescent="0.25">
      <c r="A5391" s="1" t="str">
        <f t="shared" si="345"/>
        <v>665</v>
      </c>
      <c r="B5391" s="1" t="str">
        <f>TEXT(27,"00")</f>
        <v>27</v>
      </c>
      <c r="C5391" s="1" t="str">
        <f t="shared" si="346"/>
        <v>665-27</v>
      </c>
      <c r="D5391" t="s">
        <v>5364</v>
      </c>
      <c r="E5391" t="b">
        <f>IF(COUNTIF(D5391,"*"&amp;'Keyword Search'!$C$5&amp;"*"),TRUE,FALSE)</f>
        <v>1</v>
      </c>
      <c r="G5391" t="str">
        <f t="shared" si="347"/>
        <v>665-27: Coatings, Protective for Plastics, etc.</v>
      </c>
    </row>
    <row r="5392" spans="1:7" x14ac:dyDescent="0.25">
      <c r="A5392" s="1" t="str">
        <f t="shared" si="345"/>
        <v>665</v>
      </c>
      <c r="B5392" s="1" t="str">
        <f>TEXT(28,"00")</f>
        <v>28</v>
      </c>
      <c r="C5392" s="1" t="str">
        <f t="shared" si="346"/>
        <v>665-28</v>
      </c>
      <c r="D5392" t="s">
        <v>5365</v>
      </c>
      <c r="E5392" t="b">
        <f>IF(COUNTIF(D5392,"*"&amp;'Keyword Search'!$C$5&amp;"*"),TRUE,FALSE)</f>
        <v>1</v>
      </c>
      <c r="G5392" t="str">
        <f t="shared" si="347"/>
        <v>665-28: Edging Tape, Polypropylene, For Mesh Screening</v>
      </c>
    </row>
    <row r="5393" spans="1:7" x14ac:dyDescent="0.25">
      <c r="A5393" s="1" t="str">
        <f t="shared" si="345"/>
        <v>665</v>
      </c>
      <c r="B5393" s="1" t="str">
        <f>TEXT(30,"00")</f>
        <v>30</v>
      </c>
      <c r="C5393" s="1" t="str">
        <f t="shared" si="346"/>
        <v>665-30</v>
      </c>
      <c r="D5393" t="s">
        <v>5366</v>
      </c>
      <c r="E5393" t="b">
        <f>IF(COUNTIF(D5393,"*"&amp;'Keyword Search'!$C$5&amp;"*"),TRUE,FALSE)</f>
        <v>1</v>
      </c>
      <c r="G5393" t="str">
        <f t="shared" si="347"/>
        <v>665-30: Engraving Machines, For Nameplates, Accessories, and Stock, Laminated</v>
      </c>
    </row>
    <row r="5394" spans="1:7" x14ac:dyDescent="0.25">
      <c r="A5394" s="1" t="str">
        <f t="shared" si="345"/>
        <v>665</v>
      </c>
      <c r="B5394" s="1" t="str">
        <f>TEXT(32,"00")</f>
        <v>32</v>
      </c>
      <c r="C5394" s="1" t="str">
        <f t="shared" si="346"/>
        <v>665-32</v>
      </c>
      <c r="D5394" t="s">
        <v>5367</v>
      </c>
      <c r="E5394" t="b">
        <f>IF(COUNTIF(D5394,"*"&amp;'Keyword Search'!$C$5&amp;"*"),TRUE,FALSE)</f>
        <v>1</v>
      </c>
      <c r="G5394" t="str">
        <f t="shared" si="347"/>
        <v>665-32: Envelopes, Plastic and Poly.  (Inactive, please see commodity code 310-31 effective January 1, 2016)</v>
      </c>
    </row>
    <row r="5395" spans="1:7" x14ac:dyDescent="0.25">
      <c r="A5395" s="1" t="str">
        <f t="shared" si="345"/>
        <v>665</v>
      </c>
      <c r="B5395" s="1" t="str">
        <f>TEXT(33,"00")</f>
        <v>33</v>
      </c>
      <c r="C5395" s="1" t="str">
        <f t="shared" si="346"/>
        <v>665-33</v>
      </c>
      <c r="D5395" t="s">
        <v>5368</v>
      </c>
      <c r="E5395" t="b">
        <f>IF(COUNTIF(D5395,"*"&amp;'Keyword Search'!$C$5&amp;"*"),TRUE,FALSE)</f>
        <v>1</v>
      </c>
      <c r="G5395" t="str">
        <f t="shared" si="347"/>
        <v>665-33: Fiberglass Structural Shapes: Angles, Channels, I-Beams, etc.</v>
      </c>
    </row>
    <row r="5396" spans="1:7" x14ac:dyDescent="0.25">
      <c r="A5396" s="1" t="str">
        <f t="shared" si="345"/>
        <v>665</v>
      </c>
      <c r="B5396" s="1" t="str">
        <f>TEXT(34,"00")</f>
        <v>34</v>
      </c>
      <c r="C5396" s="1" t="str">
        <f t="shared" si="346"/>
        <v>665-34</v>
      </c>
      <c r="D5396" t="s">
        <v>5369</v>
      </c>
      <c r="E5396" t="b">
        <f>IF(COUNTIF(D5396,"*"&amp;'Keyword Search'!$C$5&amp;"*"),TRUE,FALSE)</f>
        <v>1</v>
      </c>
      <c r="G5396" t="str">
        <f t="shared" si="347"/>
        <v>665-34: Fiberglass, Plastic and Poly. Castings</v>
      </c>
    </row>
    <row r="5397" spans="1:7" x14ac:dyDescent="0.25">
      <c r="A5397" s="1" t="str">
        <f t="shared" si="345"/>
        <v>665</v>
      </c>
      <c r="B5397" s="1" t="str">
        <f>TEXT(35,"00")</f>
        <v>35</v>
      </c>
      <c r="C5397" s="1" t="str">
        <f t="shared" si="346"/>
        <v>665-35</v>
      </c>
      <c r="D5397" t="s">
        <v>5370</v>
      </c>
      <c r="E5397" t="b">
        <f>IF(COUNTIF(D5397,"*"&amp;'Keyword Search'!$C$5&amp;"*"),TRUE,FALSE)</f>
        <v>1</v>
      </c>
      <c r="G5397" t="str">
        <f t="shared" si="347"/>
        <v>665-35: Fiberglass Sheets, Panels, etc., Including Reinforced Types</v>
      </c>
    </row>
    <row r="5398" spans="1:7" x14ac:dyDescent="0.25">
      <c r="A5398" s="1" t="str">
        <f t="shared" si="345"/>
        <v>665</v>
      </c>
      <c r="B5398" s="1" t="str">
        <f>TEXT(36,"00")</f>
        <v>36</v>
      </c>
      <c r="C5398" s="1" t="str">
        <f t="shared" si="346"/>
        <v>665-36</v>
      </c>
      <c r="D5398" t="s">
        <v>5371</v>
      </c>
      <c r="E5398" t="b">
        <f>IF(COUNTIF(D5398,"*"&amp;'Keyword Search'!$C$5&amp;"*"),TRUE,FALSE)</f>
        <v>1</v>
      </c>
      <c r="G5398" t="str">
        <f t="shared" si="347"/>
        <v>665-36: Fiberglass Supplies: Catalysts, Cloth, Resins, etc.</v>
      </c>
    </row>
    <row r="5399" spans="1:7" x14ac:dyDescent="0.25">
      <c r="A5399" s="1" t="str">
        <f t="shared" si="345"/>
        <v>665</v>
      </c>
      <c r="B5399" s="1" t="str">
        <f>TEXT(37,"00")</f>
        <v>37</v>
      </c>
      <c r="C5399" s="1" t="str">
        <f t="shared" si="346"/>
        <v>665-37</v>
      </c>
      <c r="D5399" t="s">
        <v>5372</v>
      </c>
      <c r="E5399" t="b">
        <f>IF(COUNTIF(D5399,"*"&amp;'Keyword Search'!$C$5&amp;"*"),TRUE,FALSE)</f>
        <v>1</v>
      </c>
      <c r="G5399" t="str">
        <f t="shared" si="347"/>
        <v>665-37: Gratings: Fiberglass, Plastic, Poly., etc.</v>
      </c>
    </row>
    <row r="5400" spans="1:7" x14ac:dyDescent="0.25">
      <c r="A5400" s="1" t="str">
        <f t="shared" si="345"/>
        <v>665</v>
      </c>
      <c r="B5400" s="1" t="str">
        <f>TEXT(38,"00")</f>
        <v>38</v>
      </c>
      <c r="C5400" s="1" t="str">
        <f t="shared" si="346"/>
        <v>665-38</v>
      </c>
      <c r="D5400" t="s">
        <v>5373</v>
      </c>
      <c r="E5400" t="b">
        <f>IF(COUNTIF(D5400,"*"&amp;'Keyword Search'!$C$5&amp;"*"),TRUE,FALSE)</f>
        <v>1</v>
      </c>
      <c r="G5400" t="str">
        <f t="shared" si="347"/>
        <v>665-38: Heat Sealing Equipment, Film, and Supplies</v>
      </c>
    </row>
    <row r="5401" spans="1:7" x14ac:dyDescent="0.25">
      <c r="A5401" s="1" t="str">
        <f t="shared" si="345"/>
        <v>665</v>
      </c>
      <c r="B5401" s="1" t="str">
        <f>TEXT(41,"00")</f>
        <v>41</v>
      </c>
      <c r="C5401" s="1" t="str">
        <f t="shared" si="346"/>
        <v>665-41</v>
      </c>
      <c r="D5401" t="s">
        <v>5374</v>
      </c>
      <c r="E5401" t="b">
        <f>IF(COUNTIF(D5401,"*"&amp;'Keyword Search'!$C$5&amp;"*"),TRUE,FALSE)</f>
        <v>1</v>
      </c>
      <c r="G5401" t="str">
        <f t="shared" si="347"/>
        <v>665-41: Laminates, Polycarbonate: Ballistic, Break-Resistant and Forced Entry Types</v>
      </c>
    </row>
    <row r="5402" spans="1:7" x14ac:dyDescent="0.25">
      <c r="A5402" s="1" t="str">
        <f t="shared" si="345"/>
        <v>665</v>
      </c>
      <c r="B5402" s="1" t="str">
        <f>TEXT(42,"00")</f>
        <v>42</v>
      </c>
      <c r="C5402" s="1" t="str">
        <f t="shared" si="346"/>
        <v>665-42</v>
      </c>
      <c r="D5402" t="s">
        <v>5375</v>
      </c>
      <c r="E5402" t="b">
        <f>IF(COUNTIF(D5402,"*"&amp;'Keyword Search'!$C$5&amp;"*"),TRUE,FALSE)</f>
        <v>1</v>
      </c>
      <c r="G5402" t="str">
        <f t="shared" si="347"/>
        <v>665-42: Laminating Presses, Film, ID Pouches, and Supplies</v>
      </c>
    </row>
    <row r="5403" spans="1:7" x14ac:dyDescent="0.25">
      <c r="A5403" s="1" t="str">
        <f t="shared" si="345"/>
        <v>665</v>
      </c>
      <c r="B5403" s="1" t="str">
        <f>TEXT(44,"00")</f>
        <v>44</v>
      </c>
      <c r="C5403" s="1" t="str">
        <f t="shared" si="346"/>
        <v>665-44</v>
      </c>
      <c r="D5403" t="s">
        <v>5376</v>
      </c>
      <c r="E5403" t="b">
        <f>IF(COUNTIF(D5403,"*"&amp;'Keyword Search'!$C$5&amp;"*"),TRUE,FALSE)</f>
        <v>1</v>
      </c>
      <c r="G5403" t="str">
        <f t="shared" si="347"/>
        <v>665-44: Landfill Liners and Covers</v>
      </c>
    </row>
    <row r="5404" spans="1:7" x14ac:dyDescent="0.25">
      <c r="A5404" s="1" t="str">
        <f t="shared" si="345"/>
        <v>665</v>
      </c>
      <c r="B5404" s="1" t="str">
        <f>TEXT(48,"00")</f>
        <v>48</v>
      </c>
      <c r="C5404" s="1" t="str">
        <f t="shared" si="346"/>
        <v>665-48</v>
      </c>
      <c r="D5404" t="s">
        <v>5377</v>
      </c>
      <c r="E5404" t="b">
        <f>IF(COUNTIF(D5404,"*"&amp;'Keyword Search'!$C$5&amp;"*"),TRUE,FALSE)</f>
        <v>1</v>
      </c>
      <c r="G5404" t="str">
        <f t="shared" si="347"/>
        <v>665-48: Mesh Screening, Fiberglass and Plastic</v>
      </c>
    </row>
    <row r="5405" spans="1:7" x14ac:dyDescent="0.25">
      <c r="A5405" s="1" t="str">
        <f t="shared" si="345"/>
        <v>665</v>
      </c>
      <c r="B5405" s="1" t="str">
        <f>TEXT(54,"00")</f>
        <v>54</v>
      </c>
      <c r="C5405" s="1" t="str">
        <f t="shared" si="346"/>
        <v>665-54</v>
      </c>
      <c r="D5405" t="s">
        <v>5378</v>
      </c>
      <c r="E5405" t="b">
        <f>IF(COUNTIF(D5405,"*"&amp;'Keyword Search'!$C$5&amp;"*"),TRUE,FALSE)</f>
        <v>1</v>
      </c>
      <c r="G5405" t="str">
        <f t="shared" si="347"/>
        <v>665-54: Nameplates, Engraved and Easels (Inactive, please see commodity code 080-30 effective January 1, 2016)</v>
      </c>
    </row>
    <row r="5406" spans="1:7" x14ac:dyDescent="0.25">
      <c r="A5406" s="1" t="str">
        <f t="shared" si="345"/>
        <v>665</v>
      </c>
      <c r="B5406" s="1" t="str">
        <f>TEXT(59,"00")</f>
        <v>59</v>
      </c>
      <c r="C5406" s="1" t="str">
        <f t="shared" si="346"/>
        <v>665-59</v>
      </c>
      <c r="D5406" t="s">
        <v>5379</v>
      </c>
      <c r="E5406" t="b">
        <f>IF(COUNTIF(D5406,"*"&amp;'Keyword Search'!$C$5&amp;"*"),TRUE,FALSE)</f>
        <v>1</v>
      </c>
      <c r="G5406" t="str">
        <f t="shared" si="347"/>
        <v>665-59: Pilings, Plastic</v>
      </c>
    </row>
    <row r="5407" spans="1:7" x14ac:dyDescent="0.25">
      <c r="A5407" s="1" t="str">
        <f t="shared" si="345"/>
        <v>665</v>
      </c>
      <c r="B5407" s="1" t="str">
        <f>TEXT(60,"00")</f>
        <v>60</v>
      </c>
      <c r="C5407" s="1" t="str">
        <f t="shared" si="346"/>
        <v>665-60</v>
      </c>
      <c r="D5407" t="s">
        <v>5380</v>
      </c>
      <c r="E5407" t="b">
        <f>IF(COUNTIF(D5407,"*"&amp;'Keyword Search'!$C$5&amp;"*"),TRUE,FALSE)</f>
        <v>1</v>
      </c>
      <c r="G5407" t="str">
        <f t="shared" si="347"/>
        <v>665-60: Plastic Rods and Tubes, Except Acrylic</v>
      </c>
    </row>
    <row r="5408" spans="1:7" x14ac:dyDescent="0.25">
      <c r="A5408" s="1" t="str">
        <f t="shared" si="345"/>
        <v>665</v>
      </c>
      <c r="B5408" s="1" t="str">
        <f>TEXT(66,"00")</f>
        <v>66</v>
      </c>
      <c r="C5408" s="1" t="str">
        <f t="shared" si="346"/>
        <v>665-66</v>
      </c>
      <c r="D5408" t="s">
        <v>5381</v>
      </c>
      <c r="E5408" t="b">
        <f>IF(COUNTIF(D5408,"*"&amp;'Keyword Search'!$C$5&amp;"*"),TRUE,FALSE)</f>
        <v>1</v>
      </c>
      <c r="G5408" t="str">
        <f t="shared" si="347"/>
        <v>665-66: Plastic Forming and Molding Equipment: Blow Molding, Extrusion Equipment, Injection Molding, Vacuum Forming, etc.</v>
      </c>
    </row>
    <row r="5409" spans="1:7" x14ac:dyDescent="0.25">
      <c r="A5409" s="1" t="str">
        <f t="shared" si="345"/>
        <v>665</v>
      </c>
      <c r="B5409" s="1" t="str">
        <f>TEXT(67,"00")</f>
        <v>67</v>
      </c>
      <c r="C5409" s="1" t="str">
        <f t="shared" si="346"/>
        <v>665-67</v>
      </c>
      <c r="D5409" t="s">
        <v>5382</v>
      </c>
      <c r="E5409" t="b">
        <f>IF(COUNTIF(D5409,"*"&amp;'Keyword Search'!$C$5&amp;"*"),TRUE,FALSE)</f>
        <v>1</v>
      </c>
      <c r="G5409" t="str">
        <f t="shared" si="347"/>
        <v>665-67: Plastic Forming and Molding Supplies: Catalysts, Colorants, Mold Release Compounds, Resins, etc.</v>
      </c>
    </row>
    <row r="5410" spans="1:7" x14ac:dyDescent="0.25">
      <c r="A5410" s="1" t="str">
        <f t="shared" si="345"/>
        <v>665</v>
      </c>
      <c r="B5410" s="1" t="str">
        <f>TEXT(68,"00")</f>
        <v>68</v>
      </c>
      <c r="C5410" s="1" t="str">
        <f t="shared" si="346"/>
        <v>665-68</v>
      </c>
      <c r="D5410" t="s">
        <v>5383</v>
      </c>
      <c r="E5410" t="b">
        <f>IF(COUNTIF(D5410,"*"&amp;'Keyword Search'!$C$5&amp;"*"),TRUE,FALSE)</f>
        <v>1</v>
      </c>
      <c r="G5410" t="str">
        <f t="shared" si="347"/>
        <v>665-68: Plastics Processing Equipment and Supplies (Not Otherwise Classified)</v>
      </c>
    </row>
    <row r="5411" spans="1:7" x14ac:dyDescent="0.25">
      <c r="A5411" s="1" t="str">
        <f t="shared" si="345"/>
        <v>665</v>
      </c>
      <c r="B5411" s="1" t="str">
        <f>TEXT(69,"00")</f>
        <v>69</v>
      </c>
      <c r="C5411" s="1" t="str">
        <f t="shared" si="346"/>
        <v>665-69</v>
      </c>
      <c r="D5411" t="s">
        <v>5384</v>
      </c>
      <c r="E5411" t="b">
        <f>IF(COUNTIF(D5411,"*"&amp;'Keyword Search'!$C$5&amp;"*"),TRUE,FALSE)</f>
        <v>1</v>
      </c>
      <c r="G5411" t="str">
        <f t="shared" si="347"/>
        <v>665-69: Polypropylene Film, Rods, Tubes, etc.</v>
      </c>
    </row>
    <row r="5412" spans="1:7" x14ac:dyDescent="0.25">
      <c r="A5412" s="1" t="str">
        <f t="shared" si="345"/>
        <v>665</v>
      </c>
      <c r="B5412" s="1" t="str">
        <f>TEXT(70,"00")</f>
        <v>70</v>
      </c>
      <c r="C5412" s="1" t="str">
        <f t="shared" si="346"/>
        <v>665-70</v>
      </c>
      <c r="D5412" t="s">
        <v>5385</v>
      </c>
      <c r="E5412" t="b">
        <f>IF(COUNTIF(D5412,"*"&amp;'Keyword Search'!$C$5&amp;"*"),TRUE,FALSE)</f>
        <v>1</v>
      </c>
      <c r="G5412" t="str">
        <f t="shared" si="347"/>
        <v>665-70: Plastics and Related Products, Scrap or Waste</v>
      </c>
    </row>
    <row r="5413" spans="1:7" x14ac:dyDescent="0.25">
      <c r="A5413" s="1" t="str">
        <f t="shared" si="345"/>
        <v>665</v>
      </c>
      <c r="B5413" s="1" t="str">
        <f>TEXT(71,"00")</f>
        <v>71</v>
      </c>
      <c r="C5413" s="1" t="str">
        <f t="shared" si="346"/>
        <v>665-71</v>
      </c>
      <c r="D5413" t="s">
        <v>5386</v>
      </c>
      <c r="E5413" t="b">
        <f>IF(COUNTIF(D5413,"*"&amp;'Keyword Search'!$C$5&amp;"*"),TRUE,FALSE)</f>
        <v>1</v>
      </c>
      <c r="G5413" t="str">
        <f t="shared" si="347"/>
        <v>665-71: Plastic Laminates: Decorative, High and Low Pressure Type Veneers, Used for Desk Tops, Cabinetry, etc.</v>
      </c>
    </row>
    <row r="5414" spans="1:7" x14ac:dyDescent="0.25">
      <c r="A5414" s="1" t="str">
        <f t="shared" si="345"/>
        <v>665</v>
      </c>
      <c r="B5414" s="1" t="str">
        <f>TEXT(72,"00")</f>
        <v>72</v>
      </c>
      <c r="C5414" s="1" t="str">
        <f t="shared" si="346"/>
        <v>665-72</v>
      </c>
      <c r="D5414" t="s">
        <v>5387</v>
      </c>
      <c r="E5414" t="b">
        <f>IF(COUNTIF(D5414,"*"&amp;'Keyword Search'!$C$5&amp;"*"),TRUE,FALSE)</f>
        <v>1</v>
      </c>
      <c r="G5414" t="str">
        <f t="shared" si="347"/>
        <v>665-72: Plastic, Polyethylene and Fiberglass Products and Supplies, Recycled</v>
      </c>
    </row>
    <row r="5415" spans="1:7" x14ac:dyDescent="0.25">
      <c r="A5415" s="1" t="str">
        <f t="shared" si="345"/>
        <v>665</v>
      </c>
      <c r="B5415" s="1" t="str">
        <f>TEXT(73,"00")</f>
        <v>73</v>
      </c>
      <c r="C5415" s="1" t="str">
        <f t="shared" si="346"/>
        <v>665-73</v>
      </c>
      <c r="D5415" t="s">
        <v>5388</v>
      </c>
      <c r="E5415" t="b">
        <f>IF(COUNTIF(D5415,"*"&amp;'Keyword Search'!$C$5&amp;"*"),TRUE,FALSE)</f>
        <v>1</v>
      </c>
      <c r="G5415" t="str">
        <f t="shared" si="347"/>
        <v>665-73: Plastic Sheets and Strips, Except Acetate, Acrylic, and Polycarbonate</v>
      </c>
    </row>
    <row r="5416" spans="1:7" x14ac:dyDescent="0.25">
      <c r="A5416" s="1" t="str">
        <f t="shared" si="345"/>
        <v>665</v>
      </c>
      <c r="B5416" s="1" t="str">
        <f>TEXT(74,"00")</f>
        <v>74</v>
      </c>
      <c r="C5416" s="1" t="str">
        <f t="shared" si="346"/>
        <v>665-74</v>
      </c>
      <c r="D5416" t="s">
        <v>5389</v>
      </c>
      <c r="E5416" t="b">
        <f>IF(COUNTIF(D5416,"*"&amp;'Keyword Search'!$C$5&amp;"*"),TRUE,FALSE)</f>
        <v>1</v>
      </c>
      <c r="G5416" t="str">
        <f t="shared" si="347"/>
        <v>665-74: Plastic Edge Molding, For Desks, Counter Tops, and Tables</v>
      </c>
    </row>
    <row r="5417" spans="1:7" x14ac:dyDescent="0.25">
      <c r="A5417" s="1" t="str">
        <f t="shared" si="345"/>
        <v>665</v>
      </c>
      <c r="B5417" s="1" t="str">
        <f>TEXT(75,"00")</f>
        <v>75</v>
      </c>
      <c r="C5417" s="1" t="str">
        <f t="shared" si="346"/>
        <v>665-75</v>
      </c>
      <c r="D5417" t="s">
        <v>5390</v>
      </c>
      <c r="E5417" t="b">
        <f>IF(COUNTIF(D5417,"*"&amp;'Keyword Search'!$C$5&amp;"*"),TRUE,FALSE)</f>
        <v>1</v>
      </c>
      <c r="G5417" t="str">
        <f t="shared" si="347"/>
        <v>665-75: Polyimide Film</v>
      </c>
    </row>
    <row r="5418" spans="1:7" x14ac:dyDescent="0.25">
      <c r="A5418" s="1" t="str">
        <f t="shared" si="345"/>
        <v>665</v>
      </c>
      <c r="B5418" s="1" t="str">
        <f>TEXT(76,"00")</f>
        <v>76</v>
      </c>
      <c r="C5418" s="1" t="str">
        <f t="shared" si="346"/>
        <v>665-76</v>
      </c>
      <c r="D5418" t="s">
        <v>5391</v>
      </c>
      <c r="E5418" t="b">
        <f>IF(COUNTIF(D5418,"*"&amp;'Keyword Search'!$C$5&amp;"*"),TRUE,FALSE)</f>
        <v>1</v>
      </c>
      <c r="G5418" t="str">
        <f t="shared" si="347"/>
        <v>665-76: Polycarbonate Sheets</v>
      </c>
    </row>
    <row r="5419" spans="1:7" x14ac:dyDescent="0.25">
      <c r="A5419" s="1" t="str">
        <f t="shared" si="345"/>
        <v>665</v>
      </c>
      <c r="B5419" s="1" t="str">
        <f>TEXT(77,"00")</f>
        <v>77</v>
      </c>
      <c r="C5419" s="1" t="str">
        <f t="shared" si="346"/>
        <v>665-77</v>
      </c>
      <c r="D5419" t="s">
        <v>5392</v>
      </c>
      <c r="E5419" t="b">
        <f>IF(COUNTIF(D5419,"*"&amp;'Keyword Search'!$C$5&amp;"*"),TRUE,FALSE)</f>
        <v>1</v>
      </c>
      <c r="G5419" t="str">
        <f t="shared" si="347"/>
        <v>665-77: Polyethylene Bags, Self-Sealing, Reclosable</v>
      </c>
    </row>
    <row r="5420" spans="1:7" x14ac:dyDescent="0.25">
      <c r="A5420" s="1" t="str">
        <f t="shared" si="345"/>
        <v>665</v>
      </c>
      <c r="B5420" s="1" t="str">
        <f>TEXT(78,"00")</f>
        <v>78</v>
      </c>
      <c r="C5420" s="1" t="str">
        <f t="shared" si="346"/>
        <v>665-78</v>
      </c>
      <c r="D5420" t="s">
        <v>5393</v>
      </c>
      <c r="E5420" t="b">
        <f>IF(COUNTIF(D5420,"*"&amp;'Keyword Search'!$C$5&amp;"*"),TRUE,FALSE)</f>
        <v>1</v>
      </c>
      <c r="G5420" t="str">
        <f t="shared" si="347"/>
        <v>665-78: Polyethylene Film, Rods, Tubes, etc.</v>
      </c>
    </row>
    <row r="5421" spans="1:7" x14ac:dyDescent="0.25">
      <c r="A5421" s="1" t="str">
        <f t="shared" si="345"/>
        <v>665</v>
      </c>
      <c r="B5421" s="1" t="str">
        <f>TEXT(79,"00")</f>
        <v>79</v>
      </c>
      <c r="C5421" s="1" t="str">
        <f t="shared" si="346"/>
        <v>665-79</v>
      </c>
      <c r="D5421" t="s">
        <v>5394</v>
      </c>
      <c r="E5421" t="b">
        <f>IF(COUNTIF(D5421,"*"&amp;'Keyword Search'!$C$5&amp;"*"),TRUE,FALSE)</f>
        <v>1</v>
      </c>
      <c r="G5421" t="str">
        <f t="shared" si="347"/>
        <v>665-79: Polyvinyl Chloride Rods and Sheets</v>
      </c>
    </row>
    <row r="5422" spans="1:7" x14ac:dyDescent="0.25">
      <c r="A5422" s="1" t="str">
        <f t="shared" si="345"/>
        <v>665</v>
      </c>
      <c r="B5422" s="1" t="str">
        <f>TEXT(80,"00")</f>
        <v>80</v>
      </c>
      <c r="C5422" s="1" t="str">
        <f t="shared" si="346"/>
        <v>665-80</v>
      </c>
      <c r="D5422" t="s">
        <v>5395</v>
      </c>
      <c r="E5422" t="b">
        <f>IF(COUNTIF(D5422,"*"&amp;'Keyword Search'!$C$5&amp;"*"),TRUE,FALSE)</f>
        <v>1</v>
      </c>
      <c r="G5422" t="str">
        <f t="shared" si="347"/>
        <v>665-80: Polyethylene Film, Reinforced</v>
      </c>
    </row>
    <row r="5423" spans="1:7" x14ac:dyDescent="0.25">
      <c r="A5423" s="1" t="str">
        <f t="shared" si="345"/>
        <v>665</v>
      </c>
      <c r="B5423" s="1" t="str">
        <f>TEXT(81,"00")</f>
        <v>81</v>
      </c>
      <c r="C5423" s="1" t="str">
        <f t="shared" si="346"/>
        <v>665-81</v>
      </c>
      <c r="D5423" t="s">
        <v>5396</v>
      </c>
      <c r="E5423" t="b">
        <f>IF(COUNTIF(D5423,"*"&amp;'Keyword Search'!$C$5&amp;"*"),TRUE,FALSE)</f>
        <v>1</v>
      </c>
      <c r="G5423" t="str">
        <f t="shared" si="347"/>
        <v>665-81: Polyurethane</v>
      </c>
    </row>
    <row r="5424" spans="1:7" x14ac:dyDescent="0.25">
      <c r="A5424" s="1" t="str">
        <f t="shared" si="345"/>
        <v>665</v>
      </c>
      <c r="B5424" s="1" t="str">
        <f>TEXT(82,"00")</f>
        <v>82</v>
      </c>
      <c r="C5424" s="1" t="str">
        <f t="shared" si="346"/>
        <v>665-82</v>
      </c>
      <c r="D5424" t="s">
        <v>5397</v>
      </c>
      <c r="E5424" t="b">
        <f>IF(COUNTIF(D5424,"*"&amp;'Keyword Search'!$C$5&amp;"*"),TRUE,FALSE)</f>
        <v>1</v>
      </c>
      <c r="G5424" t="str">
        <f t="shared" si="347"/>
        <v>665-82: Shrink Film Packaging Equipment and Supplies</v>
      </c>
    </row>
    <row r="5425" spans="1:7" x14ac:dyDescent="0.25">
      <c r="A5425" s="1" t="str">
        <f t="shared" si="345"/>
        <v>665</v>
      </c>
      <c r="B5425" s="1" t="str">
        <f>TEXT(83,"00")</f>
        <v>83</v>
      </c>
      <c r="C5425" s="1" t="str">
        <f t="shared" si="346"/>
        <v>665-83</v>
      </c>
      <c r="D5425" t="s">
        <v>5398</v>
      </c>
      <c r="E5425" t="b">
        <f>IF(COUNTIF(D5425,"*"&amp;'Keyword Search'!$C$5&amp;"*"),TRUE,FALSE)</f>
        <v>1</v>
      </c>
      <c r="G5425" t="str">
        <f t="shared" si="347"/>
        <v>665-83: Stretch Film and Wrapping Equipment</v>
      </c>
    </row>
    <row r="5426" spans="1:7" x14ac:dyDescent="0.25">
      <c r="A5426" s="1" t="str">
        <f t="shared" si="345"/>
        <v>665</v>
      </c>
      <c r="B5426" s="1" t="str">
        <f>TEXT(84,"00")</f>
        <v>84</v>
      </c>
      <c r="C5426" s="1" t="str">
        <f t="shared" si="346"/>
        <v>665-84</v>
      </c>
      <c r="D5426" t="s">
        <v>5399</v>
      </c>
      <c r="E5426" t="b">
        <f>IF(COUNTIF(D5426,"*"&amp;'Keyword Search'!$C$5&amp;"*"),TRUE,FALSE)</f>
        <v>1</v>
      </c>
      <c r="G5426" t="str">
        <f t="shared" si="347"/>
        <v>665-84: Sheeting, Plastic, Reinforced, Not Polyethylene</v>
      </c>
    </row>
    <row r="5427" spans="1:7" x14ac:dyDescent="0.25">
      <c r="A5427" s="1" t="str">
        <f t="shared" si="345"/>
        <v>665</v>
      </c>
      <c r="B5427" s="1" t="str">
        <f>TEXT(86,"00")</f>
        <v>86</v>
      </c>
      <c r="C5427" s="1" t="str">
        <f t="shared" si="346"/>
        <v>665-86</v>
      </c>
      <c r="D5427" t="s">
        <v>5400</v>
      </c>
      <c r="E5427" t="b">
        <f>IF(COUNTIF(D5427,"*"&amp;'Keyword Search'!$C$5&amp;"*"),TRUE,FALSE)</f>
        <v>1</v>
      </c>
      <c r="G5427" t="str">
        <f t="shared" si="347"/>
        <v>665-86: Structural Plastic Shapes: Angles, Bars, etc.</v>
      </c>
    </row>
    <row r="5428" spans="1:7" x14ac:dyDescent="0.25">
      <c r="A5428" s="1" t="str">
        <f t="shared" si="345"/>
        <v>665</v>
      </c>
      <c r="B5428" s="1" t="str">
        <f>TEXT(87,"00")</f>
        <v>87</v>
      </c>
      <c r="C5428" s="1" t="str">
        <f t="shared" si="346"/>
        <v>665-87</v>
      </c>
      <c r="D5428" t="s">
        <v>5401</v>
      </c>
      <c r="E5428" t="b">
        <f>IF(COUNTIF(D5428,"*"&amp;'Keyword Search'!$C$5&amp;"*"),TRUE,FALSE)</f>
        <v>1</v>
      </c>
      <c r="G5428" t="str">
        <f t="shared" si="347"/>
        <v>665-87: Teflon Sheets and Rods</v>
      </c>
    </row>
    <row r="5429" spans="1:7" x14ac:dyDescent="0.25">
      <c r="A5429" s="1" t="str">
        <f t="shared" si="345"/>
        <v>665</v>
      </c>
      <c r="B5429" s="1" t="str">
        <f>TEXT(89,"00")</f>
        <v>89</v>
      </c>
      <c r="C5429" s="1" t="str">
        <f t="shared" si="346"/>
        <v>665-89</v>
      </c>
      <c r="D5429" t="s">
        <v>5402</v>
      </c>
      <c r="E5429" t="b">
        <f>IF(COUNTIF(D5429,"*"&amp;'Keyword Search'!$C$5&amp;"*"),TRUE,FALSE)</f>
        <v>1</v>
      </c>
      <c r="G5429" t="str">
        <f t="shared" si="347"/>
        <v>665-89: Thermoplastic Plastics</v>
      </c>
    </row>
    <row r="5430" spans="1:7" x14ac:dyDescent="0.25">
      <c r="A5430" s="1" t="str">
        <f t="shared" si="345"/>
        <v>665</v>
      </c>
      <c r="B5430" s="1" t="str">
        <f>TEXT(90,"00")</f>
        <v>90</v>
      </c>
      <c r="C5430" s="1" t="str">
        <f t="shared" si="346"/>
        <v>665-90</v>
      </c>
      <c r="D5430" t="s">
        <v>5403</v>
      </c>
      <c r="E5430" t="b">
        <f>IF(COUNTIF(D5430,"*"&amp;'Keyword Search'!$C$5&amp;"*"),TRUE,FALSE)</f>
        <v>1</v>
      </c>
      <c r="G5430" t="str">
        <f t="shared" si="347"/>
        <v>665-90: Thermoset Plastics</v>
      </c>
    </row>
    <row r="5431" spans="1:7" x14ac:dyDescent="0.25">
      <c r="A5431" s="5" t="str">
        <f t="shared" ref="A5431:A5489" si="348">TEXT(670,"000")</f>
        <v>670</v>
      </c>
      <c r="B5431" s="5" t="str">
        <f>TEXT(0,"00")</f>
        <v>00</v>
      </c>
      <c r="C5431" s="1"/>
      <c r="D5431" s="2" t="s">
        <v>5404</v>
      </c>
    </row>
    <row r="5432" spans="1:7" x14ac:dyDescent="0.25">
      <c r="A5432" s="1" t="str">
        <f t="shared" si="348"/>
        <v>670</v>
      </c>
      <c r="B5432" s="1" t="str">
        <f>TEXT(2,"00")</f>
        <v>02</v>
      </c>
      <c r="C5432" s="1" t="str">
        <f t="shared" si="346"/>
        <v>670-02</v>
      </c>
      <c r="D5432" t="s">
        <v>5405</v>
      </c>
      <c r="E5432" t="b">
        <f>IF(COUNTIF(D5432,"*"&amp;'Keyword Search'!$C$5&amp;"*"),TRUE,FALSE)</f>
        <v>1</v>
      </c>
      <c r="G5432" t="str">
        <f t="shared" si="347"/>
        <v>670-02: Bathroom Accessories: Fans, Mirrors, Medicine Cabinets, Soap Dishes, Towel Bars and Rings, etc.</v>
      </c>
    </row>
    <row r="5433" spans="1:7" x14ac:dyDescent="0.25">
      <c r="A5433" s="1" t="str">
        <f t="shared" si="348"/>
        <v>670</v>
      </c>
      <c r="B5433" s="1" t="str">
        <f>TEXT(3,"00")</f>
        <v>03</v>
      </c>
      <c r="C5433" s="1" t="str">
        <f t="shared" si="346"/>
        <v>670-03</v>
      </c>
      <c r="D5433" t="s">
        <v>5406</v>
      </c>
      <c r="E5433" t="b">
        <f>IF(COUNTIF(D5433,"*"&amp;'Keyword Search'!$C$5&amp;"*"),TRUE,FALSE)</f>
        <v>1</v>
      </c>
      <c r="G5433" t="str">
        <f t="shared" si="347"/>
        <v>670-03: Bathtub and Shower Cleaners (Inactive, please see commodity code 485-16 effective January 1, 2016)</v>
      </c>
    </row>
    <row r="5434" spans="1:7" x14ac:dyDescent="0.25">
      <c r="A5434" s="1" t="str">
        <f t="shared" si="348"/>
        <v>670</v>
      </c>
      <c r="B5434" s="1" t="str">
        <f>TEXT(4,"00")</f>
        <v>04</v>
      </c>
      <c r="C5434" s="1" t="str">
        <f t="shared" si="346"/>
        <v>670-04</v>
      </c>
      <c r="D5434" t="s">
        <v>5407</v>
      </c>
      <c r="E5434" t="b">
        <f>IF(COUNTIF(D5434,"*"&amp;'Keyword Search'!$C$5&amp;"*"),TRUE,FALSE)</f>
        <v>1</v>
      </c>
      <c r="G5434" t="str">
        <f t="shared" si="347"/>
        <v>670-04: Cathodic Protection Equipment</v>
      </c>
    </row>
    <row r="5435" spans="1:7" x14ac:dyDescent="0.25">
      <c r="A5435" s="1" t="str">
        <f t="shared" si="348"/>
        <v>670</v>
      </c>
      <c r="B5435" s="1" t="str">
        <f>TEXT(5,"00")</f>
        <v>05</v>
      </c>
      <c r="C5435" s="1" t="str">
        <f t="shared" si="346"/>
        <v>670-05</v>
      </c>
      <c r="D5435" t="s">
        <v>5408</v>
      </c>
      <c r="E5435" t="b">
        <f>IF(COUNTIF(D5435,"*"&amp;'Keyword Search'!$C$5&amp;"*"),TRUE,FALSE)</f>
        <v>1</v>
      </c>
      <c r="G5435" t="str">
        <f t="shared" si="347"/>
        <v>670-05: Cement and Cleaners, For Plastic Conduit, Fittings, and Pipe</v>
      </c>
    </row>
    <row r="5436" spans="1:7" x14ac:dyDescent="0.25">
      <c r="A5436" s="1" t="str">
        <f t="shared" si="348"/>
        <v>670</v>
      </c>
      <c r="B5436" s="1" t="str">
        <f>TEXT(6,"00")</f>
        <v>06</v>
      </c>
      <c r="C5436" s="1" t="str">
        <f t="shared" si="346"/>
        <v>670-06</v>
      </c>
      <c r="D5436" t="s">
        <v>5409</v>
      </c>
      <c r="E5436" t="b">
        <f>IF(COUNTIF(D5436,"*"&amp;'Keyword Search'!$C$5&amp;"*"),TRUE,FALSE)</f>
        <v>1</v>
      </c>
      <c r="G5436" t="str">
        <f t="shared" si="347"/>
        <v>670-06: Compound, Pipe Joint and Tape</v>
      </c>
    </row>
    <row r="5437" spans="1:7" x14ac:dyDescent="0.25">
      <c r="A5437" s="1" t="str">
        <f t="shared" si="348"/>
        <v>670</v>
      </c>
      <c r="B5437" s="1" t="str">
        <f>TEXT(9,"00")</f>
        <v>09</v>
      </c>
      <c r="C5437" s="1" t="str">
        <f t="shared" si="346"/>
        <v>670-09</v>
      </c>
      <c r="D5437" t="s">
        <v>5410</v>
      </c>
      <c r="E5437" t="b">
        <f>IF(COUNTIF(D5437,"*"&amp;'Keyword Search'!$C$5&amp;"*"),TRUE,FALSE)</f>
        <v>1</v>
      </c>
      <c r="G5437" t="str">
        <f t="shared" si="347"/>
        <v>670-09: Drains, Grease Traps, etc.</v>
      </c>
    </row>
    <row r="5438" spans="1:7" x14ac:dyDescent="0.25">
      <c r="A5438" s="1" t="str">
        <f t="shared" si="348"/>
        <v>670</v>
      </c>
      <c r="B5438" s="1" t="str">
        <f>TEXT(10,"00")</f>
        <v>10</v>
      </c>
      <c r="C5438" s="1" t="str">
        <f t="shared" si="346"/>
        <v>670-10</v>
      </c>
      <c r="D5438" t="s">
        <v>5411</v>
      </c>
      <c r="E5438" t="b">
        <f>IF(COUNTIF(D5438,"*"&amp;'Keyword Search'!$C$5&amp;"*"),TRUE,FALSE)</f>
        <v>1</v>
      </c>
      <c r="G5438" t="str">
        <f t="shared" si="347"/>
        <v>670-10: Dryers, Hand, Electric</v>
      </c>
    </row>
    <row r="5439" spans="1:7" x14ac:dyDescent="0.25">
      <c r="A5439" s="1" t="str">
        <f t="shared" si="348"/>
        <v>670</v>
      </c>
      <c r="B5439" s="1" t="str">
        <f>TEXT(12,"00")</f>
        <v>12</v>
      </c>
      <c r="C5439" s="1" t="str">
        <f t="shared" si="346"/>
        <v>670-12</v>
      </c>
      <c r="D5439" t="s">
        <v>5412</v>
      </c>
      <c r="E5439" t="b">
        <f>IF(COUNTIF(D5439,"*"&amp;'Keyword Search'!$C$5&amp;"*"),TRUE,FALSE)</f>
        <v>1</v>
      </c>
      <c r="G5439" t="str">
        <f t="shared" si="347"/>
        <v>670-12: Grout, Pipe and Sewer</v>
      </c>
    </row>
    <row r="5440" spans="1:7" x14ac:dyDescent="0.25">
      <c r="A5440" s="1" t="str">
        <f t="shared" si="348"/>
        <v>670</v>
      </c>
      <c r="B5440" s="1" t="str">
        <f>TEXT(13,"00")</f>
        <v>13</v>
      </c>
      <c r="C5440" s="1" t="str">
        <f t="shared" si="346"/>
        <v>670-13</v>
      </c>
      <c r="D5440" t="s">
        <v>5413</v>
      </c>
      <c r="E5440" t="b">
        <f>IF(COUNTIF(D5440,"*"&amp;'Keyword Search'!$C$5&amp;"*"),TRUE,FALSE)</f>
        <v>1</v>
      </c>
      <c r="G5440" t="str">
        <f t="shared" si="347"/>
        <v>670-13: Grab Bars  (Inactive, please see commodity code 670-02 effective January 1, 2016)</v>
      </c>
    </row>
    <row r="5441" spans="1:7" x14ac:dyDescent="0.25">
      <c r="A5441" s="1" t="str">
        <f t="shared" si="348"/>
        <v>670</v>
      </c>
      <c r="B5441" s="1" t="str">
        <f>TEXT(14,"00")</f>
        <v>14</v>
      </c>
      <c r="C5441" s="1" t="str">
        <f t="shared" si="346"/>
        <v>670-14</v>
      </c>
      <c r="D5441" t="s">
        <v>5414</v>
      </c>
      <c r="E5441" t="b">
        <f>IF(COUNTIF(D5441,"*"&amp;'Keyword Search'!$C$5&amp;"*"),TRUE,FALSE)</f>
        <v>1</v>
      </c>
      <c r="G5441" t="str">
        <f t="shared" si="347"/>
        <v>670-14: Gas Meters, Indicating and Recording</v>
      </c>
    </row>
    <row r="5442" spans="1:7" x14ac:dyDescent="0.25">
      <c r="A5442" s="1" t="str">
        <f t="shared" si="348"/>
        <v>670</v>
      </c>
      <c r="B5442" s="1" t="str">
        <f>TEXT(15,"00")</f>
        <v>15</v>
      </c>
      <c r="C5442" s="1" t="str">
        <f t="shared" si="346"/>
        <v>670-15</v>
      </c>
      <c r="D5442" t="s">
        <v>3252</v>
      </c>
      <c r="E5442" t="b">
        <f>IF(COUNTIF(D5442,"*"&amp;'Keyword Search'!$C$5&amp;"*"),TRUE,FALSE)</f>
        <v>1</v>
      </c>
      <c r="G5442" t="str">
        <f t="shared" si="347"/>
        <v>670-15: Hand Tools (Not Otherwise Classified)</v>
      </c>
    </row>
    <row r="5443" spans="1:7" x14ac:dyDescent="0.25">
      <c r="A5443" s="1" t="str">
        <f t="shared" si="348"/>
        <v>670</v>
      </c>
      <c r="B5443" s="1" t="str">
        <f>TEXT(16,"00")</f>
        <v>16</v>
      </c>
      <c r="C5443" s="1" t="str">
        <f t="shared" ref="C5443:C5506" si="349">CONCATENATE(A5443,"-",B5443)</f>
        <v>670-16</v>
      </c>
      <c r="D5443" t="s">
        <v>5415</v>
      </c>
      <c r="E5443" t="b">
        <f>IF(COUNTIF(D5443,"*"&amp;'Keyword Search'!$C$5&amp;"*"),TRUE,FALSE)</f>
        <v>1</v>
      </c>
      <c r="G5443" t="str">
        <f t="shared" si="347"/>
        <v>670-16: Hydraulic Fusion Machine for Pipe</v>
      </c>
    </row>
    <row r="5444" spans="1:7" x14ac:dyDescent="0.25">
      <c r="A5444" s="1" t="str">
        <f t="shared" si="348"/>
        <v>670</v>
      </c>
      <c r="B5444" s="1" t="str">
        <f>TEXT(17,"00")</f>
        <v>17</v>
      </c>
      <c r="C5444" s="1" t="str">
        <f t="shared" si="349"/>
        <v>670-17</v>
      </c>
      <c r="D5444" t="s">
        <v>5416</v>
      </c>
      <c r="E5444" t="b">
        <f>IF(COUNTIF(D5444,"*"&amp;'Keyword Search'!$C$5&amp;"*"),TRUE,FALSE)</f>
        <v>1</v>
      </c>
      <c r="G5444" t="str">
        <f t="shared" ref="G5444:G5507" si="350">CONCATENATE(C5444,": ",D5444)</f>
        <v>670-17: Irrigation Systems, Supplies, Parts, and Accessories  (Inactive, please see commodity code 515-25 effective January 1, 2016)</v>
      </c>
    </row>
    <row r="5445" spans="1:7" x14ac:dyDescent="0.25">
      <c r="A5445" s="1" t="str">
        <f t="shared" si="348"/>
        <v>670</v>
      </c>
      <c r="B5445" s="1" t="str">
        <f>TEXT(20,"00")</f>
        <v>20</v>
      </c>
      <c r="C5445" s="1" t="str">
        <f t="shared" si="349"/>
        <v>670-20</v>
      </c>
      <c r="D5445" t="s">
        <v>5417</v>
      </c>
      <c r="E5445" t="b">
        <f>IF(COUNTIF(D5445,"*"&amp;'Keyword Search'!$C$5&amp;"*"),TRUE,FALSE)</f>
        <v>1</v>
      </c>
      <c r="G5445" t="str">
        <f t="shared" si="350"/>
        <v>670-20: Lead: Flashings, Ingots, Sheets, etc.</v>
      </c>
    </row>
    <row r="5446" spans="1:7" x14ac:dyDescent="0.25">
      <c r="A5446" s="1" t="str">
        <f t="shared" si="348"/>
        <v>670</v>
      </c>
      <c r="B5446" s="1" t="str">
        <f>TEXT(24,"00")</f>
        <v>24</v>
      </c>
      <c r="C5446" s="1" t="str">
        <f t="shared" si="349"/>
        <v>670-24</v>
      </c>
      <c r="D5446" t="s">
        <v>5418</v>
      </c>
      <c r="E5446" t="b">
        <f>IF(COUNTIF(D5446,"*"&amp;'Keyword Search'!$C$5&amp;"*"),TRUE,FALSE)</f>
        <v>1</v>
      </c>
      <c r="G5446" t="str">
        <f t="shared" si="350"/>
        <v>670-24: Liquid Heaters, Immersion Type</v>
      </c>
    </row>
    <row r="5447" spans="1:7" x14ac:dyDescent="0.25">
      <c r="A5447" s="1" t="str">
        <f t="shared" si="348"/>
        <v>670</v>
      </c>
      <c r="B5447" s="1" t="str">
        <f>TEXT(43,"00")</f>
        <v>43</v>
      </c>
      <c r="C5447" s="1" t="str">
        <f t="shared" si="349"/>
        <v>670-43</v>
      </c>
      <c r="D5447" t="s">
        <v>5419</v>
      </c>
      <c r="E5447" t="b">
        <f>IF(COUNTIF(D5447,"*"&amp;'Keyword Search'!$C$5&amp;"*"),TRUE,FALSE)</f>
        <v>1</v>
      </c>
      <c r="G5447" t="str">
        <f t="shared" si="350"/>
        <v>670-43: Oakum</v>
      </c>
    </row>
    <row r="5448" spans="1:7" x14ac:dyDescent="0.25">
      <c r="A5448" s="1" t="str">
        <f t="shared" si="348"/>
        <v>670</v>
      </c>
      <c r="B5448" s="1" t="str">
        <f>TEXT(49,"00")</f>
        <v>49</v>
      </c>
      <c r="C5448" s="1" t="str">
        <f t="shared" si="349"/>
        <v>670-49</v>
      </c>
      <c r="D5448" t="s">
        <v>5420</v>
      </c>
      <c r="E5448" t="b">
        <f>IF(COUNTIF(D5448,"*"&amp;'Keyword Search'!$C$5&amp;"*"),TRUE,FALSE)</f>
        <v>1</v>
      </c>
      <c r="G5448" t="str">
        <f t="shared" si="350"/>
        <v>670-49: Pipe Hangers, Constant Support Type, for Power Plant Operations</v>
      </c>
    </row>
    <row r="5449" spans="1:7" x14ac:dyDescent="0.25">
      <c r="A5449" s="1" t="str">
        <f t="shared" si="348"/>
        <v>670</v>
      </c>
      <c r="B5449" s="1" t="str">
        <f>TEXT(50,"00")</f>
        <v>50</v>
      </c>
      <c r="C5449" s="1" t="str">
        <f t="shared" si="349"/>
        <v>670-50</v>
      </c>
      <c r="D5449" t="s">
        <v>5421</v>
      </c>
      <c r="E5449" t="b">
        <f>IF(COUNTIF(D5449,"*"&amp;'Keyword Search'!$C$5&amp;"*"),TRUE,FALSE)</f>
        <v>1</v>
      </c>
      <c r="G5449" t="str">
        <f t="shared" si="350"/>
        <v>670-50: Pipe Hangers, Concrete Inserts, Joint Restraints, etc.</v>
      </c>
    </row>
    <row r="5450" spans="1:7" x14ac:dyDescent="0.25">
      <c r="A5450" s="1" t="str">
        <f t="shared" si="348"/>
        <v>670</v>
      </c>
      <c r="B5450" s="1" t="str">
        <f>TEXT(51,"00")</f>
        <v>51</v>
      </c>
      <c r="C5450" s="1" t="str">
        <f t="shared" si="349"/>
        <v>670-51</v>
      </c>
      <c r="D5450" t="s">
        <v>5422</v>
      </c>
      <c r="E5450" t="b">
        <f>IF(COUNTIF(D5450,"*"&amp;'Keyword Search'!$C$5&amp;"*"),TRUE,FALSE)</f>
        <v>1</v>
      </c>
      <c r="G5450" t="str">
        <f t="shared" si="350"/>
        <v>670-51: Pipe and Utility Markers</v>
      </c>
    </row>
    <row r="5451" spans="1:7" x14ac:dyDescent="0.25">
      <c r="A5451" s="1" t="str">
        <f t="shared" si="348"/>
        <v>670</v>
      </c>
      <c r="B5451" s="1" t="str">
        <f>TEXT(52,"00")</f>
        <v>52</v>
      </c>
      <c r="C5451" s="1" t="str">
        <f t="shared" si="349"/>
        <v>670-52</v>
      </c>
      <c r="D5451" t="s">
        <v>5423</v>
      </c>
      <c r="E5451" t="b">
        <f>IF(COUNTIF(D5451,"*"&amp;'Keyword Search'!$C$5&amp;"*"),TRUE,FALSE)</f>
        <v>1</v>
      </c>
      <c r="G5451" t="str">
        <f t="shared" si="350"/>
        <v>670-52: Pipe Repair Clamps, Couplings, Leak Kits, etc. (Inactive, please see commodity code 659-55 effective January 1, 2016)</v>
      </c>
    </row>
    <row r="5452" spans="1:7" x14ac:dyDescent="0.25">
      <c r="A5452" s="1" t="str">
        <f t="shared" si="348"/>
        <v>670</v>
      </c>
      <c r="B5452" s="1" t="str">
        <f>TEXT(53,"00")</f>
        <v>53</v>
      </c>
      <c r="C5452" s="1" t="str">
        <f t="shared" si="349"/>
        <v>670-53</v>
      </c>
      <c r="D5452" t="s">
        <v>5424</v>
      </c>
      <c r="E5452" t="b">
        <f>IF(COUNTIF(D5452,"*"&amp;'Keyword Search'!$C$5&amp;"*"),TRUE,FALSE)</f>
        <v>1</v>
      </c>
      <c r="G5452" t="str">
        <f t="shared" si="350"/>
        <v>670-53: Pipeline Equipment and Tools, Construction and Laying of the Pipeline</v>
      </c>
    </row>
    <row r="5453" spans="1:7" x14ac:dyDescent="0.25">
      <c r="A5453" s="1" t="str">
        <f t="shared" si="348"/>
        <v>670</v>
      </c>
      <c r="B5453" s="1" t="str">
        <f>TEXT(54,"00")</f>
        <v>54</v>
      </c>
      <c r="C5453" s="1" t="str">
        <f t="shared" si="349"/>
        <v>670-54</v>
      </c>
      <c r="D5453" t="s">
        <v>5425</v>
      </c>
      <c r="E5453" t="b">
        <f>IF(COUNTIF(D5453,"*"&amp;'Keyword Search'!$C$5&amp;"*"),TRUE,FALSE)</f>
        <v>1</v>
      </c>
      <c r="G5453" t="str">
        <f t="shared" si="350"/>
        <v>670-54: Brass, Plumbing Tubular Goods (Inactive, please see commodity code 658-02 effective January 1, 2016)</v>
      </c>
    </row>
    <row r="5454" spans="1:7" x14ac:dyDescent="0.25">
      <c r="A5454" s="1" t="str">
        <f t="shared" si="348"/>
        <v>670</v>
      </c>
      <c r="B5454" s="1" t="str">
        <f>TEXT(55,"00")</f>
        <v>55</v>
      </c>
      <c r="C5454" s="1" t="str">
        <f t="shared" si="349"/>
        <v>670-55</v>
      </c>
      <c r="D5454" t="s">
        <v>5426</v>
      </c>
      <c r="E5454" t="b">
        <f>IF(COUNTIF(D5454,"*"&amp;'Keyword Search'!$C$5&amp;"*"),TRUE,FALSE)</f>
        <v>1</v>
      </c>
      <c r="G5454" t="str">
        <f t="shared" si="350"/>
        <v>670-55: Plumbing Fixtures and Parts</v>
      </c>
    </row>
    <row r="5455" spans="1:7" x14ac:dyDescent="0.25">
      <c r="A5455" s="1" t="str">
        <f t="shared" si="348"/>
        <v>670</v>
      </c>
      <c r="B5455" s="1" t="str">
        <f>TEXT(56,"00")</f>
        <v>56</v>
      </c>
      <c r="C5455" s="1" t="str">
        <f t="shared" si="349"/>
        <v>670-56</v>
      </c>
      <c r="D5455" t="s">
        <v>5427</v>
      </c>
      <c r="E5455" t="b">
        <f>IF(COUNTIF(D5455,"*"&amp;'Keyword Search'!$C$5&amp;"*"),TRUE,FALSE)</f>
        <v>1</v>
      </c>
      <c r="G5455" t="str">
        <f t="shared" si="350"/>
        <v>670-56: Plumbing Trim: Faucets, Fittings, etc.</v>
      </c>
    </row>
    <row r="5456" spans="1:7" x14ac:dyDescent="0.25">
      <c r="A5456" s="1" t="str">
        <f t="shared" si="348"/>
        <v>670</v>
      </c>
      <c r="B5456" s="1" t="str">
        <f>TEXT(57,"00")</f>
        <v>57</v>
      </c>
      <c r="C5456" s="1" t="str">
        <f t="shared" si="349"/>
        <v>670-57</v>
      </c>
      <c r="D5456" t="s">
        <v>5428</v>
      </c>
      <c r="E5456" t="b">
        <f>IF(COUNTIF(D5456,"*"&amp;'Keyword Search'!$C$5&amp;"*"),TRUE,FALSE)</f>
        <v>1</v>
      </c>
      <c r="G5456" t="str">
        <f t="shared" si="350"/>
        <v>670-57: Plumbing Equipment, Accessories and Supplies (Not Otherwise Classified)</v>
      </c>
    </row>
    <row r="5457" spans="1:7" x14ac:dyDescent="0.25">
      <c r="A5457" s="1" t="str">
        <f t="shared" si="348"/>
        <v>670</v>
      </c>
      <c r="B5457" s="1" t="str">
        <f>TEXT(58,"00")</f>
        <v>58</v>
      </c>
      <c r="C5457" s="1" t="str">
        <f t="shared" si="349"/>
        <v>670-58</v>
      </c>
      <c r="D5457" t="s">
        <v>5429</v>
      </c>
      <c r="E5457" t="b">
        <f>IF(COUNTIF(D5457,"*"&amp;'Keyword Search'!$C$5&amp;"*"),TRUE,FALSE)</f>
        <v>1</v>
      </c>
      <c r="G5457" t="str">
        <f t="shared" si="350"/>
        <v>670-58: Rubber Goods and Plumbing Specialties: Gaskets, Leathers, Seats, Washers, etc.</v>
      </c>
    </row>
    <row r="5458" spans="1:7" x14ac:dyDescent="0.25">
      <c r="A5458" s="1" t="str">
        <f t="shared" si="348"/>
        <v>670</v>
      </c>
      <c r="B5458" s="1" t="str">
        <f>TEXT(59,"00")</f>
        <v>59</v>
      </c>
      <c r="C5458" s="1" t="str">
        <f t="shared" si="349"/>
        <v>670-59</v>
      </c>
      <c r="D5458" t="s">
        <v>5430</v>
      </c>
      <c r="E5458" t="b">
        <f>IF(COUNTIF(D5458,"*"&amp;'Keyword Search'!$C$5&amp;"*"),TRUE,FALSE)</f>
        <v>1</v>
      </c>
      <c r="G5458" t="str">
        <f t="shared" si="350"/>
        <v>670-59: Sealants, Water plug</v>
      </c>
    </row>
    <row r="5459" spans="1:7" x14ac:dyDescent="0.25">
      <c r="A5459" s="1" t="str">
        <f t="shared" si="348"/>
        <v>670</v>
      </c>
      <c r="B5459" s="1" t="str">
        <f>TEXT(60,"00")</f>
        <v>60</v>
      </c>
      <c r="C5459" s="1" t="str">
        <f t="shared" si="349"/>
        <v>670-60</v>
      </c>
      <c r="D5459" t="s">
        <v>5431</v>
      </c>
      <c r="E5459" t="b">
        <f>IF(COUNTIF(D5459,"*"&amp;'Keyword Search'!$C$5&amp;"*"),TRUE,FALSE)</f>
        <v>1</v>
      </c>
      <c r="G5459" t="str">
        <f t="shared" si="350"/>
        <v>670-60: Septic Tanks and Cesspools, Other than Concrete</v>
      </c>
    </row>
    <row r="5460" spans="1:7" x14ac:dyDescent="0.25">
      <c r="A5460" s="1" t="str">
        <f t="shared" si="348"/>
        <v>670</v>
      </c>
      <c r="B5460" s="1" t="str">
        <f>TEXT(61,"00")</f>
        <v>61</v>
      </c>
      <c r="C5460" s="1" t="str">
        <f t="shared" si="349"/>
        <v>670-61</v>
      </c>
      <c r="D5460" t="s">
        <v>5432</v>
      </c>
      <c r="E5460" t="b">
        <f>IF(COUNTIF(D5460,"*"&amp;'Keyword Search'!$C$5&amp;"*"),TRUE,FALSE)</f>
        <v>1</v>
      </c>
      <c r="G5460" t="str">
        <f t="shared" si="350"/>
        <v>670-61: Sewer Pipe Cleaning Machines, Power Driven; and Parts</v>
      </c>
    </row>
    <row r="5461" spans="1:7" x14ac:dyDescent="0.25">
      <c r="A5461" s="1" t="str">
        <f t="shared" si="348"/>
        <v>670</v>
      </c>
      <c r="B5461" s="1" t="str">
        <f>TEXT(62,"00")</f>
        <v>62</v>
      </c>
      <c r="C5461" s="1" t="str">
        <f t="shared" si="349"/>
        <v>670-62</v>
      </c>
      <c r="D5461" t="s">
        <v>5433</v>
      </c>
      <c r="E5461" t="b">
        <f>IF(COUNTIF(D5461,"*"&amp;'Keyword Search'!$C$5&amp;"*"),TRUE,FALSE)</f>
        <v>1</v>
      </c>
      <c r="G5461" t="str">
        <f t="shared" si="350"/>
        <v>670-62: Shower Stalls, Doors, and Tub Enclosures  (Inactive, please see commodity code 670-55 effective January 1, 2016)</v>
      </c>
    </row>
    <row r="5462" spans="1:7" x14ac:dyDescent="0.25">
      <c r="A5462" s="1" t="str">
        <f t="shared" si="348"/>
        <v>670</v>
      </c>
      <c r="B5462" s="1" t="str">
        <f>TEXT(63,"00")</f>
        <v>63</v>
      </c>
      <c r="C5462" s="1" t="str">
        <f t="shared" si="349"/>
        <v>670-63</v>
      </c>
      <c r="D5462" t="s">
        <v>5434</v>
      </c>
      <c r="E5462" t="b">
        <f>IF(COUNTIF(D5462,"*"&amp;'Keyword Search'!$C$5&amp;"*"),TRUE,FALSE)</f>
        <v>1</v>
      </c>
      <c r="G5462" t="str">
        <f t="shared" si="350"/>
        <v>670-63: Service Boxes and Parts</v>
      </c>
    </row>
    <row r="5463" spans="1:7" x14ac:dyDescent="0.25">
      <c r="A5463" s="1" t="str">
        <f t="shared" si="348"/>
        <v>670</v>
      </c>
      <c r="B5463" s="1" t="str">
        <f>TEXT(64,"00")</f>
        <v>64</v>
      </c>
      <c r="C5463" s="1" t="str">
        <f t="shared" si="349"/>
        <v>670-64</v>
      </c>
      <c r="D5463" t="s">
        <v>5435</v>
      </c>
      <c r="E5463" t="b">
        <f>IF(COUNTIF(D5463,"*"&amp;'Keyword Search'!$C$5&amp;"*"),TRUE,FALSE)</f>
        <v>1</v>
      </c>
      <c r="G5463" t="str">
        <f t="shared" si="350"/>
        <v>670-64: Supplies and Stops</v>
      </c>
    </row>
    <row r="5464" spans="1:7" x14ac:dyDescent="0.25">
      <c r="A5464" s="1" t="str">
        <f t="shared" si="348"/>
        <v>670</v>
      </c>
      <c r="B5464" s="1" t="str">
        <f>TEXT(65,"00")</f>
        <v>65</v>
      </c>
      <c r="C5464" s="1" t="str">
        <f t="shared" si="349"/>
        <v>670-65</v>
      </c>
      <c r="D5464" t="s">
        <v>5436</v>
      </c>
      <c r="E5464" t="b">
        <f>IF(COUNTIF(D5464,"*"&amp;'Keyword Search'!$C$5&amp;"*"),TRUE,FALSE)</f>
        <v>1</v>
      </c>
      <c r="G5464" t="str">
        <f t="shared" si="350"/>
        <v>670-65: Sinks, Portable, Self-Contained</v>
      </c>
    </row>
    <row r="5465" spans="1:7" x14ac:dyDescent="0.25">
      <c r="A5465" s="1" t="str">
        <f t="shared" si="348"/>
        <v>670</v>
      </c>
      <c r="B5465" s="1" t="str">
        <f>TEXT(66,"00")</f>
        <v>66</v>
      </c>
      <c r="C5465" s="1" t="str">
        <f t="shared" si="349"/>
        <v>670-66</v>
      </c>
      <c r="D5465" t="s">
        <v>5437</v>
      </c>
      <c r="E5465" t="b">
        <f>IF(COUNTIF(D5465,"*"&amp;'Keyword Search'!$C$5&amp;"*"),TRUE,FALSE)</f>
        <v>1</v>
      </c>
      <c r="G5465" t="str">
        <f t="shared" si="350"/>
        <v>670-66: Toilet Partitions and Doors  (Inactive, please see commodity code 670-55 effective January 1, 2016)</v>
      </c>
    </row>
    <row r="5466" spans="1:7" x14ac:dyDescent="0.25">
      <c r="A5466" s="1" t="str">
        <f t="shared" si="348"/>
        <v>670</v>
      </c>
      <c r="B5466" s="1" t="str">
        <f>TEXT(67,"00")</f>
        <v>67</v>
      </c>
      <c r="C5466" s="1" t="str">
        <f t="shared" si="349"/>
        <v>670-67</v>
      </c>
      <c r="D5466" t="s">
        <v>5438</v>
      </c>
      <c r="E5466" t="b">
        <f>IF(COUNTIF(D5466,"*"&amp;'Keyword Search'!$C$5&amp;"*"),TRUE,FALSE)</f>
        <v>1</v>
      </c>
      <c r="G5466" t="str">
        <f t="shared" si="350"/>
        <v>670-67: Vacuum Breakers</v>
      </c>
    </row>
    <row r="5467" spans="1:7" x14ac:dyDescent="0.25">
      <c r="A5467" s="1" t="str">
        <f t="shared" si="348"/>
        <v>670</v>
      </c>
      <c r="B5467" s="1" t="str">
        <f>TEXT(68,"00")</f>
        <v>68</v>
      </c>
      <c r="C5467" s="1" t="str">
        <f t="shared" si="349"/>
        <v>670-68</v>
      </c>
      <c r="D5467" t="s">
        <v>5439</v>
      </c>
      <c r="E5467" t="b">
        <f>IF(COUNTIF(D5467,"*"&amp;'Keyword Search'!$C$5&amp;"*"),TRUE,FALSE)</f>
        <v>1</v>
      </c>
      <c r="G5467" t="str">
        <f t="shared" si="350"/>
        <v>670-68: Valves, Aluminum</v>
      </c>
    </row>
    <row r="5468" spans="1:7" x14ac:dyDescent="0.25">
      <c r="A5468" s="1" t="str">
        <f t="shared" si="348"/>
        <v>670</v>
      </c>
      <c r="B5468" s="1" t="str">
        <f>TEXT(69,"00")</f>
        <v>69</v>
      </c>
      <c r="C5468" s="1" t="str">
        <f t="shared" si="349"/>
        <v>670-69</v>
      </c>
      <c r="D5468" t="s">
        <v>5440</v>
      </c>
      <c r="E5468" t="b">
        <f>IF(COUNTIF(D5468,"*"&amp;'Keyword Search'!$C$5&amp;"*"),TRUE,FALSE)</f>
        <v>1</v>
      </c>
      <c r="G5468" t="str">
        <f t="shared" si="350"/>
        <v>670-69: Valves, Brass, Chrome, Copper</v>
      </c>
    </row>
    <row r="5469" spans="1:7" x14ac:dyDescent="0.25">
      <c r="A5469" s="1" t="str">
        <f t="shared" si="348"/>
        <v>670</v>
      </c>
      <c r="B5469" s="1" t="str">
        <f>TEXT(70,"00")</f>
        <v>70</v>
      </c>
      <c r="C5469" s="1" t="str">
        <f t="shared" si="349"/>
        <v>670-70</v>
      </c>
      <c r="D5469" t="s">
        <v>5441</v>
      </c>
      <c r="E5469" t="b">
        <f>IF(COUNTIF(D5469,"*"&amp;'Keyword Search'!$C$5&amp;"*"),TRUE,FALSE)</f>
        <v>1</v>
      </c>
      <c r="G5469" t="str">
        <f t="shared" si="350"/>
        <v>670-70: Valves, Bronze: Angle, Ball, Check, Gate, Globe, etc.</v>
      </c>
    </row>
    <row r="5470" spans="1:7" x14ac:dyDescent="0.25">
      <c r="A5470" s="1" t="str">
        <f t="shared" si="348"/>
        <v>670</v>
      </c>
      <c r="B5470" s="1" t="str">
        <f>TEXT(71,"00")</f>
        <v>71</v>
      </c>
      <c r="C5470" s="1" t="str">
        <f t="shared" si="349"/>
        <v>670-71</v>
      </c>
      <c r="D5470" t="s">
        <v>5442</v>
      </c>
      <c r="E5470" t="b">
        <f>IF(COUNTIF(D5470,"*"&amp;'Keyword Search'!$C$5&amp;"*"),TRUE,FALSE)</f>
        <v>1</v>
      </c>
      <c r="G5470" t="str">
        <f t="shared" si="350"/>
        <v>670-71: Valves, Butterfly, All Kinds</v>
      </c>
    </row>
    <row r="5471" spans="1:7" x14ac:dyDescent="0.25">
      <c r="A5471" s="1" t="str">
        <f t="shared" si="348"/>
        <v>670</v>
      </c>
      <c r="B5471" s="1" t="str">
        <f>TEXT(72,"00")</f>
        <v>72</v>
      </c>
      <c r="C5471" s="1" t="str">
        <f t="shared" si="349"/>
        <v>670-72</v>
      </c>
      <c r="D5471" t="s">
        <v>5443</v>
      </c>
      <c r="E5471" t="b">
        <f>IF(COUNTIF(D5471,"*"&amp;'Keyword Search'!$C$5&amp;"*"),TRUE,FALSE)</f>
        <v>1</v>
      </c>
      <c r="G5471" t="str">
        <f t="shared" si="350"/>
        <v>670-72: Valves, Chrome  (Inactive, please see commodity code 670-69 effective January 1, 2016)</v>
      </c>
    </row>
    <row r="5472" spans="1:7" x14ac:dyDescent="0.25">
      <c r="A5472" s="1" t="str">
        <f t="shared" si="348"/>
        <v>670</v>
      </c>
      <c r="B5472" s="1" t="str">
        <f>TEXT(73,"00")</f>
        <v>73</v>
      </c>
      <c r="C5472" s="1" t="str">
        <f t="shared" si="349"/>
        <v>670-73</v>
      </c>
      <c r="D5472" t="s">
        <v>5444</v>
      </c>
      <c r="E5472" t="b">
        <f>IF(COUNTIF(D5472,"*"&amp;'Keyword Search'!$C$5&amp;"*"),TRUE,FALSE)</f>
        <v>1</v>
      </c>
      <c r="G5472" t="str">
        <f t="shared" si="350"/>
        <v>670-73: Valves, Flush, All Types; and Parts</v>
      </c>
    </row>
    <row r="5473" spans="1:7" x14ac:dyDescent="0.25">
      <c r="A5473" s="1" t="str">
        <f t="shared" si="348"/>
        <v>670</v>
      </c>
      <c r="B5473" s="1" t="str">
        <f>TEXT(74,"00")</f>
        <v>74</v>
      </c>
      <c r="C5473" s="1" t="str">
        <f t="shared" si="349"/>
        <v>670-74</v>
      </c>
      <c r="D5473" t="s">
        <v>5445</v>
      </c>
      <c r="E5473" t="b">
        <f>IF(COUNTIF(D5473,"*"&amp;'Keyword Search'!$C$5&amp;"*"),TRUE,FALSE)</f>
        <v>1</v>
      </c>
      <c r="G5473" t="str">
        <f t="shared" si="350"/>
        <v>670-74: Valves, Drop-Out</v>
      </c>
    </row>
    <row r="5474" spans="1:7" x14ac:dyDescent="0.25">
      <c r="A5474" s="1" t="str">
        <f t="shared" si="348"/>
        <v>670</v>
      </c>
      <c r="B5474" s="1" t="str">
        <f>TEXT(75,"00")</f>
        <v>75</v>
      </c>
      <c r="C5474" s="1" t="str">
        <f t="shared" si="349"/>
        <v>670-75</v>
      </c>
      <c r="D5474" t="s">
        <v>5446</v>
      </c>
      <c r="E5474" t="b">
        <f>IF(COUNTIF(D5474,"*"&amp;'Keyword Search'!$C$5&amp;"*"),TRUE,FALSE)</f>
        <v>1</v>
      </c>
      <c r="G5474" t="str">
        <f t="shared" si="350"/>
        <v>670-75: Valves, Iron Body: Angle, Check, Gate, Globe, etc.</v>
      </c>
    </row>
    <row r="5475" spans="1:7" x14ac:dyDescent="0.25">
      <c r="A5475" s="1" t="str">
        <f t="shared" si="348"/>
        <v>670</v>
      </c>
      <c r="B5475" s="1" t="str">
        <f>TEXT(76,"00")</f>
        <v>76</v>
      </c>
      <c r="C5475" s="1" t="str">
        <f t="shared" si="349"/>
        <v>670-76</v>
      </c>
      <c r="D5475" t="s">
        <v>5447</v>
      </c>
      <c r="E5475" t="b">
        <f>IF(COUNTIF(D5475,"*"&amp;'Keyword Search'!$C$5&amp;"*"),TRUE,FALSE)</f>
        <v>1</v>
      </c>
      <c r="G5475" t="str">
        <f t="shared" si="350"/>
        <v>670-76: Valves and Valve Parts, Miscellaneous</v>
      </c>
    </row>
    <row r="5476" spans="1:7" x14ac:dyDescent="0.25">
      <c r="A5476" s="1" t="str">
        <f t="shared" si="348"/>
        <v>670</v>
      </c>
      <c r="B5476" s="1" t="str">
        <f>TEXT(77,"00")</f>
        <v>77</v>
      </c>
      <c r="C5476" s="1" t="str">
        <f t="shared" si="349"/>
        <v>670-77</v>
      </c>
      <c r="D5476" t="s">
        <v>5448</v>
      </c>
      <c r="E5476" t="b">
        <f>IF(COUNTIF(D5476,"*"&amp;'Keyword Search'!$C$5&amp;"*"),TRUE,FALSE)</f>
        <v>1</v>
      </c>
      <c r="G5476" t="str">
        <f t="shared" si="350"/>
        <v>670-77: Valves, Plastic: Ball, Check, Diaphragm, Globe, etc.</v>
      </c>
    </row>
    <row r="5477" spans="1:7" x14ac:dyDescent="0.25">
      <c r="A5477" s="1" t="str">
        <f t="shared" si="348"/>
        <v>670</v>
      </c>
      <c r="B5477" s="1" t="str">
        <f>TEXT(79,"00")</f>
        <v>79</v>
      </c>
      <c r="C5477" s="1" t="str">
        <f t="shared" si="349"/>
        <v>670-79</v>
      </c>
      <c r="D5477" t="s">
        <v>5449</v>
      </c>
      <c r="E5477" t="b">
        <f>IF(COUNTIF(D5477,"*"&amp;'Keyword Search'!$C$5&amp;"*"),TRUE,FALSE)</f>
        <v>1</v>
      </c>
      <c r="G5477" t="str">
        <f t="shared" si="350"/>
        <v>670-79: Valves, Semi-Steel  (Inactive, please see commodity code 670-82 effective January 1, 2016)</v>
      </c>
    </row>
    <row r="5478" spans="1:7" x14ac:dyDescent="0.25">
      <c r="A5478" s="1" t="str">
        <f t="shared" si="348"/>
        <v>670</v>
      </c>
      <c r="B5478" s="1" t="str">
        <f>TEXT(80,"00")</f>
        <v>80</v>
      </c>
      <c r="C5478" s="1" t="str">
        <f t="shared" si="349"/>
        <v>670-80</v>
      </c>
      <c r="D5478" t="s">
        <v>5450</v>
      </c>
      <c r="E5478" t="b">
        <f>IF(COUNTIF(D5478,"*"&amp;'Keyword Search'!$C$5&amp;"*"),TRUE,FALSE)</f>
        <v>1</v>
      </c>
      <c r="G5478" t="str">
        <f t="shared" si="350"/>
        <v>670-80: Valves, Solenoid Control</v>
      </c>
    </row>
    <row r="5479" spans="1:7" x14ac:dyDescent="0.25">
      <c r="A5479" s="1" t="str">
        <f t="shared" si="348"/>
        <v>670</v>
      </c>
      <c r="B5479" s="1" t="str">
        <f>TEXT(81,"00")</f>
        <v>81</v>
      </c>
      <c r="C5479" s="1" t="str">
        <f t="shared" si="349"/>
        <v>670-81</v>
      </c>
      <c r="D5479" t="s">
        <v>5451</v>
      </c>
      <c r="E5479" t="b">
        <f>IF(COUNTIF(D5479,"*"&amp;'Keyword Search'!$C$5&amp;"*"),TRUE,FALSE)</f>
        <v>1</v>
      </c>
      <c r="G5479" t="str">
        <f t="shared" si="350"/>
        <v>670-81: Valves, Stainless Steel: Angle, Ball, Check, Gate, Globe, etc.</v>
      </c>
    </row>
    <row r="5480" spans="1:7" x14ac:dyDescent="0.25">
      <c r="A5480" s="1" t="str">
        <f t="shared" si="348"/>
        <v>670</v>
      </c>
      <c r="B5480" s="1" t="str">
        <f>TEXT(82,"00")</f>
        <v>82</v>
      </c>
      <c r="C5480" s="1" t="str">
        <f t="shared" si="349"/>
        <v>670-82</v>
      </c>
      <c r="D5480" t="s">
        <v>5452</v>
      </c>
      <c r="E5480" t="b">
        <f>IF(COUNTIF(D5480,"*"&amp;'Keyword Search'!$C$5&amp;"*"),TRUE,FALSE)</f>
        <v>1</v>
      </c>
      <c r="G5480" t="str">
        <f t="shared" si="350"/>
        <v>670-82: Valves, Steel: Angle, Check, Gate, Globe, etc.</v>
      </c>
    </row>
    <row r="5481" spans="1:7" x14ac:dyDescent="0.25">
      <c r="A5481" s="1" t="str">
        <f t="shared" si="348"/>
        <v>670</v>
      </c>
      <c r="B5481" s="1" t="str">
        <f>TEXT(84,"00")</f>
        <v>84</v>
      </c>
      <c r="C5481" s="1" t="str">
        <f t="shared" si="349"/>
        <v>670-84</v>
      </c>
      <c r="D5481" t="s">
        <v>5453</v>
      </c>
      <c r="E5481" t="b">
        <f>IF(COUNTIF(D5481,"*"&amp;'Keyword Search'!$C$5&amp;"*"),TRUE,FALSE)</f>
        <v>1</v>
      </c>
      <c r="G5481" t="str">
        <f t="shared" si="350"/>
        <v>670-84: Venturi Tubes, Air and Vacuum</v>
      </c>
    </row>
    <row r="5482" spans="1:7" x14ac:dyDescent="0.25">
      <c r="A5482" s="1" t="str">
        <f t="shared" si="348"/>
        <v>670</v>
      </c>
      <c r="B5482" s="1" t="str">
        <f>TEXT(86,"00")</f>
        <v>86</v>
      </c>
      <c r="C5482" s="1" t="str">
        <f t="shared" si="349"/>
        <v>670-86</v>
      </c>
      <c r="D5482" t="s">
        <v>5454</v>
      </c>
      <c r="E5482" t="b">
        <f>IF(COUNTIF(D5482,"*"&amp;'Keyword Search'!$C$5&amp;"*"),TRUE,FALSE)</f>
        <v>1</v>
      </c>
      <c r="G5482" t="str">
        <f t="shared" si="350"/>
        <v>670-86: Water Filtration, Conditioning, and Purification Equipment for the Office and Home</v>
      </c>
    </row>
    <row r="5483" spans="1:7" x14ac:dyDescent="0.25">
      <c r="A5483" s="1" t="str">
        <f t="shared" si="348"/>
        <v>670</v>
      </c>
      <c r="B5483" s="1" t="str">
        <f>TEXT(87,"00")</f>
        <v>87</v>
      </c>
      <c r="C5483" s="1" t="str">
        <f t="shared" si="349"/>
        <v>670-87</v>
      </c>
      <c r="D5483" t="s">
        <v>5455</v>
      </c>
      <c r="E5483" t="b">
        <f>IF(COUNTIF(D5483,"*"&amp;'Keyword Search'!$C$5&amp;"*"),TRUE,FALSE)</f>
        <v>1</v>
      </c>
      <c r="G5483" t="str">
        <f t="shared" si="350"/>
        <v>670-87: Water Conservation Kits</v>
      </c>
    </row>
    <row r="5484" spans="1:7" x14ac:dyDescent="0.25">
      <c r="A5484" s="1" t="str">
        <f t="shared" si="348"/>
        <v>670</v>
      </c>
      <c r="B5484" s="1" t="str">
        <f>TEXT(88,"00")</f>
        <v>88</v>
      </c>
      <c r="C5484" s="1" t="str">
        <f t="shared" si="349"/>
        <v>670-88</v>
      </c>
      <c r="D5484" t="s">
        <v>5456</v>
      </c>
      <c r="E5484" t="b">
        <f>IF(COUNTIF(D5484,"*"&amp;'Keyword Search'!$C$5&amp;"*"),TRUE,FALSE)</f>
        <v>1</v>
      </c>
      <c r="G5484" t="str">
        <f t="shared" si="350"/>
        <v>670-88: Water Hammer Arrester</v>
      </c>
    </row>
    <row r="5485" spans="1:7" x14ac:dyDescent="0.25">
      <c r="A5485" s="1" t="str">
        <f t="shared" si="348"/>
        <v>670</v>
      </c>
      <c r="B5485" s="1" t="str">
        <f>TEXT(89,"00")</f>
        <v>89</v>
      </c>
      <c r="C5485" s="1" t="str">
        <f t="shared" si="349"/>
        <v>670-89</v>
      </c>
      <c r="D5485" t="s">
        <v>5457</v>
      </c>
      <c r="E5485" t="b">
        <f>IF(COUNTIF(D5485,"*"&amp;'Keyword Search'!$C$5&amp;"*"),TRUE,FALSE)</f>
        <v>1</v>
      </c>
      <c r="G5485" t="str">
        <f t="shared" si="350"/>
        <v>670-89: Water Heaters, Residential</v>
      </c>
    </row>
    <row r="5486" spans="1:7" x14ac:dyDescent="0.25">
      <c r="A5486" s="1" t="str">
        <f t="shared" si="348"/>
        <v>670</v>
      </c>
      <c r="B5486" s="1" t="str">
        <f>TEXT(91,"00")</f>
        <v>91</v>
      </c>
      <c r="C5486" s="1" t="str">
        <f t="shared" si="349"/>
        <v>670-91</v>
      </c>
      <c r="D5486" t="s">
        <v>5458</v>
      </c>
      <c r="E5486" t="b">
        <f>IF(COUNTIF(D5486,"*"&amp;'Keyword Search'!$C$5&amp;"*"),TRUE,FALSE)</f>
        <v>1</v>
      </c>
      <c r="G5486" t="str">
        <f t="shared" si="350"/>
        <v>670-91: Water Heaters, Commercial</v>
      </c>
    </row>
    <row r="5487" spans="1:7" x14ac:dyDescent="0.25">
      <c r="A5487" s="1" t="str">
        <f t="shared" si="348"/>
        <v>670</v>
      </c>
      <c r="B5487" s="1" t="str">
        <f>TEXT(92,"00")</f>
        <v>92</v>
      </c>
      <c r="C5487" s="1" t="str">
        <f t="shared" si="349"/>
        <v>670-92</v>
      </c>
      <c r="D5487" t="s">
        <v>5459</v>
      </c>
      <c r="E5487" t="b">
        <f>IF(COUNTIF(D5487,"*"&amp;'Keyword Search'!$C$5&amp;"*"),TRUE,FALSE)</f>
        <v>1</v>
      </c>
      <c r="G5487" t="str">
        <f t="shared" si="350"/>
        <v>670-92: Water Softening Equipment, Residential</v>
      </c>
    </row>
    <row r="5488" spans="1:7" x14ac:dyDescent="0.25">
      <c r="A5488" s="1" t="str">
        <f t="shared" si="348"/>
        <v>670</v>
      </c>
      <c r="B5488" s="1" t="str">
        <f>TEXT(93,"00")</f>
        <v>93</v>
      </c>
      <c r="C5488" s="1" t="str">
        <f t="shared" si="349"/>
        <v>670-93</v>
      </c>
      <c r="D5488" t="s">
        <v>5460</v>
      </c>
      <c r="E5488" t="b">
        <f>IF(COUNTIF(D5488,"*"&amp;'Keyword Search'!$C$5&amp;"*"),TRUE,FALSE)</f>
        <v>1</v>
      </c>
      <c r="G5488" t="str">
        <f t="shared" si="350"/>
        <v>670-93: Water Softening Equipment, Commercial (Also see 890-85)</v>
      </c>
    </row>
    <row r="5489" spans="1:7" x14ac:dyDescent="0.25">
      <c r="A5489" s="1" t="str">
        <f t="shared" si="348"/>
        <v>670</v>
      </c>
      <c r="B5489" s="1" t="str">
        <f>TEXT(95,"00")</f>
        <v>95</v>
      </c>
      <c r="C5489" s="1" t="str">
        <f t="shared" si="349"/>
        <v>670-95</v>
      </c>
      <c r="D5489" t="s">
        <v>5461</v>
      </c>
      <c r="E5489" t="b">
        <f>IF(COUNTIF(D5489,"*"&amp;'Keyword Search'!$C$5&amp;"*"),TRUE,FALSE)</f>
        <v>1</v>
      </c>
      <c r="G5489" t="str">
        <f t="shared" si="350"/>
        <v>670-95: Refurbished Plumbing Equipment, Accessories and Supplies</v>
      </c>
    </row>
    <row r="5490" spans="1:7" x14ac:dyDescent="0.25">
      <c r="A5490" s="5" t="str">
        <f t="shared" ref="A5490:A5504" si="351">TEXT(675,"000")</f>
        <v>675</v>
      </c>
      <c r="B5490" s="5" t="str">
        <f>TEXT(0,"00")</f>
        <v>00</v>
      </c>
      <c r="C5490" s="1"/>
      <c r="D5490" s="2" t="s">
        <v>5462</v>
      </c>
    </row>
    <row r="5491" spans="1:7" x14ac:dyDescent="0.25">
      <c r="A5491" s="1" t="str">
        <f t="shared" si="351"/>
        <v>675</v>
      </c>
      <c r="B5491" s="1" t="str">
        <f>TEXT(25,"00")</f>
        <v>25</v>
      </c>
      <c r="C5491" s="1" t="str">
        <f t="shared" si="349"/>
        <v>675-25</v>
      </c>
      <c r="D5491" t="s">
        <v>5463</v>
      </c>
      <c r="E5491" t="b">
        <f>IF(COUNTIF(D5491,"*"&amp;'Keyword Search'!$C$5&amp;"*"),TRUE,FALSE)</f>
        <v>1</v>
      </c>
      <c r="G5491" t="str">
        <f t="shared" si="350"/>
        <v>675-25: Defoliants, Cotton</v>
      </c>
    </row>
    <row r="5492" spans="1:7" x14ac:dyDescent="0.25">
      <c r="A5492" s="1" t="str">
        <f t="shared" si="351"/>
        <v>675</v>
      </c>
      <c r="B5492" s="1" t="str">
        <f>TEXT(30,"00")</f>
        <v>30</v>
      </c>
      <c r="C5492" s="1" t="str">
        <f t="shared" si="349"/>
        <v>675-30</v>
      </c>
      <c r="D5492" t="s">
        <v>5464</v>
      </c>
      <c r="E5492" t="b">
        <f>IF(COUNTIF(D5492,"*"&amp;'Keyword Search'!$C$5&amp;"*"),TRUE,FALSE)</f>
        <v>1</v>
      </c>
      <c r="G5492" t="str">
        <f t="shared" si="350"/>
        <v>675-30: Fumigating Gases, Other Than Soil</v>
      </c>
    </row>
    <row r="5493" spans="1:7" x14ac:dyDescent="0.25">
      <c r="A5493" s="1" t="str">
        <f t="shared" si="351"/>
        <v>675</v>
      </c>
      <c r="B5493" s="1" t="str">
        <f>TEXT(35,"00")</f>
        <v>35</v>
      </c>
      <c r="C5493" s="1" t="str">
        <f t="shared" si="349"/>
        <v>675-35</v>
      </c>
      <c r="D5493" t="s">
        <v>5465</v>
      </c>
      <c r="E5493" t="b">
        <f>IF(COUNTIF(D5493,"*"&amp;'Keyword Search'!$C$5&amp;"*"),TRUE,FALSE)</f>
        <v>1</v>
      </c>
      <c r="G5493" t="str">
        <f t="shared" si="350"/>
        <v>675-35: Grains and Baits, Poisoned</v>
      </c>
    </row>
    <row r="5494" spans="1:7" x14ac:dyDescent="0.25">
      <c r="A5494" s="1" t="str">
        <f t="shared" si="351"/>
        <v>675</v>
      </c>
      <c r="B5494" s="1" t="str">
        <f>TEXT(40,"00")</f>
        <v>40</v>
      </c>
      <c r="C5494" s="1" t="str">
        <f t="shared" si="349"/>
        <v>675-40</v>
      </c>
      <c r="D5494" t="s">
        <v>5466</v>
      </c>
      <c r="E5494" t="b">
        <f>IF(COUNTIF(D5494,"*"&amp;'Keyword Search'!$C$5&amp;"*"),TRUE,FALSE)</f>
        <v>1</v>
      </c>
      <c r="G5494" t="str">
        <f t="shared" si="350"/>
        <v>675-40: Insecticides and Fungicides, Dry</v>
      </c>
    </row>
    <row r="5495" spans="1:7" x14ac:dyDescent="0.25">
      <c r="A5495" s="1" t="str">
        <f t="shared" si="351"/>
        <v>675</v>
      </c>
      <c r="B5495" s="1" t="str">
        <f>TEXT(45,"00")</f>
        <v>45</v>
      </c>
      <c r="C5495" s="1" t="str">
        <f t="shared" si="349"/>
        <v>675-45</v>
      </c>
      <c r="D5495" t="s">
        <v>5467</v>
      </c>
      <c r="E5495" t="b">
        <f>IF(COUNTIF(D5495,"*"&amp;'Keyword Search'!$C$5&amp;"*"),TRUE,FALSE)</f>
        <v>1</v>
      </c>
      <c r="G5495" t="str">
        <f t="shared" si="350"/>
        <v>675-45: Insecticides and Fungicides, Liquid</v>
      </c>
    </row>
    <row r="5496" spans="1:7" x14ac:dyDescent="0.25">
      <c r="A5496" s="1" t="str">
        <f t="shared" si="351"/>
        <v>675</v>
      </c>
      <c r="B5496" s="1" t="str">
        <f>TEXT(54,"00")</f>
        <v>54</v>
      </c>
      <c r="C5496" s="1" t="str">
        <f t="shared" si="349"/>
        <v>675-54</v>
      </c>
      <c r="D5496" t="s">
        <v>5468</v>
      </c>
      <c r="E5496" t="b">
        <f>IF(COUNTIF(D5496,"*"&amp;'Keyword Search'!$C$5&amp;"*"),TRUE,FALSE)</f>
        <v>1</v>
      </c>
      <c r="G5496" t="str">
        <f t="shared" si="350"/>
        <v>675-54: Pesticides</v>
      </c>
    </row>
    <row r="5497" spans="1:7" x14ac:dyDescent="0.25">
      <c r="A5497" s="1" t="str">
        <f t="shared" si="351"/>
        <v>675</v>
      </c>
      <c r="B5497" s="1" t="str">
        <f>TEXT(55,"00")</f>
        <v>55</v>
      </c>
      <c r="C5497" s="1" t="str">
        <f t="shared" si="349"/>
        <v>675-55</v>
      </c>
      <c r="D5497" t="s">
        <v>5469</v>
      </c>
      <c r="E5497" t="b">
        <f>IF(COUNTIF(D5497,"*"&amp;'Keyword Search'!$C$5&amp;"*"),TRUE,FALSE)</f>
        <v>1</v>
      </c>
      <c r="G5497" t="str">
        <f t="shared" si="350"/>
        <v>675-55: Adjuvants: Emulsifiers, Spreader and Stickers, Wetting Agents, etc.</v>
      </c>
    </row>
    <row r="5498" spans="1:7" x14ac:dyDescent="0.25">
      <c r="A5498" s="1" t="str">
        <f t="shared" si="351"/>
        <v>675</v>
      </c>
      <c r="B5498" s="1" t="str">
        <f>TEXT(58,"00")</f>
        <v>58</v>
      </c>
      <c r="C5498" s="1" t="str">
        <f t="shared" si="349"/>
        <v>675-58</v>
      </c>
      <c r="D5498" t="s">
        <v>5470</v>
      </c>
      <c r="E5498" t="b">
        <f>IF(COUNTIF(D5498,"*"&amp;'Keyword Search'!$C$5&amp;"*"),TRUE,FALSE)</f>
        <v>1</v>
      </c>
      <c r="G5498" t="str">
        <f t="shared" si="350"/>
        <v>675-58: Recycled Pesticides and Chemicals for Agriculture and Industrial Use</v>
      </c>
    </row>
    <row r="5499" spans="1:7" x14ac:dyDescent="0.25">
      <c r="A5499" s="1" t="str">
        <f t="shared" si="351"/>
        <v>675</v>
      </c>
      <c r="B5499" s="1" t="str">
        <f>TEXT(60,"00")</f>
        <v>60</v>
      </c>
      <c r="C5499" s="1" t="str">
        <f t="shared" si="349"/>
        <v>675-60</v>
      </c>
      <c r="D5499" t="s">
        <v>5471</v>
      </c>
      <c r="E5499" t="b">
        <f>IF(COUNTIF(D5499,"*"&amp;'Keyword Search'!$C$5&amp;"*"),TRUE,FALSE)</f>
        <v>1</v>
      </c>
      <c r="G5499" t="str">
        <f t="shared" si="350"/>
        <v>675-60: Rotenone (Fish Toxicant)</v>
      </c>
    </row>
    <row r="5500" spans="1:7" x14ac:dyDescent="0.25">
      <c r="A5500" s="1" t="str">
        <f t="shared" si="351"/>
        <v>675</v>
      </c>
      <c r="B5500" s="1" t="str">
        <f>TEXT(65,"00")</f>
        <v>65</v>
      </c>
      <c r="C5500" s="1" t="str">
        <f t="shared" si="349"/>
        <v>675-65</v>
      </c>
      <c r="D5500" t="s">
        <v>5472</v>
      </c>
      <c r="E5500" t="b">
        <f>IF(COUNTIF(D5500,"*"&amp;'Keyword Search'!$C$5&amp;"*"),TRUE,FALSE)</f>
        <v>1</v>
      </c>
      <c r="G5500" t="str">
        <f t="shared" si="350"/>
        <v>675-65: Seed and Soil Fumigants and Sterilants</v>
      </c>
    </row>
    <row r="5501" spans="1:7" x14ac:dyDescent="0.25">
      <c r="A5501" s="1" t="str">
        <f t="shared" si="351"/>
        <v>675</v>
      </c>
      <c r="B5501" s="1" t="str">
        <f>TEXT(80,"00")</f>
        <v>80</v>
      </c>
      <c r="C5501" s="1" t="str">
        <f t="shared" si="349"/>
        <v>675-80</v>
      </c>
      <c r="D5501" t="s">
        <v>5473</v>
      </c>
      <c r="E5501" t="b">
        <f>IF(COUNTIF(D5501,"*"&amp;'Keyword Search'!$C$5&amp;"*"),TRUE,FALSE)</f>
        <v>1</v>
      </c>
      <c r="G5501" t="str">
        <f t="shared" si="350"/>
        <v>675-80: TCA (Trichloroacetic Acid, Sodium Salt)</v>
      </c>
    </row>
    <row r="5502" spans="1:7" x14ac:dyDescent="0.25">
      <c r="A5502" s="1" t="str">
        <f t="shared" si="351"/>
        <v>675</v>
      </c>
      <c r="B5502" s="1" t="str">
        <f>TEXT(84,"00")</f>
        <v>84</v>
      </c>
      <c r="C5502" s="1" t="str">
        <f t="shared" si="349"/>
        <v>675-84</v>
      </c>
      <c r="D5502" t="s">
        <v>5474</v>
      </c>
      <c r="E5502" t="b">
        <f>IF(COUNTIF(D5502,"*"&amp;'Keyword Search'!$C$5&amp;"*"),TRUE,FALSE)</f>
        <v>1</v>
      </c>
      <c r="G5502" t="str">
        <f t="shared" si="350"/>
        <v>675-84: Weed Control Blankets, Including Recycled Types</v>
      </c>
    </row>
    <row r="5503" spans="1:7" x14ac:dyDescent="0.25">
      <c r="A5503" s="1" t="str">
        <f t="shared" si="351"/>
        <v>675</v>
      </c>
      <c r="B5503" s="1" t="str">
        <f>TEXT(85,"00")</f>
        <v>85</v>
      </c>
      <c r="C5503" s="1" t="str">
        <f t="shared" si="349"/>
        <v>675-85</v>
      </c>
      <c r="D5503" t="s">
        <v>5475</v>
      </c>
      <c r="E5503" t="b">
        <f>IF(COUNTIF(D5503,"*"&amp;'Keyword Search'!$C$5&amp;"*"),TRUE,FALSE)</f>
        <v>1</v>
      </c>
      <c r="G5503" t="str">
        <f t="shared" si="350"/>
        <v>675-85: Dry Formulation Herbicides</v>
      </c>
    </row>
    <row r="5504" spans="1:7" x14ac:dyDescent="0.25">
      <c r="A5504" s="1" t="str">
        <f t="shared" si="351"/>
        <v>675</v>
      </c>
      <c r="B5504" s="1" t="str">
        <f>TEXT(90,"00")</f>
        <v>90</v>
      </c>
      <c r="C5504" s="1" t="str">
        <f t="shared" si="349"/>
        <v>675-90</v>
      </c>
      <c r="D5504" t="s">
        <v>5476</v>
      </c>
      <c r="E5504" t="b">
        <f>IF(COUNTIF(D5504,"*"&amp;'Keyword Search'!$C$5&amp;"*"),TRUE,FALSE)</f>
        <v>1</v>
      </c>
      <c r="G5504" t="str">
        <f t="shared" si="350"/>
        <v>675-90: Liquid Formulation Herbicides</v>
      </c>
    </row>
    <row r="5505" spans="1:7" x14ac:dyDescent="0.25">
      <c r="A5505" s="5" t="str">
        <f t="shared" ref="A5505:A5568" si="352">TEXT(680,"000")</f>
        <v>680</v>
      </c>
      <c r="B5505" s="5" t="str">
        <f>TEXT(0,"00")</f>
        <v>00</v>
      </c>
      <c r="C5505" s="1"/>
      <c r="D5505" s="2" t="s">
        <v>5477</v>
      </c>
    </row>
    <row r="5506" spans="1:7" x14ac:dyDescent="0.25">
      <c r="A5506" s="1" t="str">
        <f t="shared" si="352"/>
        <v>680</v>
      </c>
      <c r="B5506" s="1" t="str">
        <f>TEXT(2,"00")</f>
        <v>02</v>
      </c>
      <c r="C5506" s="1" t="str">
        <f t="shared" si="349"/>
        <v>680-02</v>
      </c>
      <c r="D5506" t="s">
        <v>5478</v>
      </c>
      <c r="E5506" t="b">
        <f>IF(COUNTIF(D5506,"*"&amp;'Keyword Search'!$C$5&amp;"*"),TRUE,FALSE)</f>
        <v>1</v>
      </c>
      <c r="G5506" t="str">
        <f t="shared" si="350"/>
        <v>680-02: *Access Control Systems and Security Systems</v>
      </c>
    </row>
    <row r="5507" spans="1:7" x14ac:dyDescent="0.25">
      <c r="A5507" s="1" t="str">
        <f t="shared" si="352"/>
        <v>680</v>
      </c>
      <c r="B5507" s="1" t="str">
        <f>TEXT(4,"00")</f>
        <v>04</v>
      </c>
      <c r="C5507" s="1" t="str">
        <f t="shared" ref="C5507:C5569" si="353">CONCATENATE(A5507,"-",B5507)</f>
        <v>680-04</v>
      </c>
      <c r="D5507" t="s">
        <v>5479</v>
      </c>
      <c r="E5507" t="b">
        <f>IF(COUNTIF(D5507,"*"&amp;'Keyword Search'!$C$5&amp;"*"),TRUE,FALSE)</f>
        <v>1</v>
      </c>
      <c r="G5507" t="str">
        <f t="shared" si="350"/>
        <v>680-04: Ammunition</v>
      </c>
    </row>
    <row r="5508" spans="1:7" x14ac:dyDescent="0.25">
      <c r="A5508" s="1" t="str">
        <f t="shared" si="352"/>
        <v>680</v>
      </c>
      <c r="B5508" s="1" t="str">
        <f>TEXT(5,"00")</f>
        <v>05</v>
      </c>
      <c r="C5508" s="1" t="str">
        <f t="shared" si="353"/>
        <v>680-05</v>
      </c>
      <c r="D5508" t="s">
        <v>5480</v>
      </c>
      <c r="E5508" t="b">
        <f>IF(COUNTIF(D5508,"*"&amp;'Keyword Search'!$C$5&amp;"*"),TRUE,FALSE)</f>
        <v>1</v>
      </c>
      <c r="G5508" t="str">
        <f t="shared" ref="G5508:G5571" si="354">CONCATENATE(C5508,": ",D5508)</f>
        <v>680-05: Ammunition, Reloaded</v>
      </c>
    </row>
    <row r="5509" spans="1:7" x14ac:dyDescent="0.25">
      <c r="A5509" s="1" t="str">
        <f t="shared" si="352"/>
        <v>680</v>
      </c>
      <c r="B5509" s="1" t="str">
        <f>TEXT(6,"00")</f>
        <v>06</v>
      </c>
      <c r="C5509" s="1" t="str">
        <f t="shared" si="353"/>
        <v>680-06</v>
      </c>
      <c r="D5509" t="s">
        <v>5481</v>
      </c>
      <c r="E5509" t="b">
        <f>IF(COUNTIF(D5509,"*"&amp;'Keyword Search'!$C$5&amp;"*"),TRUE,FALSE)</f>
        <v>1</v>
      </c>
      <c r="G5509" t="str">
        <f t="shared" si="354"/>
        <v>680-06: Ammunition Handling Systems, Aircraft, Tanks, etc.</v>
      </c>
    </row>
    <row r="5510" spans="1:7" x14ac:dyDescent="0.25">
      <c r="A5510" s="1" t="str">
        <f t="shared" si="352"/>
        <v>680</v>
      </c>
      <c r="B5510" s="1" t="str">
        <f>TEXT(8,"00")</f>
        <v>08</v>
      </c>
      <c r="C5510" s="1" t="str">
        <f t="shared" si="353"/>
        <v>680-08</v>
      </c>
      <c r="D5510" t="s">
        <v>5482</v>
      </c>
      <c r="E5510" t="b">
        <f>IF(COUNTIF(D5510,"*"&amp;'Keyword Search'!$C$5&amp;"*"),TRUE,FALSE)</f>
        <v>1</v>
      </c>
      <c r="G5510" t="str">
        <f t="shared" si="354"/>
        <v>680-08: Police Protection Equipment, Body Armor and Riot Shields and Supplies</v>
      </c>
    </row>
    <row r="5511" spans="1:7" x14ac:dyDescent="0.25">
      <c r="A5511" s="1" t="str">
        <f t="shared" si="352"/>
        <v>680</v>
      </c>
      <c r="B5511" s="1" t="str">
        <f>TEXT(10,"00")</f>
        <v>10</v>
      </c>
      <c r="C5511" s="1" t="str">
        <f t="shared" si="353"/>
        <v>680-10</v>
      </c>
      <c r="D5511" t="s">
        <v>5483</v>
      </c>
      <c r="E5511" t="b">
        <f>IF(COUNTIF(D5511,"*"&amp;'Keyword Search'!$C$5&amp;"*"),TRUE,FALSE)</f>
        <v>1</v>
      </c>
      <c r="G5511" t="str">
        <f t="shared" si="354"/>
        <v>680-10: Badge Cases, Police, All Types</v>
      </c>
    </row>
    <row r="5512" spans="1:7" x14ac:dyDescent="0.25">
      <c r="A5512" s="1" t="str">
        <f t="shared" si="352"/>
        <v>680</v>
      </c>
      <c r="B5512" s="1" t="str">
        <f>TEXT(12,"00")</f>
        <v>12</v>
      </c>
      <c r="C5512" s="1" t="str">
        <f t="shared" si="353"/>
        <v>680-12</v>
      </c>
      <c r="D5512" t="s">
        <v>5484</v>
      </c>
      <c r="E5512" t="b">
        <f>IF(COUNTIF(D5512,"*"&amp;'Keyword Search'!$C$5&amp;"*"),TRUE,FALSE)</f>
        <v>1</v>
      </c>
      <c r="G5512" t="str">
        <f t="shared" si="354"/>
        <v>680-12: Belts, Cases, Holsters, Scabbards, etc.</v>
      </c>
    </row>
    <row r="5513" spans="1:7" x14ac:dyDescent="0.25">
      <c r="A5513" s="1" t="str">
        <f t="shared" si="352"/>
        <v>680</v>
      </c>
      <c r="B5513" s="1" t="str">
        <f>TEXT(20,"00")</f>
        <v>20</v>
      </c>
      <c r="C5513" s="1" t="str">
        <f t="shared" si="353"/>
        <v>680-20</v>
      </c>
      <c r="D5513" t="s">
        <v>5485</v>
      </c>
      <c r="E5513" t="b">
        <f>IF(COUNTIF(D5513,"*"&amp;'Keyword Search'!$C$5&amp;"*"),TRUE,FALSE)</f>
        <v>1</v>
      </c>
      <c r="G5513" t="str">
        <f t="shared" si="354"/>
        <v>680-20: Billies, Night Sticks and Traffic Batons</v>
      </c>
    </row>
    <row r="5514" spans="1:7" x14ac:dyDescent="0.25">
      <c r="A5514" s="1" t="str">
        <f t="shared" si="352"/>
        <v>680</v>
      </c>
      <c r="B5514" s="1" t="str">
        <f>TEXT(24,"00")</f>
        <v>24</v>
      </c>
      <c r="C5514" s="1" t="str">
        <f t="shared" si="353"/>
        <v>680-24</v>
      </c>
      <c r="D5514" t="s">
        <v>5486</v>
      </c>
      <c r="E5514" t="b">
        <f>IF(COUNTIF(D5514,"*"&amp;'Keyword Search'!$C$5&amp;"*"),TRUE,FALSE)</f>
        <v>1</v>
      </c>
      <c r="G5514" t="str">
        <f t="shared" si="354"/>
        <v>680-24: Breath Alcohol Testing Instruments and Supplies</v>
      </c>
    </row>
    <row r="5515" spans="1:7" x14ac:dyDescent="0.25">
      <c r="A5515" s="1" t="str">
        <f t="shared" si="352"/>
        <v>680</v>
      </c>
      <c r="B5515" s="1" t="str">
        <f>TEXT(28,"00")</f>
        <v>28</v>
      </c>
      <c r="C5515" s="1" t="str">
        <f t="shared" si="353"/>
        <v>680-28</v>
      </c>
      <c r="D5515" t="s">
        <v>5487</v>
      </c>
      <c r="E5515" t="b">
        <f>IF(COUNTIF(D5515,"*"&amp;'Keyword Search'!$C$5&amp;"*"),TRUE,FALSE)</f>
        <v>1</v>
      </c>
      <c r="G5515" t="str">
        <f t="shared" si="354"/>
        <v>680-28: Bullet Traps</v>
      </c>
    </row>
    <row r="5516" spans="1:7" x14ac:dyDescent="0.25">
      <c r="A5516" s="1" t="str">
        <f t="shared" si="352"/>
        <v>680</v>
      </c>
      <c r="B5516" s="1" t="str">
        <f>TEXT(32,"00")</f>
        <v>32</v>
      </c>
      <c r="C5516" s="1" t="str">
        <f t="shared" si="353"/>
        <v>680-32</v>
      </c>
      <c r="D5516" t="s">
        <v>5488</v>
      </c>
      <c r="E5516" t="b">
        <f>IF(COUNTIF(D5516,"*"&amp;'Keyword Search'!$C$5&amp;"*"),TRUE,FALSE)</f>
        <v>1</v>
      </c>
      <c r="G5516" t="str">
        <f t="shared" si="354"/>
        <v>680-32: *Burglar Alarms</v>
      </c>
    </row>
    <row r="5517" spans="1:7" x14ac:dyDescent="0.25">
      <c r="A5517" s="1" t="str">
        <f t="shared" si="352"/>
        <v>680</v>
      </c>
      <c r="B5517" s="1" t="str">
        <f>TEXT(33,"00")</f>
        <v>33</v>
      </c>
      <c r="C5517" s="1" t="str">
        <f t="shared" si="353"/>
        <v>680-33</v>
      </c>
      <c r="D5517" t="s">
        <v>5489</v>
      </c>
      <c r="E5517" t="b">
        <f>IF(COUNTIF(D5517,"*"&amp;'Keyword Search'!$C$5&amp;"*"),TRUE,FALSE)</f>
        <v>1</v>
      </c>
      <c r="G5517" t="str">
        <f t="shared" si="354"/>
        <v>680-33: Canine (K-9) Police Dogs and Training Equipment</v>
      </c>
    </row>
    <row r="5518" spans="1:7" x14ac:dyDescent="0.25">
      <c r="A5518" s="1" t="str">
        <f t="shared" si="352"/>
        <v>680</v>
      </c>
      <c r="B5518" s="1" t="str">
        <f>TEXT(34,"00")</f>
        <v>34</v>
      </c>
      <c r="C5518" s="1" t="str">
        <f t="shared" si="353"/>
        <v>680-34</v>
      </c>
      <c r="D5518" t="s">
        <v>5490</v>
      </c>
      <c r="E5518" t="b">
        <f>IF(COUNTIF(D5518,"*"&amp;'Keyword Search'!$C$5&amp;"*"),TRUE,FALSE)</f>
        <v>1</v>
      </c>
      <c r="G5518" t="str">
        <f t="shared" si="354"/>
        <v>680-34: *Citation Issuance Devices and Supplies</v>
      </c>
    </row>
    <row r="5519" spans="1:7" x14ac:dyDescent="0.25">
      <c r="A5519" s="1" t="str">
        <f t="shared" si="352"/>
        <v>680</v>
      </c>
      <c r="B5519" s="1" t="str">
        <f>TEXT(35,"00")</f>
        <v>35</v>
      </c>
      <c r="C5519" s="1" t="str">
        <f t="shared" si="353"/>
        <v>680-35</v>
      </c>
      <c r="D5519" t="s">
        <v>5491</v>
      </c>
      <c r="E5519" t="b">
        <f>IF(COUNTIF(D5519,"*"&amp;'Keyword Search'!$C$5&amp;"*"),TRUE,FALSE)</f>
        <v>1</v>
      </c>
      <c r="G5519" t="str">
        <f t="shared" si="354"/>
        <v>680-35: Chemicals for Personal Defense, Mace, etc.</v>
      </c>
    </row>
    <row r="5520" spans="1:7" x14ac:dyDescent="0.25">
      <c r="A5520" s="1" t="str">
        <f t="shared" si="352"/>
        <v>680</v>
      </c>
      <c r="B5520" s="1" t="str">
        <f>TEXT(36,"00")</f>
        <v>36</v>
      </c>
      <c r="C5520" s="1" t="str">
        <f t="shared" si="353"/>
        <v>680-36</v>
      </c>
      <c r="D5520" t="s">
        <v>5492</v>
      </c>
      <c r="E5520" t="b">
        <f>IF(COUNTIF(D5520,"*"&amp;'Keyword Search'!$C$5&amp;"*"),TRUE,FALSE)</f>
        <v>1</v>
      </c>
      <c r="G5520" t="str">
        <f t="shared" si="354"/>
        <v>680-36: Clay Targets and Skeet Range Equipment</v>
      </c>
    </row>
    <row r="5521" spans="1:7" x14ac:dyDescent="0.25">
      <c r="A5521" s="1" t="str">
        <f t="shared" si="352"/>
        <v>680</v>
      </c>
      <c r="B5521" s="1" t="str">
        <f>TEXT(40,"00")</f>
        <v>40</v>
      </c>
      <c r="C5521" s="1" t="str">
        <f t="shared" si="353"/>
        <v>680-40</v>
      </c>
      <c r="D5521" t="s">
        <v>5493</v>
      </c>
      <c r="E5521" t="b">
        <f>IF(COUNTIF(D5521,"*"&amp;'Keyword Search'!$C$5&amp;"*"),TRUE,FALSE)</f>
        <v>1</v>
      </c>
      <c r="G5521" t="str">
        <f t="shared" si="354"/>
        <v>680-40: *Composite Identification Kits and Systems</v>
      </c>
    </row>
    <row r="5522" spans="1:7" x14ac:dyDescent="0.25">
      <c r="A5522" s="1" t="str">
        <f t="shared" si="352"/>
        <v>680</v>
      </c>
      <c r="B5522" s="1" t="str">
        <f>TEXT(41,"00")</f>
        <v>41</v>
      </c>
      <c r="C5522" s="1" t="str">
        <f t="shared" si="353"/>
        <v>680-41</v>
      </c>
      <c r="D5522" t="s">
        <v>5494</v>
      </c>
      <c r="E5522" t="b">
        <f>IF(COUNTIF(D5522,"*"&amp;'Keyword Search'!$C$5&amp;"*"),TRUE,FALSE)</f>
        <v>1</v>
      </c>
      <c r="G5522" t="str">
        <f t="shared" si="354"/>
        <v>680-41: *Crime Detection Equipment and Supplies</v>
      </c>
    </row>
    <row r="5523" spans="1:7" x14ac:dyDescent="0.25">
      <c r="A5523" s="1" t="str">
        <f t="shared" si="352"/>
        <v>680</v>
      </c>
      <c r="B5523" s="1" t="str">
        <f>TEXT(42,"00")</f>
        <v>42</v>
      </c>
      <c r="C5523" s="1" t="str">
        <f t="shared" si="353"/>
        <v>680-42</v>
      </c>
      <c r="D5523" t="s">
        <v>5495</v>
      </c>
      <c r="E5523" t="b">
        <f>IF(COUNTIF(D5523,"*"&amp;'Keyword Search'!$C$5&amp;"*"),TRUE,FALSE)</f>
        <v>1</v>
      </c>
      <c r="G5523" t="str">
        <f t="shared" si="354"/>
        <v>680-42: Curtains, Security; Vehicle Security Partitions</v>
      </c>
    </row>
    <row r="5524" spans="1:7" x14ac:dyDescent="0.25">
      <c r="A5524" s="1" t="str">
        <f t="shared" si="352"/>
        <v>680</v>
      </c>
      <c r="B5524" s="1" t="str">
        <f>TEXT(44,"00")</f>
        <v>44</v>
      </c>
      <c r="C5524" s="1" t="str">
        <f t="shared" si="353"/>
        <v>680-44</v>
      </c>
      <c r="D5524" t="s">
        <v>5496</v>
      </c>
      <c r="E5524" t="b">
        <f>IF(COUNTIF(D5524,"*"&amp;'Keyword Search'!$C$5&amp;"*"),TRUE,FALSE)</f>
        <v>1</v>
      </c>
      <c r="G5524" t="str">
        <f t="shared" si="354"/>
        <v>680-44: Detectors, Gun and Metal</v>
      </c>
    </row>
    <row r="5525" spans="1:7" x14ac:dyDescent="0.25">
      <c r="A5525" s="1" t="str">
        <f t="shared" si="352"/>
        <v>680</v>
      </c>
      <c r="B5525" s="1" t="str">
        <f>TEXT(45,"00")</f>
        <v>45</v>
      </c>
      <c r="C5525" s="1" t="str">
        <f t="shared" si="353"/>
        <v>680-45</v>
      </c>
      <c r="D5525" t="s">
        <v>5497</v>
      </c>
      <c r="E5525" t="b">
        <f>IF(COUNTIF(D5525,"*"&amp;'Keyword Search'!$C$5&amp;"*"),TRUE,FALSE)</f>
        <v>1</v>
      </c>
      <c r="G5525" t="str">
        <f t="shared" si="354"/>
        <v>680-45: Explosives Storage Boxes, Bunkers, etc.</v>
      </c>
    </row>
    <row r="5526" spans="1:7" x14ac:dyDescent="0.25">
      <c r="A5526" s="1" t="str">
        <f t="shared" si="352"/>
        <v>680</v>
      </c>
      <c r="B5526" s="1" t="str">
        <f>TEXT(46,"00")</f>
        <v>46</v>
      </c>
      <c r="C5526" s="1" t="str">
        <f t="shared" si="353"/>
        <v>680-46</v>
      </c>
      <c r="D5526" t="s">
        <v>5498</v>
      </c>
      <c r="E5526" t="b">
        <f>IF(COUNTIF(D5526,"*"&amp;'Keyword Search'!$C$5&amp;"*"),TRUE,FALSE)</f>
        <v>1</v>
      </c>
      <c r="G5526" t="str">
        <f t="shared" si="354"/>
        <v>680-46: Explosives, Grenades, Accessories and Supplies</v>
      </c>
    </row>
    <row r="5527" spans="1:7" x14ac:dyDescent="0.25">
      <c r="A5527" s="1" t="str">
        <f t="shared" si="352"/>
        <v>680</v>
      </c>
      <c r="B5527" s="1" t="str">
        <f>TEXT(47,"00")</f>
        <v>47</v>
      </c>
      <c r="C5527" s="1" t="str">
        <f t="shared" si="353"/>
        <v>680-47</v>
      </c>
      <c r="D5527" t="s">
        <v>5499</v>
      </c>
      <c r="E5527" t="b">
        <f>IF(COUNTIF(D5527,"*"&amp;'Keyword Search'!$C$5&amp;"*"),TRUE,FALSE)</f>
        <v>1</v>
      </c>
      <c r="G5527" t="str">
        <f t="shared" si="354"/>
        <v>680-47: Evidence Bags, Containers and Supplies, Including Drug Disposal Equipment</v>
      </c>
    </row>
    <row r="5528" spans="1:7" x14ac:dyDescent="0.25">
      <c r="A5528" s="1" t="str">
        <f t="shared" si="352"/>
        <v>680</v>
      </c>
      <c r="B5528" s="1" t="str">
        <f>TEXT(48,"00")</f>
        <v>48</v>
      </c>
      <c r="C5528" s="1" t="str">
        <f t="shared" si="353"/>
        <v>680-48</v>
      </c>
      <c r="D5528" t="s">
        <v>5500</v>
      </c>
      <c r="E5528" t="b">
        <f>IF(COUNTIF(D5528,"*"&amp;'Keyword Search'!$C$5&amp;"*"),TRUE,FALSE)</f>
        <v>1</v>
      </c>
      <c r="G5528" t="str">
        <f t="shared" si="354"/>
        <v>680-48: Finger and Foot Printing Equipment, Accessories, and Supplies, Including Laser and Cyanoacrylate Fuming Chambers</v>
      </c>
    </row>
    <row r="5529" spans="1:7" x14ac:dyDescent="0.25">
      <c r="A5529" s="1" t="str">
        <f t="shared" si="352"/>
        <v>680</v>
      </c>
      <c r="B5529" s="1" t="str">
        <f>TEXT(49,"00")</f>
        <v>49</v>
      </c>
      <c r="C5529" s="1" t="str">
        <f t="shared" si="353"/>
        <v>680-49</v>
      </c>
      <c r="D5529" t="s">
        <v>5501</v>
      </c>
      <c r="E5529" t="b">
        <f>IF(COUNTIF(D5529,"*"&amp;'Keyword Search'!$C$5&amp;"*"),TRUE,FALSE)</f>
        <v>1</v>
      </c>
      <c r="G5529" t="str">
        <f t="shared" si="354"/>
        <v>680-49: *Firearms Training Simulators</v>
      </c>
    </row>
    <row r="5530" spans="1:7" x14ac:dyDescent="0.25">
      <c r="A5530" s="1" t="str">
        <f t="shared" si="352"/>
        <v>680</v>
      </c>
      <c r="B5530" s="1" t="str">
        <f>TEXT(50,"00")</f>
        <v>50</v>
      </c>
      <c r="C5530" s="1" t="str">
        <f t="shared" si="353"/>
        <v>680-50</v>
      </c>
      <c r="D5530" t="s">
        <v>5502</v>
      </c>
      <c r="E5530" t="b">
        <f>IF(COUNTIF(D5530,"*"&amp;'Keyword Search'!$C$5&amp;"*"),TRUE,FALSE)</f>
        <v>1</v>
      </c>
      <c r="G5530" t="str">
        <f t="shared" si="354"/>
        <v>680-50: Guns, Nonlethal, Including Stun, Taser Weapons, (See 680-54 for EMD Weapons)</v>
      </c>
    </row>
    <row r="5531" spans="1:7" x14ac:dyDescent="0.25">
      <c r="A5531" s="1" t="str">
        <f t="shared" si="352"/>
        <v>680</v>
      </c>
      <c r="B5531" s="1" t="str">
        <f>TEXT(51,"00")</f>
        <v>51</v>
      </c>
      <c r="C5531" s="1" t="str">
        <f t="shared" si="353"/>
        <v>680-51</v>
      </c>
      <c r="D5531" t="s">
        <v>5503</v>
      </c>
      <c r="E5531" t="b">
        <f>IF(COUNTIF(D5531,"*"&amp;'Keyword Search'!$C$5&amp;"*"),TRUE,FALSE)</f>
        <v>1</v>
      </c>
      <c r="G5531" t="str">
        <f t="shared" si="354"/>
        <v>680-51: Forced Entry Equipment and Supplies, Battering Rams, etc.)</v>
      </c>
    </row>
    <row r="5532" spans="1:7" x14ac:dyDescent="0.25">
      <c r="A5532" s="1" t="str">
        <f t="shared" si="352"/>
        <v>680</v>
      </c>
      <c r="B5532" s="1" t="str">
        <f>TEXT(52,"00")</f>
        <v>52</v>
      </c>
      <c r="C5532" s="1" t="str">
        <f t="shared" si="353"/>
        <v>680-52</v>
      </c>
      <c r="D5532" t="s">
        <v>5504</v>
      </c>
      <c r="E5532" t="b">
        <f>IF(COUNTIF(D5532,"*"&amp;'Keyword Search'!$C$5&amp;"*"),TRUE,FALSE)</f>
        <v>1</v>
      </c>
      <c r="G5532" t="str">
        <f t="shared" si="354"/>
        <v>680-52: Guns, Pistols, Rifles, and Shotguns, Including Parts and Accessories, (See 680-86 for Scopes)</v>
      </c>
    </row>
    <row r="5533" spans="1:7" x14ac:dyDescent="0.25">
      <c r="A5533" s="1" t="str">
        <f t="shared" si="352"/>
        <v>680</v>
      </c>
      <c r="B5533" s="1" t="str">
        <f>TEXT(53,"00")</f>
        <v>53</v>
      </c>
      <c r="C5533" s="1" t="str">
        <f t="shared" si="353"/>
        <v>680-53</v>
      </c>
      <c r="D5533" t="s">
        <v>5505</v>
      </c>
      <c r="E5533" t="b">
        <f>IF(COUNTIF(D5533,"*"&amp;'Keyword Search'!$C$5&amp;"*"),TRUE,FALSE)</f>
        <v>1</v>
      </c>
      <c r="G5533" t="str">
        <f t="shared" si="354"/>
        <v>680-53: Guns, Machine, Including Other Military Style Weapons</v>
      </c>
    </row>
    <row r="5534" spans="1:7" x14ac:dyDescent="0.25">
      <c r="A5534" s="1" t="str">
        <f t="shared" si="352"/>
        <v>680</v>
      </c>
      <c r="B5534" s="1" t="str">
        <f>TEXT(54,"00")</f>
        <v>54</v>
      </c>
      <c r="C5534" s="1" t="str">
        <f t="shared" si="353"/>
        <v>680-54</v>
      </c>
      <c r="D5534" t="s">
        <v>5506</v>
      </c>
      <c r="E5534" t="b">
        <f>IF(COUNTIF(D5534,"*"&amp;'Keyword Search'!$C$5&amp;"*"),TRUE,FALSE)</f>
        <v>1</v>
      </c>
      <c r="G5534" t="str">
        <f t="shared" si="354"/>
        <v>680-54: Guns, Electro-Muscular Disruption (EMD) (See 680-50 for Stun Guns)</v>
      </c>
    </row>
    <row r="5535" spans="1:7" x14ac:dyDescent="0.25">
      <c r="A5535" s="1" t="str">
        <f t="shared" si="352"/>
        <v>680</v>
      </c>
      <c r="B5535" s="1" t="str">
        <f>TEXT(56,"00")</f>
        <v>56</v>
      </c>
      <c r="C5535" s="1" t="str">
        <f t="shared" si="353"/>
        <v>680-56</v>
      </c>
      <c r="D5535" t="s">
        <v>5507</v>
      </c>
      <c r="E5535" t="b">
        <f>IF(COUNTIF(D5535,"*"&amp;'Keyword Search'!$C$5&amp;"*"),TRUE,FALSE)</f>
        <v>1</v>
      </c>
      <c r="G5535" t="str">
        <f t="shared" si="354"/>
        <v>680-56: Gun Cleaning Supplies: Patches, Rods, Silicone Cloths, Solvents and Brushes, etc.</v>
      </c>
    </row>
    <row r="5536" spans="1:7" x14ac:dyDescent="0.25">
      <c r="A5536" s="1" t="str">
        <f t="shared" si="352"/>
        <v>680</v>
      </c>
      <c r="B5536" s="1" t="str">
        <f>TEXT(57,"00")</f>
        <v>57</v>
      </c>
      <c r="C5536" s="1" t="str">
        <f t="shared" si="353"/>
        <v>680-57</v>
      </c>
      <c r="D5536" t="s">
        <v>5508</v>
      </c>
      <c r="E5536" t="b">
        <f>IF(COUNTIF(D5536,"*"&amp;'Keyword Search'!$C$5&amp;"*"),TRUE,FALSE)</f>
        <v>1</v>
      </c>
      <c r="G5536" t="str">
        <f t="shared" si="354"/>
        <v>680-57: Gun Rifling Machines</v>
      </c>
    </row>
    <row r="5537" spans="1:7" x14ac:dyDescent="0.25">
      <c r="A5537" s="1" t="str">
        <f t="shared" si="352"/>
        <v>680</v>
      </c>
      <c r="B5537" s="1" t="str">
        <f>TEXT(58,"00")</f>
        <v>58</v>
      </c>
      <c r="C5537" s="1" t="str">
        <f t="shared" si="353"/>
        <v>680-58</v>
      </c>
      <c r="D5537" t="s">
        <v>5509</v>
      </c>
      <c r="E5537" t="b">
        <f>IF(COUNTIF(D5537,"*"&amp;'Keyword Search'!$C$5&amp;"*"),TRUE,FALSE)</f>
        <v>1</v>
      </c>
      <c r="G5537" t="str">
        <f t="shared" si="354"/>
        <v>680-58: Gun Locks and Safes for Guns and Ammunition, All Types</v>
      </c>
    </row>
    <row r="5538" spans="1:7" x14ac:dyDescent="0.25">
      <c r="A5538" s="1" t="str">
        <f t="shared" si="352"/>
        <v>680</v>
      </c>
      <c r="B5538" s="1" t="str">
        <f>TEXT(59,"00")</f>
        <v>59</v>
      </c>
      <c r="C5538" s="1" t="str">
        <f t="shared" si="353"/>
        <v>680-59</v>
      </c>
      <c r="D5538" t="s">
        <v>5510</v>
      </c>
      <c r="E5538" t="b">
        <f>IF(COUNTIF(D5538,"*"&amp;'Keyword Search'!$C$5&amp;"*"),TRUE,FALSE)</f>
        <v>1</v>
      </c>
      <c r="G5538" t="str">
        <f t="shared" si="354"/>
        <v>680-59: *Identity Tracking Devices</v>
      </c>
    </row>
    <row r="5539" spans="1:7" x14ac:dyDescent="0.25">
      <c r="A5539" s="1" t="str">
        <f t="shared" si="352"/>
        <v>680</v>
      </c>
      <c r="B5539" s="1" t="str">
        <f>TEXT(60,"00")</f>
        <v>60</v>
      </c>
      <c r="C5539" s="1" t="str">
        <f t="shared" si="353"/>
        <v>680-60</v>
      </c>
      <c r="D5539" t="s">
        <v>5511</v>
      </c>
      <c r="E5539" t="b">
        <f>IF(COUNTIF(D5539,"*"&amp;'Keyword Search'!$C$5&amp;"*"),TRUE,FALSE)</f>
        <v>1</v>
      </c>
      <c r="G5539" t="str">
        <f t="shared" si="354"/>
        <v>680-60: Handcuffs, Leg Irons, Strap and Loop Style</v>
      </c>
    </row>
    <row r="5540" spans="1:7" x14ac:dyDescent="0.25">
      <c r="A5540" s="1" t="str">
        <f t="shared" si="352"/>
        <v>680</v>
      </c>
      <c r="B5540" s="1" t="str">
        <f>TEXT(61,"00")</f>
        <v>61</v>
      </c>
      <c r="C5540" s="1" t="str">
        <f t="shared" si="353"/>
        <v>680-61</v>
      </c>
      <c r="D5540" t="s">
        <v>5512</v>
      </c>
      <c r="E5540" t="b">
        <f>IF(COUNTIF(D5540,"*"&amp;'Keyword Search'!$C$5&amp;"*"),TRUE,FALSE)</f>
        <v>1</v>
      </c>
      <c r="G5540" t="str">
        <f t="shared" si="354"/>
        <v>680-61: Lockers, Security and Evidence</v>
      </c>
    </row>
    <row r="5541" spans="1:7" x14ac:dyDescent="0.25">
      <c r="A5541" s="1" t="str">
        <f t="shared" si="352"/>
        <v>680</v>
      </c>
      <c r="B5541" s="1" t="str">
        <f>TEXT(62,"00")</f>
        <v>62</v>
      </c>
      <c r="C5541" s="1" t="str">
        <f t="shared" si="353"/>
        <v>680-62</v>
      </c>
      <c r="D5541" t="s">
        <v>5513</v>
      </c>
      <c r="E5541" t="b">
        <f>IF(COUNTIF(D5541,"*"&amp;'Keyword Search'!$C$5&amp;"*"),TRUE,FALSE)</f>
        <v>1</v>
      </c>
      <c r="G5541" t="str">
        <f t="shared" si="354"/>
        <v>680-62: Megaphones, Whistles, etc.</v>
      </c>
    </row>
    <row r="5542" spans="1:7" x14ac:dyDescent="0.25">
      <c r="A5542" s="1" t="str">
        <f t="shared" si="352"/>
        <v>680</v>
      </c>
      <c r="B5542" s="1" t="str">
        <f>TEXT(63,"00")</f>
        <v>63</v>
      </c>
      <c r="C5542" s="1" t="str">
        <f t="shared" si="353"/>
        <v>680-63</v>
      </c>
      <c r="D5542" t="s">
        <v>5514</v>
      </c>
      <c r="E5542" t="b">
        <f>IF(COUNTIF(D5542,"*"&amp;'Keyword Search'!$C$5&amp;"*"),TRUE,FALSE)</f>
        <v>1</v>
      </c>
      <c r="G5542" t="str">
        <f t="shared" si="354"/>
        <v>680-63: Maintenance Stands, Fixtures, and Jigs for Weapons</v>
      </c>
    </row>
    <row r="5543" spans="1:7" x14ac:dyDescent="0.25">
      <c r="A5543" s="1" t="str">
        <f t="shared" si="352"/>
        <v>680</v>
      </c>
      <c r="B5543" s="1" t="str">
        <f>TEXT(65,"00")</f>
        <v>65</v>
      </c>
      <c r="C5543" s="1" t="str">
        <f t="shared" si="353"/>
        <v>680-65</v>
      </c>
      <c r="D5543" t="s">
        <v>5515</v>
      </c>
      <c r="E5543" t="b">
        <f>IF(COUNTIF(D5543,"*"&amp;'Keyword Search'!$C$5&amp;"*"),TRUE,FALSE)</f>
        <v>1</v>
      </c>
      <c r="G5543" t="str">
        <f t="shared" si="354"/>
        <v>680-65: *Night Vision Systems</v>
      </c>
    </row>
    <row r="5544" spans="1:7" x14ac:dyDescent="0.25">
      <c r="A5544" s="1" t="str">
        <f t="shared" si="352"/>
        <v>680</v>
      </c>
      <c r="B5544" s="1" t="str">
        <f>TEXT(66,"00")</f>
        <v>66</v>
      </c>
      <c r="C5544" s="1" t="str">
        <f t="shared" si="353"/>
        <v>680-66</v>
      </c>
      <c r="D5544" t="s">
        <v>5516</v>
      </c>
      <c r="E5544" t="b">
        <f>IF(COUNTIF(D5544,"*"&amp;'Keyword Search'!$C$5&amp;"*"),TRUE,FALSE)</f>
        <v>1</v>
      </c>
      <c r="G5544" t="str">
        <f t="shared" si="354"/>
        <v>680-66: *Police Investigation Robots</v>
      </c>
    </row>
    <row r="5545" spans="1:7" x14ac:dyDescent="0.25">
      <c r="A5545" s="1" t="str">
        <f t="shared" si="352"/>
        <v>680</v>
      </c>
      <c r="B5545" s="1" t="str">
        <f>TEXT(67,"00")</f>
        <v>67</v>
      </c>
      <c r="C5545" s="1" t="str">
        <f t="shared" si="353"/>
        <v>680-67</v>
      </c>
      <c r="D5545" t="s">
        <v>5517</v>
      </c>
      <c r="E5545" t="b">
        <f>IF(COUNTIF(D5545,"*"&amp;'Keyword Search'!$C$5&amp;"*"),TRUE,FALSE)</f>
        <v>1</v>
      </c>
      <c r="G5545" t="str">
        <f t="shared" si="354"/>
        <v>680-67: Police Training and Instructional Aids: Wall Charts, etc.</v>
      </c>
    </row>
    <row r="5546" spans="1:7" x14ac:dyDescent="0.25">
      <c r="A5546" s="1" t="str">
        <f t="shared" si="352"/>
        <v>680</v>
      </c>
      <c r="B5546" s="1" t="str">
        <f>TEXT(68,"00")</f>
        <v>68</v>
      </c>
      <c r="C5546" s="1" t="str">
        <f t="shared" si="353"/>
        <v>680-68</v>
      </c>
      <c r="D5546" t="s">
        <v>5518</v>
      </c>
      <c r="E5546" t="b">
        <f>IF(COUNTIF(D5546,"*"&amp;'Keyword Search'!$C$5&amp;"*"),TRUE,FALSE)</f>
        <v>1</v>
      </c>
      <c r="G5546" t="str">
        <f t="shared" si="354"/>
        <v>680-68: Polygraph Equipment and Supplies</v>
      </c>
    </row>
    <row r="5547" spans="1:7" x14ac:dyDescent="0.25">
      <c r="A5547" s="1" t="str">
        <f t="shared" si="352"/>
        <v>680</v>
      </c>
      <c r="B5547" s="1" t="str">
        <f>TEXT(70,"00")</f>
        <v>70</v>
      </c>
      <c r="C5547" s="1" t="str">
        <f t="shared" si="353"/>
        <v>680-70</v>
      </c>
      <c r="D5547" t="s">
        <v>5519</v>
      </c>
      <c r="E5547" t="b">
        <f>IF(COUNTIF(D5547,"*"&amp;'Keyword Search'!$C$5&amp;"*"),TRUE,FALSE)</f>
        <v>1</v>
      </c>
      <c r="G5547" t="str">
        <f t="shared" si="354"/>
        <v>680-70: Correctional Facility Commissary Store Equipment and Accessories</v>
      </c>
    </row>
    <row r="5548" spans="1:7" x14ac:dyDescent="0.25">
      <c r="A5548" s="1" t="str">
        <f t="shared" si="352"/>
        <v>680</v>
      </c>
      <c r="B5548" s="1" t="str">
        <f>TEXT(71,"00")</f>
        <v>71</v>
      </c>
      <c r="C5548" s="1" t="str">
        <f t="shared" si="353"/>
        <v>680-71</v>
      </c>
      <c r="D5548" t="s">
        <v>5520</v>
      </c>
      <c r="E5548" t="b">
        <f>IF(COUNTIF(D5548,"*"&amp;'Keyword Search'!$C$5&amp;"*"),TRUE,FALSE)</f>
        <v>1</v>
      </c>
      <c r="G5548" t="str">
        <f t="shared" si="354"/>
        <v>680-71: *Inmate Tracking Devices, Electronic, Wrist and Leg Bands, etc.</v>
      </c>
    </row>
    <row r="5549" spans="1:7" x14ac:dyDescent="0.25">
      <c r="A5549" s="1" t="str">
        <f t="shared" si="352"/>
        <v>680</v>
      </c>
      <c r="B5549" s="1" t="str">
        <f>TEXT(72,"00")</f>
        <v>72</v>
      </c>
      <c r="C5549" s="1" t="str">
        <f t="shared" si="353"/>
        <v>680-72</v>
      </c>
      <c r="D5549" t="s">
        <v>5521</v>
      </c>
      <c r="E5549" t="b">
        <f>IF(COUNTIF(D5549,"*"&amp;'Keyword Search'!$C$5&amp;"*"),TRUE,FALSE)</f>
        <v>1</v>
      </c>
      <c r="G5549" t="str">
        <f t="shared" si="354"/>
        <v>680-72: *Correctional Facility Equipment, Cell Blocks, and Accessories, Including Control Panels, Door Control Relays, Furniture, etc.</v>
      </c>
    </row>
    <row r="5550" spans="1:7" x14ac:dyDescent="0.25">
      <c r="A5550" s="1" t="str">
        <f t="shared" si="352"/>
        <v>680</v>
      </c>
      <c r="B5550" s="1" t="str">
        <f>TEXT(73,"00")</f>
        <v>73</v>
      </c>
      <c r="C5550" s="1" t="str">
        <f t="shared" si="353"/>
        <v>680-73</v>
      </c>
      <c r="D5550" t="s">
        <v>5522</v>
      </c>
      <c r="E5550" t="b">
        <f>IF(COUNTIF(D5550,"*"&amp;'Keyword Search'!$C$5&amp;"*"),TRUE,FALSE)</f>
        <v>1</v>
      </c>
      <c r="G5550" t="str">
        <f t="shared" si="354"/>
        <v>680-73: *Inmate Identification Equipment and Supplies</v>
      </c>
    </row>
    <row r="5551" spans="1:7" x14ac:dyDescent="0.25">
      <c r="A5551" s="1" t="str">
        <f t="shared" si="352"/>
        <v>680</v>
      </c>
      <c r="B5551" s="1" t="str">
        <f>TEXT(74,"00")</f>
        <v>74</v>
      </c>
      <c r="C5551" s="1" t="str">
        <f t="shared" si="353"/>
        <v>680-74</v>
      </c>
      <c r="D5551" t="s">
        <v>5523</v>
      </c>
      <c r="E5551" t="b">
        <f>IF(COUNTIF(D5551,"*"&amp;'Keyword Search'!$C$5&amp;"*"),TRUE,FALSE)</f>
        <v>1</v>
      </c>
      <c r="G5551" t="str">
        <f t="shared" si="354"/>
        <v>680-74: Pyrotechnics for Law Enforcement (see 578-36 for Fireworks)</v>
      </c>
    </row>
    <row r="5552" spans="1:7" x14ac:dyDescent="0.25">
      <c r="A5552" s="1" t="str">
        <f t="shared" si="352"/>
        <v>680</v>
      </c>
      <c r="B5552" s="1" t="str">
        <f>TEXT(76,"00")</f>
        <v>76</v>
      </c>
      <c r="C5552" s="1" t="str">
        <f t="shared" si="353"/>
        <v>680-76</v>
      </c>
      <c r="D5552" t="s">
        <v>5524</v>
      </c>
      <c r="E5552" t="b">
        <f>IF(COUNTIF(D5552,"*"&amp;'Keyword Search'!$C$5&amp;"*"),TRUE,FALSE)</f>
        <v>1</v>
      </c>
      <c r="G5552" t="str">
        <f t="shared" si="354"/>
        <v>680-76: Racks, Gun (See 055-74 for Vehicle Racks)</v>
      </c>
    </row>
    <row r="5553" spans="1:7" x14ac:dyDescent="0.25">
      <c r="A5553" s="1" t="str">
        <f t="shared" si="352"/>
        <v>680</v>
      </c>
      <c r="B5553" s="1" t="str">
        <f>TEXT(77,"00")</f>
        <v>77</v>
      </c>
      <c r="C5553" s="1" t="str">
        <f t="shared" si="353"/>
        <v>680-77</v>
      </c>
      <c r="D5553" t="s">
        <v>5525</v>
      </c>
      <c r="E5553" t="b">
        <f>IF(COUNTIF(D5553,"*"&amp;'Keyword Search'!$C$5&amp;"*"),TRUE,FALSE)</f>
        <v>1</v>
      </c>
      <c r="G5553" t="str">
        <f t="shared" si="354"/>
        <v>680-77: *Radar Instruments, Traffic Enforcement Type (Including Laser Speed Measuring, Ranging Devices, Radar Instruments Equipped w/Cameras and Lidar Equipment (Laser)</v>
      </c>
    </row>
    <row r="5554" spans="1:7" x14ac:dyDescent="0.25">
      <c r="A5554" s="1" t="str">
        <f t="shared" si="352"/>
        <v>680</v>
      </c>
      <c r="B5554" s="1" t="str">
        <f>TEXT(78,"00")</f>
        <v>78</v>
      </c>
      <c r="C5554" s="1" t="str">
        <f t="shared" si="353"/>
        <v>680-78</v>
      </c>
      <c r="D5554" t="s">
        <v>5526</v>
      </c>
      <c r="E5554" t="b">
        <f>IF(COUNTIF(D5554,"*"&amp;'Keyword Search'!$C$5&amp;"*"),TRUE,FALSE)</f>
        <v>1</v>
      </c>
      <c r="G5554" t="str">
        <f t="shared" si="354"/>
        <v>680-78: Recoil Pads</v>
      </c>
    </row>
    <row r="5555" spans="1:7" x14ac:dyDescent="0.25">
      <c r="A5555" s="1" t="str">
        <f t="shared" si="352"/>
        <v>680</v>
      </c>
      <c r="B5555" s="1" t="str">
        <f>TEXT(79,"00")</f>
        <v>79</v>
      </c>
      <c r="C5555" s="1" t="str">
        <f t="shared" si="353"/>
        <v>680-79</v>
      </c>
      <c r="D5555" t="s">
        <v>5527</v>
      </c>
      <c r="E5555" t="b">
        <f>IF(COUNTIF(D5555,"*"&amp;'Keyword Search'!$C$5&amp;"*"),TRUE,FALSE)</f>
        <v>1</v>
      </c>
      <c r="G5555" t="str">
        <f t="shared" si="354"/>
        <v>680-79: Refurbished Police Equipment, Accessories and Supplies</v>
      </c>
    </row>
    <row r="5556" spans="1:7" x14ac:dyDescent="0.25">
      <c r="A5556" s="1" t="str">
        <f t="shared" si="352"/>
        <v>680</v>
      </c>
      <c r="B5556" s="1" t="str">
        <f>TEXT(80,"00")</f>
        <v>80</v>
      </c>
      <c r="C5556" s="1" t="str">
        <f t="shared" si="353"/>
        <v>680-80</v>
      </c>
      <c r="D5556" t="s">
        <v>5528</v>
      </c>
      <c r="E5556" t="b">
        <f>IF(COUNTIF(D5556,"*"&amp;'Keyword Search'!$C$5&amp;"*"),TRUE,FALSE)</f>
        <v>1</v>
      </c>
      <c r="G5556" t="str">
        <f t="shared" si="354"/>
        <v>680-80: Reloading Equipment and Supplies</v>
      </c>
    </row>
    <row r="5557" spans="1:7" x14ac:dyDescent="0.25">
      <c r="A5557" s="1" t="str">
        <f t="shared" si="352"/>
        <v>680</v>
      </c>
      <c r="B5557" s="1" t="str">
        <f>TEXT(82,"00")</f>
        <v>82</v>
      </c>
      <c r="C5557" s="1" t="str">
        <f t="shared" si="353"/>
        <v>680-82</v>
      </c>
      <c r="D5557" t="s">
        <v>5529</v>
      </c>
      <c r="E5557" t="b">
        <f>IF(COUNTIF(D5557,"*"&amp;'Keyword Search'!$C$5&amp;"*"),TRUE,FALSE)</f>
        <v>1</v>
      </c>
      <c r="G5557" t="str">
        <f t="shared" si="354"/>
        <v>680-82: *Remote Operations Equipment</v>
      </c>
    </row>
    <row r="5558" spans="1:7" x14ac:dyDescent="0.25">
      <c r="A5558" s="1" t="str">
        <f t="shared" si="352"/>
        <v>680</v>
      </c>
      <c r="B5558" s="1" t="str">
        <f>TEXT(84,"00")</f>
        <v>84</v>
      </c>
      <c r="C5558" s="1" t="str">
        <f t="shared" si="353"/>
        <v>680-84</v>
      </c>
      <c r="D5558" t="s">
        <v>5530</v>
      </c>
      <c r="E5558" t="b">
        <f>IF(COUNTIF(D5558,"*"&amp;'Keyword Search'!$C$5&amp;"*"),TRUE,FALSE)</f>
        <v>1</v>
      </c>
      <c r="G5558" t="str">
        <f t="shared" si="354"/>
        <v>680-84: Riot and Crowd Control Equipment (Not Otherwise Classified)</v>
      </c>
    </row>
    <row r="5559" spans="1:7" x14ac:dyDescent="0.25">
      <c r="A5559" s="1" t="str">
        <f t="shared" si="352"/>
        <v>680</v>
      </c>
      <c r="B5559" s="1" t="str">
        <f>TEXT(85,"00")</f>
        <v>85</v>
      </c>
      <c r="C5559" s="1" t="str">
        <f t="shared" si="353"/>
        <v>680-85</v>
      </c>
      <c r="D5559" t="s">
        <v>5531</v>
      </c>
      <c r="E5559" t="b">
        <f>IF(COUNTIF(D5559,"*"&amp;'Keyword Search'!$C$5&amp;"*"),TRUE,FALSE)</f>
        <v>1</v>
      </c>
      <c r="G5559" t="str">
        <f t="shared" si="354"/>
        <v>680-85: Road Spikes (For Use by Police to Stop Vehicles on the Road)</v>
      </c>
    </row>
    <row r="5560" spans="1:7" x14ac:dyDescent="0.25">
      <c r="A5560" s="1" t="str">
        <f t="shared" si="352"/>
        <v>680</v>
      </c>
      <c r="B5560" s="1" t="str">
        <f>TEXT(86,"00")</f>
        <v>86</v>
      </c>
      <c r="C5560" s="1" t="str">
        <f t="shared" si="353"/>
        <v>680-86</v>
      </c>
      <c r="D5560" t="s">
        <v>5532</v>
      </c>
      <c r="E5560" t="b">
        <f>IF(COUNTIF(D5560,"*"&amp;'Keyword Search'!$C$5&amp;"*"),TRUE,FALSE)</f>
        <v>1</v>
      </c>
      <c r="G5560" t="str">
        <f t="shared" si="354"/>
        <v>680-86: Scopes, Rifle and Range</v>
      </c>
    </row>
    <row r="5561" spans="1:7" x14ac:dyDescent="0.25">
      <c r="A5561" s="1" t="str">
        <f t="shared" si="352"/>
        <v>680</v>
      </c>
      <c r="B5561" s="1" t="str">
        <f>TEXT(87,"00")</f>
        <v>87</v>
      </c>
      <c r="C5561" s="1" t="str">
        <f t="shared" si="353"/>
        <v>680-87</v>
      </c>
      <c r="D5561" t="s">
        <v>5533</v>
      </c>
      <c r="E5561" t="b">
        <f>IF(COUNTIF(D5561,"*"&amp;'Keyword Search'!$C$5&amp;"*"),TRUE,FALSE)</f>
        <v>1</v>
      </c>
      <c r="G5561" t="str">
        <f t="shared" si="354"/>
        <v>680-87: *Surveillance Cameras and Counter-Surveillance Equipment and Supplies</v>
      </c>
    </row>
    <row r="5562" spans="1:7" x14ac:dyDescent="0.25">
      <c r="A5562" s="1" t="str">
        <f t="shared" si="352"/>
        <v>680</v>
      </c>
      <c r="B5562" s="1" t="str">
        <f>TEXT(88,"00")</f>
        <v>88</v>
      </c>
      <c r="C5562" s="1" t="str">
        <f t="shared" si="353"/>
        <v>680-88</v>
      </c>
      <c r="D5562" t="s">
        <v>5534</v>
      </c>
      <c r="E5562" t="b">
        <f>IF(COUNTIF(D5562,"*"&amp;'Keyword Search'!$C$5&amp;"*"),TRUE,FALSE)</f>
        <v>1</v>
      </c>
      <c r="G5562" t="str">
        <f t="shared" si="354"/>
        <v>680-88: Targets, Target Pasters, and Rifle Range Equipment, Including Portable Shooting Ranges and Range Finders</v>
      </c>
    </row>
    <row r="5563" spans="1:7" x14ac:dyDescent="0.25">
      <c r="A5563" s="1" t="str">
        <f t="shared" si="352"/>
        <v>680</v>
      </c>
      <c r="B5563" s="1" t="str">
        <f>TEXT(89,"00")</f>
        <v>89</v>
      </c>
      <c r="C5563" s="1" t="str">
        <f t="shared" si="353"/>
        <v>680-89</v>
      </c>
      <c r="D5563" t="s">
        <v>5535</v>
      </c>
      <c r="E5563" t="b">
        <f>IF(COUNTIF(D5563,"*"&amp;'Keyword Search'!$C$5&amp;"*"),TRUE,FALSE)</f>
        <v>1</v>
      </c>
      <c r="G5563" t="str">
        <f t="shared" si="354"/>
        <v>680-89: Shooting Ranges, Portable</v>
      </c>
    </row>
    <row r="5564" spans="1:7" x14ac:dyDescent="0.25">
      <c r="A5564" s="1" t="str">
        <f t="shared" si="352"/>
        <v>680</v>
      </c>
      <c r="B5564" s="1" t="str">
        <f>TEXT(92,"00")</f>
        <v>92</v>
      </c>
      <c r="C5564" s="1" t="str">
        <f t="shared" si="353"/>
        <v>680-92</v>
      </c>
      <c r="D5564" t="s">
        <v>5536</v>
      </c>
      <c r="E5564" t="b">
        <f>IF(COUNTIF(D5564,"*"&amp;'Keyword Search'!$C$5&amp;"*"),TRUE,FALSE)</f>
        <v>1</v>
      </c>
      <c r="G5564" t="str">
        <f t="shared" si="354"/>
        <v>680-92: Tear Gas, Tear Gas Guns, and Ammunition</v>
      </c>
    </row>
    <row r="5565" spans="1:7" x14ac:dyDescent="0.25">
      <c r="A5565" s="1" t="str">
        <f t="shared" si="352"/>
        <v>680</v>
      </c>
      <c r="B5565" s="1" t="str">
        <f>TEXT(93,"00")</f>
        <v>93</v>
      </c>
      <c r="C5565" s="1" t="str">
        <f t="shared" si="353"/>
        <v>680-93</v>
      </c>
      <c r="D5565" t="s">
        <v>5537</v>
      </c>
      <c r="E5565" t="b">
        <f>IF(COUNTIF(D5565,"*"&amp;'Keyword Search'!$C$5&amp;"*"),TRUE,FALSE)</f>
        <v>1</v>
      </c>
      <c r="G5565" t="str">
        <f t="shared" si="354"/>
        <v>680-93: Test Equipment and Supplies: Criminology Kits, Metal Reagents, Paraffin, Sexual Assault Exam Kits, etc. (Including Technical Equipment and Supplies Used in Police Laboratories)</v>
      </c>
    </row>
    <row r="5566" spans="1:7" x14ac:dyDescent="0.25">
      <c r="A5566" s="1" t="str">
        <f t="shared" si="352"/>
        <v>680</v>
      </c>
      <c r="B5566" s="1" t="str">
        <f>TEXT(94,"00")</f>
        <v>94</v>
      </c>
      <c r="C5566" s="1" t="str">
        <f t="shared" si="353"/>
        <v>680-94</v>
      </c>
      <c r="D5566" t="s">
        <v>5538</v>
      </c>
      <c r="E5566" t="b">
        <f>IF(COUNTIF(D5566,"*"&amp;'Keyword Search'!$C$5&amp;"*"),TRUE,FALSE)</f>
        <v>1</v>
      </c>
      <c r="G5566" t="str">
        <f t="shared" si="354"/>
        <v>680-94: Tire Markers and Supplies</v>
      </c>
    </row>
    <row r="5567" spans="1:7" x14ac:dyDescent="0.25">
      <c r="A5567" s="1" t="str">
        <f t="shared" si="352"/>
        <v>680</v>
      </c>
      <c r="B5567" s="1" t="str">
        <f>TEXT(95,"00")</f>
        <v>95</v>
      </c>
      <c r="C5567" s="1" t="str">
        <f t="shared" si="353"/>
        <v>680-95</v>
      </c>
      <c r="D5567" t="s">
        <v>5539</v>
      </c>
      <c r="E5567" t="b">
        <f>IF(COUNTIF(D5567,"*"&amp;'Keyword Search'!$C$5&amp;"*"),TRUE,FALSE)</f>
        <v>1</v>
      </c>
      <c r="G5567" t="str">
        <f t="shared" si="354"/>
        <v>680-95: Tools, Gunsmith's: Borescopes, etc.</v>
      </c>
    </row>
    <row r="5568" spans="1:7" x14ac:dyDescent="0.25">
      <c r="A5568" s="1" t="str">
        <f t="shared" si="352"/>
        <v>680</v>
      </c>
      <c r="B5568" s="1" t="str">
        <f>TEXT(96,"00")</f>
        <v>96</v>
      </c>
      <c r="C5568" s="1" t="str">
        <f t="shared" si="353"/>
        <v>680-96</v>
      </c>
      <c r="D5568" t="s">
        <v>5540</v>
      </c>
      <c r="E5568" t="b">
        <f>IF(COUNTIF(D5568,"*"&amp;'Keyword Search'!$C$5&amp;"*"),TRUE,FALSE)</f>
        <v>1</v>
      </c>
      <c r="G5568" t="str">
        <f t="shared" si="354"/>
        <v>680-96: Traffic Batons</v>
      </c>
    </row>
    <row r="5569" spans="1:7" x14ac:dyDescent="0.25">
      <c r="A5569" s="1" t="str">
        <f t="shared" ref="A5569" si="355">TEXT(680,"000")</f>
        <v>680</v>
      </c>
      <c r="B5569" s="1" t="str">
        <f>TEXT(97,"00")</f>
        <v>97</v>
      </c>
      <c r="C5569" s="1" t="str">
        <f t="shared" si="353"/>
        <v>680-97</v>
      </c>
      <c r="D5569" t="s">
        <v>5541</v>
      </c>
      <c r="E5569" t="b">
        <f>IF(COUNTIF(D5569,"*"&amp;'Keyword Search'!$C$5&amp;"*"),TRUE,FALSE)</f>
        <v>1</v>
      </c>
      <c r="G5569" t="str">
        <f t="shared" si="354"/>
        <v>680-97: *Warning Systems, Perimeter Anti-Intrusion, Electronic, Including Civil Defense and Natural Disaster Types</v>
      </c>
    </row>
    <row r="5570" spans="1:7" x14ac:dyDescent="0.25">
      <c r="A5570" s="5" t="str">
        <f t="shared" ref="A5570:A5590" si="356">TEXT(685,"000")</f>
        <v>685</v>
      </c>
      <c r="B5570" s="5" t="str">
        <f>TEXT(0,"00")</f>
        <v>00</v>
      </c>
      <c r="C5570" s="1"/>
      <c r="D5570" s="2" t="s">
        <v>5542</v>
      </c>
    </row>
    <row r="5571" spans="1:7" x14ac:dyDescent="0.25">
      <c r="A5571" s="1" t="str">
        <f t="shared" si="356"/>
        <v>685</v>
      </c>
      <c r="B5571" s="1" t="str">
        <f>TEXT(5,"00")</f>
        <v>05</v>
      </c>
      <c r="C5571" s="1" t="str">
        <f t="shared" ref="C5571:C5634" si="357">CONCATENATE(A5571,"-",B5571)</f>
        <v>685-05</v>
      </c>
      <c r="D5571" t="s">
        <v>5543</v>
      </c>
      <c r="E5571" t="b">
        <f>IF(COUNTIF(D5571,"*"&amp;'Keyword Search'!$C$5&amp;"*"),TRUE,FALSE)</f>
        <v>1</v>
      </c>
      <c r="G5571" t="str">
        <f t="shared" si="354"/>
        <v>685-05: Bands and Tags</v>
      </c>
    </row>
    <row r="5572" spans="1:7" x14ac:dyDescent="0.25">
      <c r="A5572" s="1" t="str">
        <f t="shared" si="356"/>
        <v>685</v>
      </c>
      <c r="B5572" s="1" t="str">
        <f>TEXT(10,"00")</f>
        <v>10</v>
      </c>
      <c r="C5572" s="1" t="str">
        <f t="shared" si="357"/>
        <v>685-10</v>
      </c>
      <c r="D5572" t="s">
        <v>5544</v>
      </c>
      <c r="E5572" t="b">
        <f>IF(COUNTIF(D5572,"*"&amp;'Keyword Search'!$C$5&amp;"*"),TRUE,FALSE)</f>
        <v>1</v>
      </c>
      <c r="G5572" t="str">
        <f t="shared" ref="G5572:G5635" si="358">CONCATENATE(C5572,": ",D5572)</f>
        <v>685-10: Brooders and Incubators</v>
      </c>
    </row>
    <row r="5573" spans="1:7" x14ac:dyDescent="0.25">
      <c r="A5573" s="1" t="str">
        <f t="shared" si="356"/>
        <v>685</v>
      </c>
      <c r="B5573" s="1" t="str">
        <f>TEXT(15,"00")</f>
        <v>15</v>
      </c>
      <c r="C5573" s="1" t="str">
        <f t="shared" si="357"/>
        <v>685-15</v>
      </c>
      <c r="D5573" t="s">
        <v>5545</v>
      </c>
      <c r="E5573" t="b">
        <f>IF(COUNTIF(D5573,"*"&amp;'Keyword Search'!$C$5&amp;"*"),TRUE,FALSE)</f>
        <v>1</v>
      </c>
      <c r="G5573" t="str">
        <f t="shared" si="358"/>
        <v>685-15: Debeakers</v>
      </c>
    </row>
    <row r="5574" spans="1:7" x14ac:dyDescent="0.25">
      <c r="A5574" s="1" t="str">
        <f t="shared" si="356"/>
        <v>685</v>
      </c>
      <c r="B5574" s="1" t="str">
        <f>TEXT(20,"00")</f>
        <v>20</v>
      </c>
      <c r="C5574" s="1" t="str">
        <f t="shared" si="357"/>
        <v>685-20</v>
      </c>
      <c r="D5574" t="s">
        <v>5546</v>
      </c>
      <c r="E5574" t="b">
        <f>IF(COUNTIF(D5574,"*"&amp;'Keyword Search'!$C$5&amp;"*"),TRUE,FALSE)</f>
        <v>1</v>
      </c>
      <c r="G5574" t="str">
        <f t="shared" si="358"/>
        <v>685-20: Egg Baskets</v>
      </c>
    </row>
    <row r="5575" spans="1:7" x14ac:dyDescent="0.25">
      <c r="A5575" s="1" t="str">
        <f t="shared" si="356"/>
        <v>685</v>
      </c>
      <c r="B5575" s="1" t="str">
        <f>TEXT(25,"00")</f>
        <v>25</v>
      </c>
      <c r="C5575" s="1" t="str">
        <f t="shared" si="357"/>
        <v>685-25</v>
      </c>
      <c r="D5575" t="s">
        <v>5547</v>
      </c>
      <c r="E5575" t="b">
        <f>IF(COUNTIF(D5575,"*"&amp;'Keyword Search'!$C$5&amp;"*"),TRUE,FALSE)</f>
        <v>1</v>
      </c>
      <c r="G5575" t="str">
        <f t="shared" si="358"/>
        <v>685-25: Egg Candlers</v>
      </c>
    </row>
    <row r="5576" spans="1:7" x14ac:dyDescent="0.25">
      <c r="A5576" s="1" t="str">
        <f t="shared" si="356"/>
        <v>685</v>
      </c>
      <c r="B5576" s="1" t="str">
        <f>TEXT(30,"00")</f>
        <v>30</v>
      </c>
      <c r="C5576" s="1" t="str">
        <f t="shared" si="357"/>
        <v>685-30</v>
      </c>
      <c r="D5576" t="s">
        <v>5548</v>
      </c>
      <c r="E5576" t="b">
        <f>IF(COUNTIF(D5576,"*"&amp;'Keyword Search'!$C$5&amp;"*"),TRUE,FALSE)</f>
        <v>1</v>
      </c>
      <c r="G5576" t="str">
        <f t="shared" si="358"/>
        <v>685-30: Egg Cartons</v>
      </c>
    </row>
    <row r="5577" spans="1:7" x14ac:dyDescent="0.25">
      <c r="A5577" s="1" t="str">
        <f t="shared" si="356"/>
        <v>685</v>
      </c>
      <c r="B5577" s="1" t="str">
        <f>TEXT(35,"00")</f>
        <v>35</v>
      </c>
      <c r="C5577" s="1" t="str">
        <f t="shared" si="357"/>
        <v>685-35</v>
      </c>
      <c r="D5577" t="s">
        <v>5549</v>
      </c>
      <c r="E5577" t="b">
        <f>IF(COUNTIF(D5577,"*"&amp;'Keyword Search'!$C$5&amp;"*"),TRUE,FALSE)</f>
        <v>1</v>
      </c>
      <c r="G5577" t="str">
        <f t="shared" si="358"/>
        <v>685-35: Egg Cases, Fillers, Flats, etc.</v>
      </c>
    </row>
    <row r="5578" spans="1:7" x14ac:dyDescent="0.25">
      <c r="A5578" s="1" t="str">
        <f t="shared" si="356"/>
        <v>685</v>
      </c>
      <c r="B5578" s="1" t="str">
        <f>TEXT(38,"00")</f>
        <v>38</v>
      </c>
      <c r="C5578" s="1" t="str">
        <f t="shared" si="357"/>
        <v>685-38</v>
      </c>
      <c r="D5578" t="s">
        <v>5550</v>
      </c>
      <c r="E5578" t="b">
        <f>IF(COUNTIF(D5578,"*"&amp;'Keyword Search'!$C$5&amp;"*"),TRUE,FALSE)</f>
        <v>1</v>
      </c>
      <c r="G5578" t="str">
        <f t="shared" si="358"/>
        <v>685-38: Egg Cleaning Chemicals</v>
      </c>
    </row>
    <row r="5579" spans="1:7" x14ac:dyDescent="0.25">
      <c r="A5579" s="1" t="str">
        <f t="shared" si="356"/>
        <v>685</v>
      </c>
      <c r="B5579" s="1" t="str">
        <f>TEXT(40,"00")</f>
        <v>40</v>
      </c>
      <c r="C5579" s="1" t="str">
        <f t="shared" si="357"/>
        <v>685-40</v>
      </c>
      <c r="D5579" t="s">
        <v>5551</v>
      </c>
      <c r="E5579" t="b">
        <f>IF(COUNTIF(D5579,"*"&amp;'Keyword Search'!$C$5&amp;"*"),TRUE,FALSE)</f>
        <v>1</v>
      </c>
      <c r="G5579" t="str">
        <f t="shared" si="358"/>
        <v>685-40: Egg Crating Machines</v>
      </c>
    </row>
    <row r="5580" spans="1:7" x14ac:dyDescent="0.25">
      <c r="A5580" s="1" t="str">
        <f t="shared" si="356"/>
        <v>685</v>
      </c>
      <c r="B5580" s="1" t="str">
        <f>TEXT(45,"00")</f>
        <v>45</v>
      </c>
      <c r="C5580" s="1" t="str">
        <f t="shared" si="357"/>
        <v>685-45</v>
      </c>
      <c r="D5580" t="s">
        <v>5552</v>
      </c>
      <c r="E5580" t="b">
        <f>IF(COUNTIF(D5580,"*"&amp;'Keyword Search'!$C$5&amp;"*"),TRUE,FALSE)</f>
        <v>1</v>
      </c>
      <c r="G5580" t="str">
        <f t="shared" si="358"/>
        <v>685-45: Egg Graders</v>
      </c>
    </row>
    <row r="5581" spans="1:7" x14ac:dyDescent="0.25">
      <c r="A5581" s="1" t="str">
        <f t="shared" si="356"/>
        <v>685</v>
      </c>
      <c r="B5581" s="1" t="str">
        <f>TEXT(50,"00")</f>
        <v>50</v>
      </c>
      <c r="C5581" s="1" t="str">
        <f t="shared" si="357"/>
        <v>685-50</v>
      </c>
      <c r="D5581" t="s">
        <v>5553</v>
      </c>
      <c r="E5581" t="b">
        <f>IF(COUNTIF(D5581,"*"&amp;'Keyword Search'!$C$5&amp;"*"),TRUE,FALSE)</f>
        <v>1</v>
      </c>
      <c r="G5581" t="str">
        <f t="shared" si="358"/>
        <v>685-50: Egg Washers</v>
      </c>
    </row>
    <row r="5582" spans="1:7" x14ac:dyDescent="0.25">
      <c r="A5582" s="1" t="str">
        <f t="shared" si="356"/>
        <v>685</v>
      </c>
      <c r="B5582" s="1" t="str">
        <f>TEXT(55,"00")</f>
        <v>55</v>
      </c>
      <c r="C5582" s="1" t="str">
        <f t="shared" si="357"/>
        <v>685-55</v>
      </c>
      <c r="D5582" t="s">
        <v>5554</v>
      </c>
      <c r="E5582" t="b">
        <f>IF(COUNTIF(D5582,"*"&amp;'Keyword Search'!$C$5&amp;"*"),TRUE,FALSE)</f>
        <v>1</v>
      </c>
      <c r="G5582" t="str">
        <f t="shared" si="358"/>
        <v>685-55: Feeders and Waterers</v>
      </c>
    </row>
    <row r="5583" spans="1:7" x14ac:dyDescent="0.25">
      <c r="A5583" s="1" t="str">
        <f t="shared" si="356"/>
        <v>685</v>
      </c>
      <c r="B5583" s="1" t="str">
        <f>TEXT(60,"00")</f>
        <v>60</v>
      </c>
      <c r="C5583" s="1" t="str">
        <f t="shared" si="357"/>
        <v>685-60</v>
      </c>
      <c r="D5583" t="s">
        <v>5555</v>
      </c>
      <c r="E5583" t="b">
        <f>IF(COUNTIF(D5583,"*"&amp;'Keyword Search'!$C$5&amp;"*"),TRUE,FALSE)</f>
        <v>1</v>
      </c>
      <c r="G5583" t="str">
        <f t="shared" si="358"/>
        <v>685-60: Growing Batteries</v>
      </c>
    </row>
    <row r="5584" spans="1:7" x14ac:dyDescent="0.25">
      <c r="A5584" s="1" t="str">
        <f t="shared" si="356"/>
        <v>685</v>
      </c>
      <c r="B5584" s="1" t="str">
        <f>TEXT(65,"00")</f>
        <v>65</v>
      </c>
      <c r="C5584" s="1" t="str">
        <f t="shared" si="357"/>
        <v>685-65</v>
      </c>
      <c r="D5584" t="s">
        <v>5556</v>
      </c>
      <c r="E5584" t="b">
        <f>IF(COUNTIF(D5584,"*"&amp;'Keyword Search'!$C$5&amp;"*"),TRUE,FALSE)</f>
        <v>1</v>
      </c>
      <c r="G5584" t="str">
        <f t="shared" si="358"/>
        <v>685-65: Laying Cages</v>
      </c>
    </row>
    <row r="5585" spans="1:7" x14ac:dyDescent="0.25">
      <c r="A5585" s="1" t="str">
        <f t="shared" si="356"/>
        <v>685</v>
      </c>
      <c r="B5585" s="1" t="str">
        <f>TEXT(70,"00")</f>
        <v>70</v>
      </c>
      <c r="C5585" s="1" t="str">
        <f t="shared" si="357"/>
        <v>685-70</v>
      </c>
      <c r="D5585" t="s">
        <v>5557</v>
      </c>
      <c r="E5585" t="b">
        <f>IF(COUNTIF(D5585,"*"&amp;'Keyword Search'!$C$5&amp;"*"),TRUE,FALSE)</f>
        <v>1</v>
      </c>
      <c r="G5585" t="str">
        <f t="shared" si="358"/>
        <v>685-70: Nest Pads</v>
      </c>
    </row>
    <row r="5586" spans="1:7" x14ac:dyDescent="0.25">
      <c r="A5586" s="1" t="str">
        <f t="shared" si="356"/>
        <v>685</v>
      </c>
      <c r="B5586" s="1" t="str">
        <f>TEXT(75,"00")</f>
        <v>75</v>
      </c>
      <c r="C5586" s="1" t="str">
        <f t="shared" si="357"/>
        <v>685-75</v>
      </c>
      <c r="D5586" t="s">
        <v>5558</v>
      </c>
      <c r="E5586" t="b">
        <f>IF(COUNTIF(D5586,"*"&amp;'Keyword Search'!$C$5&amp;"*"),TRUE,FALSE)</f>
        <v>1</v>
      </c>
      <c r="G5586" t="str">
        <f t="shared" si="358"/>
        <v>685-75: Poultry Processing Machines and Accessories</v>
      </c>
    </row>
    <row r="5587" spans="1:7" x14ac:dyDescent="0.25">
      <c r="A5587" s="1" t="str">
        <f t="shared" si="356"/>
        <v>685</v>
      </c>
      <c r="B5587" s="1" t="str">
        <f>TEXT(78,"00")</f>
        <v>78</v>
      </c>
      <c r="C5587" s="1" t="str">
        <f t="shared" si="357"/>
        <v>685-78</v>
      </c>
      <c r="D5587" t="s">
        <v>5559</v>
      </c>
      <c r="E5587" t="b">
        <f>IF(COUNTIF(D5587,"*"&amp;'Keyword Search'!$C$5&amp;"*"),TRUE,FALSE)</f>
        <v>1</v>
      </c>
      <c r="G5587" t="str">
        <f t="shared" si="358"/>
        <v>685-78: Recycled Poultry Equipment, Accessories and Supplies</v>
      </c>
    </row>
    <row r="5588" spans="1:7" x14ac:dyDescent="0.25">
      <c r="A5588" s="1" t="str">
        <f t="shared" si="356"/>
        <v>685</v>
      </c>
      <c r="B5588" s="1" t="str">
        <f>TEXT(80,"00")</f>
        <v>80</v>
      </c>
      <c r="C5588" s="1" t="str">
        <f t="shared" si="357"/>
        <v>685-80</v>
      </c>
      <c r="D5588" t="s">
        <v>5560</v>
      </c>
      <c r="E5588" t="b">
        <f>IF(COUNTIF(D5588,"*"&amp;'Keyword Search'!$C$5&amp;"*"),TRUE,FALSE)</f>
        <v>1</v>
      </c>
      <c r="G5588" t="str">
        <f t="shared" si="358"/>
        <v>685-80: Shipping Boxes, Chick</v>
      </c>
    </row>
    <row r="5589" spans="1:7" x14ac:dyDescent="0.25">
      <c r="A5589" s="1" t="str">
        <f t="shared" si="356"/>
        <v>685</v>
      </c>
      <c r="B5589" s="1" t="str">
        <f>TEXT(85,"00")</f>
        <v>85</v>
      </c>
      <c r="C5589" s="1" t="str">
        <f t="shared" si="357"/>
        <v>685-85</v>
      </c>
      <c r="D5589" t="s">
        <v>5561</v>
      </c>
      <c r="E5589" t="b">
        <f>IF(COUNTIF(D5589,"*"&amp;'Keyword Search'!$C$5&amp;"*"),TRUE,FALSE)</f>
        <v>1</v>
      </c>
      <c r="G5589" t="str">
        <f t="shared" si="358"/>
        <v>685-85: Shipping Crates, Poultry</v>
      </c>
    </row>
    <row r="5590" spans="1:7" x14ac:dyDescent="0.25">
      <c r="A5590" s="1" t="str">
        <f t="shared" si="356"/>
        <v>685</v>
      </c>
      <c r="B5590" s="1" t="str">
        <f>TEXT(90,"00")</f>
        <v>90</v>
      </c>
      <c r="C5590" s="1" t="str">
        <f t="shared" si="357"/>
        <v>685-90</v>
      </c>
      <c r="D5590" t="s">
        <v>5562</v>
      </c>
      <c r="E5590" t="b">
        <f>IF(COUNTIF(D5590,"*"&amp;'Keyword Search'!$C$5&amp;"*"),TRUE,FALSE)</f>
        <v>1</v>
      </c>
      <c r="G5590" t="str">
        <f t="shared" si="358"/>
        <v>685-90: Turkey Saddles</v>
      </c>
    </row>
    <row r="5591" spans="1:7" x14ac:dyDescent="0.25">
      <c r="A5591" s="5" t="str">
        <f t="shared" ref="A5591:A5624" si="359">TEXT(690,"000")</f>
        <v>690</v>
      </c>
      <c r="B5591" s="5" t="str">
        <f>TEXT(0,"00")</f>
        <v>00</v>
      </c>
      <c r="C5591" s="1"/>
      <c r="D5591" s="2" t="s">
        <v>5563</v>
      </c>
    </row>
    <row r="5592" spans="1:7" x14ac:dyDescent="0.25">
      <c r="A5592" s="1" t="str">
        <f t="shared" si="359"/>
        <v>690</v>
      </c>
      <c r="B5592" s="1" t="str">
        <f>TEXT(14,"00")</f>
        <v>14</v>
      </c>
      <c r="C5592" s="1" t="str">
        <f t="shared" si="357"/>
        <v>690-14</v>
      </c>
      <c r="D5592" t="s">
        <v>5564</v>
      </c>
      <c r="E5592" t="b">
        <f>IF(COUNTIF(D5592,"*"&amp;'Keyword Search'!$C$5&amp;"*"),TRUE,FALSE)</f>
        <v>1</v>
      </c>
      <c r="G5592" t="str">
        <f t="shared" si="358"/>
        <v>690-14: Analyzers, Power Generation, Including Part and Accessories</v>
      </c>
    </row>
    <row r="5593" spans="1:7" x14ac:dyDescent="0.25">
      <c r="A5593" s="1" t="str">
        <f t="shared" si="359"/>
        <v>690</v>
      </c>
      <c r="B5593" s="1" t="str">
        <f>TEXT(27,"00")</f>
        <v>27</v>
      </c>
      <c r="C5593" s="1" t="str">
        <f t="shared" si="357"/>
        <v>690-27</v>
      </c>
      <c r="D5593" t="s">
        <v>5565</v>
      </c>
      <c r="E5593" t="b">
        <f>IF(COUNTIF(D5593,"*"&amp;'Keyword Search'!$C$5&amp;"*"),TRUE,FALSE)</f>
        <v>1</v>
      </c>
      <c r="G5593" t="str">
        <f t="shared" si="358"/>
        <v>690-27: Ash Handling Removal Systems</v>
      </c>
    </row>
    <row r="5594" spans="1:7" x14ac:dyDescent="0.25">
      <c r="A5594" s="1" t="str">
        <f t="shared" si="359"/>
        <v>690</v>
      </c>
      <c r="B5594" s="1" t="str">
        <f>TEXT(28,"00")</f>
        <v>28</v>
      </c>
      <c r="C5594" s="1" t="str">
        <f t="shared" si="357"/>
        <v>690-28</v>
      </c>
      <c r="D5594" t="s">
        <v>5566</v>
      </c>
      <c r="E5594" t="b">
        <f>IF(COUNTIF(D5594,"*"&amp;'Keyword Search'!$C$5&amp;"*"),TRUE,FALSE)</f>
        <v>1</v>
      </c>
      <c r="G5594" t="str">
        <f t="shared" si="358"/>
        <v>690-28: Coal Handling Systems</v>
      </c>
    </row>
    <row r="5595" spans="1:7" x14ac:dyDescent="0.25">
      <c r="A5595" s="1" t="str">
        <f t="shared" si="359"/>
        <v>690</v>
      </c>
      <c r="B5595" s="1" t="str">
        <f>TEXT(29,"00")</f>
        <v>29</v>
      </c>
      <c r="C5595" s="1" t="str">
        <f t="shared" si="357"/>
        <v>690-29</v>
      </c>
      <c r="D5595" t="s">
        <v>5567</v>
      </c>
      <c r="E5595" t="b">
        <f>IF(COUNTIF(D5595,"*"&amp;'Keyword Search'!$C$5&amp;"*"),TRUE,FALSE)</f>
        <v>1</v>
      </c>
      <c r="G5595" t="str">
        <f t="shared" si="358"/>
        <v>690-29: Controls, Electro Hydraulic (EHC)</v>
      </c>
    </row>
    <row r="5596" spans="1:7" x14ac:dyDescent="0.25">
      <c r="A5596" s="1" t="str">
        <f t="shared" si="359"/>
        <v>690</v>
      </c>
      <c r="B5596" s="1" t="str">
        <f>TEXT(30,"00")</f>
        <v>30</v>
      </c>
      <c r="C5596" s="1" t="str">
        <f t="shared" si="357"/>
        <v>690-30</v>
      </c>
      <c r="D5596" t="s">
        <v>5568</v>
      </c>
      <c r="E5596" t="b">
        <f>IF(COUNTIF(D5596,"*"&amp;'Keyword Search'!$C$5&amp;"*"),TRUE,FALSE)</f>
        <v>1</v>
      </c>
      <c r="G5596" t="str">
        <f t="shared" si="358"/>
        <v>690-30: Controls, Fuel Safety Flame Sensing</v>
      </c>
    </row>
    <row r="5597" spans="1:7" x14ac:dyDescent="0.25">
      <c r="A5597" s="1" t="str">
        <f t="shared" si="359"/>
        <v>690</v>
      </c>
      <c r="B5597" s="1" t="str">
        <f>TEXT(31,"00")</f>
        <v>31</v>
      </c>
      <c r="C5597" s="1" t="str">
        <f t="shared" si="357"/>
        <v>690-31</v>
      </c>
      <c r="D5597" t="s">
        <v>5569</v>
      </c>
      <c r="E5597" t="b">
        <f>IF(COUNTIF(D5597,"*"&amp;'Keyword Search'!$C$5&amp;"*"),TRUE,FALSE)</f>
        <v>1</v>
      </c>
      <c r="G5597" t="str">
        <f t="shared" si="358"/>
        <v>690-31: Controls, Integrated System</v>
      </c>
    </row>
    <row r="5598" spans="1:7" x14ac:dyDescent="0.25">
      <c r="A5598" s="1" t="str">
        <f t="shared" si="359"/>
        <v>690</v>
      </c>
      <c r="B5598" s="1" t="str">
        <f>TEXT(32,"00")</f>
        <v>32</v>
      </c>
      <c r="C5598" s="1" t="str">
        <f t="shared" si="357"/>
        <v>690-32</v>
      </c>
      <c r="D5598" t="s">
        <v>5570</v>
      </c>
      <c r="E5598" t="b">
        <f>IF(COUNTIF(D5598,"*"&amp;'Keyword Search'!$C$5&amp;"*"),TRUE,FALSE)</f>
        <v>1</v>
      </c>
      <c r="G5598" t="str">
        <f t="shared" si="358"/>
        <v>690-32: Controls, Programmable</v>
      </c>
    </row>
    <row r="5599" spans="1:7" x14ac:dyDescent="0.25">
      <c r="A5599" s="1" t="str">
        <f t="shared" si="359"/>
        <v>690</v>
      </c>
      <c r="B5599" s="1" t="str">
        <f>TEXT(33,"00")</f>
        <v>33</v>
      </c>
      <c r="C5599" s="1" t="str">
        <f t="shared" si="357"/>
        <v>690-33</v>
      </c>
      <c r="D5599" t="s">
        <v>5571</v>
      </c>
      <c r="E5599" t="b">
        <f>IF(COUNTIF(D5599,"*"&amp;'Keyword Search'!$C$5&amp;"*"),TRUE,FALSE)</f>
        <v>1</v>
      </c>
      <c r="G5599" t="str">
        <f t="shared" si="358"/>
        <v>690-33: Controls, Single Loop</v>
      </c>
    </row>
    <row r="5600" spans="1:7" x14ac:dyDescent="0.25">
      <c r="A5600" s="1" t="str">
        <f t="shared" si="359"/>
        <v>690</v>
      </c>
      <c r="B5600" s="1" t="str">
        <f>TEXT(34,"00")</f>
        <v>34</v>
      </c>
      <c r="C5600" s="1" t="str">
        <f t="shared" si="357"/>
        <v>690-34</v>
      </c>
      <c r="D5600" t="s">
        <v>5572</v>
      </c>
      <c r="E5600" t="b">
        <f>IF(COUNTIF(D5600,"*"&amp;'Keyword Search'!$C$5&amp;"*"),TRUE,FALSE)</f>
        <v>1</v>
      </c>
      <c r="G5600" t="str">
        <f t="shared" si="358"/>
        <v>690-34: Converters and Inverters, Power</v>
      </c>
    </row>
    <row r="5601" spans="1:7" x14ac:dyDescent="0.25">
      <c r="A5601" s="1" t="str">
        <f t="shared" si="359"/>
        <v>690</v>
      </c>
      <c r="B5601" s="1" t="str">
        <f>TEXT(37,"00")</f>
        <v>37</v>
      </c>
      <c r="C5601" s="1" t="str">
        <f t="shared" si="357"/>
        <v>690-37</v>
      </c>
      <c r="D5601" t="s">
        <v>5573</v>
      </c>
      <c r="E5601" t="b">
        <f>IF(COUNTIF(D5601,"*"&amp;'Keyword Search'!$C$5&amp;"*"),TRUE,FALSE)</f>
        <v>1</v>
      </c>
      <c r="G5601" t="str">
        <f t="shared" si="358"/>
        <v>690-37: *Data Acquisition Systems</v>
      </c>
    </row>
    <row r="5602" spans="1:7" x14ac:dyDescent="0.25">
      <c r="A5602" s="1" t="str">
        <f t="shared" si="359"/>
        <v>690</v>
      </c>
      <c r="B5602" s="1" t="str">
        <f>TEXT(39,"00")</f>
        <v>39</v>
      </c>
      <c r="C5602" s="1" t="str">
        <f t="shared" si="357"/>
        <v>690-39</v>
      </c>
      <c r="D5602" t="s">
        <v>5574</v>
      </c>
      <c r="E5602" t="b">
        <f>IF(COUNTIF(D5602,"*"&amp;'Keyword Search'!$C$5&amp;"*"),TRUE,FALSE)</f>
        <v>1</v>
      </c>
      <c r="G5602" t="str">
        <f t="shared" si="358"/>
        <v>690-39: Diodes, Coils, and Other Circuit Components</v>
      </c>
    </row>
    <row r="5603" spans="1:7" x14ac:dyDescent="0.25">
      <c r="A5603" s="1" t="str">
        <f t="shared" si="359"/>
        <v>690</v>
      </c>
      <c r="B5603" s="1" t="str">
        <f>TEXT(40,"00")</f>
        <v>40</v>
      </c>
      <c r="C5603" s="1" t="str">
        <f t="shared" si="357"/>
        <v>690-40</v>
      </c>
      <c r="D5603" t="s">
        <v>5575</v>
      </c>
      <c r="E5603" t="b">
        <f>IF(COUNTIF(D5603,"*"&amp;'Keyword Search'!$C$5&amp;"*"),TRUE,FALSE)</f>
        <v>1</v>
      </c>
      <c r="G5603" t="str">
        <f t="shared" si="358"/>
        <v>690-40: Engines, Motors and Parts, Power Generation</v>
      </c>
    </row>
    <row r="5604" spans="1:7" x14ac:dyDescent="0.25">
      <c r="A5604" s="1" t="str">
        <f t="shared" si="359"/>
        <v>690</v>
      </c>
      <c r="B5604" s="1" t="str">
        <f>TEXT(41,"00")</f>
        <v>41</v>
      </c>
      <c r="C5604" s="1" t="str">
        <f t="shared" si="357"/>
        <v>690-41</v>
      </c>
      <c r="D5604" t="s">
        <v>5576</v>
      </c>
      <c r="E5604" t="b">
        <f>IF(COUNTIF(D5604,"*"&amp;'Keyword Search'!$C$5&amp;"*"),TRUE,FALSE)</f>
        <v>1</v>
      </c>
      <c r="G5604" t="str">
        <f t="shared" si="358"/>
        <v>690-41: Excitation System, Generator</v>
      </c>
    </row>
    <row r="5605" spans="1:7" x14ac:dyDescent="0.25">
      <c r="A5605" s="1" t="str">
        <f t="shared" si="359"/>
        <v>690</v>
      </c>
      <c r="B5605" s="1" t="str">
        <f>TEXT(43,"00")</f>
        <v>43</v>
      </c>
      <c r="C5605" s="1" t="str">
        <f t="shared" si="357"/>
        <v>690-43</v>
      </c>
      <c r="D5605" t="s">
        <v>5577</v>
      </c>
      <c r="E5605" t="b">
        <f>IF(COUNTIF(D5605,"*"&amp;'Keyword Search'!$C$5&amp;"*"),TRUE,FALSE)</f>
        <v>1</v>
      </c>
      <c r="G5605" t="str">
        <f t="shared" si="358"/>
        <v>690-43: Generators, Over 25 MW, Power Plant, Including Parts and Accessories (Also see 285-37,39)</v>
      </c>
    </row>
    <row r="5606" spans="1:7" x14ac:dyDescent="0.25">
      <c r="A5606" s="1" t="str">
        <f t="shared" si="359"/>
        <v>690</v>
      </c>
      <c r="B5606" s="1" t="str">
        <f>TEXT(45,"00")</f>
        <v>45</v>
      </c>
      <c r="C5606" s="1" t="str">
        <f t="shared" si="357"/>
        <v>690-45</v>
      </c>
      <c r="D5606" t="s">
        <v>5578</v>
      </c>
      <c r="E5606" t="b">
        <f>IF(COUNTIF(D5606,"*"&amp;'Keyword Search'!$C$5&amp;"*"),TRUE,FALSE)</f>
        <v>1</v>
      </c>
      <c r="G5606" t="str">
        <f t="shared" si="358"/>
        <v>690-45: Generators, Wind</v>
      </c>
    </row>
    <row r="5607" spans="1:7" x14ac:dyDescent="0.25">
      <c r="A5607" s="1" t="str">
        <f t="shared" si="359"/>
        <v>690</v>
      </c>
      <c r="B5607" s="1" t="str">
        <f>TEXT(46,"00")</f>
        <v>46</v>
      </c>
      <c r="C5607" s="1" t="str">
        <f t="shared" si="357"/>
        <v>690-46</v>
      </c>
      <c r="D5607" t="s">
        <v>5579</v>
      </c>
      <c r="E5607" t="b">
        <f>IF(COUNTIF(D5607,"*"&amp;'Keyword Search'!$C$5&amp;"*"),TRUE,FALSE)</f>
        <v>1</v>
      </c>
      <c r="G5607" t="str">
        <f t="shared" si="358"/>
        <v>690-46: Indicators, Power Generating Equipment</v>
      </c>
    </row>
    <row r="5608" spans="1:7" x14ac:dyDescent="0.25">
      <c r="A5608" s="1" t="str">
        <f t="shared" si="359"/>
        <v>690</v>
      </c>
      <c r="B5608" s="1" t="str">
        <f>TEXT(49,"00")</f>
        <v>49</v>
      </c>
      <c r="C5608" s="1" t="str">
        <f t="shared" si="357"/>
        <v>690-49</v>
      </c>
      <c r="D5608" t="s">
        <v>5580</v>
      </c>
      <c r="E5608" t="b">
        <f>IF(COUNTIF(D5608,"*"&amp;'Keyword Search'!$C$5&amp;"*"),TRUE,FALSE)</f>
        <v>1</v>
      </c>
      <c r="G5608" t="str">
        <f t="shared" si="358"/>
        <v>690-49: Lamps and Lights, Indicating</v>
      </c>
    </row>
    <row r="5609" spans="1:7" x14ac:dyDescent="0.25">
      <c r="A5609" s="1" t="str">
        <f t="shared" si="359"/>
        <v>690</v>
      </c>
      <c r="B5609" s="1" t="str">
        <f>TEXT(53,"00")</f>
        <v>53</v>
      </c>
      <c r="C5609" s="1" t="str">
        <f t="shared" si="357"/>
        <v>690-53</v>
      </c>
      <c r="D5609" t="s">
        <v>5581</v>
      </c>
      <c r="E5609" t="b">
        <f>IF(COUNTIF(D5609,"*"&amp;'Keyword Search'!$C$5&amp;"*"),TRUE,FALSE)</f>
        <v>1</v>
      </c>
      <c r="G5609" t="str">
        <f t="shared" si="358"/>
        <v>690-53: Meters, Indicating Panel</v>
      </c>
    </row>
    <row r="5610" spans="1:7" x14ac:dyDescent="0.25">
      <c r="A5610" s="1" t="str">
        <f t="shared" si="359"/>
        <v>690</v>
      </c>
      <c r="B5610" s="1" t="str">
        <f>TEXT(54,"00")</f>
        <v>54</v>
      </c>
      <c r="C5610" s="1" t="str">
        <f t="shared" si="357"/>
        <v>690-54</v>
      </c>
      <c r="D5610" t="s">
        <v>5582</v>
      </c>
      <c r="E5610" t="b">
        <f>IF(COUNTIF(D5610,"*"&amp;'Keyword Search'!$C$5&amp;"*"),TRUE,FALSE)</f>
        <v>1</v>
      </c>
      <c r="G5610" t="str">
        <f t="shared" si="358"/>
        <v>690-54: Monitors and Alarms, Power Generator</v>
      </c>
    </row>
    <row r="5611" spans="1:7" x14ac:dyDescent="0.25">
      <c r="A5611" s="1" t="str">
        <f t="shared" si="359"/>
        <v>690</v>
      </c>
      <c r="B5611" s="1" t="str">
        <f>TEXT(56,"00")</f>
        <v>56</v>
      </c>
      <c r="C5611" s="1" t="str">
        <f t="shared" si="357"/>
        <v>690-56</v>
      </c>
      <c r="D5611" t="s">
        <v>5583</v>
      </c>
      <c r="E5611" t="b">
        <f>IF(COUNTIF(D5611,"*"&amp;'Keyword Search'!$C$5&amp;"*"),TRUE,FALSE)</f>
        <v>1</v>
      </c>
      <c r="G5611" t="str">
        <f t="shared" si="358"/>
        <v>690-56: Photo-Voltaic Generating Systems</v>
      </c>
    </row>
    <row r="5612" spans="1:7" x14ac:dyDescent="0.25">
      <c r="A5612" s="1" t="str">
        <f t="shared" si="359"/>
        <v>690</v>
      </c>
      <c r="B5612" s="1" t="str">
        <f>TEXT(57,"00")</f>
        <v>57</v>
      </c>
      <c r="C5612" s="1" t="str">
        <f t="shared" si="357"/>
        <v>690-57</v>
      </c>
      <c r="D5612" t="s">
        <v>5584</v>
      </c>
      <c r="E5612" t="b">
        <f>IF(COUNTIF(D5612,"*"&amp;'Keyword Search'!$C$5&amp;"*"),TRUE,FALSE)</f>
        <v>1</v>
      </c>
      <c r="G5612" t="str">
        <f t="shared" si="358"/>
        <v>690-57: Power Supplies, Generating</v>
      </c>
    </row>
    <row r="5613" spans="1:7" x14ac:dyDescent="0.25">
      <c r="A5613" s="1" t="str">
        <f t="shared" si="359"/>
        <v>690</v>
      </c>
      <c r="B5613" s="1" t="str">
        <f>TEXT(58,"00")</f>
        <v>58</v>
      </c>
      <c r="C5613" s="1" t="str">
        <f t="shared" si="357"/>
        <v>690-58</v>
      </c>
      <c r="D5613" t="s">
        <v>5585</v>
      </c>
      <c r="E5613" t="b">
        <f>IF(COUNTIF(D5613,"*"&amp;'Keyword Search'!$C$5&amp;"*"),TRUE,FALSE)</f>
        <v>1</v>
      </c>
      <c r="G5613" t="str">
        <f t="shared" si="358"/>
        <v>690-58: Power Transmission, Kinetic</v>
      </c>
    </row>
    <row r="5614" spans="1:7" x14ac:dyDescent="0.25">
      <c r="A5614" s="1" t="str">
        <f t="shared" si="359"/>
        <v>690</v>
      </c>
      <c r="B5614" s="1" t="str">
        <f>TEXT(59,"00")</f>
        <v>59</v>
      </c>
      <c r="C5614" s="1" t="str">
        <f t="shared" si="357"/>
        <v>690-59</v>
      </c>
      <c r="D5614" t="s">
        <v>5586</v>
      </c>
      <c r="E5614" t="b">
        <f>IF(COUNTIF(D5614,"*"&amp;'Keyword Search'!$C$5&amp;"*"),TRUE,FALSE)</f>
        <v>1</v>
      </c>
      <c r="G5614" t="str">
        <f t="shared" si="358"/>
        <v>690-59: Power Plants: Hydro, Marine, Petrol, Solar, Steam, Wind, Thermal</v>
      </c>
    </row>
    <row r="5615" spans="1:7" x14ac:dyDescent="0.25">
      <c r="A5615" s="1" t="str">
        <f t="shared" si="359"/>
        <v>690</v>
      </c>
      <c r="B5615" s="1" t="str">
        <f>TEXT(62,"00")</f>
        <v>62</v>
      </c>
      <c r="C5615" s="1" t="str">
        <f t="shared" si="357"/>
        <v>690-62</v>
      </c>
      <c r="D5615" t="s">
        <v>5587</v>
      </c>
      <c r="E5615" t="b">
        <f>IF(COUNTIF(D5615,"*"&amp;'Keyword Search'!$C$5&amp;"*"),TRUE,FALSE)</f>
        <v>1</v>
      </c>
      <c r="G5615" t="str">
        <f t="shared" si="358"/>
        <v>690-62: Recorders, Circular and Strip, and Accessories, Including Chart Paper, Pens, (See 220-54 for General Laboratory Type)</v>
      </c>
    </row>
    <row r="5616" spans="1:7" x14ac:dyDescent="0.25">
      <c r="A5616" s="1" t="str">
        <f t="shared" si="359"/>
        <v>690</v>
      </c>
      <c r="B5616" s="1" t="str">
        <f>TEXT(63,"00")</f>
        <v>63</v>
      </c>
      <c r="C5616" s="1" t="str">
        <f t="shared" si="357"/>
        <v>690-63</v>
      </c>
      <c r="D5616" t="s">
        <v>5588</v>
      </c>
      <c r="E5616" t="b">
        <f>IF(COUNTIF(D5616,"*"&amp;'Keyword Search'!$C$5&amp;"*"),TRUE,FALSE)</f>
        <v>1</v>
      </c>
      <c r="G5616" t="str">
        <f t="shared" si="358"/>
        <v>690-63: Recycled Power Generation Equipment, Including Parts and Accessories</v>
      </c>
    </row>
    <row r="5617" spans="1:7" x14ac:dyDescent="0.25">
      <c r="A5617" s="1" t="str">
        <f t="shared" si="359"/>
        <v>690</v>
      </c>
      <c r="B5617" s="1" t="str">
        <f>TEXT(64,"00")</f>
        <v>64</v>
      </c>
      <c r="C5617" s="1" t="str">
        <f t="shared" si="357"/>
        <v>690-64</v>
      </c>
      <c r="D5617" t="s">
        <v>5589</v>
      </c>
      <c r="E5617" t="b">
        <f>IF(COUNTIF(D5617,"*"&amp;'Keyword Search'!$C$5&amp;"*"),TRUE,FALSE)</f>
        <v>1</v>
      </c>
      <c r="G5617" t="str">
        <f t="shared" si="358"/>
        <v>690-64: Regulators, Flow, Pressure</v>
      </c>
    </row>
    <row r="5618" spans="1:7" x14ac:dyDescent="0.25">
      <c r="A5618" s="1" t="str">
        <f t="shared" si="359"/>
        <v>690</v>
      </c>
      <c r="B5618" s="1" t="str">
        <f>TEXT(65,"00")</f>
        <v>65</v>
      </c>
      <c r="C5618" s="1" t="str">
        <f t="shared" si="357"/>
        <v>690-65</v>
      </c>
      <c r="D5618" t="s">
        <v>5590</v>
      </c>
      <c r="E5618" t="b">
        <f>IF(COUNTIF(D5618,"*"&amp;'Keyword Search'!$C$5&amp;"*"),TRUE,FALSE)</f>
        <v>1</v>
      </c>
      <c r="G5618" t="str">
        <f t="shared" si="358"/>
        <v>690-65: Regulators, Voltage Current</v>
      </c>
    </row>
    <row r="5619" spans="1:7" x14ac:dyDescent="0.25">
      <c r="A5619" s="1" t="str">
        <f t="shared" si="359"/>
        <v>690</v>
      </c>
      <c r="B5619" s="1" t="str">
        <f>TEXT(68,"00")</f>
        <v>68</v>
      </c>
      <c r="C5619" s="1" t="str">
        <f t="shared" si="357"/>
        <v>690-68</v>
      </c>
      <c r="D5619" t="s">
        <v>5591</v>
      </c>
      <c r="E5619" t="b">
        <f>IF(COUNTIF(D5619,"*"&amp;'Keyword Search'!$C$5&amp;"*"),TRUE,FALSE)</f>
        <v>1</v>
      </c>
      <c r="G5619" t="str">
        <f t="shared" si="358"/>
        <v>690-68: Relays, etc.</v>
      </c>
    </row>
    <row r="5620" spans="1:7" x14ac:dyDescent="0.25">
      <c r="A5620" s="1" t="str">
        <f t="shared" si="359"/>
        <v>690</v>
      </c>
      <c r="B5620" s="1" t="str">
        <f>TEXT(79,"00")</f>
        <v>79</v>
      </c>
      <c r="C5620" s="1" t="str">
        <f t="shared" si="357"/>
        <v>690-79</v>
      </c>
      <c r="D5620" t="s">
        <v>5592</v>
      </c>
      <c r="E5620" t="b">
        <f>IF(COUNTIF(D5620,"*"&amp;'Keyword Search'!$C$5&amp;"*"),TRUE,FALSE)</f>
        <v>1</v>
      </c>
      <c r="G5620" t="str">
        <f t="shared" si="358"/>
        <v>690-79: Switches, Temperature Pressure</v>
      </c>
    </row>
    <row r="5621" spans="1:7" x14ac:dyDescent="0.25">
      <c r="A5621" s="1" t="str">
        <f t="shared" si="359"/>
        <v>690</v>
      </c>
      <c r="B5621" s="1" t="str">
        <f>TEXT(84,"00")</f>
        <v>84</v>
      </c>
      <c r="C5621" s="1" t="str">
        <f t="shared" si="357"/>
        <v>690-84</v>
      </c>
      <c r="D5621" t="s">
        <v>5593</v>
      </c>
      <c r="E5621" t="b">
        <f>IF(COUNTIF(D5621,"*"&amp;'Keyword Search'!$C$5&amp;"*"),TRUE,FALSE)</f>
        <v>1</v>
      </c>
      <c r="G5621" t="str">
        <f t="shared" si="358"/>
        <v>690-84: Test Equipment, Analog and Digital</v>
      </c>
    </row>
    <row r="5622" spans="1:7" x14ac:dyDescent="0.25">
      <c r="A5622" s="1" t="str">
        <f t="shared" si="359"/>
        <v>690</v>
      </c>
      <c r="B5622" s="1" t="str">
        <f>TEXT(87,"00")</f>
        <v>87</v>
      </c>
      <c r="C5622" s="1" t="str">
        <f t="shared" si="357"/>
        <v>690-87</v>
      </c>
      <c r="D5622" t="s">
        <v>5594</v>
      </c>
      <c r="E5622" t="b">
        <f>IF(COUNTIF(D5622,"*"&amp;'Keyword Search'!$C$5&amp;"*"),TRUE,FALSE)</f>
        <v>1</v>
      </c>
      <c r="G5622" t="str">
        <f t="shared" si="358"/>
        <v>690-87: Transducers, Signal Converter</v>
      </c>
    </row>
    <row r="5623" spans="1:7" x14ac:dyDescent="0.25">
      <c r="A5623" s="1" t="str">
        <f t="shared" si="359"/>
        <v>690</v>
      </c>
      <c r="B5623" s="1" t="str">
        <f>TEXT(88,"00")</f>
        <v>88</v>
      </c>
      <c r="C5623" s="1" t="str">
        <f t="shared" si="357"/>
        <v>690-88</v>
      </c>
      <c r="D5623" t="s">
        <v>5595</v>
      </c>
      <c r="E5623" t="b">
        <f>IF(COUNTIF(D5623,"*"&amp;'Keyword Search'!$C$5&amp;"*"),TRUE,FALSE)</f>
        <v>1</v>
      </c>
      <c r="G5623" t="str">
        <f t="shared" si="358"/>
        <v>690-88: Transmitters, Pressure</v>
      </c>
    </row>
    <row r="5624" spans="1:7" x14ac:dyDescent="0.25">
      <c r="A5624" s="1" t="str">
        <f t="shared" si="359"/>
        <v>690</v>
      </c>
      <c r="B5624" s="1" t="str">
        <f>TEXT(89,"00")</f>
        <v>89</v>
      </c>
      <c r="C5624" s="1" t="str">
        <f t="shared" si="357"/>
        <v>690-89</v>
      </c>
      <c r="D5624" t="s">
        <v>5596</v>
      </c>
      <c r="E5624" t="b">
        <f>IF(COUNTIF(D5624,"*"&amp;'Keyword Search'!$C$5&amp;"*"),TRUE,FALSE)</f>
        <v>1</v>
      </c>
      <c r="G5624" t="str">
        <f t="shared" si="358"/>
        <v>690-89: Tubing and Fittings, Power Plant</v>
      </c>
    </row>
    <row r="5625" spans="1:7" x14ac:dyDescent="0.25">
      <c r="A5625" s="5" t="str">
        <f t="shared" ref="A5625:A5636" si="360">TEXT(691,"000")</f>
        <v>691</v>
      </c>
      <c r="B5625" s="5" t="str">
        <f>TEXT(0,"00")</f>
        <v>00</v>
      </c>
      <c r="C5625" s="1"/>
      <c r="D5625" s="2" t="s">
        <v>5597</v>
      </c>
    </row>
    <row r="5626" spans="1:7" x14ac:dyDescent="0.25">
      <c r="A5626" s="1" t="str">
        <f t="shared" si="360"/>
        <v>691</v>
      </c>
      <c r="B5626" s="1" t="str">
        <f>TEXT(28,"00")</f>
        <v>28</v>
      </c>
      <c r="C5626" s="1" t="str">
        <f t="shared" si="357"/>
        <v>691-28</v>
      </c>
      <c r="D5626" t="s">
        <v>5598</v>
      </c>
      <c r="E5626" t="b">
        <f>IF(COUNTIF(D5626,"*"&amp;'Keyword Search'!$C$5&amp;"*"),TRUE,FALSE)</f>
        <v>1</v>
      </c>
      <c r="G5626" t="str">
        <f t="shared" si="358"/>
        <v>691-28: Chains Roller, Table Top, Engineering, Silent</v>
      </c>
    </row>
    <row r="5627" spans="1:7" x14ac:dyDescent="0.25">
      <c r="A5627" s="1" t="str">
        <f t="shared" si="360"/>
        <v>691</v>
      </c>
      <c r="B5627" s="1" t="str">
        <f>TEXT(31,"00")</f>
        <v>31</v>
      </c>
      <c r="C5627" s="1" t="str">
        <f t="shared" si="357"/>
        <v>691-31</v>
      </c>
      <c r="D5627" t="s">
        <v>5599</v>
      </c>
      <c r="E5627" t="b">
        <f>IF(COUNTIF(D5627,"*"&amp;'Keyword Search'!$C$5&amp;"*"),TRUE,FALSE)</f>
        <v>1</v>
      </c>
      <c r="G5627" t="str">
        <f t="shared" si="358"/>
        <v>691-31: Clutches and Brakes: Pneumatic, Electric, Torque Limiting, Tension Control</v>
      </c>
    </row>
    <row r="5628" spans="1:7" x14ac:dyDescent="0.25">
      <c r="A5628" s="1" t="str">
        <f t="shared" si="360"/>
        <v>691</v>
      </c>
      <c r="B5628" s="1" t="str">
        <f>TEXT(34,"00")</f>
        <v>34</v>
      </c>
      <c r="C5628" s="1" t="str">
        <f t="shared" si="357"/>
        <v>691-34</v>
      </c>
      <c r="D5628" t="s">
        <v>5600</v>
      </c>
      <c r="E5628" t="b">
        <f>IF(COUNTIF(D5628,"*"&amp;'Keyword Search'!$C$5&amp;"*"),TRUE,FALSE)</f>
        <v>1</v>
      </c>
      <c r="G5628" t="str">
        <f t="shared" si="358"/>
        <v>691-34: Couplings: Jaw, Steel Flex, Gear, Fluid, Chain, Disc Brake</v>
      </c>
    </row>
    <row r="5629" spans="1:7" x14ac:dyDescent="0.25">
      <c r="A5629" s="1" t="str">
        <f t="shared" si="360"/>
        <v>691</v>
      </c>
      <c r="B5629" s="1" t="str">
        <f>TEXT(39,"00")</f>
        <v>39</v>
      </c>
      <c r="C5629" s="1" t="str">
        <f t="shared" si="357"/>
        <v>691-39</v>
      </c>
      <c r="D5629" t="s">
        <v>5601</v>
      </c>
      <c r="E5629" t="b">
        <f>IF(COUNTIF(D5629,"*"&amp;'Keyword Search'!$C$5&amp;"*"),TRUE,FALSE)</f>
        <v>1</v>
      </c>
      <c r="G5629" t="str">
        <f t="shared" si="358"/>
        <v>691-39: Drives, Variable Speed: AC, AC Flux Vector, DC, Eddy Current, Mechanical, Variable Speed Pulleys, Hydrostatic Speed Variation</v>
      </c>
    </row>
    <row r="5630" spans="1:7" x14ac:dyDescent="0.25">
      <c r="A5630" s="1" t="str">
        <f t="shared" si="360"/>
        <v>691</v>
      </c>
      <c r="B5630" s="1" t="str">
        <f>TEXT(51,"00")</f>
        <v>51</v>
      </c>
      <c r="C5630" s="1" t="str">
        <f t="shared" si="357"/>
        <v>691-51</v>
      </c>
      <c r="D5630" t="s">
        <v>5602</v>
      </c>
      <c r="E5630" t="b">
        <f>IF(COUNTIF(D5630,"*"&amp;'Keyword Search'!$C$5&amp;"*"),TRUE,FALSE)</f>
        <v>1</v>
      </c>
      <c r="G5630" t="str">
        <f t="shared" si="358"/>
        <v>691-51: Motion Components, Linear: Shafts, Bearings, Support Blocks, Slides, Ball Screw</v>
      </c>
    </row>
    <row r="5631" spans="1:7" x14ac:dyDescent="0.25">
      <c r="A5631" s="1" t="str">
        <f t="shared" si="360"/>
        <v>691</v>
      </c>
      <c r="B5631" s="1" t="str">
        <f>TEXT(52,"00")</f>
        <v>52</v>
      </c>
      <c r="C5631" s="1" t="str">
        <f t="shared" si="357"/>
        <v>691-52</v>
      </c>
      <c r="D5631" t="s">
        <v>5603</v>
      </c>
      <c r="E5631" t="b">
        <f>IF(COUNTIF(D5631,"*"&amp;'Keyword Search'!$C$5&amp;"*"),TRUE,FALSE)</f>
        <v>1</v>
      </c>
      <c r="G5631" t="str">
        <f t="shared" si="358"/>
        <v>691-52: Motors: AC, DC, Vector Duty, Washdown, Brake, Stainless (Also See Class 285)</v>
      </c>
    </row>
    <row r="5632" spans="1:7" x14ac:dyDescent="0.25">
      <c r="A5632" s="1" t="str">
        <f t="shared" si="360"/>
        <v>691</v>
      </c>
      <c r="B5632" s="1" t="str">
        <f>TEXT(57,"00")</f>
        <v>57</v>
      </c>
      <c r="C5632" s="1" t="str">
        <f t="shared" si="357"/>
        <v>691-57</v>
      </c>
      <c r="D5632" t="s">
        <v>5604</v>
      </c>
      <c r="E5632" t="b">
        <f>IF(COUNTIF(D5632,"*"&amp;'Keyword Search'!$C$5&amp;"*"),TRUE,FALSE)</f>
        <v>1</v>
      </c>
      <c r="G5632" t="str">
        <f t="shared" si="358"/>
        <v>691-57: Pneumatics: Valves, Cylinders, Filters, Regulators, Lubricators, Including Parts and Accessories</v>
      </c>
    </row>
    <row r="5633" spans="1:7" x14ac:dyDescent="0.25">
      <c r="A5633" s="1" t="str">
        <f t="shared" si="360"/>
        <v>691</v>
      </c>
      <c r="B5633" s="1" t="str">
        <f>TEXT(62,"00")</f>
        <v>62</v>
      </c>
      <c r="C5633" s="1" t="str">
        <f t="shared" si="357"/>
        <v>691-62</v>
      </c>
      <c r="D5633" t="s">
        <v>5605</v>
      </c>
      <c r="E5633" t="b">
        <f>IF(COUNTIF(D5633,"*"&amp;'Keyword Search'!$C$5&amp;"*"),TRUE,FALSE)</f>
        <v>1</v>
      </c>
      <c r="G5633" t="str">
        <f t="shared" si="358"/>
        <v>691-62: Recycled Power Transmission Equipment, Including Parts and Accessories</v>
      </c>
    </row>
    <row r="5634" spans="1:7" x14ac:dyDescent="0.25">
      <c r="A5634" s="1" t="str">
        <f t="shared" si="360"/>
        <v>691</v>
      </c>
      <c r="B5634" s="1" t="str">
        <f>TEXT(63,"00")</f>
        <v>63</v>
      </c>
      <c r="C5634" s="1" t="str">
        <f t="shared" si="357"/>
        <v>691-63</v>
      </c>
      <c r="D5634" t="s">
        <v>5606</v>
      </c>
      <c r="E5634" t="b">
        <f>IF(COUNTIF(D5634,"*"&amp;'Keyword Search'!$C$5&amp;"*"),TRUE,FALSE)</f>
        <v>1</v>
      </c>
      <c r="G5634" t="str">
        <f t="shared" si="358"/>
        <v>691-63: Reducers: In-Line, Worm Gear, Right Angle, Parallel, Bevel, Mixer, Shaft Mount, Screw Conveyor</v>
      </c>
    </row>
    <row r="5635" spans="1:7" x14ac:dyDescent="0.25">
      <c r="A5635" s="1" t="str">
        <f t="shared" si="360"/>
        <v>691</v>
      </c>
      <c r="B5635" s="1" t="str">
        <f>TEXT(73,"00")</f>
        <v>73</v>
      </c>
      <c r="C5635" s="1" t="str">
        <f t="shared" ref="C5635:C5698" si="361">CONCATENATE(A5635,"-",B5635)</f>
        <v>691-73</v>
      </c>
      <c r="D5635" t="s">
        <v>5607</v>
      </c>
      <c r="E5635" t="b">
        <f>IF(COUNTIF(D5635,"*"&amp;'Keyword Search'!$C$5&amp;"*"),TRUE,FALSE)</f>
        <v>1</v>
      </c>
      <c r="G5635" t="str">
        <f t="shared" si="358"/>
        <v>691-73: Sheaves and Belt Sprockets: V-Belt, Poly Chain, HTD, Timing Sprockets</v>
      </c>
    </row>
    <row r="5636" spans="1:7" x14ac:dyDescent="0.25">
      <c r="A5636" s="1" t="str">
        <f t="shared" si="360"/>
        <v>691</v>
      </c>
      <c r="B5636" s="1" t="str">
        <f>TEXT(75,"00")</f>
        <v>75</v>
      </c>
      <c r="C5636" s="1" t="str">
        <f t="shared" si="361"/>
        <v>691-75</v>
      </c>
      <c r="D5636" t="s">
        <v>5608</v>
      </c>
      <c r="E5636" t="b">
        <f>IF(COUNTIF(D5636,"*"&amp;'Keyword Search'!$C$5&amp;"*"),TRUE,FALSE)</f>
        <v>1</v>
      </c>
      <c r="G5636" t="str">
        <f t="shared" ref="G5636:G5699" si="362">CONCATENATE(C5636,": ",D5636)</f>
        <v>691-75: Sprockets and Gears: Roller Chain, Engineering, Split, Table Top, Plastic, Spur, Bevel, Helical, Rack and Pinion Gearing</v>
      </c>
    </row>
    <row r="5637" spans="1:7" x14ac:dyDescent="0.25">
      <c r="A5637" s="5" t="str">
        <f t="shared" ref="A5637:A5688" si="363">TEXT(700,"000")</f>
        <v>700</v>
      </c>
      <c r="B5637" s="5" t="str">
        <f>TEXT(0,"00")</f>
        <v>00</v>
      </c>
      <c r="C5637" s="1"/>
      <c r="D5637" s="2" t="s">
        <v>5609</v>
      </c>
    </row>
    <row r="5638" spans="1:7" x14ac:dyDescent="0.25">
      <c r="A5638" s="1" t="str">
        <f t="shared" si="363"/>
        <v>700</v>
      </c>
      <c r="B5638" s="1" t="str">
        <f>TEXT(7,"00")</f>
        <v>07</v>
      </c>
      <c r="C5638" s="1" t="str">
        <f t="shared" si="361"/>
        <v>700-07</v>
      </c>
      <c r="D5638" t="s">
        <v>5610</v>
      </c>
      <c r="E5638" t="b">
        <f>IF(COUNTIF(D5638,"*"&amp;'Keyword Search'!$C$5&amp;"*"),TRUE,FALSE)</f>
        <v>1</v>
      </c>
      <c r="G5638" t="str">
        <f t="shared" si="362"/>
        <v>700-07: Bar Code Printing and Sorting Systems</v>
      </c>
    </row>
    <row r="5639" spans="1:7" x14ac:dyDescent="0.25">
      <c r="A5639" s="1" t="str">
        <f t="shared" si="363"/>
        <v>700</v>
      </c>
      <c r="B5639" s="1" t="str">
        <f>TEXT(8,"00")</f>
        <v>08</v>
      </c>
      <c r="C5639" s="1" t="str">
        <f t="shared" si="361"/>
        <v>700-08</v>
      </c>
      <c r="D5639" t="s">
        <v>5611</v>
      </c>
      <c r="E5639" t="b">
        <f>IF(COUNTIF(D5639,"*"&amp;'Keyword Search'!$C$5&amp;"*"),TRUE,FALSE)</f>
        <v>1</v>
      </c>
      <c r="G5639" t="str">
        <f t="shared" si="362"/>
        <v>700-08: Bindery Equipment and Machinery (For Comb Type See 700-74 and 75)</v>
      </c>
    </row>
    <row r="5640" spans="1:7" x14ac:dyDescent="0.25">
      <c r="A5640" s="1" t="str">
        <f t="shared" si="363"/>
        <v>700</v>
      </c>
      <c r="B5640" s="1" t="str">
        <f>TEXT(9,"00")</f>
        <v>09</v>
      </c>
      <c r="C5640" s="1" t="str">
        <f t="shared" si="361"/>
        <v>700-09</v>
      </c>
      <c r="D5640" t="s">
        <v>5612</v>
      </c>
      <c r="E5640" t="b">
        <f>IF(COUNTIF(D5640,"*"&amp;'Keyword Search'!$C$5&amp;"*"),TRUE,FALSE)</f>
        <v>1</v>
      </c>
      <c r="G5640" t="str">
        <f t="shared" si="362"/>
        <v>700-09: Binding Equipment and Supplies, Perfect</v>
      </c>
    </row>
    <row r="5641" spans="1:7" x14ac:dyDescent="0.25">
      <c r="A5641" s="1" t="str">
        <f t="shared" si="363"/>
        <v>700</v>
      </c>
      <c r="B5641" s="1" t="str">
        <f>TEXT(10,"00")</f>
        <v>10</v>
      </c>
      <c r="C5641" s="1" t="str">
        <f t="shared" si="361"/>
        <v>700-10</v>
      </c>
      <c r="D5641" t="s">
        <v>5613</v>
      </c>
      <c r="E5641" t="b">
        <f>IF(COUNTIF(D5641,"*"&amp;'Keyword Search'!$C$5&amp;"*"),TRUE,FALSE)</f>
        <v>1</v>
      </c>
      <c r="G5641" t="str">
        <f t="shared" si="362"/>
        <v>700-10: Binding Equipment and Supplies, Book (Not Otherwise Classified)</v>
      </c>
    </row>
    <row r="5642" spans="1:7" x14ac:dyDescent="0.25">
      <c r="A5642" s="1" t="str">
        <f t="shared" si="363"/>
        <v>700</v>
      </c>
      <c r="B5642" s="1" t="str">
        <f>TEXT(12,"00")</f>
        <v>12</v>
      </c>
      <c r="C5642" s="1" t="str">
        <f t="shared" si="361"/>
        <v>700-12</v>
      </c>
      <c r="D5642" t="s">
        <v>5614</v>
      </c>
      <c r="E5642" t="b">
        <f>IF(COUNTIF(D5642,"*"&amp;'Keyword Search'!$C$5&amp;"*"),TRUE,FALSE)</f>
        <v>1</v>
      </c>
      <c r="G5642" t="str">
        <f t="shared" si="362"/>
        <v>700-12: Casting Machines, Strip</v>
      </c>
    </row>
    <row r="5643" spans="1:7" x14ac:dyDescent="0.25">
      <c r="A5643" s="1" t="str">
        <f t="shared" si="363"/>
        <v>700</v>
      </c>
      <c r="B5643" s="1" t="str">
        <f>TEXT(16,"00")</f>
        <v>16</v>
      </c>
      <c r="C5643" s="1" t="str">
        <f t="shared" si="361"/>
        <v>700-16</v>
      </c>
      <c r="D5643" t="s">
        <v>5615</v>
      </c>
      <c r="E5643" t="b">
        <f>IF(COUNTIF(D5643,"*"&amp;'Keyword Search'!$C$5&amp;"*"),TRUE,FALSE)</f>
        <v>1</v>
      </c>
      <c r="G5643" t="str">
        <f t="shared" si="362"/>
        <v>700-16: Casting Metals: Linotype, Intertype, and Strip</v>
      </c>
    </row>
    <row r="5644" spans="1:7" x14ac:dyDescent="0.25">
      <c r="A5644" s="1" t="str">
        <f t="shared" si="363"/>
        <v>700</v>
      </c>
      <c r="B5644" s="1" t="str">
        <f>TEXT(20,"00")</f>
        <v>20</v>
      </c>
      <c r="C5644" s="1" t="str">
        <f t="shared" si="361"/>
        <v>700-20</v>
      </c>
      <c r="D5644" t="s">
        <v>5616</v>
      </c>
      <c r="E5644" t="b">
        <f>IF(COUNTIF(D5644,"*"&amp;'Keyword Search'!$C$5&amp;"*"),TRUE,FALSE)</f>
        <v>1</v>
      </c>
      <c r="G5644" t="str">
        <f t="shared" si="362"/>
        <v>700-20: Cleaning Solvents for Press Rollers, etc. Anhydrous Ammonia, etc.</v>
      </c>
    </row>
    <row r="5645" spans="1:7" x14ac:dyDescent="0.25">
      <c r="A5645" s="1" t="str">
        <f t="shared" si="363"/>
        <v>700</v>
      </c>
      <c r="B5645" s="1" t="str">
        <f>TEXT(24,"00")</f>
        <v>24</v>
      </c>
      <c r="C5645" s="1" t="str">
        <f t="shared" si="361"/>
        <v>700-24</v>
      </c>
      <c r="D5645" t="s">
        <v>5617</v>
      </c>
      <c r="E5645" t="b">
        <f>IF(COUNTIF(D5645,"*"&amp;'Keyword Search'!$C$5&amp;"*"),TRUE,FALSE)</f>
        <v>1</v>
      </c>
      <c r="G5645" t="str">
        <f t="shared" si="362"/>
        <v>700-24: Collators and Sorters</v>
      </c>
    </row>
    <row r="5646" spans="1:7" x14ac:dyDescent="0.25">
      <c r="A5646" s="1" t="str">
        <f t="shared" si="363"/>
        <v>700</v>
      </c>
      <c r="B5646" s="1" t="str">
        <f>TEXT(25,"00")</f>
        <v>25</v>
      </c>
      <c r="C5646" s="1" t="str">
        <f t="shared" si="361"/>
        <v>700-25</v>
      </c>
      <c r="D5646" t="s">
        <v>5618</v>
      </c>
      <c r="E5646" t="b">
        <f>IF(COUNTIF(D5646,"*"&amp;'Keyword Search'!$C$5&amp;"*"),TRUE,FALSE)</f>
        <v>1</v>
      </c>
      <c r="G5646" t="str">
        <f t="shared" si="362"/>
        <v>700-25: Direct Impression Typesetting Machines and Supplies</v>
      </c>
    </row>
    <row r="5647" spans="1:7" x14ac:dyDescent="0.25">
      <c r="A5647" s="1" t="str">
        <f t="shared" si="363"/>
        <v>700</v>
      </c>
      <c r="B5647" s="1" t="str">
        <f>TEXT(26,"00")</f>
        <v>26</v>
      </c>
      <c r="C5647" s="1" t="str">
        <f t="shared" si="361"/>
        <v>700-26</v>
      </c>
      <c r="D5647" t="s">
        <v>5619</v>
      </c>
      <c r="E5647" t="b">
        <f>IF(COUNTIF(D5647,"*"&amp;'Keyword Search'!$C$5&amp;"*"),TRUE,FALSE)</f>
        <v>1</v>
      </c>
      <c r="G5647" t="str">
        <f t="shared" si="362"/>
        <v>700-26: Form Rollers</v>
      </c>
    </row>
    <row r="5648" spans="1:7" x14ac:dyDescent="0.25">
      <c r="A5648" s="1" t="str">
        <f t="shared" si="363"/>
        <v>700</v>
      </c>
      <c r="B5648" s="1" t="str">
        <f>TEXT(27,"00")</f>
        <v>27</v>
      </c>
      <c r="C5648" s="1" t="str">
        <f t="shared" si="361"/>
        <v>700-27</v>
      </c>
      <c r="D5648" t="s">
        <v>5620</v>
      </c>
      <c r="E5648" t="b">
        <f>IF(COUNTIF(D5648,"*"&amp;'Keyword Search'!$C$5&amp;"*"),TRUE,FALSE)</f>
        <v>1</v>
      </c>
      <c r="G5648" t="str">
        <f t="shared" si="362"/>
        <v>700-27: Folding, Scoring, and Perforating Equipment</v>
      </c>
    </row>
    <row r="5649" spans="1:7" x14ac:dyDescent="0.25">
      <c r="A5649" s="1" t="str">
        <f t="shared" si="363"/>
        <v>700</v>
      </c>
      <c r="B5649" s="1" t="str">
        <f>TEXT(28,"00")</f>
        <v>28</v>
      </c>
      <c r="C5649" s="1" t="str">
        <f t="shared" si="361"/>
        <v>700-28</v>
      </c>
      <c r="D5649" t="s">
        <v>5621</v>
      </c>
      <c r="E5649" t="b">
        <f>IF(COUNTIF(D5649,"*"&amp;'Keyword Search'!$C$5&amp;"*"),TRUE,FALSE)</f>
        <v>1</v>
      </c>
      <c r="G5649" t="str">
        <f t="shared" si="362"/>
        <v>700-28: Graphic Art Equipment: Cameras, Darkroom Sinks, Engraving Machines, Heliographic Equipment, Light Tables, Photoengravers, Processors, Waxers, etc.</v>
      </c>
    </row>
    <row r="5650" spans="1:7" x14ac:dyDescent="0.25">
      <c r="A5650" s="1" t="str">
        <f t="shared" si="363"/>
        <v>700</v>
      </c>
      <c r="B5650" s="1" t="str">
        <f>TEXT(29,"00")</f>
        <v>29</v>
      </c>
      <c r="C5650" s="1" t="str">
        <f t="shared" si="361"/>
        <v>700-29</v>
      </c>
      <c r="D5650" t="s">
        <v>5622</v>
      </c>
      <c r="E5650" t="b">
        <f>IF(COUNTIF(D5650,"*"&amp;'Keyword Search'!$C$5&amp;"*"),TRUE,FALSE)</f>
        <v>1</v>
      </c>
      <c r="G5650" t="str">
        <f t="shared" si="362"/>
        <v>700-29: Film and Rapid Access Film, Reprographic</v>
      </c>
    </row>
    <row r="5651" spans="1:7" x14ac:dyDescent="0.25">
      <c r="A5651" s="1" t="str">
        <f t="shared" si="363"/>
        <v>700</v>
      </c>
      <c r="B5651" s="1" t="str">
        <f>TEXT(30,"00")</f>
        <v>30</v>
      </c>
      <c r="C5651" s="1" t="str">
        <f t="shared" si="361"/>
        <v>700-30</v>
      </c>
      <c r="D5651" t="s">
        <v>5623</v>
      </c>
      <c r="E5651" t="b">
        <f>IF(COUNTIF(D5651,"*"&amp;'Keyword Search'!$C$5&amp;"*"),TRUE,FALSE)</f>
        <v>1</v>
      </c>
      <c r="G5651" t="str">
        <f t="shared" si="362"/>
        <v>700-30: Graphic Art Supplies: Films and Chemistry, Opaguing Supplies, Proofing Papers, Stripping Base, etc.</v>
      </c>
    </row>
    <row r="5652" spans="1:7" x14ac:dyDescent="0.25">
      <c r="A5652" s="1" t="str">
        <f t="shared" si="363"/>
        <v>700</v>
      </c>
      <c r="B5652" s="1" t="str">
        <f>TEXT(32,"00")</f>
        <v>32</v>
      </c>
      <c r="C5652" s="1" t="str">
        <f t="shared" si="361"/>
        <v>700-32</v>
      </c>
      <c r="D5652" t="s">
        <v>5624</v>
      </c>
      <c r="E5652" t="b">
        <f>IF(COUNTIF(D5652,"*"&amp;'Keyword Search'!$C$5&amp;"*"),TRUE,FALSE)</f>
        <v>1</v>
      </c>
      <c r="G5652" t="str">
        <f t="shared" si="362"/>
        <v>700-32: Imprinting Machine Systems Including Accessories and Supplies, Silk Screen</v>
      </c>
    </row>
    <row r="5653" spans="1:7" x14ac:dyDescent="0.25">
      <c r="A5653" s="1" t="str">
        <f t="shared" si="363"/>
        <v>700</v>
      </c>
      <c r="B5653" s="1" t="str">
        <f>TEXT(36,"00")</f>
        <v>36</v>
      </c>
      <c r="C5653" s="1" t="str">
        <f t="shared" si="361"/>
        <v>700-36</v>
      </c>
      <c r="D5653" t="s">
        <v>5625</v>
      </c>
      <c r="E5653" t="b">
        <f>IF(COUNTIF(D5653,"*"&amp;'Keyword Search'!$C$5&amp;"*"),TRUE,FALSE)</f>
        <v>1</v>
      </c>
      <c r="G5653" t="str">
        <f t="shared" si="362"/>
        <v>700-36: Letterpress Equipment</v>
      </c>
    </row>
    <row r="5654" spans="1:7" x14ac:dyDescent="0.25">
      <c r="A5654" s="1" t="str">
        <f t="shared" si="363"/>
        <v>700</v>
      </c>
      <c r="B5654" s="1" t="str">
        <f>TEXT(38,"00")</f>
        <v>38</v>
      </c>
      <c r="C5654" s="1" t="str">
        <f t="shared" si="361"/>
        <v>700-38</v>
      </c>
      <c r="D5654" t="s">
        <v>5626</v>
      </c>
      <c r="E5654" t="b">
        <f>IF(COUNTIF(D5654,"*"&amp;'Keyword Search'!$C$5&amp;"*"),TRUE,FALSE)</f>
        <v>1</v>
      </c>
      <c r="G5654" t="str">
        <f t="shared" si="362"/>
        <v>700-38: Letterpress Inks, Supplies, and Accessories</v>
      </c>
    </row>
    <row r="5655" spans="1:7" x14ac:dyDescent="0.25">
      <c r="A5655" s="1" t="str">
        <f t="shared" si="363"/>
        <v>700</v>
      </c>
      <c r="B5655" s="1" t="str">
        <f>TEXT(40,"00")</f>
        <v>40</v>
      </c>
      <c r="C5655" s="1" t="str">
        <f t="shared" si="361"/>
        <v>700-40</v>
      </c>
      <c r="D5655" t="s">
        <v>5627</v>
      </c>
      <c r="E5655" t="b">
        <f>IF(COUNTIF(D5655,"*"&amp;'Keyword Search'!$C$5&amp;"*"),TRUE,FALSE)</f>
        <v>1</v>
      </c>
      <c r="G5655" t="str">
        <f t="shared" si="362"/>
        <v>700-40: License Plate Printing Equipment, Digital, Including Accessories and Supplies</v>
      </c>
    </row>
    <row r="5656" spans="1:7" x14ac:dyDescent="0.25">
      <c r="A5656" s="1" t="str">
        <f t="shared" si="363"/>
        <v>700</v>
      </c>
      <c r="B5656" s="1" t="str">
        <f>TEXT(42,"00")</f>
        <v>42</v>
      </c>
      <c r="C5656" s="1" t="str">
        <f t="shared" si="361"/>
        <v>700-42</v>
      </c>
      <c r="D5656" t="s">
        <v>5628</v>
      </c>
      <c r="E5656" t="b">
        <f>IF(COUNTIF(D5656,"*"&amp;'Keyword Search'!$C$5&amp;"*"),TRUE,FALSE)</f>
        <v>1</v>
      </c>
      <c r="G5656" t="str">
        <f t="shared" si="362"/>
        <v>700-42: Linotype and Intertype Machines, Including Composing Machines</v>
      </c>
    </row>
    <row r="5657" spans="1:7" x14ac:dyDescent="0.25">
      <c r="A5657" s="1" t="str">
        <f t="shared" si="363"/>
        <v>700</v>
      </c>
      <c r="B5657" s="1" t="str">
        <f>TEXT(45,"00")</f>
        <v>45</v>
      </c>
      <c r="C5657" s="1" t="str">
        <f t="shared" si="361"/>
        <v>700-45</v>
      </c>
      <c r="D5657" t="s">
        <v>5629</v>
      </c>
      <c r="E5657" t="b">
        <f>IF(COUNTIF(D5657,"*"&amp;'Keyword Search'!$C$5&amp;"*"),TRUE,FALSE)</f>
        <v>1</v>
      </c>
      <c r="G5657" t="str">
        <f t="shared" si="362"/>
        <v>700-45: Linotype and Intertype Supplies</v>
      </c>
    </row>
    <row r="5658" spans="1:7" x14ac:dyDescent="0.25">
      <c r="A5658" s="1" t="str">
        <f t="shared" si="363"/>
        <v>700</v>
      </c>
      <c r="B5658" s="1" t="str">
        <f>TEXT(50,"00")</f>
        <v>50</v>
      </c>
      <c r="C5658" s="1" t="str">
        <f t="shared" si="361"/>
        <v>700-50</v>
      </c>
      <c r="D5658" t="s">
        <v>5630</v>
      </c>
      <c r="E5658" t="b">
        <f>IF(COUNTIF(D5658,"*"&amp;'Keyword Search'!$C$5&amp;"*"),TRUE,FALSE)</f>
        <v>1</v>
      </c>
      <c r="G5658" t="str">
        <f t="shared" si="362"/>
        <v>700-50: Metal Pig Feeders and Molds</v>
      </c>
    </row>
    <row r="5659" spans="1:7" x14ac:dyDescent="0.25">
      <c r="A5659" s="1" t="str">
        <f t="shared" si="363"/>
        <v>700</v>
      </c>
      <c r="B5659" s="1" t="str">
        <f>TEXT(51,"00")</f>
        <v>51</v>
      </c>
      <c r="C5659" s="1" t="str">
        <f t="shared" si="361"/>
        <v>700-51</v>
      </c>
      <c r="D5659" t="s">
        <v>5631</v>
      </c>
      <c r="E5659" t="b">
        <f>IF(COUNTIF(D5659,"*"&amp;'Keyword Search'!$C$5&amp;"*"),TRUE,FALSE)</f>
        <v>1</v>
      </c>
      <c r="G5659" t="str">
        <f t="shared" si="362"/>
        <v>700-51: *Misc. Printing Equipment and Accessories (Not Otherwise Classified)</v>
      </c>
    </row>
    <row r="5660" spans="1:7" x14ac:dyDescent="0.25">
      <c r="A5660" s="1" t="str">
        <f t="shared" si="363"/>
        <v>700</v>
      </c>
      <c r="B5660" s="1" t="str">
        <f>TEXT(52,"00")</f>
        <v>52</v>
      </c>
      <c r="C5660" s="1" t="str">
        <f t="shared" si="361"/>
        <v>700-52</v>
      </c>
      <c r="D5660" t="s">
        <v>5632</v>
      </c>
      <c r="E5660" t="b">
        <f>IF(COUNTIF(D5660,"*"&amp;'Keyword Search'!$C$5&amp;"*"),TRUE,FALSE)</f>
        <v>1</v>
      </c>
      <c r="G5660" t="str">
        <f t="shared" si="362"/>
        <v>700-52: Numbering Machines and Devices (For Print Shops and Presses; See 605-50 for Office Type)</v>
      </c>
    </row>
    <row r="5661" spans="1:7" x14ac:dyDescent="0.25">
      <c r="A5661" s="1" t="str">
        <f t="shared" si="363"/>
        <v>700</v>
      </c>
      <c r="B5661" s="1" t="str">
        <f>TEXT(53,"00")</f>
        <v>53</v>
      </c>
      <c r="C5661" s="1" t="str">
        <f t="shared" si="361"/>
        <v>700-53</v>
      </c>
      <c r="D5661" t="s">
        <v>5633</v>
      </c>
      <c r="E5661" t="b">
        <f>IF(COUNTIF(D5661,"*"&amp;'Keyword Search'!$C$5&amp;"*"),TRUE,FALSE)</f>
        <v>1</v>
      </c>
      <c r="G5661" t="str">
        <f t="shared" si="362"/>
        <v>700-53: Offset Plate Makers and Processors</v>
      </c>
    </row>
    <row r="5662" spans="1:7" x14ac:dyDescent="0.25">
      <c r="A5662" s="1" t="str">
        <f t="shared" si="363"/>
        <v>700</v>
      </c>
      <c r="B5662" s="1" t="str">
        <f>TEXT(55,"00")</f>
        <v>55</v>
      </c>
      <c r="C5662" s="1" t="str">
        <f t="shared" si="361"/>
        <v>700-55</v>
      </c>
      <c r="D5662" t="s">
        <v>5634</v>
      </c>
      <c r="E5662" t="b">
        <f>IF(COUNTIF(D5662,"*"&amp;'Keyword Search'!$C$5&amp;"*"),TRUE,FALSE)</f>
        <v>1</v>
      </c>
      <c r="G5662" t="str">
        <f t="shared" si="362"/>
        <v>700-55: Offset Printing, Duplicating and Lithographing Machines and Equipment , Smaller than 17 In. by 22 In.</v>
      </c>
    </row>
    <row r="5663" spans="1:7" x14ac:dyDescent="0.25">
      <c r="A5663" s="1" t="str">
        <f t="shared" si="363"/>
        <v>700</v>
      </c>
      <c r="B5663" s="1" t="str">
        <f>TEXT(56,"00")</f>
        <v>56</v>
      </c>
      <c r="C5663" s="1" t="str">
        <f t="shared" si="361"/>
        <v>700-56</v>
      </c>
      <c r="D5663" t="s">
        <v>5635</v>
      </c>
      <c r="E5663" t="b">
        <f>IF(COUNTIF(D5663,"*"&amp;'Keyword Search'!$C$5&amp;"*"),TRUE,FALSE)</f>
        <v>1</v>
      </c>
      <c r="G5663" t="str">
        <f t="shared" si="362"/>
        <v>700-56: Offset Printing, Duplicating and Lithographing Machines and Equipment, For 17 in. x 22 in. and Larger</v>
      </c>
    </row>
    <row r="5664" spans="1:7" x14ac:dyDescent="0.25">
      <c r="A5664" s="1" t="str">
        <f t="shared" si="363"/>
        <v>700</v>
      </c>
      <c r="B5664" s="1" t="str">
        <f>TEXT(57,"00")</f>
        <v>57</v>
      </c>
      <c r="C5664" s="1" t="str">
        <f t="shared" si="361"/>
        <v>700-57</v>
      </c>
      <c r="D5664" t="s">
        <v>5636</v>
      </c>
      <c r="E5664" t="b">
        <f>IF(COUNTIF(D5664,"*"&amp;'Keyword Search'!$C$5&amp;"*"),TRUE,FALSE)</f>
        <v>1</v>
      </c>
      <c r="G5664" t="str">
        <f t="shared" si="362"/>
        <v>700-57: Printing Accessories and Supplies, Including Electrostatic Types: Blankets, Chemicals, Gum, Inks, Mats, Negatives, Plates, Roller Covers, Rubber Rejuvenators, Sleeves, etc. (See  700-30 for Graphic Art Supplies)</v>
      </c>
    </row>
    <row r="5665" spans="1:7" x14ac:dyDescent="0.25">
      <c r="A5665" s="1" t="str">
        <f t="shared" si="363"/>
        <v>700</v>
      </c>
      <c r="B5665" s="1" t="str">
        <f>TEXT(58,"00")</f>
        <v>58</v>
      </c>
      <c r="C5665" s="1" t="str">
        <f t="shared" si="361"/>
        <v>700-58</v>
      </c>
      <c r="D5665" t="s">
        <v>5637</v>
      </c>
      <c r="E5665" t="b">
        <f>IF(COUNTIF(D5665,"*"&amp;'Keyword Search'!$C$5&amp;"*"),TRUE,FALSE)</f>
        <v>1</v>
      </c>
      <c r="G5665" t="str">
        <f t="shared" si="362"/>
        <v>700-58: *Proofing Systems</v>
      </c>
    </row>
    <row r="5666" spans="1:7" x14ac:dyDescent="0.25">
      <c r="A5666" s="1" t="str">
        <f t="shared" si="363"/>
        <v>700</v>
      </c>
      <c r="B5666" s="1" t="str">
        <f>TEXT(62,"00")</f>
        <v>62</v>
      </c>
      <c r="C5666" s="1" t="str">
        <f t="shared" si="361"/>
        <v>700-62</v>
      </c>
      <c r="D5666" t="s">
        <v>5638</v>
      </c>
      <c r="E5666" t="b">
        <f>IF(COUNTIF(D5666,"*"&amp;'Keyword Search'!$C$5&amp;"*"),TRUE,FALSE)</f>
        <v>1</v>
      </c>
      <c r="G5666" t="str">
        <f t="shared" si="362"/>
        <v>700-62: Paper Cutters and Trimmers</v>
      </c>
    </row>
    <row r="5667" spans="1:7" x14ac:dyDescent="0.25">
      <c r="A5667" s="1" t="str">
        <f t="shared" si="363"/>
        <v>700</v>
      </c>
      <c r="B5667" s="1" t="str">
        <f>TEXT(63,"00")</f>
        <v>63</v>
      </c>
      <c r="C5667" s="1" t="str">
        <f t="shared" si="361"/>
        <v>700-63</v>
      </c>
      <c r="D5667" t="s">
        <v>5639</v>
      </c>
      <c r="E5667" t="b">
        <f>IF(COUNTIF(D5667,"*"&amp;'Keyword Search'!$C$5&amp;"*"),TRUE,FALSE)</f>
        <v>1</v>
      </c>
      <c r="G5667" t="str">
        <f t="shared" si="362"/>
        <v>700-63: Paper and Chemistry for Diffusion Transfer, Photographic, Graphic Arts</v>
      </c>
    </row>
    <row r="5668" spans="1:7" x14ac:dyDescent="0.25">
      <c r="A5668" s="1" t="str">
        <f t="shared" si="363"/>
        <v>700</v>
      </c>
      <c r="B5668" s="1" t="str">
        <f>TEXT(65,"00")</f>
        <v>65</v>
      </c>
      <c r="C5668" s="1" t="str">
        <f t="shared" si="361"/>
        <v>700-65</v>
      </c>
      <c r="D5668" t="s">
        <v>5640</v>
      </c>
      <c r="E5668" t="b">
        <f>IF(COUNTIF(D5668,"*"&amp;'Keyword Search'!$C$5&amp;"*"),TRUE,FALSE)</f>
        <v>1</v>
      </c>
      <c r="G5668" t="str">
        <f t="shared" si="362"/>
        <v>700-65: Paper Drilling Machines</v>
      </c>
    </row>
    <row r="5669" spans="1:7" x14ac:dyDescent="0.25">
      <c r="A5669" s="1" t="str">
        <f t="shared" si="363"/>
        <v>700</v>
      </c>
      <c r="B5669" s="1" t="str">
        <f>TEXT(67,"00")</f>
        <v>67</v>
      </c>
      <c r="C5669" s="1" t="str">
        <f t="shared" si="361"/>
        <v>700-67</v>
      </c>
      <c r="D5669" t="s">
        <v>5641</v>
      </c>
      <c r="E5669" t="b">
        <f>IF(COUNTIF(D5669,"*"&amp;'Keyword Search'!$C$5&amp;"*"),TRUE,FALSE)</f>
        <v>1</v>
      </c>
      <c r="G5669" t="str">
        <f t="shared" si="362"/>
        <v>700-67: Paper Pile Turner</v>
      </c>
    </row>
    <row r="5670" spans="1:7" x14ac:dyDescent="0.25">
      <c r="A5670" s="1" t="str">
        <f t="shared" si="363"/>
        <v>700</v>
      </c>
      <c r="B5670" s="1" t="str">
        <f>TEXT(68,"00")</f>
        <v>68</v>
      </c>
      <c r="C5670" s="1" t="str">
        <f t="shared" si="361"/>
        <v>700-68</v>
      </c>
      <c r="D5670" t="s">
        <v>5642</v>
      </c>
      <c r="E5670" t="b">
        <f>IF(COUNTIF(D5670,"*"&amp;'Keyword Search'!$C$5&amp;"*"),TRUE,FALSE)</f>
        <v>1</v>
      </c>
      <c r="G5670" t="str">
        <f t="shared" si="362"/>
        <v>700-68: Paper Joggers</v>
      </c>
    </row>
    <row r="5671" spans="1:7" x14ac:dyDescent="0.25">
      <c r="A5671" s="1" t="str">
        <f t="shared" si="363"/>
        <v>700</v>
      </c>
      <c r="B5671" s="1" t="str">
        <f>TEXT(69,"00")</f>
        <v>69</v>
      </c>
      <c r="C5671" s="1" t="str">
        <f t="shared" si="361"/>
        <v>700-69</v>
      </c>
      <c r="D5671" t="s">
        <v>5643</v>
      </c>
      <c r="E5671" t="b">
        <f>IF(COUNTIF(D5671,"*"&amp;'Keyword Search'!$C$5&amp;"*"),TRUE,FALSE)</f>
        <v>1</v>
      </c>
      <c r="G5671" t="str">
        <f t="shared" si="362"/>
        <v>700-69: Paper Production and Processing Equipment and Supplies (Not Otherwise Classified)</v>
      </c>
    </row>
    <row r="5672" spans="1:7" x14ac:dyDescent="0.25">
      <c r="A5672" s="1" t="str">
        <f t="shared" si="363"/>
        <v>700</v>
      </c>
      <c r="B5672" s="1" t="str">
        <f>TEXT(70,"00")</f>
        <v>70</v>
      </c>
      <c r="C5672" s="1" t="str">
        <f t="shared" si="361"/>
        <v>700-70</v>
      </c>
      <c r="D5672" t="s">
        <v>5644</v>
      </c>
      <c r="E5672" t="b">
        <f>IF(COUNTIF(D5672,"*"&amp;'Keyword Search'!$C$5&amp;"*"),TRUE,FALSE)</f>
        <v>1</v>
      </c>
      <c r="G5672" t="str">
        <f t="shared" si="362"/>
        <v>700-70: Printing Presses (Not Otherwise Classified)</v>
      </c>
    </row>
    <row r="5673" spans="1:7" x14ac:dyDescent="0.25">
      <c r="A5673" s="1" t="str">
        <f t="shared" si="363"/>
        <v>700</v>
      </c>
      <c r="B5673" s="1" t="str">
        <f>TEXT(71,"00")</f>
        <v>71</v>
      </c>
      <c r="C5673" s="1" t="str">
        <f t="shared" si="361"/>
        <v>700-71</v>
      </c>
      <c r="D5673" t="s">
        <v>5645</v>
      </c>
      <c r="E5673" t="b">
        <f>IF(COUNTIF(D5673,"*"&amp;'Keyword Search'!$C$5&amp;"*"),TRUE,FALSE)</f>
        <v>1</v>
      </c>
      <c r="G5673" t="str">
        <f t="shared" si="362"/>
        <v>700-71: Paper and Film Shredders</v>
      </c>
    </row>
    <row r="5674" spans="1:7" x14ac:dyDescent="0.25">
      <c r="A5674" s="1" t="str">
        <f t="shared" si="363"/>
        <v>700</v>
      </c>
      <c r="B5674" s="1" t="str">
        <f>TEXT(72,"00")</f>
        <v>72</v>
      </c>
      <c r="C5674" s="1" t="str">
        <f t="shared" si="361"/>
        <v>700-72</v>
      </c>
      <c r="D5674" t="s">
        <v>5646</v>
      </c>
      <c r="E5674" t="b">
        <f>IF(COUNTIF(D5674,"*"&amp;'Keyword Search'!$C$5&amp;"*"),TRUE,FALSE)</f>
        <v>1</v>
      </c>
      <c r="G5674" t="str">
        <f t="shared" si="362"/>
        <v>700-72: Photocompositors (Photo Typesetting Machines) and Supplies (See 700-28 for Processors)</v>
      </c>
    </row>
    <row r="5675" spans="1:7" x14ac:dyDescent="0.25">
      <c r="A5675" s="1" t="str">
        <f t="shared" si="363"/>
        <v>700</v>
      </c>
      <c r="B5675" s="1" t="str">
        <f>TEXT(73,"00")</f>
        <v>73</v>
      </c>
      <c r="C5675" s="1" t="str">
        <f t="shared" si="361"/>
        <v>700-73</v>
      </c>
      <c r="D5675" t="s">
        <v>5647</v>
      </c>
      <c r="E5675" t="b">
        <f>IF(COUNTIF(D5675,"*"&amp;'Keyword Search'!$C$5&amp;"*"),TRUE,FALSE)</f>
        <v>1</v>
      </c>
      <c r="G5675" t="str">
        <f t="shared" si="362"/>
        <v>700-73: *Printing Presses, Offset; and Accessories</v>
      </c>
    </row>
    <row r="5676" spans="1:7" x14ac:dyDescent="0.25">
      <c r="A5676" s="1" t="str">
        <f t="shared" si="363"/>
        <v>700</v>
      </c>
      <c r="B5676" s="1" t="str">
        <f>TEXT(74,"00")</f>
        <v>74</v>
      </c>
      <c r="C5676" s="1" t="str">
        <f t="shared" si="361"/>
        <v>700-74</v>
      </c>
      <c r="D5676" t="s">
        <v>5648</v>
      </c>
      <c r="E5676" t="b">
        <f>IF(COUNTIF(D5676,"*"&amp;'Keyword Search'!$C$5&amp;"*"),TRUE,FALSE)</f>
        <v>1</v>
      </c>
      <c r="G5676" t="str">
        <f t="shared" si="362"/>
        <v>700-74: Punching and Binding Machines, Electric, Including Comb and Coil Type</v>
      </c>
    </row>
    <row r="5677" spans="1:7" x14ac:dyDescent="0.25">
      <c r="A5677" s="1" t="str">
        <f t="shared" si="363"/>
        <v>700</v>
      </c>
      <c r="B5677" s="1" t="str">
        <f>TEXT(75,"00")</f>
        <v>75</v>
      </c>
      <c r="C5677" s="1" t="str">
        <f t="shared" si="361"/>
        <v>700-75</v>
      </c>
      <c r="D5677" t="s">
        <v>5649</v>
      </c>
      <c r="E5677" t="b">
        <f>IF(COUNTIF(D5677,"*"&amp;'Keyword Search'!$C$5&amp;"*"),TRUE,FALSE)</f>
        <v>1</v>
      </c>
      <c r="G5677" t="str">
        <f t="shared" si="362"/>
        <v>700-75: Punching and Binding Machines, Manual, Including Comb and Coil Type</v>
      </c>
    </row>
    <row r="5678" spans="1:7" x14ac:dyDescent="0.25">
      <c r="A5678" s="1" t="str">
        <f t="shared" si="363"/>
        <v>700</v>
      </c>
      <c r="B5678" s="1" t="str">
        <f>TEXT(76,"00")</f>
        <v>76</v>
      </c>
      <c r="C5678" s="1" t="str">
        <f t="shared" si="361"/>
        <v>700-76</v>
      </c>
      <c r="D5678" t="s">
        <v>5650</v>
      </c>
      <c r="E5678" t="b">
        <f>IF(COUNTIF(D5678,"*"&amp;'Keyword Search'!$C$5&amp;"*"),TRUE,FALSE)</f>
        <v>1</v>
      </c>
      <c r="G5678" t="str">
        <f t="shared" si="362"/>
        <v>700-76: Rollers for Offset Presses</v>
      </c>
    </row>
    <row r="5679" spans="1:7" x14ac:dyDescent="0.25">
      <c r="A5679" s="1" t="str">
        <f t="shared" si="363"/>
        <v>700</v>
      </c>
      <c r="B5679" s="1" t="str">
        <f>TEXT(77,"00")</f>
        <v>77</v>
      </c>
      <c r="C5679" s="1" t="str">
        <f t="shared" si="361"/>
        <v>700-77</v>
      </c>
      <c r="D5679" t="s">
        <v>5651</v>
      </c>
      <c r="E5679" t="b">
        <f>IF(COUNTIF(D5679,"*"&amp;'Keyword Search'!$C$5&amp;"*"),TRUE,FALSE)</f>
        <v>1</v>
      </c>
      <c r="G5679" t="str">
        <f t="shared" si="362"/>
        <v>700-77: Sign Engraving Equipment</v>
      </c>
    </row>
    <row r="5680" spans="1:7" x14ac:dyDescent="0.25">
      <c r="A5680" s="1" t="str">
        <f t="shared" si="363"/>
        <v>700</v>
      </c>
      <c r="B5680" s="1" t="str">
        <f>TEXT(78,"00")</f>
        <v>78</v>
      </c>
      <c r="C5680" s="1" t="str">
        <f t="shared" si="361"/>
        <v>700-78</v>
      </c>
      <c r="D5680" t="s">
        <v>5652</v>
      </c>
      <c r="E5680" t="b">
        <f>IF(COUNTIF(D5680,"*"&amp;'Keyword Search'!$C$5&amp;"*"),TRUE,FALSE)</f>
        <v>1</v>
      </c>
      <c r="G5680" t="str">
        <f t="shared" si="362"/>
        <v>700-78: Sign Die Cutting Machines</v>
      </c>
    </row>
    <row r="5681" spans="1:7" x14ac:dyDescent="0.25">
      <c r="A5681" s="1" t="str">
        <f t="shared" si="363"/>
        <v>700</v>
      </c>
      <c r="B5681" s="1" t="str">
        <f>TEXT(79,"00")</f>
        <v>79</v>
      </c>
      <c r="C5681" s="1" t="str">
        <f t="shared" si="361"/>
        <v>700-79</v>
      </c>
      <c r="D5681" t="s">
        <v>5653</v>
      </c>
      <c r="E5681" t="b">
        <f>IF(COUNTIF(D5681,"*"&amp;'Keyword Search'!$C$5&amp;"*"),TRUE,FALSE)</f>
        <v>1</v>
      </c>
      <c r="G5681" t="str">
        <f t="shared" si="362"/>
        <v>700-79: Sign Presses, Rollers, Supplies, etc.</v>
      </c>
    </row>
    <row r="5682" spans="1:7" x14ac:dyDescent="0.25">
      <c r="A5682" s="1" t="str">
        <f t="shared" si="363"/>
        <v>700</v>
      </c>
      <c r="B5682" s="1" t="str">
        <f>TEXT(80,"00")</f>
        <v>80</v>
      </c>
      <c r="C5682" s="1" t="str">
        <f t="shared" si="361"/>
        <v>700-80</v>
      </c>
      <c r="D5682" t="s">
        <v>5654</v>
      </c>
      <c r="E5682" t="b">
        <f>IF(COUNTIF(D5682,"*"&amp;'Keyword Search'!$C$5&amp;"*"),TRUE,FALSE)</f>
        <v>1</v>
      </c>
      <c r="G5682" t="str">
        <f t="shared" si="362"/>
        <v>700-80: Stereotype Metal</v>
      </c>
    </row>
    <row r="5683" spans="1:7" x14ac:dyDescent="0.25">
      <c r="A5683" s="1" t="str">
        <f t="shared" si="363"/>
        <v>700</v>
      </c>
      <c r="B5683" s="1" t="str">
        <f>TEXT(82,"00")</f>
        <v>82</v>
      </c>
      <c r="C5683" s="1" t="str">
        <f t="shared" si="361"/>
        <v>700-82</v>
      </c>
      <c r="D5683" t="s">
        <v>5655</v>
      </c>
      <c r="E5683" t="b">
        <f>IF(COUNTIF(D5683,"*"&amp;'Keyword Search'!$C$5&amp;"*"),TRUE,FALSE)</f>
        <v>1</v>
      </c>
      <c r="G5683" t="str">
        <f t="shared" si="362"/>
        <v>700-82: Signature Reproduction Machines, Pen and Ink Type</v>
      </c>
    </row>
    <row r="5684" spans="1:7" x14ac:dyDescent="0.25">
      <c r="A5684" s="1" t="str">
        <f t="shared" si="363"/>
        <v>700</v>
      </c>
      <c r="B5684" s="1" t="str">
        <f>TEXT(85,"00")</f>
        <v>85</v>
      </c>
      <c r="C5684" s="1" t="str">
        <f t="shared" si="361"/>
        <v>700-85</v>
      </c>
      <c r="D5684" t="s">
        <v>5656</v>
      </c>
      <c r="E5684" t="b">
        <f>IF(COUNTIF(D5684,"*"&amp;'Keyword Search'!$C$5&amp;"*"),TRUE,FALSE)</f>
        <v>1</v>
      </c>
      <c r="G5684" t="str">
        <f t="shared" si="362"/>
        <v>700-85: Typesetting Machines and Supplies, Ludlow</v>
      </c>
    </row>
    <row r="5685" spans="1:7" x14ac:dyDescent="0.25">
      <c r="A5685" s="1" t="str">
        <f t="shared" si="363"/>
        <v>700</v>
      </c>
      <c r="B5685" s="1" t="str">
        <f>TEXT(88,"00")</f>
        <v>88</v>
      </c>
      <c r="C5685" s="1" t="str">
        <f t="shared" si="361"/>
        <v>700-88</v>
      </c>
      <c r="D5685" t="s">
        <v>5657</v>
      </c>
      <c r="E5685" t="b">
        <f>IF(COUNTIF(D5685,"*"&amp;'Keyword Search'!$C$5&amp;"*"),TRUE,FALSE)</f>
        <v>1</v>
      </c>
      <c r="G5685" t="str">
        <f t="shared" si="362"/>
        <v>700-88: Typesetting Machines and Supplies, Monotype</v>
      </c>
    </row>
    <row r="5686" spans="1:7" x14ac:dyDescent="0.25">
      <c r="A5686" s="1" t="str">
        <f t="shared" si="363"/>
        <v>700</v>
      </c>
      <c r="B5686" s="1" t="str">
        <f>TEXT(90,"00")</f>
        <v>90</v>
      </c>
      <c r="C5686" s="1" t="str">
        <f t="shared" si="361"/>
        <v>700-90</v>
      </c>
      <c r="D5686" t="s">
        <v>5658</v>
      </c>
      <c r="E5686" t="b">
        <f>IF(COUNTIF(D5686,"*"&amp;'Keyword Search'!$C$5&amp;"*"),TRUE,FALSE)</f>
        <v>1</v>
      </c>
      <c r="G5686" t="str">
        <f t="shared" si="362"/>
        <v>700-90: Web Handling and Control Equipment and Supplies, Corona and Flame Treaters, etc.</v>
      </c>
    </row>
    <row r="5687" spans="1:7" x14ac:dyDescent="0.25">
      <c r="A5687" s="1" t="str">
        <f t="shared" si="363"/>
        <v>700</v>
      </c>
      <c r="B5687" s="1" t="str">
        <f>TEXT(91,"00")</f>
        <v>91</v>
      </c>
      <c r="C5687" s="1" t="str">
        <f t="shared" si="361"/>
        <v>700-91</v>
      </c>
      <c r="D5687" t="s">
        <v>5659</v>
      </c>
      <c r="E5687" t="b">
        <f>IF(COUNTIF(D5687,"*"&amp;'Keyword Search'!$C$5&amp;"*"),TRUE,FALSE)</f>
        <v>1</v>
      </c>
      <c r="G5687" t="str">
        <f t="shared" si="362"/>
        <v>700-91: Web Type Printing Presses</v>
      </c>
    </row>
    <row r="5688" spans="1:7" x14ac:dyDescent="0.25">
      <c r="A5688" s="1" t="str">
        <f t="shared" si="363"/>
        <v>700</v>
      </c>
      <c r="B5688" s="1" t="str">
        <f>TEXT(95,"00")</f>
        <v>95</v>
      </c>
      <c r="C5688" s="1" t="str">
        <f t="shared" si="361"/>
        <v>700-95</v>
      </c>
      <c r="D5688" t="s">
        <v>5660</v>
      </c>
      <c r="E5688" t="b">
        <f>IF(COUNTIF(D5688,"*"&amp;'Keyword Search'!$C$5&amp;"*"),TRUE,FALSE)</f>
        <v>1</v>
      </c>
      <c r="G5688" t="str">
        <f t="shared" si="362"/>
        <v>700-95: Recycled Printing Plant Equipment, Accessories and Supplies</v>
      </c>
    </row>
    <row r="5689" spans="1:7" x14ac:dyDescent="0.25">
      <c r="A5689" s="5" t="str">
        <f t="shared" ref="A5689:A5702" si="364">TEXT(710,"000")</f>
        <v>710</v>
      </c>
      <c r="B5689" s="5" t="str">
        <f>TEXT(0,"00")</f>
        <v>00</v>
      </c>
      <c r="C5689" s="1"/>
      <c r="D5689" s="2" t="s">
        <v>5661</v>
      </c>
    </row>
    <row r="5690" spans="1:7" x14ac:dyDescent="0.25">
      <c r="A5690" s="1" t="str">
        <f t="shared" si="364"/>
        <v>710</v>
      </c>
      <c r="B5690" s="1" t="str">
        <f>TEXT(9,"00")</f>
        <v>09</v>
      </c>
      <c r="C5690" s="1" t="str">
        <f t="shared" si="361"/>
        <v>710-09</v>
      </c>
      <c r="D5690" t="s">
        <v>5662</v>
      </c>
      <c r="E5690" t="b">
        <f>IF(COUNTIF(D5690,"*"&amp;'Keyword Search'!$C$5&amp;"*"),TRUE,FALSE)</f>
        <v>1</v>
      </c>
      <c r="G5690" t="str">
        <f t="shared" si="362"/>
        <v>710-09: *Alarm Systems, For the Hearing Impaired</v>
      </c>
    </row>
    <row r="5691" spans="1:7" x14ac:dyDescent="0.25">
      <c r="A5691" s="1" t="str">
        <f t="shared" si="364"/>
        <v>710</v>
      </c>
      <c r="B5691" s="1" t="str">
        <f>TEXT(18,"00")</f>
        <v>18</v>
      </c>
      <c r="C5691" s="1" t="str">
        <f t="shared" si="361"/>
        <v>710-18</v>
      </c>
      <c r="D5691" t="s">
        <v>5663</v>
      </c>
      <c r="E5691" t="b">
        <f>IF(COUNTIF(D5691,"*"&amp;'Keyword Search'!$C$5&amp;"*"),TRUE,FALSE)</f>
        <v>1</v>
      </c>
      <c r="G5691" t="str">
        <f t="shared" si="362"/>
        <v>710-18: Artificial Eyes</v>
      </c>
    </row>
    <row r="5692" spans="1:7" x14ac:dyDescent="0.25">
      <c r="A5692" s="1" t="str">
        <f t="shared" si="364"/>
        <v>710</v>
      </c>
      <c r="B5692" s="1" t="str">
        <f>TEXT(36,"00")</f>
        <v>36</v>
      </c>
      <c r="C5692" s="1" t="str">
        <f t="shared" si="361"/>
        <v>710-36</v>
      </c>
      <c r="D5692" t="s">
        <v>5664</v>
      </c>
      <c r="E5692" t="b">
        <f>IF(COUNTIF(D5692,"*"&amp;'Keyword Search'!$C$5&amp;"*"),TRUE,FALSE)</f>
        <v>1</v>
      </c>
      <c r="G5692" t="str">
        <f t="shared" si="362"/>
        <v>710-36: Artificial Limbs, Hooks and Accessories</v>
      </c>
    </row>
    <row r="5693" spans="1:7" x14ac:dyDescent="0.25">
      <c r="A5693" s="1" t="str">
        <f t="shared" si="364"/>
        <v>710</v>
      </c>
      <c r="B5693" s="1" t="str">
        <f>TEXT(52,"00")</f>
        <v>52</v>
      </c>
      <c r="C5693" s="1" t="str">
        <f t="shared" si="361"/>
        <v>710-52</v>
      </c>
      <c r="D5693" t="s">
        <v>5665</v>
      </c>
      <c r="E5693" t="b">
        <f>IF(COUNTIF(D5693,"*"&amp;'Keyword Search'!$C$5&amp;"*"),TRUE,FALSE)</f>
        <v>1</v>
      </c>
      <c r="G5693" t="str">
        <f t="shared" si="362"/>
        <v>710-52: *Audio Equipment for the Visual and Hearing Impaired (Not Otherwise Classified)</v>
      </c>
    </row>
    <row r="5694" spans="1:7" x14ac:dyDescent="0.25">
      <c r="A5694" s="1" t="str">
        <f t="shared" si="364"/>
        <v>710</v>
      </c>
      <c r="B5694" s="1" t="str">
        <f>TEXT(54,"00")</f>
        <v>54</v>
      </c>
      <c r="C5694" s="1" t="str">
        <f t="shared" si="361"/>
        <v>710-54</v>
      </c>
      <c r="D5694" t="s">
        <v>5666</v>
      </c>
      <c r="E5694" t="b">
        <f>IF(COUNTIF(D5694,"*"&amp;'Keyword Search'!$C$5&amp;"*"),TRUE,FALSE)</f>
        <v>1</v>
      </c>
      <c r="G5694" t="str">
        <f t="shared" si="362"/>
        <v>710-54: Audiometers, Calibrators, and Accessories, Including Audiometric Examining Rooms</v>
      </c>
    </row>
    <row r="5695" spans="1:7" x14ac:dyDescent="0.25">
      <c r="A5695" s="1" t="str">
        <f t="shared" si="364"/>
        <v>710</v>
      </c>
      <c r="B5695" s="1" t="str">
        <f>TEXT(60,"00")</f>
        <v>60</v>
      </c>
      <c r="C5695" s="1" t="str">
        <f t="shared" si="361"/>
        <v>710-60</v>
      </c>
      <c r="D5695" t="s">
        <v>5667</v>
      </c>
      <c r="E5695" t="b">
        <f>IF(COUNTIF(D5695,"*"&amp;'Keyword Search'!$C$5&amp;"*"),TRUE,FALSE)</f>
        <v>1</v>
      </c>
      <c r="G5695" t="str">
        <f t="shared" si="362"/>
        <v>710-60: Batteries, Hearing Aid</v>
      </c>
    </row>
    <row r="5696" spans="1:7" x14ac:dyDescent="0.25">
      <c r="A5696" s="1" t="str">
        <f t="shared" si="364"/>
        <v>710</v>
      </c>
      <c r="B5696" s="1" t="str">
        <f>TEXT(72,"00")</f>
        <v>72</v>
      </c>
      <c r="C5696" s="1" t="str">
        <f t="shared" si="361"/>
        <v>710-72</v>
      </c>
      <c r="D5696" t="s">
        <v>5668</v>
      </c>
      <c r="E5696" t="b">
        <f>IF(COUNTIF(D5696,"*"&amp;'Keyword Search'!$C$5&amp;"*"),TRUE,FALSE)</f>
        <v>1</v>
      </c>
      <c r="G5696" t="str">
        <f t="shared" si="362"/>
        <v>710-72: Hearing Aids</v>
      </c>
    </row>
    <row r="5697" spans="1:7" x14ac:dyDescent="0.25">
      <c r="A5697" s="1" t="str">
        <f t="shared" si="364"/>
        <v>710</v>
      </c>
      <c r="B5697" s="1" t="str">
        <f>TEXT(73,"00")</f>
        <v>73</v>
      </c>
      <c r="C5697" s="1" t="str">
        <f t="shared" si="361"/>
        <v>710-73</v>
      </c>
      <c r="D5697" t="s">
        <v>5669</v>
      </c>
      <c r="E5697" t="b">
        <f>IF(COUNTIF(D5697,"*"&amp;'Keyword Search'!$C$5&amp;"*"),TRUE,FALSE)</f>
        <v>1</v>
      </c>
      <c r="G5697" t="str">
        <f t="shared" si="362"/>
        <v>710-73: *Hearing Devices (See 710-72 for Hearing Aids)</v>
      </c>
    </row>
    <row r="5698" spans="1:7" x14ac:dyDescent="0.25">
      <c r="A5698" s="1" t="str">
        <f t="shared" si="364"/>
        <v>710</v>
      </c>
      <c r="B5698" s="1" t="str">
        <f>TEXT(75,"00")</f>
        <v>75</v>
      </c>
      <c r="C5698" s="1" t="str">
        <f t="shared" si="361"/>
        <v>710-75</v>
      </c>
      <c r="D5698" t="s">
        <v>5670</v>
      </c>
      <c r="E5698" t="b">
        <f>IF(COUNTIF(D5698,"*"&amp;'Keyword Search'!$C$5&amp;"*"),TRUE,FALSE)</f>
        <v>1</v>
      </c>
      <c r="G5698" t="str">
        <f t="shared" si="362"/>
        <v>710-75: Hearing Protectors and Parts</v>
      </c>
    </row>
    <row r="5699" spans="1:7" x14ac:dyDescent="0.25">
      <c r="A5699" s="1" t="str">
        <f t="shared" si="364"/>
        <v>710</v>
      </c>
      <c r="B5699" s="1" t="str">
        <f>TEXT(90,"00")</f>
        <v>90</v>
      </c>
      <c r="C5699" s="1" t="str">
        <f t="shared" ref="C5699:C5762" si="365">CONCATENATE(A5699,"-",B5699)</f>
        <v>710-90</v>
      </c>
      <c r="D5699" t="s">
        <v>5671</v>
      </c>
      <c r="E5699" t="b">
        <f>IF(COUNTIF(D5699,"*"&amp;'Keyword Search'!$C$5&amp;"*"),TRUE,FALSE)</f>
        <v>1</v>
      </c>
      <c r="G5699" t="str">
        <f t="shared" si="362"/>
        <v>710-90: Plastic Items, Not Internal: Ears, Nose Tips, etc.</v>
      </c>
    </row>
    <row r="5700" spans="1:7" x14ac:dyDescent="0.25">
      <c r="A5700" s="1" t="str">
        <f t="shared" si="364"/>
        <v>710</v>
      </c>
      <c r="B5700" s="1" t="str">
        <f>TEXT(92,"00")</f>
        <v>92</v>
      </c>
      <c r="C5700" s="1" t="str">
        <f t="shared" si="365"/>
        <v>710-92</v>
      </c>
      <c r="D5700" t="s">
        <v>5672</v>
      </c>
      <c r="E5700" t="b">
        <f>IF(COUNTIF(D5700,"*"&amp;'Keyword Search'!$C$5&amp;"*"),TRUE,FALSE)</f>
        <v>1</v>
      </c>
      <c r="G5700" t="str">
        <f t="shared" ref="G5700:G5763" si="366">CONCATENATE(C5700,": ",D5700)</f>
        <v>710-92: *Reading Devices, For the Vision Impaired</v>
      </c>
    </row>
    <row r="5701" spans="1:7" x14ac:dyDescent="0.25">
      <c r="A5701" s="1" t="str">
        <f t="shared" si="364"/>
        <v>710</v>
      </c>
      <c r="B5701" s="1" t="str">
        <f>TEXT(94,"00")</f>
        <v>94</v>
      </c>
      <c r="C5701" s="1" t="str">
        <f t="shared" si="365"/>
        <v>710-94</v>
      </c>
      <c r="D5701" t="s">
        <v>5673</v>
      </c>
      <c r="E5701" t="b">
        <f>IF(COUNTIF(D5701,"*"&amp;'Keyword Search'!$C$5&amp;"*"),TRUE,FALSE)</f>
        <v>1</v>
      </c>
      <c r="G5701" t="str">
        <f t="shared" si="366"/>
        <v>710-94: Recycled Prosthetic Devices, Hearing Aids, Auditory Test Equipment, Electronic Reading Devices</v>
      </c>
    </row>
    <row r="5702" spans="1:7" x14ac:dyDescent="0.25">
      <c r="A5702" s="1" t="str">
        <f t="shared" si="364"/>
        <v>710</v>
      </c>
      <c r="B5702" s="1" t="str">
        <f>TEXT(95,"00")</f>
        <v>95</v>
      </c>
      <c r="C5702" s="1" t="str">
        <f t="shared" si="365"/>
        <v>710-95</v>
      </c>
      <c r="D5702" t="s">
        <v>5674</v>
      </c>
      <c r="E5702" t="b">
        <f>IF(COUNTIF(D5702,"*"&amp;'Keyword Search'!$C$5&amp;"*"),TRUE,FALSE)</f>
        <v>1</v>
      </c>
      <c r="G5702" t="str">
        <f t="shared" si="366"/>
        <v>710-95: Speech Training Equipment, For the Hearing Impaired</v>
      </c>
    </row>
    <row r="5703" spans="1:7" x14ac:dyDescent="0.25">
      <c r="A5703" s="5" t="str">
        <f t="shared" ref="A5703:A5733" si="367">TEXT(715,"000")</f>
        <v>715</v>
      </c>
      <c r="B5703" s="5" t="str">
        <f>TEXT(0,"00")</f>
        <v>00</v>
      </c>
      <c r="C5703" s="1"/>
      <c r="D5703" s="2" t="s">
        <v>5675</v>
      </c>
    </row>
    <row r="5704" spans="1:7" x14ac:dyDescent="0.25">
      <c r="A5704" s="1" t="str">
        <f t="shared" si="367"/>
        <v>715</v>
      </c>
      <c r="B5704" s="1" t="str">
        <f>TEXT(4,"00")</f>
        <v>04</v>
      </c>
      <c r="C5704" s="1" t="str">
        <f t="shared" si="365"/>
        <v>715-04</v>
      </c>
      <c r="D5704" t="s">
        <v>5676</v>
      </c>
      <c r="E5704" t="b">
        <f>IF(COUNTIF(D5704,"*"&amp;'Keyword Search'!$C$5&amp;"*"),TRUE,FALSE)</f>
        <v>1</v>
      </c>
      <c r="G5704" t="str">
        <f t="shared" si="366"/>
        <v>715-04: Audio and Video Books, Digital</v>
      </c>
    </row>
    <row r="5705" spans="1:7" x14ac:dyDescent="0.25">
      <c r="A5705" s="1" t="str">
        <f t="shared" si="367"/>
        <v>715</v>
      </c>
      <c r="B5705" s="1" t="str">
        <f>TEXT(5,"00")</f>
        <v>05</v>
      </c>
      <c r="C5705" s="1" t="str">
        <f t="shared" si="365"/>
        <v>715-05</v>
      </c>
      <c r="D5705" t="s">
        <v>5677</v>
      </c>
      <c r="E5705" t="b">
        <f>IF(COUNTIF(D5705,"*"&amp;'Keyword Search'!$C$5&amp;"*"),TRUE,FALSE)</f>
        <v>1</v>
      </c>
      <c r="G5705" t="str">
        <f t="shared" si="366"/>
        <v>715-05: Audio Cassettes, Tapes and Compact Disks, Prerecorded</v>
      </c>
    </row>
    <row r="5706" spans="1:7" x14ac:dyDescent="0.25">
      <c r="A5706" s="1" t="str">
        <f t="shared" si="367"/>
        <v>715</v>
      </c>
      <c r="B5706" s="1" t="str">
        <f>TEXT(9,"00")</f>
        <v>09</v>
      </c>
      <c r="C5706" s="1" t="str">
        <f t="shared" si="365"/>
        <v>715-09</v>
      </c>
      <c r="D5706" t="s">
        <v>5678</v>
      </c>
      <c r="E5706" t="b">
        <f>IF(COUNTIF(D5706,"*"&amp;'Keyword Search'!$C$5&amp;"*"),TRUE,FALSE)</f>
        <v>1</v>
      </c>
      <c r="G5706" t="str">
        <f t="shared" si="366"/>
        <v>715-09: Cook and Recipe Books</v>
      </c>
    </row>
    <row r="5707" spans="1:7" x14ac:dyDescent="0.25">
      <c r="A5707" s="1" t="str">
        <f t="shared" si="367"/>
        <v>715</v>
      </c>
      <c r="B5707" s="1" t="str">
        <f>TEXT(10,"00")</f>
        <v>10</v>
      </c>
      <c r="C5707" s="1" t="str">
        <f t="shared" si="365"/>
        <v>715-10</v>
      </c>
      <c r="D5707" t="s">
        <v>5679</v>
      </c>
      <c r="E5707" t="b">
        <f>IF(COUNTIF(D5707,"*"&amp;'Keyword Search'!$C$5&amp;"*"),TRUE,FALSE)</f>
        <v>1</v>
      </c>
      <c r="G5707" t="str">
        <f t="shared" si="366"/>
        <v>715-10: Books, Curriculum Guides, Directories, Magazines, Pamphlets, Periodicals, Publications, Reprints, etc.</v>
      </c>
    </row>
    <row r="5708" spans="1:7" x14ac:dyDescent="0.25">
      <c r="A5708" s="1" t="str">
        <f t="shared" si="367"/>
        <v>715</v>
      </c>
      <c r="B5708" s="1" t="str">
        <f>TEXT(12,"00")</f>
        <v>12</v>
      </c>
      <c r="C5708" s="1" t="str">
        <f t="shared" si="365"/>
        <v>715-12</v>
      </c>
      <c r="D5708" t="s">
        <v>5680</v>
      </c>
      <c r="E5708" t="b">
        <f>IF(COUNTIF(D5708,"*"&amp;'Keyword Search'!$C$5&amp;"*"),TRUE,FALSE)</f>
        <v>1</v>
      </c>
      <c r="G5708" t="str">
        <f t="shared" si="366"/>
        <v>715-12: Books, Reference, Including CD Versions: Dictionaries, Encyclopedias, etc.</v>
      </c>
    </row>
    <row r="5709" spans="1:7" x14ac:dyDescent="0.25">
      <c r="A5709" s="1" t="str">
        <f t="shared" si="367"/>
        <v>715</v>
      </c>
      <c r="B5709" s="1" t="str">
        <f>TEXT(19,"00")</f>
        <v>19</v>
      </c>
      <c r="C5709" s="1" t="str">
        <f t="shared" si="365"/>
        <v>715-19</v>
      </c>
      <c r="D5709" t="s">
        <v>5681</v>
      </c>
      <c r="E5709" t="b">
        <f>IF(COUNTIF(D5709,"*"&amp;'Keyword Search'!$C$5&amp;"*"),TRUE,FALSE)</f>
        <v>1</v>
      </c>
      <c r="G5709" t="str">
        <f t="shared" si="366"/>
        <v>715-19: Career Technology Education, Hospitality &amp; Tourism Instructional Supplies/Materials</v>
      </c>
    </row>
    <row r="5710" spans="1:7" x14ac:dyDescent="0.25">
      <c r="A5710" s="1" t="str">
        <f t="shared" si="367"/>
        <v>715</v>
      </c>
      <c r="B5710" s="1" t="str">
        <f>TEXT(20,"00")</f>
        <v>20</v>
      </c>
      <c r="C5710" s="1" t="str">
        <f t="shared" si="365"/>
        <v>715-20</v>
      </c>
      <c r="D5710" t="s">
        <v>5682</v>
      </c>
      <c r="E5710" t="b">
        <f>IF(COUNTIF(D5710,"*"&amp;'Keyword Search'!$C$5&amp;"*"),TRUE,FALSE)</f>
        <v>1</v>
      </c>
      <c r="G5710" t="str">
        <f t="shared" si="366"/>
        <v>715-20: Catalog Cards, Library of Congress Type and other Types</v>
      </c>
    </row>
    <row r="5711" spans="1:7" x14ac:dyDescent="0.25">
      <c r="A5711" s="1" t="str">
        <f t="shared" si="367"/>
        <v>715</v>
      </c>
      <c r="B5711" s="1" t="str">
        <f>TEXT(30,"00")</f>
        <v>30</v>
      </c>
      <c r="C5711" s="1" t="str">
        <f t="shared" si="365"/>
        <v>715-30</v>
      </c>
      <c r="D5711" t="s">
        <v>5683</v>
      </c>
      <c r="E5711" t="b">
        <f>IF(COUNTIF(D5711,"*"&amp;'Keyword Search'!$C$5&amp;"*"),TRUE,FALSE)</f>
        <v>1</v>
      </c>
      <c r="G5711" t="str">
        <f t="shared" si="366"/>
        <v>715-30: Display, Exhibit, and Promotional Materials</v>
      </c>
    </row>
    <row r="5712" spans="1:7" x14ac:dyDescent="0.25">
      <c r="A5712" s="1" t="str">
        <f t="shared" si="367"/>
        <v>715</v>
      </c>
      <c r="B5712" s="1" t="str">
        <f>TEXT(33,"00")</f>
        <v>33</v>
      </c>
      <c r="C5712" s="1" t="str">
        <f t="shared" si="365"/>
        <v>715-33</v>
      </c>
      <c r="D5712" t="s">
        <v>5684</v>
      </c>
      <c r="E5712" t="b">
        <f>IF(COUNTIF(D5712,"*"&amp;'Keyword Search'!$C$5&amp;"*"),TRUE,FALSE)</f>
        <v>1</v>
      </c>
      <c r="G5712" t="str">
        <f t="shared" si="366"/>
        <v>715-33: Drawings and Diagrams: Dimensional, Technical, etc.</v>
      </c>
    </row>
    <row r="5713" spans="1:7" x14ac:dyDescent="0.25">
      <c r="A5713" s="1" t="str">
        <f t="shared" si="367"/>
        <v>715</v>
      </c>
      <c r="B5713" s="1" t="str">
        <f>TEXT(35,"00")</f>
        <v>35</v>
      </c>
      <c r="C5713" s="1" t="str">
        <f t="shared" si="365"/>
        <v>715-35</v>
      </c>
      <c r="D5713" t="s">
        <v>5685</v>
      </c>
      <c r="E5713" t="b">
        <f>IF(COUNTIF(D5713,"*"&amp;'Keyword Search'!$C$5&amp;"*"),TRUE,FALSE)</f>
        <v>1</v>
      </c>
      <c r="G5713" t="str">
        <f t="shared" si="366"/>
        <v>715-35: *Electronic Publications: Directories, Dictionaries, Encyclopedias, etc.</v>
      </c>
    </row>
    <row r="5714" spans="1:7" x14ac:dyDescent="0.25">
      <c r="A5714" s="1" t="str">
        <f t="shared" si="367"/>
        <v>715</v>
      </c>
      <c r="B5714" s="1" t="str">
        <f>TEXT(40,"00")</f>
        <v>40</v>
      </c>
      <c r="C5714" s="1" t="str">
        <f t="shared" si="365"/>
        <v>715-40</v>
      </c>
      <c r="D5714" t="s">
        <v>5686</v>
      </c>
      <c r="E5714" t="b">
        <f>IF(COUNTIF(D5714,"*"&amp;'Keyword Search'!$C$5&amp;"*"),TRUE,FALSE)</f>
        <v>1</v>
      </c>
      <c r="G5714" t="str">
        <f t="shared" si="366"/>
        <v>715-40: Filmstrips, Slides, Transparencies, etc., Prepared</v>
      </c>
    </row>
    <row r="5715" spans="1:7" x14ac:dyDescent="0.25">
      <c r="A5715" s="1" t="str">
        <f t="shared" si="367"/>
        <v>715</v>
      </c>
      <c r="B5715" s="1" t="str">
        <f>TEXT(45,"00")</f>
        <v>45</v>
      </c>
      <c r="C5715" s="1" t="str">
        <f t="shared" si="365"/>
        <v>715-45</v>
      </c>
      <c r="D5715" t="s">
        <v>5687</v>
      </c>
      <c r="E5715" t="b">
        <f>IF(COUNTIF(D5715,"*"&amp;'Keyword Search'!$C$5&amp;"*"),TRUE,FALSE)</f>
        <v>1</v>
      </c>
      <c r="G5715" t="str">
        <f t="shared" si="366"/>
        <v>715-45: Laboratory Books, Research and Related Materials, DNA, Genomic, etc.</v>
      </c>
    </row>
    <row r="5716" spans="1:7" x14ac:dyDescent="0.25">
      <c r="A5716" s="1" t="str">
        <f t="shared" si="367"/>
        <v>715</v>
      </c>
      <c r="B5716" s="1" t="str">
        <f>TEXT(46,"00")</f>
        <v>46</v>
      </c>
      <c r="C5716" s="1" t="str">
        <f t="shared" si="365"/>
        <v>715-46</v>
      </c>
      <c r="D5716" t="s">
        <v>5688</v>
      </c>
      <c r="E5716" t="b">
        <f>IF(COUNTIF(D5716,"*"&amp;'Keyword Search'!$C$5&amp;"*"),TRUE,FALSE)</f>
        <v>1</v>
      </c>
      <c r="G5716" t="str">
        <f t="shared" si="366"/>
        <v>715-46: Legal Books and Publications</v>
      </c>
    </row>
    <row r="5717" spans="1:7" x14ac:dyDescent="0.25">
      <c r="A5717" s="1" t="str">
        <f t="shared" si="367"/>
        <v>715</v>
      </c>
      <c r="B5717" s="1" t="str">
        <f>TEXT(47,"00")</f>
        <v>47</v>
      </c>
      <c r="C5717" s="1" t="str">
        <f t="shared" si="365"/>
        <v>715-47</v>
      </c>
      <c r="D5717" t="s">
        <v>5689</v>
      </c>
      <c r="E5717" t="b">
        <f>IF(COUNTIF(D5717,"*"&amp;'Keyword Search'!$C$5&amp;"*"),TRUE,FALSE)</f>
        <v>1</v>
      </c>
      <c r="G5717" t="str">
        <f t="shared" si="366"/>
        <v>715-47: Manuals: Parts, Personnel, Policy, Purchasing, Training, etc., (Not Otherwise Classified)</v>
      </c>
    </row>
    <row r="5718" spans="1:7" x14ac:dyDescent="0.25">
      <c r="A5718" s="1" t="str">
        <f t="shared" si="367"/>
        <v>715</v>
      </c>
      <c r="B5718" s="1" t="str">
        <f>TEXT(48,"00")</f>
        <v>48</v>
      </c>
      <c r="C5718" s="1" t="str">
        <f t="shared" si="365"/>
        <v>715-48</v>
      </c>
      <c r="D5718" t="s">
        <v>5690</v>
      </c>
      <c r="E5718" t="b">
        <f>IF(COUNTIF(D5718,"*"&amp;'Keyword Search'!$C$5&amp;"*"),TRUE,FALSE)</f>
        <v>1</v>
      </c>
      <c r="G5718" t="str">
        <f t="shared" si="366"/>
        <v>715-48: Medical Books and Publications</v>
      </c>
    </row>
    <row r="5719" spans="1:7" x14ac:dyDescent="0.25">
      <c r="A5719" s="1" t="str">
        <f t="shared" si="367"/>
        <v>715</v>
      </c>
      <c r="B5719" s="1" t="str">
        <f>TEXT(50,"00")</f>
        <v>50</v>
      </c>
      <c r="C5719" s="1" t="str">
        <f t="shared" si="365"/>
        <v>715-50</v>
      </c>
      <c r="D5719" t="s">
        <v>5691</v>
      </c>
      <c r="E5719" t="b">
        <f>IF(COUNTIF(D5719,"*"&amp;'Keyword Search'!$C$5&amp;"*"),TRUE,FALSE)</f>
        <v>1</v>
      </c>
      <c r="G5719" t="str">
        <f t="shared" si="366"/>
        <v>715-50: Microfilm, Microfiche, etc., Prepared</v>
      </c>
    </row>
    <row r="5720" spans="1:7" x14ac:dyDescent="0.25">
      <c r="A5720" s="1" t="str">
        <f t="shared" si="367"/>
        <v>715</v>
      </c>
      <c r="B5720" s="1" t="str">
        <f>TEXT(52,"00")</f>
        <v>52</v>
      </c>
      <c r="C5720" s="1" t="str">
        <f t="shared" si="365"/>
        <v>715-52</v>
      </c>
      <c r="D5720" t="s">
        <v>5692</v>
      </c>
      <c r="E5720" t="b">
        <f>IF(COUNTIF(D5720,"*"&amp;'Keyword Search'!$C$5&amp;"*"),TRUE,FALSE)</f>
        <v>1</v>
      </c>
      <c r="G5720" t="str">
        <f t="shared" si="366"/>
        <v>715-52: Journalistic Services, Includes Page Charges for Publications</v>
      </c>
    </row>
    <row r="5721" spans="1:7" x14ac:dyDescent="0.25">
      <c r="A5721" s="1" t="str">
        <f t="shared" si="367"/>
        <v>715</v>
      </c>
      <c r="B5721" s="1" t="str">
        <f>TEXT(55,"00")</f>
        <v>55</v>
      </c>
      <c r="C5721" s="1" t="str">
        <f t="shared" si="365"/>
        <v>715-55</v>
      </c>
      <c r="D5721" t="s">
        <v>5693</v>
      </c>
      <c r="E5721" t="b">
        <f>IF(COUNTIF(D5721,"*"&amp;'Keyword Search'!$C$5&amp;"*"),TRUE,FALSE)</f>
        <v>1</v>
      </c>
      <c r="G5721" t="str">
        <f t="shared" si="366"/>
        <v>715-55: Motion Pictures (See Class 475 for Medical Training Films)</v>
      </c>
    </row>
    <row r="5722" spans="1:7" x14ac:dyDescent="0.25">
      <c r="A5722" s="1" t="str">
        <f t="shared" si="367"/>
        <v>715</v>
      </c>
      <c r="B5722" s="1" t="str">
        <f>TEXT(60,"00")</f>
        <v>60</v>
      </c>
      <c r="C5722" s="1" t="str">
        <f t="shared" si="365"/>
        <v>715-60</v>
      </c>
      <c r="D5722" t="s">
        <v>5694</v>
      </c>
      <c r="E5722" t="b">
        <f>IF(COUNTIF(D5722,"*"&amp;'Keyword Search'!$C$5&amp;"*"),TRUE,FALSE)</f>
        <v>1</v>
      </c>
      <c r="G5722" t="str">
        <f t="shared" si="366"/>
        <v>715-60: Multimedia Sets, Prepared</v>
      </c>
    </row>
    <row r="5723" spans="1:7" x14ac:dyDescent="0.25">
      <c r="A5723" s="1" t="str">
        <f t="shared" si="367"/>
        <v>715</v>
      </c>
      <c r="B5723" s="1" t="str">
        <f>TEXT(80,"00")</f>
        <v>80</v>
      </c>
      <c r="C5723" s="1" t="str">
        <f t="shared" si="365"/>
        <v>715-80</v>
      </c>
      <c r="D5723" t="s">
        <v>5695</v>
      </c>
      <c r="E5723" t="b">
        <f>IF(COUNTIF(D5723,"*"&amp;'Keyword Search'!$C$5&amp;"*"),TRUE,FALSE)</f>
        <v>1</v>
      </c>
      <c r="G5723" t="str">
        <f t="shared" si="366"/>
        <v>715-80: Phonograph Records, Sound Tapes, etc., Prepared</v>
      </c>
    </row>
    <row r="5724" spans="1:7" x14ac:dyDescent="0.25">
      <c r="A5724" s="1" t="str">
        <f t="shared" si="367"/>
        <v>715</v>
      </c>
      <c r="B5724" s="1" t="str">
        <f>TEXT(82,"00")</f>
        <v>82</v>
      </c>
      <c r="C5724" s="1" t="str">
        <f t="shared" si="365"/>
        <v>715-82</v>
      </c>
      <c r="D5724" t="s">
        <v>5696</v>
      </c>
      <c r="E5724" t="b">
        <f>IF(COUNTIF(D5724,"*"&amp;'Keyword Search'!$C$5&amp;"*"),TRUE,FALSE)</f>
        <v>1</v>
      </c>
      <c r="G5724" t="str">
        <f t="shared" si="366"/>
        <v>715-82: Religious Publications and Books</v>
      </c>
    </row>
    <row r="5725" spans="1:7" x14ac:dyDescent="0.25">
      <c r="A5725" s="1" t="str">
        <f t="shared" si="367"/>
        <v>715</v>
      </c>
      <c r="B5725" s="1" t="str">
        <f>TEXT(83,"00")</f>
        <v>83</v>
      </c>
      <c r="C5725" s="1" t="str">
        <f t="shared" si="365"/>
        <v>715-83</v>
      </c>
      <c r="D5725" t="s">
        <v>5697</v>
      </c>
      <c r="E5725" t="b">
        <f>IF(COUNTIF(D5725,"*"&amp;'Keyword Search'!$C$5&amp;"*"),TRUE,FALSE)</f>
        <v>1</v>
      </c>
      <c r="G5725" t="str">
        <f t="shared" si="366"/>
        <v>715-83: Textbooks, Adult Education</v>
      </c>
    </row>
    <row r="5726" spans="1:7" x14ac:dyDescent="0.25">
      <c r="A5726" s="1" t="str">
        <f t="shared" si="367"/>
        <v>715</v>
      </c>
      <c r="B5726" s="1" t="str">
        <f>TEXT(84,"00")</f>
        <v>84</v>
      </c>
      <c r="C5726" s="1" t="str">
        <f t="shared" si="365"/>
        <v>715-84</v>
      </c>
      <c r="D5726" t="s">
        <v>5698</v>
      </c>
      <c r="E5726" t="b">
        <f>IF(COUNTIF(D5726,"*"&amp;'Keyword Search'!$C$5&amp;"*"),TRUE,FALSE)</f>
        <v>1</v>
      </c>
      <c r="G5726" t="str">
        <f t="shared" si="366"/>
        <v>715-84: Textbooks, Special Education</v>
      </c>
    </row>
    <row r="5727" spans="1:7" x14ac:dyDescent="0.25">
      <c r="A5727" s="1" t="str">
        <f t="shared" si="367"/>
        <v>715</v>
      </c>
      <c r="B5727" s="1" t="str">
        <f>TEXT(85,"00")</f>
        <v>85</v>
      </c>
      <c r="C5727" s="1" t="str">
        <f t="shared" si="365"/>
        <v>715-85</v>
      </c>
      <c r="D5727" t="s">
        <v>5699</v>
      </c>
      <c r="E5727" t="b">
        <f>IF(COUNTIF(D5727,"*"&amp;'Keyword Search'!$C$5&amp;"*"),TRUE,FALSE)</f>
        <v>1</v>
      </c>
      <c r="G5727" t="str">
        <f t="shared" si="366"/>
        <v>715-85: Textbooks, Pre-Kindergarten thru 5th Grade, Including Student and Teacher Editions</v>
      </c>
    </row>
    <row r="5728" spans="1:7" x14ac:dyDescent="0.25">
      <c r="A5728" s="1" t="str">
        <f t="shared" si="367"/>
        <v>715</v>
      </c>
      <c r="B5728" s="1" t="str">
        <f>TEXT(86,"00")</f>
        <v>86</v>
      </c>
      <c r="C5728" s="1" t="str">
        <f t="shared" si="365"/>
        <v>715-86</v>
      </c>
      <c r="D5728" t="s">
        <v>5700</v>
      </c>
      <c r="E5728" t="b">
        <f>IF(COUNTIF(D5728,"*"&amp;'Keyword Search'!$C$5&amp;"*"),TRUE,FALSE)</f>
        <v>1</v>
      </c>
      <c r="G5728" t="str">
        <f t="shared" si="366"/>
        <v>715-86: Textbooks, 6th thru 8th Grade, Including Student and Teacher Editions</v>
      </c>
    </row>
    <row r="5729" spans="1:7" x14ac:dyDescent="0.25">
      <c r="A5729" s="1" t="str">
        <f t="shared" si="367"/>
        <v>715</v>
      </c>
      <c r="B5729" s="1" t="str">
        <f>TEXT(87,"00")</f>
        <v>87</v>
      </c>
      <c r="C5729" s="1" t="str">
        <f t="shared" si="365"/>
        <v>715-87</v>
      </c>
      <c r="D5729" t="s">
        <v>5701</v>
      </c>
      <c r="E5729" t="b">
        <f>IF(COUNTIF(D5729,"*"&amp;'Keyword Search'!$C$5&amp;"*"),TRUE,FALSE)</f>
        <v>1</v>
      </c>
      <c r="G5729" t="str">
        <f t="shared" si="366"/>
        <v>715-87: Textbooks, 9th thru 12th Grade, Including Student and Teacher Editions</v>
      </c>
    </row>
    <row r="5730" spans="1:7" x14ac:dyDescent="0.25">
      <c r="A5730" s="1" t="str">
        <f t="shared" si="367"/>
        <v>715</v>
      </c>
      <c r="B5730" s="1" t="str">
        <f>TEXT(88,"00")</f>
        <v>88</v>
      </c>
      <c r="C5730" s="1" t="str">
        <f t="shared" si="365"/>
        <v>715-88</v>
      </c>
      <c r="D5730" t="s">
        <v>5702</v>
      </c>
      <c r="E5730" t="b">
        <f>IF(COUNTIF(D5730,"*"&amp;'Keyword Search'!$C$5&amp;"*"),TRUE,FALSE)</f>
        <v>1</v>
      </c>
      <c r="G5730" t="str">
        <f t="shared" si="366"/>
        <v>715-88: Textbooks, College Level, Including Student and Teacher Editions</v>
      </c>
    </row>
    <row r="5731" spans="1:7" x14ac:dyDescent="0.25">
      <c r="A5731" s="1" t="str">
        <f t="shared" si="367"/>
        <v>715</v>
      </c>
      <c r="B5731" s="1" t="str">
        <f>TEXT(89,"00")</f>
        <v>89</v>
      </c>
      <c r="C5731" s="1" t="str">
        <f t="shared" si="365"/>
        <v>715-89</v>
      </c>
      <c r="D5731" t="s">
        <v>5703</v>
      </c>
      <c r="E5731" t="b">
        <f>IF(COUNTIF(D5731,"*"&amp;'Keyword Search'!$C$5&amp;"*"),TRUE,FALSE)</f>
        <v>1</v>
      </c>
      <c r="G5731" t="str">
        <f t="shared" si="366"/>
        <v>715-89: Textbooks, Early Childhood</v>
      </c>
    </row>
    <row r="5732" spans="1:7" x14ac:dyDescent="0.25">
      <c r="A5732" s="1" t="str">
        <f t="shared" si="367"/>
        <v>715</v>
      </c>
      <c r="B5732" s="1" t="str">
        <f>TEXT(90,"00")</f>
        <v>90</v>
      </c>
      <c r="C5732" s="1" t="str">
        <f t="shared" si="365"/>
        <v>715-90</v>
      </c>
      <c r="D5732" t="s">
        <v>5704</v>
      </c>
      <c r="E5732" t="b">
        <f>IF(COUNTIF(D5732,"*"&amp;'Keyword Search'!$C$5&amp;"*"),TRUE,FALSE)</f>
        <v>1</v>
      </c>
      <c r="G5732" t="str">
        <f t="shared" si="366"/>
        <v>715-90: Video Cassettes, Disks, Tapes, etc., For Computer and TV, Prerecorded</v>
      </c>
    </row>
    <row r="5733" spans="1:7" x14ac:dyDescent="0.25">
      <c r="A5733" s="1" t="str">
        <f t="shared" si="367"/>
        <v>715</v>
      </c>
      <c r="B5733" s="1" t="str">
        <f>TEXT(95,"00")</f>
        <v>95</v>
      </c>
      <c r="C5733" s="1" t="str">
        <f t="shared" si="365"/>
        <v>715-95</v>
      </c>
      <c r="D5733" t="s">
        <v>5705</v>
      </c>
      <c r="E5733" t="b">
        <f>IF(COUNTIF(D5733,"*"&amp;'Keyword Search'!$C$5&amp;"*"),TRUE,FALSE)</f>
        <v>1</v>
      </c>
      <c r="G5733" t="str">
        <f t="shared" si="366"/>
        <v>715-95: Recycled Publications and Audio-Visual Materials</v>
      </c>
    </row>
    <row r="5734" spans="1:7" x14ac:dyDescent="0.25">
      <c r="A5734" s="5" t="str">
        <f t="shared" ref="A5734:A5769" si="368">TEXT(720,"000")</f>
        <v>720</v>
      </c>
      <c r="B5734" s="5" t="str">
        <f>TEXT(0,"00")</f>
        <v>00</v>
      </c>
      <c r="C5734" s="1"/>
      <c r="D5734" s="2" t="s">
        <v>5706</v>
      </c>
    </row>
    <row r="5735" spans="1:7" x14ac:dyDescent="0.25">
      <c r="A5735" s="1" t="str">
        <f t="shared" si="368"/>
        <v>720</v>
      </c>
      <c r="B5735" s="1" t="str">
        <f>TEXT(3,"00")</f>
        <v>03</v>
      </c>
      <c r="C5735" s="1" t="str">
        <f t="shared" si="365"/>
        <v>720-03</v>
      </c>
      <c r="D5735" t="s">
        <v>5707</v>
      </c>
      <c r="E5735" t="b">
        <f>IF(COUNTIF(D5735,"*"&amp;'Keyword Search'!$C$5&amp;"*"),TRUE,FALSE)</f>
        <v>1</v>
      </c>
      <c r="G5735" t="str">
        <f t="shared" si="366"/>
        <v>720-03: Asphalt Pumps</v>
      </c>
    </row>
    <row r="5736" spans="1:7" x14ac:dyDescent="0.25">
      <c r="A5736" s="1" t="str">
        <f t="shared" si="368"/>
        <v>720</v>
      </c>
      <c r="B5736" s="1" t="str">
        <f>TEXT(4,"00")</f>
        <v>04</v>
      </c>
      <c r="C5736" s="1" t="str">
        <f t="shared" si="365"/>
        <v>720-04</v>
      </c>
      <c r="D5736" t="s">
        <v>5708</v>
      </c>
      <c r="E5736" t="b">
        <f>IF(COUNTIF(D5736,"*"&amp;'Keyword Search'!$C$5&amp;"*"),TRUE,FALSE)</f>
        <v>1</v>
      </c>
      <c r="G5736" t="str">
        <f t="shared" si="366"/>
        <v>720-04: Automatic Fueling Systems, Including Parts and Accessories</v>
      </c>
    </row>
    <row r="5737" spans="1:7" x14ac:dyDescent="0.25">
      <c r="A5737" s="1" t="str">
        <f t="shared" si="368"/>
        <v>720</v>
      </c>
      <c r="B5737" s="1" t="str">
        <f>TEXT(6,"00")</f>
        <v>06</v>
      </c>
      <c r="C5737" s="1" t="str">
        <f t="shared" si="365"/>
        <v>720-06</v>
      </c>
      <c r="D5737" t="s">
        <v>5709</v>
      </c>
      <c r="E5737" t="b">
        <f>IF(COUNTIF(D5737,"*"&amp;'Keyword Search'!$C$5&amp;"*"),TRUE,FALSE)</f>
        <v>1</v>
      </c>
      <c r="G5737" t="str">
        <f t="shared" si="366"/>
        <v>720-06: Barrel Pumps, Drum Pumps: Rotary and Plunger Types, Hand Operated</v>
      </c>
    </row>
    <row r="5738" spans="1:7" x14ac:dyDescent="0.25">
      <c r="A5738" s="1" t="str">
        <f t="shared" si="368"/>
        <v>720</v>
      </c>
      <c r="B5738" s="1" t="str">
        <f>TEXT(10,"00")</f>
        <v>10</v>
      </c>
      <c r="C5738" s="1" t="str">
        <f t="shared" si="365"/>
        <v>720-10</v>
      </c>
      <c r="D5738" t="s">
        <v>5710</v>
      </c>
      <c r="E5738" t="b">
        <f>IF(COUNTIF(D5738,"*"&amp;'Keyword Search'!$C$5&amp;"*"),TRUE,FALSE)</f>
        <v>1</v>
      </c>
      <c r="G5738" t="str">
        <f t="shared" si="366"/>
        <v>720-10: Boom Pumps, Concrete, Including Parts and Accessories</v>
      </c>
    </row>
    <row r="5739" spans="1:7" x14ac:dyDescent="0.25">
      <c r="A5739" s="1" t="str">
        <f t="shared" si="368"/>
        <v>720</v>
      </c>
      <c r="B5739" s="1" t="str">
        <f>TEXT(12,"00")</f>
        <v>12</v>
      </c>
      <c r="C5739" s="1" t="str">
        <f t="shared" si="365"/>
        <v>720-12</v>
      </c>
      <c r="D5739" t="s">
        <v>5711</v>
      </c>
      <c r="E5739" t="b">
        <f>IF(COUNTIF(D5739,"*"&amp;'Keyword Search'!$C$5&amp;"*"),TRUE,FALSE)</f>
        <v>1</v>
      </c>
      <c r="G5739" t="str">
        <f t="shared" si="366"/>
        <v>720-12: Booster or Circulating Pumps, In-Line</v>
      </c>
    </row>
    <row r="5740" spans="1:7" x14ac:dyDescent="0.25">
      <c r="A5740" s="1" t="str">
        <f t="shared" si="368"/>
        <v>720</v>
      </c>
      <c r="B5740" s="1" t="str">
        <f>TEXT(13,"00")</f>
        <v>13</v>
      </c>
      <c r="C5740" s="1" t="str">
        <f t="shared" si="365"/>
        <v>720-13</v>
      </c>
      <c r="D5740" t="s">
        <v>5712</v>
      </c>
      <c r="E5740" t="b">
        <f>IF(COUNTIF(D5740,"*"&amp;'Keyword Search'!$C$5&amp;"*"),TRUE,FALSE)</f>
        <v>1</v>
      </c>
      <c r="G5740" t="str">
        <f t="shared" si="366"/>
        <v>720-13: Cavity Pumps, Progressive</v>
      </c>
    </row>
    <row r="5741" spans="1:7" x14ac:dyDescent="0.25">
      <c r="A5741" s="1" t="str">
        <f t="shared" si="368"/>
        <v>720</v>
      </c>
      <c r="B5741" s="1" t="str">
        <f>TEXT(15,"00")</f>
        <v>15</v>
      </c>
      <c r="C5741" s="1" t="str">
        <f t="shared" si="365"/>
        <v>720-15</v>
      </c>
      <c r="D5741" t="s">
        <v>5713</v>
      </c>
      <c r="E5741" t="b">
        <f>IF(COUNTIF(D5741,"*"&amp;'Keyword Search'!$C$5&amp;"*"),TRUE,FALSE)</f>
        <v>1</v>
      </c>
      <c r="G5741" t="str">
        <f t="shared" si="366"/>
        <v>720-15: Centrifugal Pumps, Portable</v>
      </c>
    </row>
    <row r="5742" spans="1:7" x14ac:dyDescent="0.25">
      <c r="A5742" s="1" t="str">
        <f t="shared" si="368"/>
        <v>720</v>
      </c>
      <c r="B5742" s="1" t="str">
        <f>TEXT(17,"00")</f>
        <v>17</v>
      </c>
      <c r="C5742" s="1" t="str">
        <f t="shared" si="365"/>
        <v>720-17</v>
      </c>
      <c r="D5742" t="s">
        <v>5714</v>
      </c>
      <c r="E5742" t="b">
        <f>IF(COUNTIF(D5742,"*"&amp;'Keyword Search'!$C$5&amp;"*"),TRUE,FALSE)</f>
        <v>1</v>
      </c>
      <c r="G5742" t="str">
        <f t="shared" si="366"/>
        <v>720-17: Centrifugal Pumps, Compact, Submersible</v>
      </c>
    </row>
    <row r="5743" spans="1:7" x14ac:dyDescent="0.25">
      <c r="A5743" s="1" t="str">
        <f t="shared" si="368"/>
        <v>720</v>
      </c>
      <c r="B5743" s="1" t="str">
        <f>TEXT(18,"00")</f>
        <v>18</v>
      </c>
      <c r="C5743" s="1" t="str">
        <f t="shared" si="365"/>
        <v>720-18</v>
      </c>
      <c r="D5743" t="s">
        <v>5715</v>
      </c>
      <c r="E5743" t="b">
        <f>IF(COUNTIF(D5743,"*"&amp;'Keyword Search'!$C$5&amp;"*"),TRUE,FALSE)</f>
        <v>1</v>
      </c>
      <c r="G5743" t="str">
        <f t="shared" si="366"/>
        <v>720-18: Centrifugal Pumps, Stationary</v>
      </c>
    </row>
    <row r="5744" spans="1:7" x14ac:dyDescent="0.25">
      <c r="A5744" s="1" t="str">
        <f t="shared" si="368"/>
        <v>720</v>
      </c>
      <c r="B5744" s="1" t="str">
        <f>TEXT(19,"00")</f>
        <v>19</v>
      </c>
      <c r="C5744" s="1" t="str">
        <f t="shared" si="365"/>
        <v>720-19</v>
      </c>
      <c r="D5744" t="s">
        <v>5716</v>
      </c>
      <c r="E5744" t="b">
        <f>IF(COUNTIF(D5744,"*"&amp;'Keyword Search'!$C$5&amp;"*"),TRUE,FALSE)</f>
        <v>1</v>
      </c>
      <c r="G5744" t="str">
        <f t="shared" si="366"/>
        <v>720-19: Compressors, Compressed Natural Gas (CNG)</v>
      </c>
    </row>
    <row r="5745" spans="1:7" x14ac:dyDescent="0.25">
      <c r="A5745" s="1" t="str">
        <f t="shared" si="368"/>
        <v>720</v>
      </c>
      <c r="B5745" s="1" t="str">
        <f>TEXT(20,"00")</f>
        <v>20</v>
      </c>
      <c r="C5745" s="1" t="str">
        <f t="shared" si="365"/>
        <v>720-20</v>
      </c>
      <c r="D5745" t="s">
        <v>5717</v>
      </c>
      <c r="E5745" t="b">
        <f>IF(COUNTIF(D5745,"*"&amp;'Keyword Search'!$C$5&amp;"*"),TRUE,FALSE)</f>
        <v>1</v>
      </c>
      <c r="G5745" t="str">
        <f t="shared" si="366"/>
        <v>720-20: *Control Devices: Motor Fuel Dispensing, Security, Management</v>
      </c>
    </row>
    <row r="5746" spans="1:7" x14ac:dyDescent="0.25">
      <c r="A5746" s="1" t="str">
        <f t="shared" si="368"/>
        <v>720</v>
      </c>
      <c r="B5746" s="1" t="str">
        <f>TEXT(24,"00")</f>
        <v>24</v>
      </c>
      <c r="C5746" s="1" t="str">
        <f t="shared" si="365"/>
        <v>720-24</v>
      </c>
      <c r="D5746" t="s">
        <v>5718</v>
      </c>
      <c r="E5746" t="b">
        <f>IF(COUNTIF(D5746,"*"&amp;'Keyword Search'!$C$5&amp;"*"),TRUE,FALSE)</f>
        <v>1</v>
      </c>
      <c r="G5746" t="str">
        <f t="shared" si="366"/>
        <v>720-24: Diaphragm Pumps</v>
      </c>
    </row>
    <row r="5747" spans="1:7" x14ac:dyDescent="0.25">
      <c r="A5747" s="1" t="str">
        <f t="shared" si="368"/>
        <v>720</v>
      </c>
      <c r="B5747" s="1" t="str">
        <f>TEXT(25,"00")</f>
        <v>25</v>
      </c>
      <c r="C5747" s="1" t="str">
        <f t="shared" si="365"/>
        <v>720-25</v>
      </c>
      <c r="D5747" t="s">
        <v>5719</v>
      </c>
      <c r="E5747" t="b">
        <f>IF(COUNTIF(D5747,"*"&amp;'Keyword Search'!$C$5&amp;"*"),TRUE,FALSE)</f>
        <v>1</v>
      </c>
      <c r="G5747" t="str">
        <f t="shared" si="366"/>
        <v>720-25: Dry Pit Sludge Pumps</v>
      </c>
    </row>
    <row r="5748" spans="1:7" x14ac:dyDescent="0.25">
      <c r="A5748" s="1" t="str">
        <f t="shared" si="368"/>
        <v>720</v>
      </c>
      <c r="B5748" s="1" t="str">
        <f>TEXT(27,"00")</f>
        <v>27</v>
      </c>
      <c r="C5748" s="1" t="str">
        <f t="shared" si="365"/>
        <v>720-27</v>
      </c>
      <c r="D5748" t="s">
        <v>5720</v>
      </c>
      <c r="E5748" t="b">
        <f>IF(COUNTIF(D5748,"*"&amp;'Keyword Search'!$C$5&amp;"*"),TRUE,FALSE)</f>
        <v>1</v>
      </c>
      <c r="G5748" t="str">
        <f t="shared" si="366"/>
        <v>720-27: Fire Equipment Pumps, Including Parts and Accessories</v>
      </c>
    </row>
    <row r="5749" spans="1:7" x14ac:dyDescent="0.25">
      <c r="A5749" s="1" t="str">
        <f t="shared" si="368"/>
        <v>720</v>
      </c>
      <c r="B5749" s="1" t="str">
        <f>TEXT(33,"00")</f>
        <v>33</v>
      </c>
      <c r="C5749" s="1" t="str">
        <f t="shared" si="365"/>
        <v>720-33</v>
      </c>
      <c r="D5749" t="s">
        <v>5721</v>
      </c>
      <c r="E5749" t="b">
        <f>IF(COUNTIF(D5749,"*"&amp;'Keyword Search'!$C$5&amp;"*"),TRUE,FALSE)</f>
        <v>1</v>
      </c>
      <c r="G5749" t="str">
        <f t="shared" si="366"/>
        <v>720-33: Gasoline, Compressed Natural Gas (CNG), Liquefied Petroleum Gas (LPG), and Diesel Fuel Pumps, Service Station Type</v>
      </c>
    </row>
    <row r="5750" spans="1:7" x14ac:dyDescent="0.25">
      <c r="A5750" s="1" t="str">
        <f t="shared" si="368"/>
        <v>720</v>
      </c>
      <c r="B5750" s="1" t="str">
        <f>TEXT(36,"00")</f>
        <v>36</v>
      </c>
      <c r="C5750" s="1" t="str">
        <f t="shared" si="365"/>
        <v>720-36</v>
      </c>
      <c r="D5750" t="s">
        <v>5722</v>
      </c>
      <c r="E5750" t="b">
        <f>IF(COUNTIF(D5750,"*"&amp;'Keyword Search'!$C$5&amp;"*"),TRUE,FALSE)</f>
        <v>1</v>
      </c>
      <c r="G5750" t="str">
        <f t="shared" si="366"/>
        <v>720-36: Hydraulic Pumps, Hand and Motor Driven</v>
      </c>
    </row>
    <row r="5751" spans="1:7" x14ac:dyDescent="0.25">
      <c r="A5751" s="1" t="str">
        <f t="shared" si="368"/>
        <v>720</v>
      </c>
      <c r="B5751" s="1" t="str">
        <f>TEXT(40,"00")</f>
        <v>40</v>
      </c>
      <c r="C5751" s="1" t="str">
        <f t="shared" si="365"/>
        <v>720-40</v>
      </c>
      <c r="D5751" t="s">
        <v>5723</v>
      </c>
      <c r="E5751" t="b">
        <f>IF(COUNTIF(D5751,"*"&amp;'Keyword Search'!$C$5&amp;"*"),TRUE,FALSE)</f>
        <v>1</v>
      </c>
      <c r="G5751" t="str">
        <f t="shared" si="366"/>
        <v>720-40: Mechanical Pumps, Including Parts and Accessories</v>
      </c>
    </row>
    <row r="5752" spans="1:7" x14ac:dyDescent="0.25">
      <c r="A5752" s="1" t="str">
        <f t="shared" si="368"/>
        <v>720</v>
      </c>
      <c r="B5752" s="1" t="str">
        <f>TEXT(41,"00")</f>
        <v>41</v>
      </c>
      <c r="C5752" s="1" t="str">
        <f t="shared" si="365"/>
        <v>720-41</v>
      </c>
      <c r="D5752" t="s">
        <v>5724</v>
      </c>
      <c r="E5752" t="b">
        <f>IF(COUNTIF(D5752,"*"&amp;'Keyword Search'!$C$5&amp;"*"),TRUE,FALSE)</f>
        <v>1</v>
      </c>
      <c r="G5752" t="str">
        <f t="shared" si="366"/>
        <v>720-41: Meters and Dispensers: Fuel, Oil, and Lubricants</v>
      </c>
    </row>
    <row r="5753" spans="1:7" x14ac:dyDescent="0.25">
      <c r="A5753" s="1" t="str">
        <f t="shared" si="368"/>
        <v>720</v>
      </c>
      <c r="B5753" s="1" t="str">
        <f>TEXT(42,"00")</f>
        <v>42</v>
      </c>
      <c r="C5753" s="1" t="str">
        <f t="shared" si="365"/>
        <v>720-42</v>
      </c>
      <c r="D5753" t="s">
        <v>5725</v>
      </c>
      <c r="E5753" t="b">
        <f>IF(COUNTIF(D5753,"*"&amp;'Keyword Search'!$C$5&amp;"*"),TRUE,FALSE)</f>
        <v>1</v>
      </c>
      <c r="G5753" t="str">
        <f t="shared" si="366"/>
        <v>720-42: Packing, Pump</v>
      </c>
    </row>
    <row r="5754" spans="1:7" x14ac:dyDescent="0.25">
      <c r="A5754" s="1" t="str">
        <f t="shared" si="368"/>
        <v>720</v>
      </c>
      <c r="B5754" s="1" t="str">
        <f>TEXT(43,"00")</f>
        <v>43</v>
      </c>
      <c r="C5754" s="1" t="str">
        <f t="shared" si="365"/>
        <v>720-43</v>
      </c>
      <c r="D5754" t="s">
        <v>5726</v>
      </c>
      <c r="E5754" t="b">
        <f>IF(COUNTIF(D5754,"*"&amp;'Keyword Search'!$C$5&amp;"*"),TRUE,FALSE)</f>
        <v>1</v>
      </c>
      <c r="G5754" t="str">
        <f t="shared" si="366"/>
        <v>720-43: Oil Pumps, Including Parts and Accessories (See 060-64 for Automotive Type)</v>
      </c>
    </row>
    <row r="5755" spans="1:7" x14ac:dyDescent="0.25">
      <c r="A5755" s="1" t="str">
        <f t="shared" si="368"/>
        <v>720</v>
      </c>
      <c r="B5755" s="1" t="str">
        <f>TEXT(45,"00")</f>
        <v>45</v>
      </c>
      <c r="C5755" s="1" t="str">
        <f t="shared" si="365"/>
        <v>720-45</v>
      </c>
      <c r="D5755" t="s">
        <v>5727</v>
      </c>
      <c r="E5755" t="b">
        <f>IF(COUNTIF(D5755,"*"&amp;'Keyword Search'!$C$5&amp;"*"),TRUE,FALSE)</f>
        <v>1</v>
      </c>
      <c r="G5755" t="str">
        <f t="shared" si="366"/>
        <v>720-45: Piston Pumps, Including Parts and Accessories</v>
      </c>
    </row>
    <row r="5756" spans="1:7" x14ac:dyDescent="0.25">
      <c r="A5756" s="1" t="str">
        <f t="shared" si="368"/>
        <v>720</v>
      </c>
      <c r="B5756" s="1" t="str">
        <f>TEXT(52,"00")</f>
        <v>52</v>
      </c>
      <c r="C5756" s="1" t="str">
        <f t="shared" si="365"/>
        <v>720-52</v>
      </c>
      <c r="D5756" t="s">
        <v>5728</v>
      </c>
      <c r="E5756" t="b">
        <f>IF(COUNTIF(D5756,"*"&amp;'Keyword Search'!$C$5&amp;"*"),TRUE,FALSE)</f>
        <v>1</v>
      </c>
      <c r="G5756" t="str">
        <f t="shared" si="366"/>
        <v>720-52: Propeller Pumps, Vertical</v>
      </c>
    </row>
    <row r="5757" spans="1:7" x14ac:dyDescent="0.25">
      <c r="A5757" s="1" t="str">
        <f t="shared" si="368"/>
        <v>720</v>
      </c>
      <c r="B5757" s="1" t="str">
        <f>TEXT(55,"00")</f>
        <v>55</v>
      </c>
      <c r="C5757" s="1" t="str">
        <f t="shared" si="365"/>
        <v>720-55</v>
      </c>
      <c r="D5757" t="s">
        <v>5729</v>
      </c>
      <c r="E5757" t="b">
        <f>IF(COUNTIF(D5757,"*"&amp;'Keyword Search'!$C$5&amp;"*"),TRUE,FALSE)</f>
        <v>1</v>
      </c>
      <c r="G5757" t="str">
        <f t="shared" si="366"/>
        <v>720-55: Proportioning Pumps: Chemical Feed, Metering, Positive Displacement, and Injector Pumps (See Also Class 820)</v>
      </c>
    </row>
    <row r="5758" spans="1:7" x14ac:dyDescent="0.25">
      <c r="A5758" s="1" t="str">
        <f t="shared" si="368"/>
        <v>720</v>
      </c>
      <c r="B5758" s="1" t="str">
        <f>TEXT(56,"00")</f>
        <v>56</v>
      </c>
      <c r="C5758" s="1" t="str">
        <f t="shared" si="365"/>
        <v>720-56</v>
      </c>
      <c r="D5758" t="s">
        <v>5730</v>
      </c>
      <c r="E5758" t="b">
        <f>IF(COUNTIF(D5758,"*"&amp;'Keyword Search'!$C$5&amp;"*"),TRUE,FALSE)</f>
        <v>1</v>
      </c>
      <c r="G5758" t="str">
        <f t="shared" si="366"/>
        <v>720-56: Pumps, Miscellaneous, (Not Otherwise Classified)</v>
      </c>
    </row>
    <row r="5759" spans="1:7" x14ac:dyDescent="0.25">
      <c r="A5759" s="1" t="str">
        <f t="shared" si="368"/>
        <v>720</v>
      </c>
      <c r="B5759" s="1" t="str">
        <f>TEXT(58,"00")</f>
        <v>58</v>
      </c>
      <c r="C5759" s="1" t="str">
        <f t="shared" si="365"/>
        <v>720-58</v>
      </c>
      <c r="D5759" t="s">
        <v>5731</v>
      </c>
      <c r="E5759" t="b">
        <f>IF(COUNTIF(D5759,"*"&amp;'Keyword Search'!$C$5&amp;"*"),TRUE,FALSE)</f>
        <v>1</v>
      </c>
      <c r="G5759" t="str">
        <f t="shared" si="366"/>
        <v>720-58: Recovery Pumps and Piping: Free Product, Groundwater, etc.</v>
      </c>
    </row>
    <row r="5760" spans="1:7" x14ac:dyDescent="0.25">
      <c r="A5760" s="1" t="str">
        <f t="shared" si="368"/>
        <v>720</v>
      </c>
      <c r="B5760" s="1" t="str">
        <f>TEXT(59,"00")</f>
        <v>59</v>
      </c>
      <c r="C5760" s="1" t="str">
        <f t="shared" si="365"/>
        <v>720-59</v>
      </c>
      <c r="D5760" t="s">
        <v>5732</v>
      </c>
      <c r="E5760" t="b">
        <f>IF(COUNTIF(D5760,"*"&amp;'Keyword Search'!$C$5&amp;"*"),TRUE,FALSE)</f>
        <v>1</v>
      </c>
      <c r="G5760" t="str">
        <f t="shared" si="366"/>
        <v>720-59: Recycled Pumping Equipment, Including Parts and Accessories</v>
      </c>
    </row>
    <row r="5761" spans="1:7" x14ac:dyDescent="0.25">
      <c r="A5761" s="1" t="str">
        <f t="shared" si="368"/>
        <v>720</v>
      </c>
      <c r="B5761" s="1" t="str">
        <f>TEXT(61,"00")</f>
        <v>61</v>
      </c>
      <c r="C5761" s="1" t="str">
        <f t="shared" si="365"/>
        <v>720-61</v>
      </c>
      <c r="D5761" t="s">
        <v>5733</v>
      </c>
      <c r="E5761" t="b">
        <f>IF(COUNTIF(D5761,"*"&amp;'Keyword Search'!$C$5&amp;"*"),TRUE,FALSE)</f>
        <v>1</v>
      </c>
      <c r="G5761" t="str">
        <f t="shared" si="366"/>
        <v>720-61: Rotary Pumps: Gear or Roller Type, Power Driven</v>
      </c>
    </row>
    <row r="5762" spans="1:7" x14ac:dyDescent="0.25">
      <c r="A5762" s="1" t="str">
        <f t="shared" si="368"/>
        <v>720</v>
      </c>
      <c r="B5762" s="1" t="str">
        <f>TEXT(63,"00")</f>
        <v>63</v>
      </c>
      <c r="C5762" s="1" t="str">
        <f t="shared" si="365"/>
        <v>720-63</v>
      </c>
      <c r="D5762" t="s">
        <v>5734</v>
      </c>
      <c r="E5762" t="b">
        <f>IF(COUNTIF(D5762,"*"&amp;'Keyword Search'!$C$5&amp;"*"),TRUE,FALSE)</f>
        <v>1</v>
      </c>
      <c r="G5762" t="str">
        <f t="shared" si="366"/>
        <v>720-63: Sampling Pump Systems, Including Parts and Accessories</v>
      </c>
    </row>
    <row r="5763" spans="1:7" x14ac:dyDescent="0.25">
      <c r="A5763" s="1" t="str">
        <f t="shared" si="368"/>
        <v>720</v>
      </c>
      <c r="B5763" s="1" t="str">
        <f>TEXT(64,"00")</f>
        <v>64</v>
      </c>
      <c r="C5763" s="1" t="str">
        <f t="shared" ref="C5763:C5826" si="369">CONCATENATE(A5763,"-",B5763)</f>
        <v>720-64</v>
      </c>
      <c r="D5763" t="s">
        <v>5735</v>
      </c>
      <c r="E5763" t="b">
        <f>IF(COUNTIF(D5763,"*"&amp;'Keyword Search'!$C$5&amp;"*"),TRUE,FALSE)</f>
        <v>1</v>
      </c>
      <c r="G5763" t="str">
        <f t="shared" si="366"/>
        <v>720-64: Sewage and Sludge Pumps, Submersible</v>
      </c>
    </row>
    <row r="5764" spans="1:7" x14ac:dyDescent="0.25">
      <c r="A5764" s="1" t="str">
        <f t="shared" si="368"/>
        <v>720</v>
      </c>
      <c r="B5764" s="1" t="str">
        <f>TEXT(67,"00")</f>
        <v>67</v>
      </c>
      <c r="C5764" s="1" t="str">
        <f t="shared" si="369"/>
        <v>720-67</v>
      </c>
      <c r="D5764" t="s">
        <v>5736</v>
      </c>
      <c r="E5764" t="b">
        <f>IF(COUNTIF(D5764,"*"&amp;'Keyword Search'!$C$5&amp;"*"),TRUE,FALSE)</f>
        <v>1</v>
      </c>
      <c r="G5764" t="str">
        <f t="shared" ref="G5764:G5827" si="370">CONCATENATE(C5764,": ",D5764)</f>
        <v>720-67: Sewage and Sludge Pumps, Surface Mounted</v>
      </c>
    </row>
    <row r="5765" spans="1:7" x14ac:dyDescent="0.25">
      <c r="A5765" s="1" t="str">
        <f t="shared" si="368"/>
        <v>720</v>
      </c>
      <c r="B5765" s="1" t="str">
        <f>TEXT(73,"00")</f>
        <v>73</v>
      </c>
      <c r="C5765" s="1" t="str">
        <f t="shared" si="369"/>
        <v>720-73</v>
      </c>
      <c r="D5765" t="s">
        <v>5737</v>
      </c>
      <c r="E5765" t="b">
        <f>IF(COUNTIF(D5765,"*"&amp;'Keyword Search'!$C$5&amp;"*"),TRUE,FALSE)</f>
        <v>1</v>
      </c>
      <c r="G5765" t="str">
        <f t="shared" si="370"/>
        <v>720-73: Sump Pumps: Submersible and Non-Submersible</v>
      </c>
    </row>
    <row r="5766" spans="1:7" x14ac:dyDescent="0.25">
      <c r="A5766" s="1" t="str">
        <f t="shared" si="368"/>
        <v>720</v>
      </c>
      <c r="B5766" s="1" t="str">
        <f>TEXT(79,"00")</f>
        <v>79</v>
      </c>
      <c r="C5766" s="1" t="str">
        <f t="shared" si="369"/>
        <v>720-79</v>
      </c>
      <c r="D5766" t="s">
        <v>5738</v>
      </c>
      <c r="E5766" t="b">
        <f>IF(COUNTIF(D5766,"*"&amp;'Keyword Search'!$C$5&amp;"*"),TRUE,FALSE)</f>
        <v>1</v>
      </c>
      <c r="G5766" t="str">
        <f t="shared" si="370"/>
        <v>720-79: Trash Pumps, Portable, Engine-Driven</v>
      </c>
    </row>
    <row r="5767" spans="1:7" x14ac:dyDescent="0.25">
      <c r="A5767" s="1" t="str">
        <f t="shared" si="368"/>
        <v>720</v>
      </c>
      <c r="B5767" s="1" t="str">
        <f>TEXT(82,"00")</f>
        <v>82</v>
      </c>
      <c r="C5767" s="1" t="str">
        <f t="shared" si="369"/>
        <v>720-82</v>
      </c>
      <c r="D5767" t="s">
        <v>5739</v>
      </c>
      <c r="E5767" t="b">
        <f>IF(COUNTIF(D5767,"*"&amp;'Keyword Search'!$C$5&amp;"*"),TRUE,FALSE)</f>
        <v>1</v>
      </c>
      <c r="G5767" t="str">
        <f t="shared" si="370"/>
        <v>720-82: Water Pumps, Including Parts and Accessories (See 060-35 for Automotive Type)</v>
      </c>
    </row>
    <row r="5768" spans="1:7" x14ac:dyDescent="0.25">
      <c r="A5768" s="1" t="str">
        <f t="shared" si="368"/>
        <v>720</v>
      </c>
      <c r="B5768" s="1" t="str">
        <f>TEXT(84,"00")</f>
        <v>84</v>
      </c>
      <c r="C5768" s="1" t="str">
        <f t="shared" si="369"/>
        <v>720-84</v>
      </c>
      <c r="D5768" t="s">
        <v>5740</v>
      </c>
      <c r="E5768" t="b">
        <f>IF(COUNTIF(D5768,"*"&amp;'Keyword Search'!$C$5&amp;"*"),TRUE,FALSE)</f>
        <v>1</v>
      </c>
      <c r="G5768" t="str">
        <f t="shared" si="370"/>
        <v>720-84: Water Well Accessories: Drive Points, Foot Valves and Strainers, Leather Cups, Sucker Rods, Well Cylinders, etc.</v>
      </c>
    </row>
    <row r="5769" spans="1:7" x14ac:dyDescent="0.25">
      <c r="A5769" s="1" t="str">
        <f t="shared" si="368"/>
        <v>720</v>
      </c>
      <c r="B5769" s="1" t="str">
        <f>TEXT(90,"00")</f>
        <v>90</v>
      </c>
      <c r="C5769" s="1" t="str">
        <f t="shared" si="369"/>
        <v>720-90</v>
      </c>
      <c r="D5769" t="s">
        <v>5741</v>
      </c>
      <c r="E5769" t="b">
        <f>IF(COUNTIF(D5769,"*"&amp;'Keyword Search'!$C$5&amp;"*"),TRUE,FALSE)</f>
        <v>1</v>
      </c>
      <c r="G5769" t="str">
        <f t="shared" si="370"/>
        <v>720-90: Well Pumps, All Kinds</v>
      </c>
    </row>
    <row r="5770" spans="1:7" x14ac:dyDescent="0.25">
      <c r="A5770" s="5" t="str">
        <f t="shared" ref="A5770:A5797" si="371">TEXT(726,"000")</f>
        <v>726</v>
      </c>
      <c r="B5770" s="5" t="str">
        <f>TEXT(0,"00")</f>
        <v>00</v>
      </c>
      <c r="C5770" s="1"/>
      <c r="D5770" s="2" t="s">
        <v>5742</v>
      </c>
    </row>
    <row r="5771" spans="1:7" x14ac:dyDescent="0.25">
      <c r="A5771" s="1" t="str">
        <f t="shared" si="371"/>
        <v>726</v>
      </c>
      <c r="B5771" s="1" t="str">
        <f>TEXT(6,"00")</f>
        <v>06</v>
      </c>
      <c r="C5771" s="1" t="str">
        <f t="shared" si="369"/>
        <v>726-06</v>
      </c>
      <c r="D5771" t="s">
        <v>5743</v>
      </c>
      <c r="E5771" t="b">
        <f>IF(COUNTIF(D5771,"*"&amp;'Keyword Search'!$C$5&amp;"*"),TRUE,FALSE)</f>
        <v>1</v>
      </c>
      <c r="G5771" t="str">
        <f t="shared" si="370"/>
        <v>726-06: *Adhesive/Cement, Radio</v>
      </c>
    </row>
    <row r="5772" spans="1:7" x14ac:dyDescent="0.25">
      <c r="A5772" s="1" t="str">
        <f t="shared" si="371"/>
        <v>726</v>
      </c>
      <c r="B5772" s="1" t="str">
        <f>TEXT(11,"00")</f>
        <v>11</v>
      </c>
      <c r="C5772" s="1" t="str">
        <f t="shared" si="369"/>
        <v>726-11</v>
      </c>
      <c r="D5772" t="s">
        <v>5744</v>
      </c>
      <c r="E5772" t="b">
        <f>IF(COUNTIF(D5772,"*"&amp;'Keyword Search'!$C$5&amp;"*"),TRUE,FALSE)</f>
        <v>1</v>
      </c>
      <c r="G5772" t="str">
        <f t="shared" si="370"/>
        <v>726-11: *AM/FM Transmitters, Broadcast</v>
      </c>
    </row>
    <row r="5773" spans="1:7" x14ac:dyDescent="0.25">
      <c r="A5773" s="1" t="str">
        <f t="shared" si="371"/>
        <v>726</v>
      </c>
      <c r="B5773" s="1" t="str">
        <f>TEXT(13,"00")</f>
        <v>13</v>
      </c>
      <c r="C5773" s="1" t="str">
        <f t="shared" si="369"/>
        <v>726-13</v>
      </c>
      <c r="D5773" t="s">
        <v>5745</v>
      </c>
      <c r="E5773" t="b">
        <f>IF(COUNTIF(D5773,"*"&amp;'Keyword Search'!$C$5&amp;"*"),TRUE,FALSE)</f>
        <v>1</v>
      </c>
      <c r="G5773" t="str">
        <f t="shared" si="370"/>
        <v>726-13: *Amplifiers, Not TV Antenna: Differential, Directional, Linear, Pulse, Video Processing, etc., Including Preamplifiers</v>
      </c>
    </row>
    <row r="5774" spans="1:7" x14ac:dyDescent="0.25">
      <c r="A5774" s="1" t="str">
        <f t="shared" si="371"/>
        <v>726</v>
      </c>
      <c r="B5774" s="1" t="str">
        <f>TEXT(16,"00")</f>
        <v>16</v>
      </c>
      <c r="C5774" s="1" t="str">
        <f t="shared" si="369"/>
        <v>726-16</v>
      </c>
      <c r="D5774" t="s">
        <v>5746</v>
      </c>
      <c r="E5774" t="b">
        <f>IF(COUNTIF(D5774,"*"&amp;'Keyword Search'!$C$5&amp;"*"),TRUE,FALSE)</f>
        <v>1</v>
      </c>
      <c r="G5774" t="str">
        <f t="shared" si="370"/>
        <v>726-16: *Antennas and Accessories, Radio Only: Brackets, Masts, Mount, Rotators, Standoffs, etc., Including Aircraft, Vehicle and Marine Types</v>
      </c>
    </row>
    <row r="5775" spans="1:7" x14ac:dyDescent="0.25">
      <c r="A5775" s="1" t="str">
        <f t="shared" si="371"/>
        <v>726</v>
      </c>
      <c r="B5775" s="1" t="str">
        <f>TEXT(21,"00")</f>
        <v>21</v>
      </c>
      <c r="C5775" s="1" t="str">
        <f t="shared" si="369"/>
        <v>726-21</v>
      </c>
      <c r="D5775" t="s">
        <v>5747</v>
      </c>
      <c r="E5775" t="b">
        <f>IF(COUNTIF(D5775,"*"&amp;'Keyword Search'!$C$5&amp;"*"),TRUE,FALSE)</f>
        <v>1</v>
      </c>
      <c r="G5775" t="str">
        <f t="shared" si="370"/>
        <v>726-21: *Battery Chargers and Testers (See Class 075 for Automotive)</v>
      </c>
    </row>
    <row r="5776" spans="1:7" x14ac:dyDescent="0.25">
      <c r="A5776" s="1" t="str">
        <f t="shared" si="371"/>
        <v>726</v>
      </c>
      <c r="B5776" s="1" t="str">
        <f>TEXT(24,"00")</f>
        <v>24</v>
      </c>
      <c r="C5776" s="1" t="str">
        <f t="shared" si="369"/>
        <v>726-24</v>
      </c>
      <c r="D5776" t="s">
        <v>5748</v>
      </c>
      <c r="E5776" t="b">
        <f>IF(COUNTIF(D5776,"*"&amp;'Keyword Search'!$C$5&amp;"*"),TRUE,FALSE)</f>
        <v>1</v>
      </c>
      <c r="G5776" t="str">
        <f t="shared" si="370"/>
        <v>726-24: *Beacon Receivers, Radio</v>
      </c>
    </row>
    <row r="5777" spans="1:7" x14ac:dyDescent="0.25">
      <c r="A5777" s="1" t="str">
        <f t="shared" si="371"/>
        <v>726</v>
      </c>
      <c r="B5777" s="1" t="str">
        <f>TEXT(37,"00")</f>
        <v>37</v>
      </c>
      <c r="C5777" s="1" t="str">
        <f t="shared" si="369"/>
        <v>726-37</v>
      </c>
      <c r="D5777" t="s">
        <v>5749</v>
      </c>
      <c r="E5777" t="b">
        <f>IF(COUNTIF(D5777,"*"&amp;'Keyword Search'!$C$5&amp;"*"),TRUE,FALSE)</f>
        <v>1</v>
      </c>
      <c r="G5777" t="str">
        <f t="shared" si="370"/>
        <v>726-37: *Direction Finder Equipment, Radio</v>
      </c>
    </row>
    <row r="5778" spans="1:7" x14ac:dyDescent="0.25">
      <c r="A5778" s="1" t="str">
        <f t="shared" si="371"/>
        <v>726</v>
      </c>
      <c r="B5778" s="1" t="str">
        <f>TEXT(40,"00")</f>
        <v>40</v>
      </c>
      <c r="C5778" s="1" t="str">
        <f t="shared" si="369"/>
        <v>726-40</v>
      </c>
      <c r="D5778" t="s">
        <v>5750</v>
      </c>
      <c r="E5778" t="b">
        <f>IF(COUNTIF(D5778,"*"&amp;'Keyword Search'!$C$5&amp;"*"),TRUE,FALSE)</f>
        <v>1</v>
      </c>
      <c r="G5778" t="str">
        <f t="shared" si="370"/>
        <v>726-40: *Encoder/Decoder with Printer, Vehicle</v>
      </c>
    </row>
    <row r="5779" spans="1:7" x14ac:dyDescent="0.25">
      <c r="A5779" s="1" t="str">
        <f t="shared" si="371"/>
        <v>726</v>
      </c>
      <c r="B5779" s="1" t="str">
        <f>TEXT(41,"00")</f>
        <v>41</v>
      </c>
      <c r="C5779" s="1" t="str">
        <f t="shared" si="369"/>
        <v>726-41</v>
      </c>
      <c r="D5779" t="s">
        <v>5751</v>
      </c>
      <c r="E5779" t="b">
        <f>IF(COUNTIF(D5779,"*"&amp;'Keyword Search'!$C$5&amp;"*"),TRUE,FALSE)</f>
        <v>1</v>
      </c>
      <c r="G5779" t="str">
        <f t="shared" si="370"/>
        <v>726-41: *Encoder/Decoder, Scramblers, etc., Voice</v>
      </c>
    </row>
    <row r="5780" spans="1:7" x14ac:dyDescent="0.25">
      <c r="A5780" s="1" t="str">
        <f t="shared" si="371"/>
        <v>726</v>
      </c>
      <c r="B5780" s="1" t="str">
        <f>TEXT(44,"00")</f>
        <v>44</v>
      </c>
      <c r="C5780" s="1" t="str">
        <f t="shared" si="369"/>
        <v>726-44</v>
      </c>
      <c r="D5780" t="s">
        <v>5752</v>
      </c>
      <c r="E5780" t="b">
        <f>IF(COUNTIF(D5780,"*"&amp;'Keyword Search'!$C$5&amp;"*"),TRUE,FALSE)</f>
        <v>1</v>
      </c>
      <c r="G5780" t="str">
        <f t="shared" si="370"/>
        <v>726-44: *Facsimile Transceiver, Not Office Type</v>
      </c>
    </row>
    <row r="5781" spans="1:7" x14ac:dyDescent="0.25">
      <c r="A5781" s="1" t="str">
        <f t="shared" si="371"/>
        <v>726</v>
      </c>
      <c r="B5781" s="1" t="str">
        <f>TEXT(47,"00")</f>
        <v>47</v>
      </c>
      <c r="C5781" s="1" t="str">
        <f t="shared" si="369"/>
        <v>726-47</v>
      </c>
      <c r="D5781" t="s">
        <v>5753</v>
      </c>
      <c r="E5781" t="b">
        <f>IF(COUNTIF(D5781,"*"&amp;'Keyword Search'!$C$5&amp;"*"),TRUE,FALSE)</f>
        <v>1</v>
      </c>
      <c r="G5781" t="str">
        <f t="shared" si="370"/>
        <v>726-47: *Frequency Data Communication Equipment, Radio (Including Identification Equipment)</v>
      </c>
    </row>
    <row r="5782" spans="1:7" x14ac:dyDescent="0.25">
      <c r="A5782" s="1" t="str">
        <f t="shared" si="371"/>
        <v>726</v>
      </c>
      <c r="B5782" s="1" t="str">
        <f>TEXT(51,"00")</f>
        <v>51</v>
      </c>
      <c r="C5782" s="1" t="str">
        <f t="shared" si="369"/>
        <v>726-51</v>
      </c>
      <c r="D5782" t="s">
        <v>5754</v>
      </c>
      <c r="E5782" t="b">
        <f>IF(COUNTIF(D5782,"*"&amp;'Keyword Search'!$C$5&amp;"*"),TRUE,FALSE)</f>
        <v>1</v>
      </c>
      <c r="G5782" t="str">
        <f t="shared" si="370"/>
        <v>726-51: *Global Positioning Systems, Satellite, Global Information Systems, Including GPS Receivers and Transmitters</v>
      </c>
    </row>
    <row r="5783" spans="1:7" x14ac:dyDescent="0.25">
      <c r="A5783" s="1" t="str">
        <f t="shared" si="371"/>
        <v>726</v>
      </c>
      <c r="B5783" s="1" t="str">
        <f>TEXT(54,"00")</f>
        <v>54</v>
      </c>
      <c r="C5783" s="1" t="str">
        <f t="shared" si="369"/>
        <v>726-54</v>
      </c>
      <c r="D5783" t="s">
        <v>5755</v>
      </c>
      <c r="E5783" t="b">
        <f>IF(COUNTIF(D5783,"*"&amp;'Keyword Search'!$C$5&amp;"*"),TRUE,FALSE)</f>
        <v>1</v>
      </c>
      <c r="G5783" t="str">
        <f t="shared" si="370"/>
        <v>726-54: *Ground Stations, Satellite: Transmit/Receive and Receive Only, Including Antennas</v>
      </c>
    </row>
    <row r="5784" spans="1:7" x14ac:dyDescent="0.25">
      <c r="A5784" s="1" t="str">
        <f t="shared" si="371"/>
        <v>726</v>
      </c>
      <c r="B5784" s="1" t="str">
        <f>TEXT(56,"00")</f>
        <v>56</v>
      </c>
      <c r="C5784" s="1" t="str">
        <f t="shared" si="369"/>
        <v>726-56</v>
      </c>
      <c r="D5784" t="s">
        <v>5756</v>
      </c>
      <c r="E5784" t="b">
        <f>IF(COUNTIF(D5784,"*"&amp;'Keyword Search'!$C$5&amp;"*"),TRUE,FALSE)</f>
        <v>1</v>
      </c>
      <c r="G5784" t="str">
        <f t="shared" si="370"/>
        <v>726-56: *Ham Band Transmitters and Receivers</v>
      </c>
    </row>
    <row r="5785" spans="1:7" x14ac:dyDescent="0.25">
      <c r="A5785" s="1" t="str">
        <f t="shared" si="371"/>
        <v>726</v>
      </c>
      <c r="B5785" s="1" t="str">
        <f>TEXT(57,"00")</f>
        <v>57</v>
      </c>
      <c r="C5785" s="1" t="str">
        <f t="shared" si="369"/>
        <v>726-57</v>
      </c>
      <c r="D5785" t="s">
        <v>5757</v>
      </c>
      <c r="E5785" t="b">
        <f>IF(COUNTIF(D5785,"*"&amp;'Keyword Search'!$C$5&amp;"*"),TRUE,FALSE)</f>
        <v>1</v>
      </c>
      <c r="G5785" t="str">
        <f t="shared" si="370"/>
        <v>726-57: *High Frequency Radio, (SSB), Mobile. Base and Handheld</v>
      </c>
    </row>
    <row r="5786" spans="1:7" x14ac:dyDescent="0.25">
      <c r="A5786" s="1" t="str">
        <f t="shared" si="371"/>
        <v>726</v>
      </c>
      <c r="B5786" s="1" t="str">
        <f>TEXT(59,"00")</f>
        <v>59</v>
      </c>
      <c r="C5786" s="1" t="str">
        <f t="shared" si="369"/>
        <v>726-59</v>
      </c>
      <c r="D5786" t="s">
        <v>5758</v>
      </c>
      <c r="E5786" t="b">
        <f>IF(COUNTIF(D5786,"*"&amp;'Keyword Search'!$C$5&amp;"*"),TRUE,FALSE)</f>
        <v>1</v>
      </c>
      <c r="G5786" t="str">
        <f t="shared" si="370"/>
        <v>726-59: *Highway Advisory Radio Systems (HAR)</v>
      </c>
    </row>
    <row r="5787" spans="1:7" x14ac:dyDescent="0.25">
      <c r="A5787" s="1" t="str">
        <f t="shared" si="371"/>
        <v>726</v>
      </c>
      <c r="B5787" s="1" t="str">
        <f>TEXT(63,"00")</f>
        <v>63</v>
      </c>
      <c r="C5787" s="1" t="str">
        <f t="shared" si="369"/>
        <v>726-63</v>
      </c>
      <c r="D5787" t="s">
        <v>5759</v>
      </c>
      <c r="E5787" t="b">
        <f>IF(COUNTIF(D5787,"*"&amp;'Keyword Search'!$C$5&amp;"*"),TRUE,FALSE)</f>
        <v>1</v>
      </c>
      <c r="G5787" t="str">
        <f t="shared" si="370"/>
        <v>726-63: *Intercom Systems, Household or Office</v>
      </c>
    </row>
    <row r="5788" spans="1:7" x14ac:dyDescent="0.25">
      <c r="A5788" s="1" t="str">
        <f t="shared" si="371"/>
        <v>726</v>
      </c>
      <c r="B5788" s="1" t="str">
        <f>TEXT(64,"00")</f>
        <v>64</v>
      </c>
      <c r="C5788" s="1" t="str">
        <f t="shared" si="369"/>
        <v>726-64</v>
      </c>
      <c r="D5788" t="s">
        <v>5760</v>
      </c>
      <c r="E5788" t="b">
        <f>IF(COUNTIF(D5788,"*"&amp;'Keyword Search'!$C$5&amp;"*"),TRUE,FALSE)</f>
        <v>1</v>
      </c>
      <c r="G5788" t="str">
        <f t="shared" si="370"/>
        <v>726-64: *Intercom Systems, Correctional Facilities</v>
      </c>
    </row>
    <row r="5789" spans="1:7" x14ac:dyDescent="0.25">
      <c r="A5789" s="1" t="str">
        <f t="shared" si="371"/>
        <v>726</v>
      </c>
      <c r="B5789" s="1" t="str">
        <f>TEXT(70,"00")</f>
        <v>70</v>
      </c>
      <c r="C5789" s="1" t="str">
        <f t="shared" si="369"/>
        <v>726-70</v>
      </c>
      <c r="D5789" t="s">
        <v>5761</v>
      </c>
      <c r="E5789" t="b">
        <f>IF(COUNTIF(D5789,"*"&amp;'Keyword Search'!$C$5&amp;"*"),TRUE,FALSE)</f>
        <v>1</v>
      </c>
      <c r="G5789" t="str">
        <f t="shared" si="370"/>
        <v>726-70: *Pagers, Radio, Including Parts and Accessories</v>
      </c>
    </row>
    <row r="5790" spans="1:7" x14ac:dyDescent="0.25">
      <c r="A5790" s="1" t="str">
        <f t="shared" si="371"/>
        <v>726</v>
      </c>
      <c r="B5790" s="1" t="str">
        <f>TEXT(77,"00")</f>
        <v>77</v>
      </c>
      <c r="C5790" s="1" t="str">
        <f t="shared" si="369"/>
        <v>726-77</v>
      </c>
      <c r="D5790" t="s">
        <v>5762</v>
      </c>
      <c r="E5790" t="b">
        <f>IF(COUNTIF(D5790,"*"&amp;'Keyword Search'!$C$5&amp;"*"),TRUE,FALSE)</f>
        <v>1</v>
      </c>
      <c r="G5790" t="str">
        <f t="shared" si="370"/>
        <v>726-77: *Radio Frequency Scanner Receivers and Amplifiers, Including RF Connectors, Analyzers, Counters, Meters, Switches</v>
      </c>
    </row>
    <row r="5791" spans="1:7" x14ac:dyDescent="0.25">
      <c r="A5791" s="1" t="str">
        <f t="shared" si="371"/>
        <v>726</v>
      </c>
      <c r="B5791" s="1" t="str">
        <f>TEXT(78,"00")</f>
        <v>78</v>
      </c>
      <c r="C5791" s="1" t="str">
        <f t="shared" si="369"/>
        <v>726-78</v>
      </c>
      <c r="D5791" t="s">
        <v>5763</v>
      </c>
      <c r="E5791" t="b">
        <f>IF(COUNTIF(D5791,"*"&amp;'Keyword Search'!$C$5&amp;"*"),TRUE,FALSE)</f>
        <v>1</v>
      </c>
      <c r="G5791" t="str">
        <f t="shared" si="370"/>
        <v>726-78: *Radios, Home and Auto, including Short-Wave and Weather Type</v>
      </c>
    </row>
    <row r="5792" spans="1:7" x14ac:dyDescent="0.25">
      <c r="A5792" s="1" t="str">
        <f t="shared" si="371"/>
        <v>726</v>
      </c>
      <c r="B5792" s="1" t="str">
        <f>TEXT(80,"00")</f>
        <v>80</v>
      </c>
      <c r="C5792" s="1" t="str">
        <f t="shared" si="369"/>
        <v>726-80</v>
      </c>
      <c r="D5792" t="s">
        <v>5764</v>
      </c>
      <c r="E5792" t="b">
        <f>IF(COUNTIF(D5792,"*"&amp;'Keyword Search'!$C$5&amp;"*"),TRUE,FALSE)</f>
        <v>1</v>
      </c>
      <c r="G5792" t="str">
        <f t="shared" si="370"/>
        <v>726-80: *Recycled Radio Communication Equipment</v>
      </c>
    </row>
    <row r="5793" spans="1:7" x14ac:dyDescent="0.25">
      <c r="A5793" s="1" t="str">
        <f t="shared" si="371"/>
        <v>726</v>
      </c>
      <c r="B5793" s="1" t="str">
        <f>TEXT(84,"00")</f>
        <v>84</v>
      </c>
      <c r="C5793" s="1" t="str">
        <f t="shared" si="369"/>
        <v>726-84</v>
      </c>
      <c r="D5793" t="s">
        <v>5765</v>
      </c>
      <c r="E5793" t="b">
        <f>IF(COUNTIF(D5793,"*"&amp;'Keyword Search'!$C$5&amp;"*"),TRUE,FALSE)</f>
        <v>1</v>
      </c>
      <c r="G5793" t="str">
        <f t="shared" si="370"/>
        <v>726-84: *Towers: Broadcasting, Cellular, Microwave, Transmitting, etc.</v>
      </c>
    </row>
    <row r="5794" spans="1:7" x14ac:dyDescent="0.25">
      <c r="A5794" s="1" t="str">
        <f t="shared" si="371"/>
        <v>726</v>
      </c>
      <c r="B5794" s="1" t="str">
        <f>TEXT(86,"00")</f>
        <v>86</v>
      </c>
      <c r="C5794" s="1" t="str">
        <f t="shared" si="369"/>
        <v>726-86</v>
      </c>
      <c r="D5794" t="s">
        <v>5766</v>
      </c>
      <c r="E5794" t="b">
        <f>IF(COUNTIF(D5794,"*"&amp;'Keyword Search'!$C$5&amp;"*"),TRUE,FALSE)</f>
        <v>1</v>
      </c>
      <c r="G5794" t="str">
        <f t="shared" si="370"/>
        <v>726-86: *Tracking Equipment, Wildlife (See Class 120-37 for Fish Locators)</v>
      </c>
    </row>
    <row r="5795" spans="1:7" x14ac:dyDescent="0.25">
      <c r="A5795" s="1" t="str">
        <f t="shared" si="371"/>
        <v>726</v>
      </c>
      <c r="B5795" s="1" t="str">
        <f>TEXT(88,"00")</f>
        <v>88</v>
      </c>
      <c r="C5795" s="1" t="str">
        <f t="shared" si="369"/>
        <v>726-88</v>
      </c>
      <c r="D5795" t="s">
        <v>5767</v>
      </c>
      <c r="E5795" t="b">
        <f>IF(COUNTIF(D5795,"*"&amp;'Keyword Search'!$C$5&amp;"*"),TRUE,FALSE)</f>
        <v>1</v>
      </c>
      <c r="G5795" t="str">
        <f t="shared" si="370"/>
        <v>726-88: *Two-Way Radio, Portable, Including Vehicle Radio Relay Systems</v>
      </c>
    </row>
    <row r="5796" spans="1:7" x14ac:dyDescent="0.25">
      <c r="A5796" s="1" t="str">
        <f t="shared" si="371"/>
        <v>726</v>
      </c>
      <c r="B5796" s="1" t="str">
        <f>TEXT(89,"00")</f>
        <v>89</v>
      </c>
      <c r="C5796" s="1" t="str">
        <f t="shared" si="369"/>
        <v>726-89</v>
      </c>
      <c r="D5796" t="s">
        <v>5768</v>
      </c>
      <c r="E5796" t="b">
        <f>IF(COUNTIF(D5796,"*"&amp;'Keyword Search'!$C$5&amp;"*"),TRUE,FALSE)</f>
        <v>1</v>
      </c>
      <c r="G5796" t="str">
        <f t="shared" si="370"/>
        <v>726-89: *Two-Way Radio Receivers, Transmitters, Transceivers: Mobile and Base Station, Audio Transfer</v>
      </c>
    </row>
    <row r="5797" spans="1:7" x14ac:dyDescent="0.25">
      <c r="A5797" s="1" t="str">
        <f t="shared" si="371"/>
        <v>726</v>
      </c>
      <c r="B5797" s="1" t="str">
        <f>TEXT(90,"00")</f>
        <v>90</v>
      </c>
      <c r="C5797" s="1" t="str">
        <f t="shared" si="369"/>
        <v>726-90</v>
      </c>
      <c r="D5797" t="s">
        <v>5769</v>
      </c>
      <c r="E5797" t="b">
        <f>IF(COUNTIF(D5797,"*"&amp;'Keyword Search'!$C$5&amp;"*"),TRUE,FALSE)</f>
        <v>1</v>
      </c>
      <c r="G5797" t="str">
        <f t="shared" si="370"/>
        <v>726-90: *Two-Way Radio Supplies, Parts, and Accessories</v>
      </c>
    </row>
    <row r="5798" spans="1:7" x14ac:dyDescent="0.25">
      <c r="A5798" s="5" t="str">
        <f t="shared" ref="A5798:A5818" si="372">TEXT(730,"000")</f>
        <v>730</v>
      </c>
      <c r="B5798" s="5" t="str">
        <f>TEXT(0,"00")</f>
        <v>00</v>
      </c>
      <c r="C5798" s="1"/>
      <c r="D5798" s="2" t="s">
        <v>5770</v>
      </c>
    </row>
    <row r="5799" spans="1:7" x14ac:dyDescent="0.25">
      <c r="A5799" s="1" t="str">
        <f t="shared" si="372"/>
        <v>730</v>
      </c>
      <c r="B5799" s="1" t="str">
        <f>TEXT(6,"00")</f>
        <v>06</v>
      </c>
      <c r="C5799" s="1" t="str">
        <f t="shared" si="369"/>
        <v>730-06</v>
      </c>
      <c r="D5799" t="s">
        <v>5771</v>
      </c>
      <c r="E5799" t="b">
        <f>IF(COUNTIF(D5799,"*"&amp;'Keyword Search'!$C$5&amp;"*"),TRUE,FALSE)</f>
        <v>1</v>
      </c>
      <c r="G5799" t="str">
        <f t="shared" si="370"/>
        <v>730-06: Calibrators: Resistance, Power, Voltage, Time, etc.</v>
      </c>
    </row>
    <row r="5800" spans="1:7" x14ac:dyDescent="0.25">
      <c r="A5800" s="1" t="str">
        <f t="shared" si="372"/>
        <v>730</v>
      </c>
      <c r="B5800" s="1" t="str">
        <f>TEXT(12,"00")</f>
        <v>12</v>
      </c>
      <c r="C5800" s="1" t="str">
        <f t="shared" si="369"/>
        <v>730-12</v>
      </c>
      <c r="D5800" t="s">
        <v>5772</v>
      </c>
      <c r="E5800" t="b">
        <f>IF(COUNTIF(D5800,"*"&amp;'Keyword Search'!$C$5&amp;"*"),TRUE,FALSE)</f>
        <v>1</v>
      </c>
      <c r="G5800" t="str">
        <f t="shared" si="370"/>
        <v>730-12: *Computer-Automated Measurement and Control (CAMAC) Systems and Devices, All Kinds</v>
      </c>
    </row>
    <row r="5801" spans="1:7" x14ac:dyDescent="0.25">
      <c r="A5801" s="1" t="str">
        <f t="shared" si="372"/>
        <v>730</v>
      </c>
      <c r="B5801" s="1" t="str">
        <f>TEXT(18,"00")</f>
        <v>18</v>
      </c>
      <c r="C5801" s="1" t="str">
        <f t="shared" si="369"/>
        <v>730-18</v>
      </c>
      <c r="D5801" t="s">
        <v>5773</v>
      </c>
      <c r="E5801" t="b">
        <f>IF(COUNTIF(D5801,"*"&amp;'Keyword Search'!$C$5&amp;"*"),TRUE,FALSE)</f>
        <v>1</v>
      </c>
      <c r="G5801" t="str">
        <f t="shared" si="370"/>
        <v>730-18: Converters: Analog-to-Digital, Digital-to-Analog, Time-to-Amplitude, etc.</v>
      </c>
    </row>
    <row r="5802" spans="1:7" x14ac:dyDescent="0.25">
      <c r="A5802" s="1" t="str">
        <f t="shared" si="372"/>
        <v>730</v>
      </c>
      <c r="B5802" s="1" t="str">
        <f>TEXT(24,"00")</f>
        <v>24</v>
      </c>
      <c r="C5802" s="1" t="str">
        <f t="shared" si="369"/>
        <v>730-24</v>
      </c>
      <c r="D5802" t="s">
        <v>5774</v>
      </c>
      <c r="E5802" t="b">
        <f>IF(COUNTIF(D5802,"*"&amp;'Keyword Search'!$C$5&amp;"*"),TRUE,FALSE)</f>
        <v>1</v>
      </c>
      <c r="G5802" t="str">
        <f t="shared" si="370"/>
        <v>730-24: Counters, Ratemeters, Scalers, Timers, etc. (For Electronic Pulses)</v>
      </c>
    </row>
    <row r="5803" spans="1:7" x14ac:dyDescent="0.25">
      <c r="A5803" s="1" t="str">
        <f t="shared" si="372"/>
        <v>730</v>
      </c>
      <c r="B5803" s="1" t="str">
        <f>TEXT(30,"00")</f>
        <v>30</v>
      </c>
      <c r="C5803" s="1" t="str">
        <f t="shared" si="369"/>
        <v>730-30</v>
      </c>
      <c r="D5803" t="s">
        <v>5775</v>
      </c>
      <c r="E5803" t="b">
        <f>IF(COUNTIF(D5803,"*"&amp;'Keyword Search'!$C$5&amp;"*"),TRUE,FALSE)</f>
        <v>1</v>
      </c>
      <c r="G5803" t="str">
        <f t="shared" si="370"/>
        <v>730-30: Discriminators and Burst Protectors</v>
      </c>
    </row>
    <row r="5804" spans="1:7" x14ac:dyDescent="0.25">
      <c r="A5804" s="1" t="str">
        <f t="shared" si="372"/>
        <v>730</v>
      </c>
      <c r="B5804" s="1" t="str">
        <f>TEXT(32,"00")</f>
        <v>32</v>
      </c>
      <c r="C5804" s="1" t="str">
        <f t="shared" si="369"/>
        <v>730-32</v>
      </c>
      <c r="D5804" t="s">
        <v>5776</v>
      </c>
      <c r="E5804" t="b">
        <f>IF(COUNTIF(D5804,"*"&amp;'Keyword Search'!$C$5&amp;"*"),TRUE,FALSE)</f>
        <v>1</v>
      </c>
      <c r="G5804" t="str">
        <f t="shared" si="370"/>
        <v>730-32: Distortion Measurement Equipment, Audiofrequency, Radiofrequency, etc.)</v>
      </c>
    </row>
    <row r="5805" spans="1:7" x14ac:dyDescent="0.25">
      <c r="A5805" s="1" t="str">
        <f t="shared" si="372"/>
        <v>730</v>
      </c>
      <c r="B5805" s="1" t="str">
        <f>TEXT(36,"00")</f>
        <v>36</v>
      </c>
      <c r="C5805" s="1" t="str">
        <f t="shared" si="369"/>
        <v>730-36</v>
      </c>
      <c r="D5805" t="s">
        <v>5777</v>
      </c>
      <c r="E5805" t="b">
        <f>IF(COUNTIF(D5805,"*"&amp;'Keyword Search'!$C$5&amp;"*"),TRUE,FALSE)</f>
        <v>1</v>
      </c>
      <c r="G5805" t="str">
        <f t="shared" si="370"/>
        <v>730-36: Field Strength Meters, Microwave Power, etc. and Monitoring Systems</v>
      </c>
    </row>
    <row r="5806" spans="1:7" x14ac:dyDescent="0.25">
      <c r="A5806" s="1" t="str">
        <f t="shared" si="372"/>
        <v>730</v>
      </c>
      <c r="B5806" s="1" t="str">
        <f>TEXT(37,"00")</f>
        <v>37</v>
      </c>
      <c r="C5806" s="1" t="str">
        <f t="shared" si="369"/>
        <v>730-37</v>
      </c>
      <c r="D5806" t="s">
        <v>5778</v>
      </c>
      <c r="E5806" t="b">
        <f>IF(COUNTIF(D5806,"*"&amp;'Keyword Search'!$C$5&amp;"*"),TRUE,FALSE)</f>
        <v>1</v>
      </c>
      <c r="G5806" t="str">
        <f t="shared" si="370"/>
        <v>730-37: Forensic Extraction Devices for Cellular Phones, Smartphones and PDAs</v>
      </c>
    </row>
    <row r="5807" spans="1:7" x14ac:dyDescent="0.25">
      <c r="A5807" s="1" t="str">
        <f t="shared" si="372"/>
        <v>730</v>
      </c>
      <c r="B5807" s="1" t="str">
        <f>TEXT(42,"00")</f>
        <v>42</v>
      </c>
      <c r="C5807" s="1" t="str">
        <f t="shared" si="369"/>
        <v>730-42</v>
      </c>
      <c r="D5807" t="s">
        <v>5779</v>
      </c>
      <c r="E5807" t="b">
        <f>IF(COUNTIF(D5807,"*"&amp;'Keyword Search'!$C$5&amp;"*"),TRUE,FALSE)</f>
        <v>1</v>
      </c>
      <c r="G5807" t="str">
        <f t="shared" si="370"/>
        <v>730-42: Function Generators, Pulse, Ramp, Sweep, etc. and Oscillators</v>
      </c>
    </row>
    <row r="5808" spans="1:7" x14ac:dyDescent="0.25">
      <c r="A5808" s="1" t="str">
        <f t="shared" si="372"/>
        <v>730</v>
      </c>
      <c r="B5808" s="1" t="str">
        <f>TEXT(49,"00")</f>
        <v>49</v>
      </c>
      <c r="C5808" s="1" t="str">
        <f t="shared" si="369"/>
        <v>730-49</v>
      </c>
      <c r="D5808" t="s">
        <v>5780</v>
      </c>
      <c r="E5808" t="b">
        <f>IF(COUNTIF(D5808,"*"&amp;'Keyword Search'!$C$5&amp;"*"),TRUE,FALSE)</f>
        <v>1</v>
      </c>
      <c r="G5808" t="str">
        <f t="shared" si="370"/>
        <v>730-49: *Logic Analyzers, Microprocessor Analyzers, and Accessories: Delay and Gate Generators, Personality Modules, Word Recognizers, etc.</v>
      </c>
    </row>
    <row r="5809" spans="1:7" x14ac:dyDescent="0.25">
      <c r="A5809" s="1" t="str">
        <f t="shared" si="372"/>
        <v>730</v>
      </c>
      <c r="B5809" s="1" t="str">
        <f>TEXT(54,"00")</f>
        <v>54</v>
      </c>
      <c r="C5809" s="1" t="str">
        <f t="shared" si="369"/>
        <v>730-54</v>
      </c>
      <c r="D5809" t="s">
        <v>5781</v>
      </c>
      <c r="E5809" t="b">
        <f>IF(COUNTIF(D5809,"*"&amp;'Keyword Search'!$C$5&amp;"*"),TRUE,FALSE)</f>
        <v>1</v>
      </c>
      <c r="G5809" t="str">
        <f t="shared" si="370"/>
        <v>730-54: Measuring Instruments, Analog and Digital, For Capacitance, Current, Frequency, Impedance, Power, Resistance, Sound Level, Voltage, etc.</v>
      </c>
    </row>
    <row r="5810" spans="1:7" x14ac:dyDescent="0.25">
      <c r="A5810" s="1" t="str">
        <f t="shared" si="372"/>
        <v>730</v>
      </c>
      <c r="B5810" s="1" t="str">
        <f>TEXT(60,"00")</f>
        <v>60</v>
      </c>
      <c r="C5810" s="1" t="str">
        <f t="shared" si="369"/>
        <v>730-60</v>
      </c>
      <c r="D5810" t="s">
        <v>5782</v>
      </c>
      <c r="E5810" t="b">
        <f>IF(COUNTIF(D5810,"*"&amp;'Keyword Search'!$C$5&amp;"*"),TRUE,FALSE)</f>
        <v>1</v>
      </c>
      <c r="G5810" t="str">
        <f t="shared" si="370"/>
        <v>730-60: Oscilloscopes, Waveform Analyzers, and Accessories</v>
      </c>
    </row>
    <row r="5811" spans="1:7" x14ac:dyDescent="0.25">
      <c r="A5811" s="1" t="str">
        <f t="shared" si="372"/>
        <v>730</v>
      </c>
      <c r="B5811" s="1" t="str">
        <f>TEXT(66,"00")</f>
        <v>66</v>
      </c>
      <c r="C5811" s="1" t="str">
        <f t="shared" si="369"/>
        <v>730-66</v>
      </c>
      <c r="D5811" t="s">
        <v>5783</v>
      </c>
      <c r="E5811" t="b">
        <f>IF(COUNTIF(D5811,"*"&amp;'Keyword Search'!$C$5&amp;"*"),TRUE,FALSE)</f>
        <v>1</v>
      </c>
      <c r="G5811" t="str">
        <f t="shared" si="370"/>
        <v>730-66: Pulse Height Analyzers, Single Channel and Multichannel</v>
      </c>
    </row>
    <row r="5812" spans="1:7" x14ac:dyDescent="0.25">
      <c r="A5812" s="1" t="str">
        <f t="shared" si="372"/>
        <v>730</v>
      </c>
      <c r="B5812" s="1" t="str">
        <f>TEXT(72,"00")</f>
        <v>72</v>
      </c>
      <c r="C5812" s="1" t="str">
        <f t="shared" si="369"/>
        <v>730-72</v>
      </c>
      <c r="D5812" t="s">
        <v>5784</v>
      </c>
      <c r="E5812" t="b">
        <f>IF(COUNTIF(D5812,"*"&amp;'Keyword Search'!$C$5&amp;"*"),TRUE,FALSE)</f>
        <v>1</v>
      </c>
      <c r="G5812" t="str">
        <f t="shared" si="370"/>
        <v>730-72: *Radio, Sound, and Telecommunications Testing Equipment: AF Generators, Deviation Meters, Meter Panels, Test Fixtures and Jigs, etc.</v>
      </c>
    </row>
    <row r="5813" spans="1:7" x14ac:dyDescent="0.25">
      <c r="A5813" s="1" t="str">
        <f t="shared" si="372"/>
        <v>730</v>
      </c>
      <c r="B5813" s="1" t="str">
        <f>TEXT(74,"00")</f>
        <v>74</v>
      </c>
      <c r="C5813" s="1" t="str">
        <f t="shared" si="369"/>
        <v>730-74</v>
      </c>
      <c r="D5813" t="s">
        <v>5785</v>
      </c>
      <c r="E5813" t="b">
        <f>IF(COUNTIF(D5813,"*"&amp;'Keyword Search'!$C$5&amp;"*"),TRUE,FALSE)</f>
        <v>1</v>
      </c>
      <c r="G5813" t="str">
        <f t="shared" si="370"/>
        <v>730-74: Recycled Radio and Telecommunication Testing, Measuring and Analyzing Equipment and Supplies</v>
      </c>
    </row>
    <row r="5814" spans="1:7" x14ac:dyDescent="0.25">
      <c r="A5814" s="1" t="str">
        <f t="shared" si="372"/>
        <v>730</v>
      </c>
      <c r="B5814" s="1" t="str">
        <f>TEXT(78,"00")</f>
        <v>78</v>
      </c>
      <c r="C5814" s="1" t="str">
        <f t="shared" si="369"/>
        <v>730-78</v>
      </c>
      <c r="D5814" t="s">
        <v>5786</v>
      </c>
      <c r="E5814" t="b">
        <f>IF(COUNTIF(D5814,"*"&amp;'Keyword Search'!$C$5&amp;"*"),TRUE,FALSE)</f>
        <v>1</v>
      </c>
      <c r="G5814" t="str">
        <f t="shared" si="370"/>
        <v>730-78: *Signal Averagers, Integrators, etc.</v>
      </c>
    </row>
    <row r="5815" spans="1:7" x14ac:dyDescent="0.25">
      <c r="A5815" s="1" t="str">
        <f t="shared" si="372"/>
        <v>730</v>
      </c>
      <c r="B5815" s="1" t="str">
        <f>TEXT(84,"00")</f>
        <v>84</v>
      </c>
      <c r="C5815" s="1" t="str">
        <f t="shared" si="369"/>
        <v>730-84</v>
      </c>
      <c r="D5815" t="s">
        <v>5787</v>
      </c>
      <c r="E5815" t="b">
        <f>IF(COUNTIF(D5815,"*"&amp;'Keyword Search'!$C$5&amp;"*"),TRUE,FALSE)</f>
        <v>1</v>
      </c>
      <c r="G5815" t="str">
        <f t="shared" si="370"/>
        <v>730-84: *Spectrum Analyzers: Radio Frequencies, Sound, etc.</v>
      </c>
    </row>
    <row r="5816" spans="1:7" x14ac:dyDescent="0.25">
      <c r="A5816" s="1" t="str">
        <f t="shared" si="372"/>
        <v>730</v>
      </c>
      <c r="B5816" s="1" t="str">
        <f>TEXT(86,"00")</f>
        <v>86</v>
      </c>
      <c r="C5816" s="1" t="str">
        <f t="shared" si="369"/>
        <v>730-86</v>
      </c>
      <c r="D5816" t="s">
        <v>5788</v>
      </c>
      <c r="E5816" t="b">
        <f>IF(COUNTIF(D5816,"*"&amp;'Keyword Search'!$C$5&amp;"*"),TRUE,FALSE)</f>
        <v>1</v>
      </c>
      <c r="G5816" t="str">
        <f t="shared" si="370"/>
        <v>730-86: *Telephone Line Monitoring Systems</v>
      </c>
    </row>
    <row r="5817" spans="1:7" x14ac:dyDescent="0.25">
      <c r="A5817" s="1" t="str">
        <f t="shared" si="372"/>
        <v>730</v>
      </c>
      <c r="B5817" s="1" t="str">
        <f>TEXT(90,"00")</f>
        <v>90</v>
      </c>
      <c r="C5817" s="1" t="str">
        <f t="shared" si="369"/>
        <v>730-90</v>
      </c>
      <c r="D5817" t="s">
        <v>5789</v>
      </c>
      <c r="E5817" t="b">
        <f>IF(COUNTIF(D5817,"*"&amp;'Keyword Search'!$C$5&amp;"*"),TRUE,FALSE)</f>
        <v>1</v>
      </c>
      <c r="G5817" t="str">
        <f t="shared" si="370"/>
        <v>730-90: Video Testing Equipment: Color Bar Generators, Degaussing Coils, Waveform Monitors, etc.</v>
      </c>
    </row>
    <row r="5818" spans="1:7" x14ac:dyDescent="0.25">
      <c r="A5818" s="1" t="str">
        <f t="shared" si="372"/>
        <v>730</v>
      </c>
      <c r="B5818" s="1" t="str">
        <f>TEXT(96,"00")</f>
        <v>96</v>
      </c>
      <c r="C5818" s="1" t="str">
        <f t="shared" si="369"/>
        <v>730-96</v>
      </c>
      <c r="D5818" t="s">
        <v>5790</v>
      </c>
      <c r="E5818" t="b">
        <f>IF(COUNTIF(D5818,"*"&amp;'Keyword Search'!$C$5&amp;"*"),TRUE,FALSE)</f>
        <v>1</v>
      </c>
      <c r="G5818" t="str">
        <f t="shared" si="370"/>
        <v>730-96: Tube Testers: Radio, TV, etc.</v>
      </c>
    </row>
    <row r="5819" spans="1:7" x14ac:dyDescent="0.25">
      <c r="A5819" s="5" t="str">
        <f t="shared" ref="A5819:A5824" si="373">TEXT(735,"000")</f>
        <v>735</v>
      </c>
      <c r="B5819" s="5" t="str">
        <f>TEXT(0,"00")</f>
        <v>00</v>
      </c>
      <c r="C5819" s="1"/>
      <c r="D5819" s="2" t="s">
        <v>5791</v>
      </c>
    </row>
    <row r="5820" spans="1:7" x14ac:dyDescent="0.25">
      <c r="A5820" s="1" t="str">
        <f t="shared" si="373"/>
        <v>735</v>
      </c>
      <c r="B5820" s="1" t="str">
        <f>TEXT(5,"00")</f>
        <v>05</v>
      </c>
      <c r="C5820" s="1" t="str">
        <f t="shared" si="369"/>
        <v>735-05</v>
      </c>
      <c r="D5820" t="s">
        <v>5792</v>
      </c>
      <c r="E5820" t="b">
        <f>IF(COUNTIF(D5820,"*"&amp;'Keyword Search'!$C$5&amp;"*"),TRUE,FALSE)</f>
        <v>1</v>
      </c>
      <c r="G5820" t="str">
        <f t="shared" si="370"/>
        <v>735-05: Dispenser for Wipes</v>
      </c>
    </row>
    <row r="5821" spans="1:7" x14ac:dyDescent="0.25">
      <c r="A5821" s="1" t="str">
        <f t="shared" si="373"/>
        <v>735</v>
      </c>
      <c r="B5821" s="1" t="str">
        <f>TEXT(10,"00")</f>
        <v>10</v>
      </c>
      <c r="C5821" s="1" t="str">
        <f t="shared" si="369"/>
        <v>735-10</v>
      </c>
      <c r="D5821" t="s">
        <v>5793</v>
      </c>
      <c r="E5821" t="b">
        <f>IF(COUNTIF(D5821,"*"&amp;'Keyword Search'!$C$5&amp;"*"),TRUE,FALSE)</f>
        <v>1</v>
      </c>
      <c r="G5821" t="str">
        <f t="shared" si="370"/>
        <v>735-10: Towels, Shop Type, New</v>
      </c>
    </row>
    <row r="5822" spans="1:7" x14ac:dyDescent="0.25">
      <c r="A5822" s="1" t="str">
        <f t="shared" si="373"/>
        <v>735</v>
      </c>
      <c r="B5822" s="1" t="str">
        <f>TEXT(20,"00")</f>
        <v>20</v>
      </c>
      <c r="C5822" s="1" t="str">
        <f t="shared" si="369"/>
        <v>735-20</v>
      </c>
      <c r="D5822" t="s">
        <v>5794</v>
      </c>
      <c r="E5822" t="b">
        <f>IF(COUNTIF(D5822,"*"&amp;'Keyword Search'!$C$5&amp;"*"),TRUE,FALSE)</f>
        <v>1</v>
      </c>
      <c r="G5822" t="str">
        <f t="shared" si="370"/>
        <v>735-20: Wipes, Fabric, Non-Woven</v>
      </c>
    </row>
    <row r="5823" spans="1:7" x14ac:dyDescent="0.25">
      <c r="A5823" s="1" t="str">
        <f t="shared" si="373"/>
        <v>735</v>
      </c>
      <c r="B5823" s="1" t="str">
        <f>TEXT(60,"00")</f>
        <v>60</v>
      </c>
      <c r="C5823" s="1" t="str">
        <f t="shared" si="369"/>
        <v>735-60</v>
      </c>
      <c r="D5823" t="s">
        <v>5795</v>
      </c>
      <c r="E5823" t="b">
        <f>IF(COUNTIF(D5823,"*"&amp;'Keyword Search'!$C$5&amp;"*"),TRUE,FALSE)</f>
        <v>1</v>
      </c>
      <c r="G5823" t="str">
        <f t="shared" si="370"/>
        <v>735-60: Wiping Rags, All Types: Cotton Towels, Lightweight Blankets, Muslins, Synthetics, etc.</v>
      </c>
    </row>
    <row r="5824" spans="1:7" x14ac:dyDescent="0.25">
      <c r="A5824" s="1" t="str">
        <f t="shared" si="373"/>
        <v>735</v>
      </c>
      <c r="B5824" s="1" t="str">
        <f>TEXT(75,"00")</f>
        <v>75</v>
      </c>
      <c r="C5824" s="1" t="str">
        <f t="shared" si="369"/>
        <v>735-75</v>
      </c>
      <c r="D5824" t="s">
        <v>5796</v>
      </c>
      <c r="E5824" t="b">
        <f>IF(COUNTIF(D5824,"*"&amp;'Keyword Search'!$C$5&amp;"*"),TRUE,FALSE)</f>
        <v>1</v>
      </c>
      <c r="G5824" t="str">
        <f t="shared" si="370"/>
        <v>735-75: Recycled Rags, Shop Towels and Wiping Cloths</v>
      </c>
    </row>
    <row r="5825" spans="1:7" x14ac:dyDescent="0.25">
      <c r="A5825" s="5" t="str">
        <f t="shared" ref="A5825:A5847" si="374">TEXT(740,"000")</f>
        <v>740</v>
      </c>
      <c r="B5825" s="5" t="str">
        <f>TEXT(0,"00")</f>
        <v>00</v>
      </c>
      <c r="C5825" s="1"/>
      <c r="D5825" s="2" t="s">
        <v>5797</v>
      </c>
    </row>
    <row r="5826" spans="1:7" x14ac:dyDescent="0.25">
      <c r="A5826" s="1" t="str">
        <f t="shared" si="374"/>
        <v>740</v>
      </c>
      <c r="B5826" s="1" t="str">
        <f>TEXT(5,"00")</f>
        <v>05</v>
      </c>
      <c r="C5826" s="1" t="str">
        <f t="shared" si="369"/>
        <v>740-05</v>
      </c>
      <c r="D5826" t="s">
        <v>5798</v>
      </c>
      <c r="E5826" t="b">
        <f>IF(COUNTIF(D5826,"*"&amp;'Keyword Search'!$C$5&amp;"*"),TRUE,FALSE)</f>
        <v>1</v>
      </c>
      <c r="G5826" t="str">
        <f t="shared" si="370"/>
        <v>740-05: Ammonia</v>
      </c>
    </row>
    <row r="5827" spans="1:7" x14ac:dyDescent="0.25">
      <c r="A5827" s="1" t="str">
        <f t="shared" si="374"/>
        <v>740</v>
      </c>
      <c r="B5827" s="1" t="str">
        <f>TEXT(9,"00")</f>
        <v>09</v>
      </c>
      <c r="C5827" s="1" t="str">
        <f t="shared" ref="C5827:C5890" si="375">CONCATENATE(A5827,"-",B5827)</f>
        <v>740-09</v>
      </c>
      <c r="D5827" t="s">
        <v>5799</v>
      </c>
      <c r="E5827" t="b">
        <f>IF(COUNTIF(D5827,"*"&amp;'Keyword Search'!$C$5&amp;"*"),TRUE,FALSE)</f>
        <v>1</v>
      </c>
      <c r="G5827" t="str">
        <f t="shared" si="370"/>
        <v>740-09: Bacterial and Odor Control Equipment</v>
      </c>
    </row>
    <row r="5828" spans="1:7" x14ac:dyDescent="0.25">
      <c r="A5828" s="1" t="str">
        <f t="shared" si="374"/>
        <v>740</v>
      </c>
      <c r="B5828" s="1" t="str">
        <f>TEXT(12,"00")</f>
        <v>12</v>
      </c>
      <c r="C5828" s="1" t="str">
        <f t="shared" si="375"/>
        <v>740-12</v>
      </c>
      <c r="D5828" t="s">
        <v>5800</v>
      </c>
      <c r="E5828" t="b">
        <f>IF(COUNTIF(D5828,"*"&amp;'Keyword Search'!$C$5&amp;"*"),TRUE,FALSE)</f>
        <v>1</v>
      </c>
      <c r="G5828" t="str">
        <f t="shared" ref="G5828:G5891" si="376">CONCATENATE(C5828,": ",D5828)</f>
        <v>740-12: Cold Storage Doors</v>
      </c>
    </row>
    <row r="5829" spans="1:7" x14ac:dyDescent="0.25">
      <c r="A5829" s="1" t="str">
        <f t="shared" si="374"/>
        <v>740</v>
      </c>
      <c r="B5829" s="1" t="str">
        <f>TEXT(13,"00")</f>
        <v>13</v>
      </c>
      <c r="C5829" s="1" t="str">
        <f t="shared" si="375"/>
        <v>740-13</v>
      </c>
      <c r="D5829" t="s">
        <v>5801</v>
      </c>
      <c r="E5829" t="b">
        <f>IF(COUNTIF(D5829,"*"&amp;'Keyword Search'!$C$5&amp;"*"),TRUE,FALSE)</f>
        <v>1</v>
      </c>
      <c r="G5829" t="str">
        <f t="shared" si="376"/>
        <v>740-13: Cold Storage Vaults, Walk-In Coolers, and Shelving</v>
      </c>
    </row>
    <row r="5830" spans="1:7" x14ac:dyDescent="0.25">
      <c r="A5830" s="1" t="str">
        <f t="shared" si="374"/>
        <v>740</v>
      </c>
      <c r="B5830" s="1" t="str">
        <f>TEXT(17,"00")</f>
        <v>17</v>
      </c>
      <c r="C5830" s="1" t="str">
        <f t="shared" si="375"/>
        <v>740-17</v>
      </c>
      <c r="D5830" t="s">
        <v>5802</v>
      </c>
      <c r="E5830" t="b">
        <f>IF(COUNTIF(D5830,"*"&amp;'Keyword Search'!$C$5&amp;"*"),TRUE,FALSE)</f>
        <v>1</v>
      </c>
      <c r="G5830" t="str">
        <f t="shared" si="376"/>
        <v>740-17: Compressors, Including Parts and Accessories</v>
      </c>
    </row>
    <row r="5831" spans="1:7" x14ac:dyDescent="0.25">
      <c r="A5831" s="1" t="str">
        <f t="shared" si="374"/>
        <v>740</v>
      </c>
      <c r="B5831" s="1" t="str">
        <f>TEXT(24,"00")</f>
        <v>24</v>
      </c>
      <c r="C5831" s="1" t="str">
        <f t="shared" si="375"/>
        <v>740-24</v>
      </c>
      <c r="D5831" t="s">
        <v>5803</v>
      </c>
      <c r="E5831" t="b">
        <f>IF(COUNTIF(D5831,"*"&amp;'Keyword Search'!$C$5&amp;"*"),TRUE,FALSE)</f>
        <v>1</v>
      </c>
      <c r="G5831" t="str">
        <f t="shared" si="376"/>
        <v>740-24: Condensing Units</v>
      </c>
    </row>
    <row r="5832" spans="1:7" x14ac:dyDescent="0.25">
      <c r="A5832" s="1" t="str">
        <f t="shared" si="374"/>
        <v>740</v>
      </c>
      <c r="B5832" s="1" t="str">
        <f>TEXT(28,"00")</f>
        <v>28</v>
      </c>
      <c r="C5832" s="1" t="str">
        <f t="shared" si="375"/>
        <v>740-28</v>
      </c>
      <c r="D5832" t="s">
        <v>5804</v>
      </c>
      <c r="E5832" t="b">
        <f>IF(COUNTIF(D5832,"*"&amp;'Keyword Search'!$C$5&amp;"*"),TRUE,FALSE)</f>
        <v>1</v>
      </c>
      <c r="G5832" t="str">
        <f t="shared" si="376"/>
        <v>740-28: Cylinders, Empty, For Refrigerant Gases</v>
      </c>
    </row>
    <row r="5833" spans="1:7" x14ac:dyDescent="0.25">
      <c r="A5833" s="1" t="str">
        <f t="shared" si="374"/>
        <v>740</v>
      </c>
      <c r="B5833" s="1" t="str">
        <f>TEXT(30,"00")</f>
        <v>30</v>
      </c>
      <c r="C5833" s="1" t="str">
        <f t="shared" si="375"/>
        <v>740-30</v>
      </c>
      <c r="D5833" t="s">
        <v>5805</v>
      </c>
      <c r="E5833" t="b">
        <f>IF(COUNTIF(D5833,"*"&amp;'Keyword Search'!$C$5&amp;"*"),TRUE,FALSE)</f>
        <v>1</v>
      </c>
      <c r="G5833" t="str">
        <f t="shared" si="376"/>
        <v>740-30: Display Cases, Refrigerated</v>
      </c>
    </row>
    <row r="5834" spans="1:7" x14ac:dyDescent="0.25">
      <c r="A5834" s="1" t="str">
        <f t="shared" si="374"/>
        <v>740</v>
      </c>
      <c r="B5834" s="1" t="str">
        <f>TEXT(32,"00")</f>
        <v>32</v>
      </c>
      <c r="C5834" s="1" t="str">
        <f t="shared" si="375"/>
        <v>740-32</v>
      </c>
      <c r="D5834" t="s">
        <v>5806</v>
      </c>
      <c r="E5834" t="b">
        <f>IF(COUNTIF(D5834,"*"&amp;'Keyword Search'!$C$5&amp;"*"),TRUE,FALSE)</f>
        <v>1</v>
      </c>
      <c r="G5834" t="str">
        <f t="shared" si="376"/>
        <v>740-32: Dry Ice Making Machines</v>
      </c>
    </row>
    <row r="5835" spans="1:7" x14ac:dyDescent="0.25">
      <c r="A5835" s="1" t="str">
        <f t="shared" si="374"/>
        <v>740</v>
      </c>
      <c r="B5835" s="1" t="str">
        <f>TEXT(36,"00")</f>
        <v>36</v>
      </c>
      <c r="C5835" s="1" t="str">
        <f t="shared" si="375"/>
        <v>740-36</v>
      </c>
      <c r="D5835" t="s">
        <v>5807</v>
      </c>
      <c r="E5835" t="b">
        <f>IF(COUNTIF(D5835,"*"&amp;'Keyword Search'!$C$5&amp;"*"),TRUE,FALSE)</f>
        <v>1</v>
      </c>
      <c r="G5835" t="str">
        <f t="shared" si="376"/>
        <v>740-36: Gaskets and Felts, Refrigeration Equipment</v>
      </c>
    </row>
    <row r="5836" spans="1:7" x14ac:dyDescent="0.25">
      <c r="A5836" s="1" t="str">
        <f t="shared" si="374"/>
        <v>740</v>
      </c>
      <c r="B5836" s="1" t="str">
        <f>TEXT(40,"00")</f>
        <v>40</v>
      </c>
      <c r="C5836" s="1" t="str">
        <f t="shared" si="375"/>
        <v>740-40</v>
      </c>
      <c r="D5836" t="s">
        <v>5808</v>
      </c>
      <c r="E5836" t="b">
        <f>IF(COUNTIF(D5836,"*"&amp;'Keyword Search'!$C$5&amp;"*"),TRUE,FALSE)</f>
        <v>1</v>
      </c>
      <c r="G5836" t="str">
        <f t="shared" si="376"/>
        <v>740-40: Hand Tools, Refrigeration</v>
      </c>
    </row>
    <row r="5837" spans="1:7" x14ac:dyDescent="0.25">
      <c r="A5837" s="1" t="str">
        <f t="shared" si="374"/>
        <v>740</v>
      </c>
      <c r="B5837" s="1" t="str">
        <f>TEXT(45,"00")</f>
        <v>45</v>
      </c>
      <c r="C5837" s="1" t="str">
        <f t="shared" si="375"/>
        <v>740-45</v>
      </c>
      <c r="D5837" t="s">
        <v>5809</v>
      </c>
      <c r="E5837" t="b">
        <f>IF(COUNTIF(D5837,"*"&amp;'Keyword Search'!$C$5&amp;"*"),TRUE,FALSE)</f>
        <v>1</v>
      </c>
      <c r="G5837" t="str">
        <f t="shared" si="376"/>
        <v>740-45: Ice Making and Dispensing Machines (Not Dry Ice)</v>
      </c>
    </row>
    <row r="5838" spans="1:7" x14ac:dyDescent="0.25">
      <c r="A5838" s="1" t="str">
        <f t="shared" si="374"/>
        <v>740</v>
      </c>
      <c r="B5838" s="1" t="str">
        <f>TEXT(55,"00")</f>
        <v>55</v>
      </c>
      <c r="C5838" s="1" t="str">
        <f t="shared" si="375"/>
        <v>740-55</v>
      </c>
      <c r="D5838" t="s">
        <v>5810</v>
      </c>
      <c r="E5838" t="b">
        <f>IF(COUNTIF(D5838,"*"&amp;'Keyword Search'!$C$5&amp;"*"),TRUE,FALSE)</f>
        <v>1</v>
      </c>
      <c r="G5838" t="str">
        <f t="shared" si="376"/>
        <v>740-55: Refrigerant Gases, Except Ammonia</v>
      </c>
    </row>
    <row r="5839" spans="1:7" x14ac:dyDescent="0.25">
      <c r="A5839" s="1" t="str">
        <f t="shared" si="374"/>
        <v>740</v>
      </c>
      <c r="B5839" s="1" t="str">
        <f>TEXT(59,"00")</f>
        <v>59</v>
      </c>
      <c r="C5839" s="1" t="str">
        <f t="shared" si="375"/>
        <v>740-59</v>
      </c>
      <c r="D5839" t="s">
        <v>5811</v>
      </c>
      <c r="E5839" t="b">
        <f>IF(COUNTIF(D5839,"*"&amp;'Keyword Search'!$C$5&amp;"*"),TRUE,FALSE)</f>
        <v>1</v>
      </c>
      <c r="G5839" t="str">
        <f t="shared" si="376"/>
        <v>740-59: Refrigeration Accessories and Supplies: Capillaries, Controls, Dryers, Expansion Valves, Refrigerant Oil, Sealants, Sight Glasses, Thermometers, Vibration Eliminators, etc.</v>
      </c>
    </row>
    <row r="5840" spans="1:7" x14ac:dyDescent="0.25">
      <c r="A5840" s="1" t="str">
        <f t="shared" si="374"/>
        <v>740</v>
      </c>
      <c r="B5840" s="1" t="str">
        <f>TEXT(60,"00")</f>
        <v>60</v>
      </c>
      <c r="C5840" s="1" t="str">
        <f t="shared" si="375"/>
        <v>740-60</v>
      </c>
      <c r="D5840" t="s">
        <v>5812</v>
      </c>
      <c r="E5840" t="b">
        <f>IF(COUNTIF(D5840,"*"&amp;'Keyword Search'!$C$5&amp;"*"),TRUE,FALSE)</f>
        <v>1</v>
      </c>
      <c r="G5840" t="str">
        <f t="shared" si="376"/>
        <v>740-60: Refrigerant Recovery Systems, Including Parts and Accessories</v>
      </c>
    </row>
    <row r="5841" spans="1:7" x14ac:dyDescent="0.25">
      <c r="A5841" s="1" t="str">
        <f t="shared" si="374"/>
        <v>740</v>
      </c>
      <c r="B5841" s="1" t="str">
        <f>TEXT(63,"00")</f>
        <v>63</v>
      </c>
      <c r="C5841" s="1" t="str">
        <f t="shared" si="375"/>
        <v>740-63</v>
      </c>
      <c r="D5841" t="s">
        <v>5813</v>
      </c>
      <c r="E5841" t="b">
        <f>IF(COUNTIF(D5841,"*"&amp;'Keyword Search'!$C$5&amp;"*"),TRUE,FALSE)</f>
        <v>1</v>
      </c>
      <c r="G5841" t="str">
        <f t="shared" si="376"/>
        <v>740-63: Refrigeration Tubing and Fittings</v>
      </c>
    </row>
    <row r="5842" spans="1:7" x14ac:dyDescent="0.25">
      <c r="A5842" s="1" t="str">
        <f t="shared" si="374"/>
        <v>740</v>
      </c>
      <c r="B5842" s="1" t="str">
        <f>TEXT(66,"00")</f>
        <v>66</v>
      </c>
      <c r="C5842" s="1" t="str">
        <f t="shared" si="375"/>
        <v>740-66</v>
      </c>
      <c r="D5842" t="s">
        <v>5814</v>
      </c>
      <c r="E5842" t="b">
        <f>IF(COUNTIF(D5842,"*"&amp;'Keyword Search'!$C$5&amp;"*"),TRUE,FALSE)</f>
        <v>1</v>
      </c>
      <c r="G5842" t="str">
        <f t="shared" si="376"/>
        <v>740-66: Refrigeration Units, For Vaults and Walk-In Coolers: Complete and Self-Contained</v>
      </c>
    </row>
    <row r="5843" spans="1:7" x14ac:dyDescent="0.25">
      <c r="A5843" s="1" t="str">
        <f t="shared" si="374"/>
        <v>740</v>
      </c>
      <c r="B5843" s="1" t="str">
        <f>TEXT(70,"00")</f>
        <v>70</v>
      </c>
      <c r="C5843" s="1" t="str">
        <f t="shared" si="375"/>
        <v>740-70</v>
      </c>
      <c r="D5843" t="s">
        <v>5815</v>
      </c>
      <c r="E5843" t="b">
        <f>IF(COUNTIF(D5843,"*"&amp;'Keyword Search'!$C$5&amp;"*"),TRUE,FALSE)</f>
        <v>1</v>
      </c>
      <c r="G5843" t="str">
        <f t="shared" si="376"/>
        <v>740-70: Refrigerators and Freezers, Commercial</v>
      </c>
    </row>
    <row r="5844" spans="1:7" x14ac:dyDescent="0.25">
      <c r="A5844" s="1" t="str">
        <f t="shared" si="374"/>
        <v>740</v>
      </c>
      <c r="B5844" s="1" t="str">
        <f>TEXT(74,"00")</f>
        <v>74</v>
      </c>
      <c r="C5844" s="1" t="str">
        <f t="shared" si="375"/>
        <v>740-74</v>
      </c>
      <c r="D5844" t="s">
        <v>5816</v>
      </c>
      <c r="E5844" t="b">
        <f>IF(COUNTIF(D5844,"*"&amp;'Keyword Search'!$C$5&amp;"*"),TRUE,FALSE)</f>
        <v>1</v>
      </c>
      <c r="G5844" t="str">
        <f t="shared" si="376"/>
        <v>740-74: Scale Eliminator Devices, Ice Machine</v>
      </c>
    </row>
    <row r="5845" spans="1:7" x14ac:dyDescent="0.25">
      <c r="A5845" s="1" t="str">
        <f t="shared" si="374"/>
        <v>740</v>
      </c>
      <c r="B5845" s="1" t="str">
        <f>TEXT(85,"00")</f>
        <v>85</v>
      </c>
      <c r="C5845" s="1" t="str">
        <f t="shared" si="375"/>
        <v>740-85</v>
      </c>
      <c r="D5845" t="s">
        <v>5817</v>
      </c>
      <c r="E5845" t="b">
        <f>IF(COUNTIF(D5845,"*"&amp;'Keyword Search'!$C$5&amp;"*"),TRUE,FALSE)</f>
        <v>1</v>
      </c>
      <c r="G5845" t="str">
        <f t="shared" si="376"/>
        <v>740-85: Vending Machines, Refrigerated: Food, Beverages, Sundries, etc.</v>
      </c>
    </row>
    <row r="5846" spans="1:7" x14ac:dyDescent="0.25">
      <c r="A5846" s="1" t="str">
        <f t="shared" si="374"/>
        <v>740</v>
      </c>
      <c r="B5846" s="1" t="str">
        <f>TEXT(88,"00")</f>
        <v>88</v>
      </c>
      <c r="C5846" s="1" t="str">
        <f t="shared" si="375"/>
        <v>740-88</v>
      </c>
      <c r="D5846" t="s">
        <v>5818</v>
      </c>
      <c r="E5846" t="b">
        <f>IF(COUNTIF(D5846,"*"&amp;'Keyword Search'!$C$5&amp;"*"),TRUE,FALSE)</f>
        <v>1</v>
      </c>
      <c r="G5846" t="str">
        <f t="shared" si="376"/>
        <v>740-88: Water Filters, Ice Machine</v>
      </c>
    </row>
    <row r="5847" spans="1:7" x14ac:dyDescent="0.25">
      <c r="A5847" s="1" t="str">
        <f t="shared" si="374"/>
        <v>740</v>
      </c>
      <c r="B5847" s="1" t="str">
        <f>TEXT(95,"00")</f>
        <v>95</v>
      </c>
      <c r="C5847" s="1" t="str">
        <f t="shared" si="375"/>
        <v>740-95</v>
      </c>
      <c r="D5847" t="s">
        <v>5819</v>
      </c>
      <c r="E5847" t="b">
        <f>IF(COUNTIF(D5847,"*"&amp;'Keyword Search'!$C$5&amp;"*"),TRUE,FALSE)</f>
        <v>1</v>
      </c>
      <c r="G5847" t="str">
        <f t="shared" si="376"/>
        <v>740-95: Recycled Refrigeration Equipment, Including Parts and Accessories</v>
      </c>
    </row>
    <row r="5848" spans="1:7" x14ac:dyDescent="0.25">
      <c r="A5848" s="5" t="str">
        <f t="shared" ref="A5848:A5879" si="377">TEXT(745,"000")</f>
        <v>745</v>
      </c>
      <c r="B5848" s="5" t="str">
        <f>TEXT(0,"00")</f>
        <v>00</v>
      </c>
      <c r="C5848" s="1"/>
      <c r="D5848" s="2" t="s">
        <v>5820</v>
      </c>
    </row>
    <row r="5849" spans="1:7" x14ac:dyDescent="0.25">
      <c r="A5849" s="1" t="str">
        <f t="shared" si="377"/>
        <v>745</v>
      </c>
      <c r="B5849" s="1" t="str">
        <f>TEXT(1,"00")</f>
        <v>01</v>
      </c>
      <c r="C5849" s="1" t="str">
        <f t="shared" si="375"/>
        <v>745-01</v>
      </c>
      <c r="D5849" t="s">
        <v>5821</v>
      </c>
      <c r="E5849" t="b">
        <f>IF(COUNTIF(D5849,"*"&amp;'Keyword Search'!$C$5&amp;"*"),TRUE,FALSE)</f>
        <v>1</v>
      </c>
      <c r="G5849" t="str">
        <f t="shared" si="376"/>
        <v>745-01: Aggregate, Precoated</v>
      </c>
    </row>
    <row r="5850" spans="1:7" x14ac:dyDescent="0.25">
      <c r="A5850" s="1" t="str">
        <f t="shared" si="377"/>
        <v>745</v>
      </c>
      <c r="B5850" s="1" t="str">
        <f>TEXT(2,"00")</f>
        <v>02</v>
      </c>
      <c r="C5850" s="1" t="str">
        <f t="shared" si="375"/>
        <v>745-02</v>
      </c>
      <c r="D5850" t="s">
        <v>5822</v>
      </c>
      <c r="E5850" t="b">
        <f>IF(COUNTIF(D5850,"*"&amp;'Keyword Search'!$C$5&amp;"*"),TRUE,FALSE)</f>
        <v>1</v>
      </c>
      <c r="G5850" t="str">
        <f t="shared" si="376"/>
        <v>745-02: Asphalt, AC (Asphalt Cement)</v>
      </c>
    </row>
    <row r="5851" spans="1:7" x14ac:dyDescent="0.25">
      <c r="A5851" s="1" t="str">
        <f t="shared" si="377"/>
        <v>745</v>
      </c>
      <c r="B5851" s="1" t="str">
        <f>TEXT(4,"00")</f>
        <v>04</v>
      </c>
      <c r="C5851" s="1" t="str">
        <f t="shared" si="375"/>
        <v>745-04</v>
      </c>
      <c r="D5851" t="s">
        <v>5823</v>
      </c>
      <c r="E5851" t="b">
        <f>IF(COUNTIF(D5851,"*"&amp;'Keyword Search'!$C$5&amp;"*"),TRUE,FALSE)</f>
        <v>1</v>
      </c>
      <c r="G5851" t="str">
        <f t="shared" si="376"/>
        <v>745-04: Asphalt, AC (With Latex Polymer)</v>
      </c>
    </row>
    <row r="5852" spans="1:7" x14ac:dyDescent="0.25">
      <c r="A5852" s="1" t="str">
        <f t="shared" si="377"/>
        <v>745</v>
      </c>
      <c r="B5852" s="1" t="str">
        <f>TEXT(5,"00")</f>
        <v>05</v>
      </c>
      <c r="C5852" s="1" t="str">
        <f t="shared" si="375"/>
        <v>745-05</v>
      </c>
      <c r="D5852" t="s">
        <v>5824</v>
      </c>
      <c r="E5852" t="b">
        <f>IF(COUNTIF(D5852,"*"&amp;'Keyword Search'!$C$5&amp;"*"),TRUE,FALSE)</f>
        <v>1</v>
      </c>
      <c r="G5852" t="str">
        <f t="shared" si="376"/>
        <v>745-05: Asphalt, Aggregates</v>
      </c>
    </row>
    <row r="5853" spans="1:7" x14ac:dyDescent="0.25">
      <c r="A5853" s="1" t="str">
        <f t="shared" si="377"/>
        <v>745</v>
      </c>
      <c r="B5853" s="1" t="str">
        <f>TEXT(6,"00")</f>
        <v>06</v>
      </c>
      <c r="C5853" s="1" t="str">
        <f t="shared" si="375"/>
        <v>745-06</v>
      </c>
      <c r="D5853" t="s">
        <v>5825</v>
      </c>
      <c r="E5853" t="b">
        <f>IF(COUNTIF(D5853,"*"&amp;'Keyword Search'!$C$5&amp;"*"),TRUE,FALSE)</f>
        <v>1</v>
      </c>
      <c r="G5853" t="str">
        <f t="shared" si="376"/>
        <v>745-06: Asphalt, Cutback</v>
      </c>
    </row>
    <row r="5854" spans="1:7" x14ac:dyDescent="0.25">
      <c r="A5854" s="1" t="str">
        <f t="shared" si="377"/>
        <v>745</v>
      </c>
      <c r="B5854" s="1" t="str">
        <f>TEXT(7,"00")</f>
        <v>07</v>
      </c>
      <c r="C5854" s="1" t="str">
        <f t="shared" si="375"/>
        <v>745-07</v>
      </c>
      <c r="D5854" t="s">
        <v>5826</v>
      </c>
      <c r="E5854" t="b">
        <f>IF(COUNTIF(D5854,"*"&amp;'Keyword Search'!$C$5&amp;"*"),TRUE,FALSE)</f>
        <v>1</v>
      </c>
      <c r="G5854" t="str">
        <f t="shared" si="376"/>
        <v>745-07: Asphalt, Cutback (With Latex Polymer)</v>
      </c>
    </row>
    <row r="5855" spans="1:7" x14ac:dyDescent="0.25">
      <c r="A5855" s="1" t="str">
        <f t="shared" si="377"/>
        <v>745</v>
      </c>
      <c r="B5855" s="1" t="str">
        <f>TEXT(8,"00")</f>
        <v>08</v>
      </c>
      <c r="C5855" s="1" t="str">
        <f t="shared" si="375"/>
        <v>745-08</v>
      </c>
      <c r="D5855" t="s">
        <v>5827</v>
      </c>
      <c r="E5855" t="b">
        <f>IF(COUNTIF(D5855,"*"&amp;'Keyword Search'!$C$5&amp;"*"),TRUE,FALSE)</f>
        <v>1</v>
      </c>
      <c r="G5855" t="str">
        <f t="shared" si="376"/>
        <v>745-08: Asphalt, Emulsified</v>
      </c>
    </row>
    <row r="5856" spans="1:7" x14ac:dyDescent="0.25">
      <c r="A5856" s="1" t="str">
        <f t="shared" si="377"/>
        <v>745</v>
      </c>
      <c r="B5856" s="1" t="str">
        <f>TEXT(10,"00")</f>
        <v>10</v>
      </c>
      <c r="C5856" s="1" t="str">
        <f t="shared" si="375"/>
        <v>745-10</v>
      </c>
      <c r="D5856" t="s">
        <v>5828</v>
      </c>
      <c r="E5856" t="b">
        <f>IF(COUNTIF(D5856,"*"&amp;'Keyword Search'!$C$5&amp;"*"),TRUE,FALSE)</f>
        <v>1</v>
      </c>
      <c r="G5856" t="str">
        <f t="shared" si="376"/>
        <v>745-10: Asphalt, Emulsified (With Latex Polymer)</v>
      </c>
    </row>
    <row r="5857" spans="1:7" x14ac:dyDescent="0.25">
      <c r="A5857" s="1" t="str">
        <f t="shared" si="377"/>
        <v>745</v>
      </c>
      <c r="B5857" s="1" t="str">
        <f>TEXT(11,"00")</f>
        <v>11</v>
      </c>
      <c r="C5857" s="1" t="str">
        <f t="shared" si="375"/>
        <v>745-11</v>
      </c>
      <c r="D5857" t="s">
        <v>5829</v>
      </c>
      <c r="E5857" t="b">
        <f>IF(COUNTIF(D5857,"*"&amp;'Keyword Search'!$C$5&amp;"*"),TRUE,FALSE)</f>
        <v>1</v>
      </c>
      <c r="G5857" t="str">
        <f t="shared" si="376"/>
        <v>745-11: Asphalt, Pervious Hot Mix</v>
      </c>
    </row>
    <row r="5858" spans="1:7" x14ac:dyDescent="0.25">
      <c r="A5858" s="1" t="str">
        <f t="shared" si="377"/>
        <v>745</v>
      </c>
      <c r="B5858" s="1" t="str">
        <f>TEXT(12,"00")</f>
        <v>12</v>
      </c>
      <c r="C5858" s="1" t="str">
        <f t="shared" si="375"/>
        <v>745-12</v>
      </c>
      <c r="D5858" t="s">
        <v>5830</v>
      </c>
      <c r="E5858" t="b">
        <f>IF(COUNTIF(D5858,"*"&amp;'Keyword Search'!$C$5&amp;"*"),TRUE,FALSE)</f>
        <v>1</v>
      </c>
      <c r="G5858" t="str">
        <f t="shared" si="376"/>
        <v>745-12: Asphalt, Oil</v>
      </c>
    </row>
    <row r="5859" spans="1:7" x14ac:dyDescent="0.25">
      <c r="A5859" s="1" t="str">
        <f t="shared" si="377"/>
        <v>745</v>
      </c>
      <c r="B5859" s="1" t="str">
        <f>TEXT(13,"00")</f>
        <v>13</v>
      </c>
      <c r="C5859" s="1" t="str">
        <f t="shared" si="375"/>
        <v>745-13</v>
      </c>
      <c r="D5859" t="s">
        <v>5831</v>
      </c>
      <c r="E5859" t="b">
        <f>IF(COUNTIF(D5859,"*"&amp;'Keyword Search'!$C$5&amp;"*"),TRUE,FALSE)</f>
        <v>1</v>
      </c>
      <c r="G5859" t="str">
        <f t="shared" si="376"/>
        <v>745-13: Asphalt, Uintaite</v>
      </c>
    </row>
    <row r="5860" spans="1:7" x14ac:dyDescent="0.25">
      <c r="A5860" s="1" t="str">
        <f t="shared" si="377"/>
        <v>745</v>
      </c>
      <c r="B5860" s="1" t="str">
        <f>TEXT(14,"00")</f>
        <v>14</v>
      </c>
      <c r="C5860" s="1" t="str">
        <f t="shared" si="375"/>
        <v>745-14</v>
      </c>
      <c r="D5860" t="s">
        <v>5832</v>
      </c>
      <c r="E5860" t="b">
        <f>IF(COUNTIF(D5860,"*"&amp;'Keyword Search'!$C$5&amp;"*"),TRUE,FALSE)</f>
        <v>1</v>
      </c>
      <c r="G5860" t="str">
        <f t="shared" si="376"/>
        <v>745-14: Asphaltic Concrete, Cold Laid, Rock Asphalt</v>
      </c>
    </row>
    <row r="5861" spans="1:7" x14ac:dyDescent="0.25">
      <c r="A5861" s="1" t="str">
        <f t="shared" si="377"/>
        <v>745</v>
      </c>
      <c r="B5861" s="1" t="str">
        <f>TEXT(21,"00")</f>
        <v>21</v>
      </c>
      <c r="C5861" s="1" t="str">
        <f t="shared" si="375"/>
        <v>745-21</v>
      </c>
      <c r="D5861" t="s">
        <v>5833</v>
      </c>
      <c r="E5861" t="b">
        <f>IF(COUNTIF(D5861,"*"&amp;'Keyword Search'!$C$5&amp;"*"),TRUE,FALSE)</f>
        <v>1</v>
      </c>
      <c r="G5861" t="str">
        <f t="shared" si="376"/>
        <v>745-21: Asphaltic Concrete, Hot Laid Including Bituminous Materials</v>
      </c>
    </row>
    <row r="5862" spans="1:7" x14ac:dyDescent="0.25">
      <c r="A5862" s="1" t="str">
        <f t="shared" si="377"/>
        <v>745</v>
      </c>
      <c r="B5862" s="1" t="str">
        <f>TEXT(28,"00")</f>
        <v>28</v>
      </c>
      <c r="C5862" s="1" t="str">
        <f t="shared" si="375"/>
        <v>745-28</v>
      </c>
      <c r="D5862" t="s">
        <v>5834</v>
      </c>
      <c r="E5862" t="b">
        <f>IF(COUNTIF(D5862,"*"&amp;'Keyword Search'!$C$5&amp;"*"),TRUE,FALSE)</f>
        <v>1</v>
      </c>
      <c r="G5862" t="str">
        <f t="shared" si="376"/>
        <v>745-28: Asphaltic Shell</v>
      </c>
    </row>
    <row r="5863" spans="1:7" x14ac:dyDescent="0.25">
      <c r="A5863" s="1" t="str">
        <f t="shared" si="377"/>
        <v>745</v>
      </c>
      <c r="B5863" s="1" t="str">
        <f>TEXT(31,"00")</f>
        <v>31</v>
      </c>
      <c r="C5863" s="1" t="str">
        <f t="shared" si="375"/>
        <v>745-31</v>
      </c>
      <c r="D5863" t="s">
        <v>5835</v>
      </c>
      <c r="E5863" t="b">
        <f>IF(COUNTIF(D5863,"*"&amp;'Keyword Search'!$C$5&amp;"*"),TRUE,FALSE)</f>
        <v>1</v>
      </c>
      <c r="G5863" t="str">
        <f t="shared" si="376"/>
        <v>745-31: Bitumens, Bulk, Oil and Tar</v>
      </c>
    </row>
    <row r="5864" spans="1:7" x14ac:dyDescent="0.25">
      <c r="A5864" s="1" t="str">
        <f t="shared" si="377"/>
        <v>745</v>
      </c>
      <c r="B5864" s="1" t="str">
        <f>TEXT(35,"00")</f>
        <v>35</v>
      </c>
      <c r="C5864" s="1" t="str">
        <f t="shared" si="375"/>
        <v>745-35</v>
      </c>
      <c r="D5864" t="s">
        <v>5836</v>
      </c>
      <c r="E5864" t="b">
        <f>IF(COUNTIF(D5864,"*"&amp;'Keyword Search'!$C$5&amp;"*"),TRUE,FALSE)</f>
        <v>1</v>
      </c>
      <c r="G5864" t="str">
        <f t="shared" si="376"/>
        <v>745-35: Catalytically Blown Asphalt</v>
      </c>
    </row>
    <row r="5865" spans="1:7" x14ac:dyDescent="0.25">
      <c r="A5865" s="1" t="str">
        <f t="shared" si="377"/>
        <v>745</v>
      </c>
      <c r="B5865" s="1" t="str">
        <f>TEXT(42,"00")</f>
        <v>42</v>
      </c>
      <c r="C5865" s="1" t="str">
        <f t="shared" si="375"/>
        <v>745-42</v>
      </c>
      <c r="D5865" t="s">
        <v>5837</v>
      </c>
      <c r="E5865" t="b">
        <f>IF(COUNTIF(D5865,"*"&amp;'Keyword Search'!$C$5&amp;"*"),TRUE,FALSE)</f>
        <v>1</v>
      </c>
      <c r="G5865" t="str">
        <f t="shared" si="376"/>
        <v>745-42: Coal Tar Pitch, Emulsions, and Anti-Stripping Additives</v>
      </c>
    </row>
    <row r="5866" spans="1:7" x14ac:dyDescent="0.25">
      <c r="A5866" s="1" t="str">
        <f t="shared" si="377"/>
        <v>745</v>
      </c>
      <c r="B5866" s="1" t="str">
        <f>TEXT(45,"00")</f>
        <v>45</v>
      </c>
      <c r="C5866" s="1" t="str">
        <f t="shared" si="375"/>
        <v>745-45</v>
      </c>
      <c r="D5866" t="s">
        <v>5838</v>
      </c>
      <c r="E5866" t="b">
        <f>IF(COUNTIF(D5866,"*"&amp;'Keyword Search'!$C$5&amp;"*"),TRUE,FALSE)</f>
        <v>1</v>
      </c>
      <c r="G5866" t="str">
        <f t="shared" si="376"/>
        <v>745-45: Cracked Fuel Oil</v>
      </c>
    </row>
    <row r="5867" spans="1:7" x14ac:dyDescent="0.25">
      <c r="A5867" s="1" t="str">
        <f t="shared" si="377"/>
        <v>745</v>
      </c>
      <c r="B5867" s="1" t="str">
        <f>TEXT(49,"00")</f>
        <v>49</v>
      </c>
      <c r="C5867" s="1" t="str">
        <f t="shared" si="375"/>
        <v>745-49</v>
      </c>
      <c r="D5867" t="s">
        <v>5839</v>
      </c>
      <c r="E5867" t="b">
        <f>IF(COUNTIF(D5867,"*"&amp;'Keyword Search'!$C$5&amp;"*"),TRUE,FALSE)</f>
        <v>1</v>
      </c>
      <c r="G5867" t="str">
        <f t="shared" si="376"/>
        <v>745-49: Expansion Joint Material: Asphalt, Rubber, etc.</v>
      </c>
    </row>
    <row r="5868" spans="1:7" x14ac:dyDescent="0.25">
      <c r="A5868" s="1" t="str">
        <f t="shared" si="377"/>
        <v>745</v>
      </c>
      <c r="B5868" s="1" t="str">
        <f>TEXT(50,"00")</f>
        <v>50</v>
      </c>
      <c r="C5868" s="1" t="str">
        <f t="shared" si="375"/>
        <v>745-50</v>
      </c>
      <c r="D5868" t="s">
        <v>5840</v>
      </c>
      <c r="E5868" t="b">
        <f>IF(COUNTIF(D5868,"*"&amp;'Keyword Search'!$C$5&amp;"*"),TRUE,FALSE)</f>
        <v>1</v>
      </c>
      <c r="G5868" t="str">
        <f t="shared" si="376"/>
        <v>745-50: Fiber Reinforced Surface Treatment</v>
      </c>
    </row>
    <row r="5869" spans="1:7" x14ac:dyDescent="0.25">
      <c r="A5869" s="1" t="str">
        <f t="shared" si="377"/>
        <v>745</v>
      </c>
      <c r="B5869" s="1" t="str">
        <f>TEXT(56,"00")</f>
        <v>56</v>
      </c>
      <c r="C5869" s="1" t="str">
        <f t="shared" si="375"/>
        <v>745-56</v>
      </c>
      <c r="D5869" t="s">
        <v>5841</v>
      </c>
      <c r="E5869" t="b">
        <f>IF(COUNTIF(D5869,"*"&amp;'Keyword Search'!$C$5&amp;"*"),TRUE,FALSE)</f>
        <v>1</v>
      </c>
      <c r="G5869" t="str">
        <f t="shared" si="376"/>
        <v>745-56: Joint Sealants: Asphalt, Elastomeric Materials, Glass Filament, Impervious Membranes, Plastic, Rubber, Silicones, Water Stops, etc.</v>
      </c>
    </row>
    <row r="5870" spans="1:7" x14ac:dyDescent="0.25">
      <c r="A5870" s="1" t="str">
        <f t="shared" si="377"/>
        <v>745</v>
      </c>
      <c r="B5870" s="1" t="str">
        <f>TEXT(63,"00")</f>
        <v>63</v>
      </c>
      <c r="C5870" s="1" t="str">
        <f t="shared" si="375"/>
        <v>745-63</v>
      </c>
      <c r="D5870" t="s">
        <v>5842</v>
      </c>
      <c r="E5870" t="b">
        <f>IF(COUNTIF(D5870,"*"&amp;'Keyword Search'!$C$5&amp;"*"),TRUE,FALSE)</f>
        <v>1</v>
      </c>
      <c r="G5870" t="str">
        <f t="shared" si="376"/>
        <v>745-63: Latex Rubber Additive Compound, For Asphalt</v>
      </c>
    </row>
    <row r="5871" spans="1:7" x14ac:dyDescent="0.25">
      <c r="A5871" s="1" t="str">
        <f t="shared" si="377"/>
        <v>745</v>
      </c>
      <c r="B5871" s="1" t="str">
        <f>TEXT(65,"00")</f>
        <v>65</v>
      </c>
      <c r="C5871" s="1" t="str">
        <f t="shared" si="375"/>
        <v>745-65</v>
      </c>
      <c r="D5871" t="s">
        <v>5843</v>
      </c>
      <c r="E5871" t="b">
        <f>IF(COUNTIF(D5871,"*"&amp;'Keyword Search'!$C$5&amp;"*"),TRUE,FALSE)</f>
        <v>1</v>
      </c>
      <c r="G5871" t="str">
        <f t="shared" si="376"/>
        <v>745-65: Patching Mix, Asphalt Concrete</v>
      </c>
    </row>
    <row r="5872" spans="1:7" x14ac:dyDescent="0.25">
      <c r="A5872" s="1" t="str">
        <f t="shared" si="377"/>
        <v>745</v>
      </c>
      <c r="B5872" s="1" t="str">
        <f>TEXT(67,"00")</f>
        <v>67</v>
      </c>
      <c r="C5872" s="1" t="str">
        <f t="shared" si="375"/>
        <v>745-67</v>
      </c>
      <c r="D5872" t="s">
        <v>5844</v>
      </c>
      <c r="E5872" t="b">
        <f>IF(COUNTIF(D5872,"*"&amp;'Keyword Search'!$C$5&amp;"*"),TRUE,FALSE)</f>
        <v>1</v>
      </c>
      <c r="G5872" t="str">
        <f t="shared" si="376"/>
        <v>745-67: Patching Mix, Cutback Asphalt</v>
      </c>
    </row>
    <row r="5873" spans="1:7" x14ac:dyDescent="0.25">
      <c r="A5873" s="1" t="str">
        <f t="shared" si="377"/>
        <v>745</v>
      </c>
      <c r="B5873" s="1" t="str">
        <f>TEXT(68,"00")</f>
        <v>68</v>
      </c>
      <c r="C5873" s="1" t="str">
        <f t="shared" si="375"/>
        <v>745-68</v>
      </c>
      <c r="D5873" t="s">
        <v>5845</v>
      </c>
      <c r="E5873" t="b">
        <f>IF(COUNTIF(D5873,"*"&amp;'Keyword Search'!$C$5&amp;"*"),TRUE,FALSE)</f>
        <v>1</v>
      </c>
      <c r="G5873" t="str">
        <f t="shared" si="376"/>
        <v>745-68: Recycled Asphalt and Asphalt Products</v>
      </c>
    </row>
    <row r="5874" spans="1:7" x14ac:dyDescent="0.25">
      <c r="A5874" s="1" t="str">
        <f t="shared" si="377"/>
        <v>745</v>
      </c>
      <c r="B5874" s="1" t="str">
        <f>TEXT(70,"00")</f>
        <v>70</v>
      </c>
      <c r="C5874" s="1" t="str">
        <f t="shared" si="375"/>
        <v>745-70</v>
      </c>
      <c r="D5874" t="s">
        <v>5846</v>
      </c>
      <c r="E5874" t="b">
        <f>IF(COUNTIF(D5874,"*"&amp;'Keyword Search'!$C$5&amp;"*"),TRUE,FALSE)</f>
        <v>1</v>
      </c>
      <c r="G5874" t="str">
        <f t="shared" si="376"/>
        <v>745-70: Road Oil</v>
      </c>
    </row>
    <row r="5875" spans="1:7" x14ac:dyDescent="0.25">
      <c r="A5875" s="1" t="str">
        <f t="shared" si="377"/>
        <v>745</v>
      </c>
      <c r="B5875" s="1" t="str">
        <f>TEXT(77,"00")</f>
        <v>77</v>
      </c>
      <c r="C5875" s="1" t="str">
        <f t="shared" si="375"/>
        <v>745-77</v>
      </c>
      <c r="D5875" t="s">
        <v>5847</v>
      </c>
      <c r="E5875" t="b">
        <f>IF(COUNTIF(D5875,"*"&amp;'Keyword Search'!$C$5&amp;"*"),TRUE,FALSE)</f>
        <v>1</v>
      </c>
      <c r="G5875" t="str">
        <f t="shared" si="376"/>
        <v>745-77: Rock Asphalt  (Inactive, please see commodity code 745-14 effective January 1, 2016)</v>
      </c>
    </row>
    <row r="5876" spans="1:7" x14ac:dyDescent="0.25">
      <c r="A5876" s="1" t="str">
        <f t="shared" si="377"/>
        <v>745</v>
      </c>
      <c r="B5876" s="1" t="str">
        <f>TEXT(80,"00")</f>
        <v>80</v>
      </c>
      <c r="C5876" s="1" t="str">
        <f t="shared" si="375"/>
        <v>745-80</v>
      </c>
      <c r="D5876" t="s">
        <v>5848</v>
      </c>
      <c r="E5876" t="b">
        <f>IF(COUNTIF(D5876,"*"&amp;'Keyword Search'!$C$5&amp;"*"),TRUE,FALSE)</f>
        <v>1</v>
      </c>
      <c r="G5876" t="str">
        <f t="shared" si="376"/>
        <v>745-80: Rubber Asphalt Crack Sealing Compound</v>
      </c>
    </row>
    <row r="5877" spans="1:7" x14ac:dyDescent="0.25">
      <c r="A5877" s="1" t="str">
        <f t="shared" si="377"/>
        <v>745</v>
      </c>
      <c r="B5877" s="1" t="str">
        <f>TEXT(84,"00")</f>
        <v>84</v>
      </c>
      <c r="C5877" s="1" t="str">
        <f t="shared" si="375"/>
        <v>745-84</v>
      </c>
      <c r="D5877" t="s">
        <v>5849</v>
      </c>
      <c r="E5877" t="b">
        <f>IF(COUNTIF(D5877,"*"&amp;'Keyword Search'!$C$5&amp;"*"),TRUE,FALSE)</f>
        <v>1</v>
      </c>
      <c r="G5877" t="str">
        <f t="shared" si="376"/>
        <v>745-84: Slurry Seal</v>
      </c>
    </row>
    <row r="5878" spans="1:7" x14ac:dyDescent="0.25">
      <c r="A5878" s="1" t="str">
        <f t="shared" si="377"/>
        <v>745</v>
      </c>
      <c r="B5878" s="1" t="str">
        <f>TEXT(86,"00")</f>
        <v>86</v>
      </c>
      <c r="C5878" s="1" t="str">
        <f t="shared" si="375"/>
        <v>745-86</v>
      </c>
      <c r="D5878" t="s">
        <v>5850</v>
      </c>
      <c r="E5878" t="b">
        <f>IF(COUNTIF(D5878,"*"&amp;'Keyword Search'!$C$5&amp;"*"),TRUE,FALSE)</f>
        <v>1</v>
      </c>
      <c r="G5878" t="str">
        <f t="shared" si="376"/>
        <v>745-86: SEAL COATING</v>
      </c>
    </row>
    <row r="5879" spans="1:7" x14ac:dyDescent="0.25">
      <c r="A5879" s="1" t="str">
        <f t="shared" si="377"/>
        <v>745</v>
      </c>
      <c r="B5879" s="1" t="str">
        <f>TEXT(87,"00")</f>
        <v>87</v>
      </c>
      <c r="C5879" s="1" t="str">
        <f t="shared" si="375"/>
        <v>745-87</v>
      </c>
      <c r="D5879" t="s">
        <v>5851</v>
      </c>
      <c r="E5879" t="b">
        <f>IF(COUNTIF(D5879,"*"&amp;'Keyword Search'!$C$5&amp;"*"),TRUE,FALSE)</f>
        <v>1</v>
      </c>
      <c r="G5879" t="str">
        <f t="shared" si="376"/>
        <v>745-87: Stabilized Base, Asphaltic</v>
      </c>
    </row>
    <row r="5880" spans="1:7" x14ac:dyDescent="0.25">
      <c r="A5880" s="5" t="str">
        <f t="shared" ref="A5880:A5909" si="378">TEXT(750,"000")</f>
        <v>750</v>
      </c>
      <c r="B5880" s="5" t="str">
        <f>TEXT(0,"00")</f>
        <v>00</v>
      </c>
      <c r="C5880" s="1"/>
      <c r="D5880" s="2" t="s">
        <v>5852</v>
      </c>
    </row>
    <row r="5881" spans="1:7" x14ac:dyDescent="0.25">
      <c r="A5881" s="1" t="str">
        <f t="shared" si="378"/>
        <v>750</v>
      </c>
      <c r="B5881" s="1" t="str">
        <f>TEXT(4,"00")</f>
        <v>04</v>
      </c>
      <c r="C5881" s="1" t="str">
        <f t="shared" si="375"/>
        <v>750-04</v>
      </c>
      <c r="D5881" t="s">
        <v>5853</v>
      </c>
      <c r="E5881" t="b">
        <f>IF(COUNTIF(D5881,"*"&amp;'Keyword Search'!$C$5&amp;"*"),TRUE,FALSE)</f>
        <v>1</v>
      </c>
      <c r="G5881" t="str">
        <f t="shared" si="376"/>
        <v>750-04: Ash, Fly and Bottom</v>
      </c>
    </row>
    <row r="5882" spans="1:7" x14ac:dyDescent="0.25">
      <c r="A5882" s="1" t="str">
        <f t="shared" si="378"/>
        <v>750</v>
      </c>
      <c r="B5882" s="1" t="str">
        <f>TEXT(7,"00")</f>
        <v>07</v>
      </c>
      <c r="C5882" s="1" t="str">
        <f t="shared" si="375"/>
        <v>750-07</v>
      </c>
      <c r="D5882" t="s">
        <v>5854</v>
      </c>
      <c r="E5882" t="b">
        <f>IF(COUNTIF(D5882,"*"&amp;'Keyword Search'!$C$5&amp;"*"),TRUE,FALSE)</f>
        <v>1</v>
      </c>
      <c r="G5882" t="str">
        <f t="shared" si="376"/>
        <v>750-07: Borrow and Soil (See Class 790 for Top Soil)</v>
      </c>
    </row>
    <row r="5883" spans="1:7" x14ac:dyDescent="0.25">
      <c r="A5883" s="1" t="str">
        <f t="shared" si="378"/>
        <v>750</v>
      </c>
      <c r="B5883" s="1" t="str">
        <f>TEXT(14,"00")</f>
        <v>14</v>
      </c>
      <c r="C5883" s="1" t="str">
        <f t="shared" si="375"/>
        <v>750-14</v>
      </c>
      <c r="D5883" t="s">
        <v>5855</v>
      </c>
      <c r="E5883" t="b">
        <f>IF(COUNTIF(D5883,"*"&amp;'Keyword Search'!$C$5&amp;"*"),TRUE,FALSE)</f>
        <v>1</v>
      </c>
      <c r="G5883" t="str">
        <f t="shared" si="376"/>
        <v>750-14: Caliche</v>
      </c>
    </row>
    <row r="5884" spans="1:7" x14ac:dyDescent="0.25">
      <c r="A5884" s="1" t="str">
        <f t="shared" si="378"/>
        <v>750</v>
      </c>
      <c r="B5884" s="1" t="str">
        <f>TEXT(21,"00")</f>
        <v>21</v>
      </c>
      <c r="C5884" s="1" t="str">
        <f t="shared" si="375"/>
        <v>750-21</v>
      </c>
      <c r="D5884" t="s">
        <v>5856</v>
      </c>
      <c r="E5884" t="b">
        <f>IF(COUNTIF(D5884,"*"&amp;'Keyword Search'!$C$5&amp;"*"),TRUE,FALSE)</f>
        <v>1</v>
      </c>
      <c r="G5884" t="str">
        <f t="shared" si="376"/>
        <v>750-21: Cement, Truckload Lots and Larger (See 150-12 for Bagged Cement)</v>
      </c>
    </row>
    <row r="5885" spans="1:7" x14ac:dyDescent="0.25">
      <c r="A5885" s="1" t="str">
        <f t="shared" si="378"/>
        <v>750</v>
      </c>
      <c r="B5885" s="1" t="str">
        <f>TEXT(28,"00")</f>
        <v>28</v>
      </c>
      <c r="C5885" s="1" t="str">
        <f t="shared" si="375"/>
        <v>750-28</v>
      </c>
      <c r="D5885" t="s">
        <v>5857</v>
      </c>
      <c r="E5885" t="b">
        <f>IF(COUNTIF(D5885,"*"&amp;'Keyword Search'!$C$5&amp;"*"),TRUE,FALSE)</f>
        <v>1</v>
      </c>
      <c r="G5885" t="str">
        <f t="shared" si="376"/>
        <v>750-28: Concrete Curing Blankets and Paper</v>
      </c>
    </row>
    <row r="5886" spans="1:7" x14ac:dyDescent="0.25">
      <c r="A5886" s="1" t="str">
        <f t="shared" si="378"/>
        <v>750</v>
      </c>
      <c r="B5886" s="1" t="str">
        <f>TEXT(30,"00")</f>
        <v>30</v>
      </c>
      <c r="C5886" s="1" t="str">
        <f t="shared" si="375"/>
        <v>750-30</v>
      </c>
      <c r="D5886" t="s">
        <v>5858</v>
      </c>
      <c r="E5886" t="b">
        <f>IF(COUNTIF(D5886,"*"&amp;'Keyword Search'!$C$5&amp;"*"),TRUE,FALSE)</f>
        <v>1</v>
      </c>
      <c r="G5886" t="str">
        <f t="shared" si="376"/>
        <v>750-30: Concrete, Precast</v>
      </c>
    </row>
    <row r="5887" spans="1:7" x14ac:dyDescent="0.25">
      <c r="A5887" s="1" t="str">
        <f t="shared" si="378"/>
        <v>750</v>
      </c>
      <c r="B5887" s="1" t="str">
        <f>TEXT(32,"00")</f>
        <v>32</v>
      </c>
      <c r="C5887" s="1" t="str">
        <f t="shared" si="375"/>
        <v>750-32</v>
      </c>
      <c r="D5887" t="s">
        <v>5859</v>
      </c>
      <c r="E5887" t="b">
        <f>IF(COUNTIF(D5887,"*"&amp;'Keyword Search'!$C$5&amp;"*"),TRUE,FALSE)</f>
        <v>1</v>
      </c>
      <c r="G5887" t="str">
        <f t="shared" si="376"/>
        <v>750-32: Concrete Crack Repair Adhesive, Structural Urethane</v>
      </c>
    </row>
    <row r="5888" spans="1:7" x14ac:dyDescent="0.25">
      <c r="A5888" s="1" t="str">
        <f t="shared" si="378"/>
        <v>750</v>
      </c>
      <c r="B5888" s="1" t="str">
        <f>TEXT(33,"00")</f>
        <v>33</v>
      </c>
      <c r="C5888" s="1" t="str">
        <f t="shared" si="375"/>
        <v>750-33</v>
      </c>
      <c r="D5888" t="s">
        <v>5860</v>
      </c>
      <c r="E5888" t="b">
        <f>IF(COUNTIF(D5888,"*"&amp;'Keyword Search'!$C$5&amp;"*"),TRUE,FALSE)</f>
        <v>1</v>
      </c>
      <c r="G5888" t="str">
        <f t="shared" si="376"/>
        <v>750-33: Concrete, Repair, Rapid Setting</v>
      </c>
    </row>
    <row r="5889" spans="1:7" x14ac:dyDescent="0.25">
      <c r="A5889" s="1" t="str">
        <f t="shared" si="378"/>
        <v>750</v>
      </c>
      <c r="B5889" s="1" t="str">
        <f>TEXT(35,"00")</f>
        <v>35</v>
      </c>
      <c r="C5889" s="1" t="str">
        <f t="shared" si="375"/>
        <v>750-35</v>
      </c>
      <c r="D5889" t="s">
        <v>5861</v>
      </c>
      <c r="E5889" t="b">
        <f>IF(COUNTIF(D5889,"*"&amp;'Keyword Search'!$C$5&amp;"*"),TRUE,FALSE)</f>
        <v>1</v>
      </c>
      <c r="G5889" t="str">
        <f t="shared" si="376"/>
        <v>750-35: Crushed Stone, (Includes Riprap)</v>
      </c>
    </row>
    <row r="5890" spans="1:7" x14ac:dyDescent="0.25">
      <c r="A5890" s="1" t="str">
        <f t="shared" si="378"/>
        <v>750</v>
      </c>
      <c r="B5890" s="1" t="str">
        <f>TEXT(42,"00")</f>
        <v>42</v>
      </c>
      <c r="C5890" s="1" t="str">
        <f t="shared" si="375"/>
        <v>750-42</v>
      </c>
      <c r="D5890" t="s">
        <v>5862</v>
      </c>
      <c r="E5890" t="b">
        <f>IF(COUNTIF(D5890,"*"&amp;'Keyword Search'!$C$5&amp;"*"),TRUE,FALSE)</f>
        <v>1</v>
      </c>
      <c r="G5890" t="str">
        <f t="shared" si="376"/>
        <v>750-42: Drilling Mud</v>
      </c>
    </row>
    <row r="5891" spans="1:7" x14ac:dyDescent="0.25">
      <c r="A5891" s="1" t="str">
        <f t="shared" si="378"/>
        <v>750</v>
      </c>
      <c r="B5891" s="1" t="str">
        <f>TEXT(45,"00")</f>
        <v>45</v>
      </c>
      <c r="C5891" s="1" t="str">
        <f t="shared" ref="C5891:C5954" si="379">CONCATENATE(A5891,"-",B5891)</f>
        <v>750-45</v>
      </c>
      <c r="D5891" t="s">
        <v>5863</v>
      </c>
      <c r="E5891" t="b">
        <f>IF(COUNTIF(D5891,"*"&amp;'Keyword Search'!$C$5&amp;"*"),TRUE,FALSE)</f>
        <v>1</v>
      </c>
      <c r="G5891" t="str">
        <f t="shared" si="376"/>
        <v>750-45: Dust Control Agents</v>
      </c>
    </row>
    <row r="5892" spans="1:7" x14ac:dyDescent="0.25">
      <c r="A5892" s="1" t="str">
        <f t="shared" si="378"/>
        <v>750</v>
      </c>
      <c r="B5892" s="1" t="str">
        <f>TEXT(49,"00")</f>
        <v>49</v>
      </c>
      <c r="C5892" s="1" t="str">
        <f t="shared" si="379"/>
        <v>750-49</v>
      </c>
      <c r="D5892" t="s">
        <v>5864</v>
      </c>
      <c r="E5892" t="b">
        <f>IF(COUNTIF(D5892,"*"&amp;'Keyword Search'!$C$5&amp;"*"),TRUE,FALSE)</f>
        <v>1</v>
      </c>
      <c r="G5892" t="str">
        <f t="shared" ref="G5892:G5955" si="380">CONCATENATE(C5892,": ",D5892)</f>
        <v>750-49: Dynamite and Supplies: Caps, Fuses, Powder, Stick, and Wire</v>
      </c>
    </row>
    <row r="5893" spans="1:7" x14ac:dyDescent="0.25">
      <c r="A5893" s="1" t="str">
        <f t="shared" si="378"/>
        <v>750</v>
      </c>
      <c r="B5893" s="1" t="str">
        <f>TEXT(50,"00")</f>
        <v>50</v>
      </c>
      <c r="C5893" s="1" t="str">
        <f t="shared" si="379"/>
        <v>750-50</v>
      </c>
      <c r="D5893" t="s">
        <v>5865</v>
      </c>
      <c r="E5893" t="b">
        <f>IF(COUNTIF(D5893,"*"&amp;'Keyword Search'!$C$5&amp;"*"),TRUE,FALSE)</f>
        <v>1</v>
      </c>
      <c r="G5893" t="str">
        <f t="shared" si="380"/>
        <v>750-50: Expansion Joint Repair Adhesive, Structural Urethane</v>
      </c>
    </row>
    <row r="5894" spans="1:7" x14ac:dyDescent="0.25">
      <c r="A5894" s="1" t="str">
        <f t="shared" si="378"/>
        <v>750</v>
      </c>
      <c r="B5894" s="1" t="str">
        <f>TEXT(51,"00")</f>
        <v>51</v>
      </c>
      <c r="C5894" s="1" t="str">
        <f t="shared" si="379"/>
        <v>750-51</v>
      </c>
      <c r="D5894" t="s">
        <v>5866</v>
      </c>
      <c r="E5894" t="b">
        <f>IF(COUNTIF(D5894,"*"&amp;'Keyword Search'!$C$5&amp;"*"),TRUE,FALSE)</f>
        <v>1</v>
      </c>
      <c r="G5894" t="str">
        <f t="shared" si="380"/>
        <v>750-51: Fabric, Pavement</v>
      </c>
    </row>
    <row r="5895" spans="1:7" x14ac:dyDescent="0.25">
      <c r="A5895" s="1" t="str">
        <f t="shared" si="378"/>
        <v>750</v>
      </c>
      <c r="B5895" s="1" t="str">
        <f>TEXT(52,"00")</f>
        <v>52</v>
      </c>
      <c r="C5895" s="1" t="str">
        <f t="shared" si="379"/>
        <v>750-52</v>
      </c>
      <c r="D5895" t="s">
        <v>5867</v>
      </c>
      <c r="E5895" t="b">
        <f>IF(COUNTIF(D5895,"*"&amp;'Keyword Search'!$C$5&amp;"*"),TRUE,FALSE)</f>
        <v>1</v>
      </c>
      <c r="G5895" t="str">
        <f t="shared" si="380"/>
        <v>750-52: Flexible Base</v>
      </c>
    </row>
    <row r="5896" spans="1:7" x14ac:dyDescent="0.25">
      <c r="A5896" s="1" t="str">
        <f t="shared" si="378"/>
        <v>750</v>
      </c>
      <c r="B5896" s="1" t="str">
        <f>TEXT(54,"00")</f>
        <v>54</v>
      </c>
      <c r="C5896" s="1" t="str">
        <f t="shared" si="379"/>
        <v>750-54</v>
      </c>
      <c r="D5896" t="s">
        <v>5868</v>
      </c>
      <c r="E5896" t="b">
        <f>IF(COUNTIF(D5896,"*"&amp;'Keyword Search'!$C$5&amp;"*"),TRUE,FALSE)</f>
        <v>1</v>
      </c>
      <c r="G5896" t="str">
        <f t="shared" si="380"/>
        <v>750-54: Ice Control Aggregate (See Class 775 for Salt)</v>
      </c>
    </row>
    <row r="5897" spans="1:7" x14ac:dyDescent="0.25">
      <c r="A5897" s="1" t="str">
        <f t="shared" si="378"/>
        <v>750</v>
      </c>
      <c r="B5897" s="1" t="str">
        <f>TEXT(56,"00")</f>
        <v>56</v>
      </c>
      <c r="C5897" s="1" t="str">
        <f t="shared" si="379"/>
        <v>750-56</v>
      </c>
      <c r="D5897" t="s">
        <v>5869</v>
      </c>
      <c r="E5897" t="b">
        <f>IF(COUNTIF(D5897,"*"&amp;'Keyword Search'!$C$5&amp;"*"),TRUE,FALSE)</f>
        <v>1</v>
      </c>
      <c r="G5897" t="str">
        <f t="shared" si="380"/>
        <v>750-56: Lightweight Aggregate, All Types</v>
      </c>
    </row>
    <row r="5898" spans="1:7" x14ac:dyDescent="0.25">
      <c r="A5898" s="1" t="str">
        <f t="shared" si="378"/>
        <v>750</v>
      </c>
      <c r="B5898" s="1" t="str">
        <f>TEXT(59,"00")</f>
        <v>59</v>
      </c>
      <c r="C5898" s="1" t="str">
        <f t="shared" si="379"/>
        <v>750-59</v>
      </c>
      <c r="D5898" t="s">
        <v>5870</v>
      </c>
      <c r="E5898" t="b">
        <f>IF(COUNTIF(D5898,"*"&amp;'Keyword Search'!$C$5&amp;"*"),TRUE,FALSE)</f>
        <v>1</v>
      </c>
      <c r="G5898" t="str">
        <f t="shared" si="380"/>
        <v>750-59: Mixers, Mobile, Concrete</v>
      </c>
    </row>
    <row r="5899" spans="1:7" x14ac:dyDescent="0.25">
      <c r="A5899" s="1" t="str">
        <f t="shared" si="378"/>
        <v>750</v>
      </c>
      <c r="B5899" s="1" t="str">
        <f>TEXT(60,"00")</f>
        <v>60</v>
      </c>
      <c r="C5899" s="1" t="str">
        <f t="shared" si="379"/>
        <v>750-60</v>
      </c>
      <c r="D5899" t="s">
        <v>5871</v>
      </c>
      <c r="E5899" t="b">
        <f>IF(COUNTIF(D5899,"*"&amp;'Keyword Search'!$C$5&amp;"*"),TRUE,FALSE)</f>
        <v>1</v>
      </c>
      <c r="G5899" t="str">
        <f t="shared" si="380"/>
        <v>750-60: Patching Materials (Not Asphaltic)</v>
      </c>
    </row>
    <row r="5900" spans="1:7" x14ac:dyDescent="0.25">
      <c r="A5900" s="1" t="str">
        <f t="shared" si="378"/>
        <v>750</v>
      </c>
      <c r="B5900" s="1" t="str">
        <f>TEXT(62,"00")</f>
        <v>62</v>
      </c>
      <c r="C5900" s="1" t="str">
        <f t="shared" si="379"/>
        <v>750-62</v>
      </c>
      <c r="D5900" t="s">
        <v>5872</v>
      </c>
      <c r="E5900" t="b">
        <f>IF(COUNTIF(D5900,"*"&amp;'Keyword Search'!$C$5&amp;"*"),TRUE,FALSE)</f>
        <v>1</v>
      </c>
      <c r="G5900" t="str">
        <f t="shared" si="380"/>
        <v>750-62: Permanent Metal Deck Forms (PMDF) for Bridge Deck</v>
      </c>
    </row>
    <row r="5901" spans="1:7" x14ac:dyDescent="0.25">
      <c r="A5901" s="1" t="str">
        <f t="shared" si="378"/>
        <v>750</v>
      </c>
      <c r="B5901" s="1" t="str">
        <f>TEXT(70,"00")</f>
        <v>70</v>
      </c>
      <c r="C5901" s="1" t="str">
        <f t="shared" si="379"/>
        <v>750-70</v>
      </c>
      <c r="D5901" t="s">
        <v>5873</v>
      </c>
      <c r="E5901" t="b">
        <f>IF(COUNTIF(D5901,"*"&amp;'Keyword Search'!$C$5&amp;"*"),TRUE,FALSE)</f>
        <v>1</v>
      </c>
      <c r="G5901" t="str">
        <f t="shared" si="380"/>
        <v>750-70: Ready-Mix Concrete (See 150-12 for Bagged Concrete)</v>
      </c>
    </row>
    <row r="5902" spans="1:7" x14ac:dyDescent="0.25">
      <c r="A5902" s="1" t="str">
        <f t="shared" si="378"/>
        <v>750</v>
      </c>
      <c r="B5902" s="1" t="str">
        <f>TEXT(72,"00")</f>
        <v>72</v>
      </c>
      <c r="C5902" s="1" t="str">
        <f t="shared" si="379"/>
        <v>750-72</v>
      </c>
      <c r="D5902" t="s">
        <v>5874</v>
      </c>
      <c r="E5902" t="b">
        <f>IF(COUNTIF(D5902,"*"&amp;'Keyword Search'!$C$5&amp;"*"),TRUE,FALSE)</f>
        <v>1</v>
      </c>
      <c r="G5902" t="str">
        <f t="shared" si="380"/>
        <v>750-72: Recycled Bulk Concrete and Other Road Materials (See 745-68 for Recycled Asphalt)</v>
      </c>
    </row>
    <row r="5903" spans="1:7" x14ac:dyDescent="0.25">
      <c r="A5903" s="1" t="str">
        <f t="shared" si="378"/>
        <v>750</v>
      </c>
      <c r="B5903" s="1" t="str">
        <f>TEXT(77,"00")</f>
        <v>77</v>
      </c>
      <c r="C5903" s="1" t="str">
        <f t="shared" si="379"/>
        <v>750-77</v>
      </c>
      <c r="D5903" t="s">
        <v>5875</v>
      </c>
      <c r="E5903" t="b">
        <f>IF(COUNTIF(D5903,"*"&amp;'Keyword Search'!$C$5&amp;"*"),TRUE,FALSE)</f>
        <v>1</v>
      </c>
      <c r="G5903" t="str">
        <f t="shared" si="380"/>
        <v>750-77: Sand and Gravel</v>
      </c>
    </row>
    <row r="5904" spans="1:7" x14ac:dyDescent="0.25">
      <c r="A5904" s="1" t="str">
        <f t="shared" si="378"/>
        <v>750</v>
      </c>
      <c r="B5904" s="1" t="str">
        <f>TEXT(84,"00")</f>
        <v>84</v>
      </c>
      <c r="C5904" s="1" t="str">
        <f t="shared" si="379"/>
        <v>750-84</v>
      </c>
      <c r="D5904" t="s">
        <v>5876</v>
      </c>
      <c r="E5904" t="b">
        <f>IF(COUNTIF(D5904,"*"&amp;'Keyword Search'!$C$5&amp;"*"),TRUE,FALSE)</f>
        <v>1</v>
      </c>
      <c r="G5904" t="str">
        <f t="shared" si="380"/>
        <v>750-84: Shell</v>
      </c>
    </row>
    <row r="5905" spans="1:7" x14ac:dyDescent="0.25">
      <c r="A5905" s="1" t="str">
        <f t="shared" si="378"/>
        <v>750</v>
      </c>
      <c r="B5905" s="1" t="str">
        <f>TEXT(89,"00")</f>
        <v>89</v>
      </c>
      <c r="C5905" s="1" t="str">
        <f t="shared" si="379"/>
        <v>750-89</v>
      </c>
      <c r="D5905" t="s">
        <v>5877</v>
      </c>
      <c r="E5905" t="b">
        <f>IF(COUNTIF(D5905,"*"&amp;'Keyword Search'!$C$5&amp;"*"),TRUE,FALSE)</f>
        <v>1</v>
      </c>
      <c r="G5905" t="str">
        <f t="shared" si="380"/>
        <v>750-89: Slag</v>
      </c>
    </row>
    <row r="5906" spans="1:7" x14ac:dyDescent="0.25">
      <c r="A5906" s="1" t="str">
        <f t="shared" si="378"/>
        <v>750</v>
      </c>
      <c r="B5906" s="1" t="str">
        <f>TEXT(91,"00")</f>
        <v>91</v>
      </c>
      <c r="C5906" s="1" t="str">
        <f t="shared" si="379"/>
        <v>750-91</v>
      </c>
      <c r="D5906" t="s">
        <v>5878</v>
      </c>
      <c r="E5906" t="b">
        <f>IF(COUNTIF(D5906,"*"&amp;'Keyword Search'!$C$5&amp;"*"),TRUE,FALSE)</f>
        <v>1</v>
      </c>
      <c r="G5906" t="str">
        <f t="shared" si="380"/>
        <v>750-91: Stabilized Base</v>
      </c>
    </row>
    <row r="5907" spans="1:7" x14ac:dyDescent="0.25">
      <c r="A5907" s="1" t="str">
        <f t="shared" si="378"/>
        <v>750</v>
      </c>
      <c r="B5907" s="1" t="str">
        <f>TEXT(93,"00")</f>
        <v>93</v>
      </c>
      <c r="C5907" s="1" t="str">
        <f t="shared" si="379"/>
        <v>750-93</v>
      </c>
      <c r="D5907" t="s">
        <v>5879</v>
      </c>
      <c r="E5907" t="b">
        <f>IF(COUNTIF(D5907,"*"&amp;'Keyword Search'!$C$5&amp;"*"),TRUE,FALSE)</f>
        <v>1</v>
      </c>
      <c r="G5907" t="str">
        <f t="shared" si="380"/>
        <v>750-93: Storage Bins, Aggregate</v>
      </c>
    </row>
    <row r="5908" spans="1:7" x14ac:dyDescent="0.25">
      <c r="A5908" s="1" t="str">
        <f t="shared" si="378"/>
        <v>750</v>
      </c>
      <c r="B5908" s="1" t="str">
        <f>TEXT(95,"00")</f>
        <v>95</v>
      </c>
      <c r="C5908" s="1" t="str">
        <f t="shared" si="379"/>
        <v>750-95</v>
      </c>
      <c r="D5908" t="s">
        <v>5880</v>
      </c>
      <c r="E5908" t="b">
        <f>IF(COUNTIF(D5908,"*"&amp;'Keyword Search'!$C$5&amp;"*"),TRUE,FALSE)</f>
        <v>1</v>
      </c>
      <c r="G5908" t="str">
        <f t="shared" si="380"/>
        <v>750-95: White (Hydrated) Lime (See 150-12 for Bagged Lime)</v>
      </c>
    </row>
    <row r="5909" spans="1:7" x14ac:dyDescent="0.25">
      <c r="A5909" s="1" t="str">
        <f t="shared" si="378"/>
        <v>750</v>
      </c>
      <c r="B5909" s="1" t="str">
        <f>TEXT(96,"00")</f>
        <v>96</v>
      </c>
      <c r="C5909" s="1" t="str">
        <f t="shared" si="379"/>
        <v>750-96</v>
      </c>
      <c r="D5909" t="s">
        <v>5881</v>
      </c>
      <c r="E5909" t="b">
        <f>IF(COUNTIF(D5909,"*"&amp;'Keyword Search'!$C$5&amp;"*"),TRUE,FALSE)</f>
        <v>1</v>
      </c>
      <c r="G5909" t="str">
        <f t="shared" si="380"/>
        <v>750-96: Water for Road and Highway Use</v>
      </c>
    </row>
    <row r="5910" spans="1:7" x14ac:dyDescent="0.25">
      <c r="A5910" s="5" t="str">
        <f t="shared" ref="A5910:A5936" si="381">TEXT(755,"000")</f>
        <v>755</v>
      </c>
      <c r="B5910" s="5" t="str">
        <f>TEXT(0,"00")</f>
        <v>00</v>
      </c>
      <c r="C5910" s="1"/>
      <c r="D5910" s="2" t="s">
        <v>5882</v>
      </c>
    </row>
    <row r="5911" spans="1:7" x14ac:dyDescent="0.25">
      <c r="A5911" s="1" t="str">
        <f t="shared" si="381"/>
        <v>755</v>
      </c>
      <c r="B5911" s="1" t="str">
        <f>TEXT(6,"00")</f>
        <v>06</v>
      </c>
      <c r="C5911" s="1" t="str">
        <f t="shared" si="379"/>
        <v>755-06</v>
      </c>
      <c r="D5911" t="s">
        <v>5883</v>
      </c>
      <c r="E5911" t="b">
        <f>IF(COUNTIF(D5911,"*"&amp;'Keyword Search'!$C$5&amp;"*"),TRUE,FALSE)</f>
        <v>1</v>
      </c>
      <c r="G5911" t="str">
        <f t="shared" si="380"/>
        <v>755-06: Adhesive Applicator, Gas Fired Marker</v>
      </c>
    </row>
    <row r="5912" spans="1:7" x14ac:dyDescent="0.25">
      <c r="A5912" s="1" t="str">
        <f t="shared" si="381"/>
        <v>755</v>
      </c>
      <c r="B5912" s="1" t="str">
        <f>TEXT(8,"00")</f>
        <v>08</v>
      </c>
      <c r="C5912" s="1" t="str">
        <f t="shared" si="379"/>
        <v>755-08</v>
      </c>
      <c r="D5912" t="s">
        <v>5884</v>
      </c>
      <c r="E5912" t="b">
        <f>IF(COUNTIF(D5912,"*"&amp;'Keyword Search'!$C$5&amp;"*"),TRUE,FALSE)</f>
        <v>1</v>
      </c>
      <c r="G5912" t="str">
        <f t="shared" si="380"/>
        <v>755-08: Ash System Equipment, Fly and Bottom</v>
      </c>
    </row>
    <row r="5913" spans="1:7" x14ac:dyDescent="0.25">
      <c r="A5913" s="1" t="str">
        <f t="shared" si="381"/>
        <v>755</v>
      </c>
      <c r="B5913" s="1" t="str">
        <f>TEXT(10,"00")</f>
        <v>10</v>
      </c>
      <c r="C5913" s="1" t="str">
        <f t="shared" si="379"/>
        <v>755-10</v>
      </c>
      <c r="D5913" t="s">
        <v>5885</v>
      </c>
      <c r="E5913" t="b">
        <f>IF(COUNTIF(D5913,"*"&amp;'Keyword Search'!$C$5&amp;"*"),TRUE,FALSE)</f>
        <v>1</v>
      </c>
      <c r="G5913" t="str">
        <f t="shared" si="380"/>
        <v>755-10: Asphalt Distributors, Levelers, Mixers, Crack Sealing Equipment, etc. (See 755-40 for Tools)</v>
      </c>
    </row>
    <row r="5914" spans="1:7" x14ac:dyDescent="0.25">
      <c r="A5914" s="1" t="str">
        <f t="shared" si="381"/>
        <v>755</v>
      </c>
      <c r="B5914" s="1" t="str">
        <f>TEXT(15,"00")</f>
        <v>15</v>
      </c>
      <c r="C5914" s="1" t="str">
        <f t="shared" si="379"/>
        <v>755-15</v>
      </c>
      <c r="D5914" t="s">
        <v>5886</v>
      </c>
      <c r="E5914" t="b">
        <f>IF(COUNTIF(D5914,"*"&amp;'Keyword Search'!$C$5&amp;"*"),TRUE,FALSE)</f>
        <v>1</v>
      </c>
      <c r="G5914" t="str">
        <f t="shared" si="380"/>
        <v>755-15: Asphalt Heaters, Electric</v>
      </c>
    </row>
    <row r="5915" spans="1:7" x14ac:dyDescent="0.25">
      <c r="A5915" s="1" t="str">
        <f t="shared" si="381"/>
        <v>755</v>
      </c>
      <c r="B5915" s="1" t="str">
        <f>TEXT(20,"00")</f>
        <v>20</v>
      </c>
      <c r="C5915" s="1" t="str">
        <f t="shared" si="379"/>
        <v>755-20</v>
      </c>
      <c r="D5915" t="s">
        <v>5887</v>
      </c>
      <c r="E5915" t="b">
        <f>IF(COUNTIF(D5915,"*"&amp;'Keyword Search'!$C$5&amp;"*"),TRUE,FALSE)</f>
        <v>1</v>
      </c>
      <c r="G5915" t="str">
        <f t="shared" si="380"/>
        <v>755-20: Asphalt Heaters, Gas Fired</v>
      </c>
    </row>
    <row r="5916" spans="1:7" x14ac:dyDescent="0.25">
      <c r="A5916" s="1" t="str">
        <f t="shared" si="381"/>
        <v>755</v>
      </c>
      <c r="B5916" s="1" t="str">
        <f>TEXT(25,"00")</f>
        <v>25</v>
      </c>
      <c r="C5916" s="1" t="str">
        <f t="shared" si="379"/>
        <v>755-25</v>
      </c>
      <c r="D5916" t="s">
        <v>5888</v>
      </c>
      <c r="E5916" t="b">
        <f>IF(COUNTIF(D5916,"*"&amp;'Keyword Search'!$C$5&amp;"*"),TRUE,FALSE)</f>
        <v>1</v>
      </c>
      <c r="G5916" t="str">
        <f t="shared" si="380"/>
        <v>755-25: Asphalt Heaters, Oil Fired</v>
      </c>
    </row>
    <row r="5917" spans="1:7" x14ac:dyDescent="0.25">
      <c r="A5917" s="1" t="str">
        <f t="shared" si="381"/>
        <v>755</v>
      </c>
      <c r="B5917" s="1" t="str">
        <f>TEXT(30,"00")</f>
        <v>30</v>
      </c>
      <c r="C5917" s="1" t="str">
        <f t="shared" si="379"/>
        <v>755-30</v>
      </c>
      <c r="D5917" t="s">
        <v>5889</v>
      </c>
      <c r="E5917" t="b">
        <f>IF(COUNTIF(D5917,"*"&amp;'Keyword Search'!$C$5&amp;"*"),TRUE,FALSE)</f>
        <v>1</v>
      </c>
      <c r="G5917" t="str">
        <f t="shared" si="380"/>
        <v>755-30: Asphalt Pavers, Self-Propelled Type</v>
      </c>
    </row>
    <row r="5918" spans="1:7" x14ac:dyDescent="0.25">
      <c r="A5918" s="1" t="str">
        <f t="shared" si="381"/>
        <v>755</v>
      </c>
      <c r="B5918" s="1" t="str">
        <f>TEXT(35,"00")</f>
        <v>35</v>
      </c>
      <c r="C5918" s="1" t="str">
        <f t="shared" si="379"/>
        <v>755-35</v>
      </c>
      <c r="D5918" t="s">
        <v>5890</v>
      </c>
      <c r="E5918" t="b">
        <f>IF(COUNTIF(D5918,"*"&amp;'Keyword Search'!$C$5&amp;"*"),TRUE,FALSE)</f>
        <v>1</v>
      </c>
      <c r="G5918" t="str">
        <f t="shared" si="380"/>
        <v>755-35: Asphalt Pavers, Towed Type</v>
      </c>
    </row>
    <row r="5919" spans="1:7" x14ac:dyDescent="0.25">
      <c r="A5919" s="1" t="str">
        <f t="shared" si="381"/>
        <v>755</v>
      </c>
      <c r="B5919" s="1" t="str">
        <f>TEXT(37,"00")</f>
        <v>37</v>
      </c>
      <c r="C5919" s="1" t="str">
        <f t="shared" si="379"/>
        <v>755-37</v>
      </c>
      <c r="D5919" t="s">
        <v>5891</v>
      </c>
      <c r="E5919" t="b">
        <f>IF(COUNTIF(D5919,"*"&amp;'Keyword Search'!$C$5&amp;"*"),TRUE,FALSE)</f>
        <v>1</v>
      </c>
      <c r="G5919" t="str">
        <f t="shared" si="380"/>
        <v>755-37: Asphalt and Concrete Recycling Equipment</v>
      </c>
    </row>
    <row r="5920" spans="1:7" x14ac:dyDescent="0.25">
      <c r="A5920" s="1" t="str">
        <f t="shared" si="381"/>
        <v>755</v>
      </c>
      <c r="B5920" s="1" t="str">
        <f>TEXT(40,"00")</f>
        <v>40</v>
      </c>
      <c r="C5920" s="1" t="str">
        <f t="shared" si="379"/>
        <v>755-40</v>
      </c>
      <c r="D5920" t="s">
        <v>5892</v>
      </c>
      <c r="E5920" t="b">
        <f>IF(COUNTIF(D5920,"*"&amp;'Keyword Search'!$C$5&amp;"*"),TRUE,FALSE)</f>
        <v>1</v>
      </c>
      <c r="G5920" t="str">
        <f t="shared" si="380"/>
        <v>755-40: Asphalt Tools: Buckets, Cutters, Lutes, Pouring Pots, Rakes, etc.</v>
      </c>
    </row>
    <row r="5921" spans="1:7" x14ac:dyDescent="0.25">
      <c r="A5921" s="1" t="str">
        <f t="shared" si="381"/>
        <v>755</v>
      </c>
      <c r="B5921" s="1" t="str">
        <f>TEXT(43,"00")</f>
        <v>43</v>
      </c>
      <c r="C5921" s="1" t="str">
        <f t="shared" si="379"/>
        <v>755-43</v>
      </c>
      <c r="D5921" t="s">
        <v>5893</v>
      </c>
      <c r="E5921" t="b">
        <f>IF(COUNTIF(D5921,"*"&amp;'Keyword Search'!$C$5&amp;"*"),TRUE,FALSE)</f>
        <v>1</v>
      </c>
      <c r="G5921" t="str">
        <f t="shared" si="380"/>
        <v>755-43: Asphalt and Concrete Scrapers, Profilers, and Milling Machines, Powered, Complete</v>
      </c>
    </row>
    <row r="5922" spans="1:7" x14ac:dyDescent="0.25">
      <c r="A5922" s="1" t="str">
        <f t="shared" si="381"/>
        <v>755</v>
      </c>
      <c r="B5922" s="1" t="str">
        <f>TEXT(45,"00")</f>
        <v>45</v>
      </c>
      <c r="C5922" s="1" t="str">
        <f t="shared" si="379"/>
        <v>755-45</v>
      </c>
      <c r="D5922" t="s">
        <v>5894</v>
      </c>
      <c r="E5922" t="b">
        <f>IF(COUNTIF(D5922,"*"&amp;'Keyword Search'!$C$5&amp;"*"),TRUE,FALSE)</f>
        <v>1</v>
      </c>
      <c r="G5922" t="str">
        <f t="shared" si="380"/>
        <v>755-45: Batchers and Dryers</v>
      </c>
    </row>
    <row r="5923" spans="1:7" x14ac:dyDescent="0.25">
      <c r="A5923" s="1" t="str">
        <f t="shared" si="381"/>
        <v>755</v>
      </c>
      <c r="B5923" s="1" t="str">
        <f>TEXT(47,"00")</f>
        <v>47</v>
      </c>
      <c r="C5923" s="1" t="str">
        <f t="shared" si="379"/>
        <v>755-47</v>
      </c>
      <c r="D5923" t="s">
        <v>5895</v>
      </c>
      <c r="E5923" t="b">
        <f>IF(COUNTIF(D5923,"*"&amp;'Keyword Search'!$C$5&amp;"*"),TRUE,FALSE)</f>
        <v>1</v>
      </c>
      <c r="G5923" t="str">
        <f t="shared" si="380"/>
        <v>755-47: Concrete and Asphalt Power Gun Sprayers</v>
      </c>
    </row>
    <row r="5924" spans="1:7" x14ac:dyDescent="0.25">
      <c r="A5924" s="1" t="str">
        <f t="shared" si="381"/>
        <v>755</v>
      </c>
      <c r="B5924" s="1" t="str">
        <f>TEXT(50,"00")</f>
        <v>50</v>
      </c>
      <c r="C5924" s="1" t="str">
        <f t="shared" si="379"/>
        <v>755-50</v>
      </c>
      <c r="D5924" t="s">
        <v>5896</v>
      </c>
      <c r="E5924" t="b">
        <f>IF(COUNTIF(D5924,"*"&amp;'Keyword Search'!$C$5&amp;"*"),TRUE,FALSE)</f>
        <v>1</v>
      </c>
      <c r="G5924" t="str">
        <f t="shared" si="380"/>
        <v>755-50: Concrete Buckets</v>
      </c>
    </row>
    <row r="5925" spans="1:7" x14ac:dyDescent="0.25">
      <c r="A5925" s="1" t="str">
        <f t="shared" si="381"/>
        <v>755</v>
      </c>
      <c r="B5925" s="1" t="str">
        <f>TEXT(55,"00")</f>
        <v>55</v>
      </c>
      <c r="C5925" s="1" t="str">
        <f t="shared" si="379"/>
        <v>755-55</v>
      </c>
      <c r="D5925" t="s">
        <v>5897</v>
      </c>
      <c r="E5925" t="b">
        <f>IF(COUNTIF(D5925,"*"&amp;'Keyword Search'!$C$5&amp;"*"),TRUE,FALSE)</f>
        <v>1</v>
      </c>
      <c r="G5925" t="str">
        <f t="shared" si="380"/>
        <v>755-55: Concrete Buggies, Carts, Screeding Machines, Screens, etc.</v>
      </c>
    </row>
    <row r="5926" spans="1:7" x14ac:dyDescent="0.25">
      <c r="A5926" s="1" t="str">
        <f t="shared" si="381"/>
        <v>755</v>
      </c>
      <c r="B5926" s="1" t="str">
        <f>TEXT(60,"00")</f>
        <v>60</v>
      </c>
      <c r="C5926" s="1" t="str">
        <f t="shared" si="379"/>
        <v>755-60</v>
      </c>
      <c r="D5926" t="s">
        <v>5898</v>
      </c>
      <c r="E5926" t="b">
        <f>IF(COUNTIF(D5926,"*"&amp;'Keyword Search'!$C$5&amp;"*"),TRUE,FALSE)</f>
        <v>1</v>
      </c>
      <c r="G5926" t="str">
        <f t="shared" si="380"/>
        <v>755-60: Concrete Curbers, Gutter Machines and Accessories</v>
      </c>
    </row>
    <row r="5927" spans="1:7" x14ac:dyDescent="0.25">
      <c r="A5927" s="1" t="str">
        <f t="shared" si="381"/>
        <v>755</v>
      </c>
      <c r="B5927" s="1" t="str">
        <f>TEXT(65,"00")</f>
        <v>65</v>
      </c>
      <c r="C5927" s="1" t="str">
        <f t="shared" si="379"/>
        <v>755-65</v>
      </c>
      <c r="D5927" t="s">
        <v>5899</v>
      </c>
      <c r="E5927" t="b">
        <f>IF(COUNTIF(D5927,"*"&amp;'Keyword Search'!$C$5&amp;"*"),TRUE,FALSE)</f>
        <v>1</v>
      </c>
      <c r="G5927" t="str">
        <f t="shared" si="380"/>
        <v>755-65: Concrete Cutters, Saws, Multipurpose Saws, and Accessories</v>
      </c>
    </row>
    <row r="5928" spans="1:7" x14ac:dyDescent="0.25">
      <c r="A5928" s="1" t="str">
        <f t="shared" si="381"/>
        <v>755</v>
      </c>
      <c r="B5928" s="1" t="str">
        <f>TEXT(70,"00")</f>
        <v>70</v>
      </c>
      <c r="C5928" s="1" t="str">
        <f t="shared" si="379"/>
        <v>755-70</v>
      </c>
      <c r="D5928" t="s">
        <v>5900</v>
      </c>
      <c r="E5928" t="b">
        <f>IF(COUNTIF(D5928,"*"&amp;'Keyword Search'!$C$5&amp;"*"),TRUE,FALSE)</f>
        <v>1</v>
      </c>
      <c r="G5928" t="str">
        <f t="shared" si="380"/>
        <v>755-70: Concrete Finishers, Power Driven</v>
      </c>
    </row>
    <row r="5929" spans="1:7" x14ac:dyDescent="0.25">
      <c r="A5929" s="1" t="str">
        <f t="shared" si="381"/>
        <v>755</v>
      </c>
      <c r="B5929" s="1" t="str">
        <f>TEXT(73,"00")</f>
        <v>73</v>
      </c>
      <c r="C5929" s="1" t="str">
        <f t="shared" si="379"/>
        <v>755-73</v>
      </c>
      <c r="D5929" t="s">
        <v>5901</v>
      </c>
      <c r="E5929" t="b">
        <f>IF(COUNTIF(D5929,"*"&amp;'Keyword Search'!$C$5&amp;"*"),TRUE,FALSE)</f>
        <v>1</v>
      </c>
      <c r="G5929" t="str">
        <f t="shared" si="380"/>
        <v>755-73: Concrete Form Tubes and Boxes, For Forming Concrete Columns, etc., All Kinds</v>
      </c>
    </row>
    <row r="5930" spans="1:7" x14ac:dyDescent="0.25">
      <c r="A5930" s="1" t="str">
        <f t="shared" si="381"/>
        <v>755</v>
      </c>
      <c r="B5930" s="1" t="str">
        <f>TEXT(74,"00")</f>
        <v>74</v>
      </c>
      <c r="C5930" s="1" t="str">
        <f t="shared" si="379"/>
        <v>755-74</v>
      </c>
      <c r="D5930" t="s">
        <v>5902</v>
      </c>
      <c r="E5930" t="b">
        <f>IF(COUNTIF(D5930,"*"&amp;'Keyword Search'!$C$5&amp;"*"),TRUE,FALSE)</f>
        <v>1</v>
      </c>
      <c r="G5930" t="str">
        <f t="shared" si="380"/>
        <v>755-74: Concrete Heaters and Accessories</v>
      </c>
    </row>
    <row r="5931" spans="1:7" x14ac:dyDescent="0.25">
      <c r="A5931" s="1" t="str">
        <f t="shared" si="381"/>
        <v>755</v>
      </c>
      <c r="B5931" s="1" t="str">
        <f>TEXT(75,"00")</f>
        <v>75</v>
      </c>
      <c r="C5931" s="1" t="str">
        <f t="shared" si="379"/>
        <v>755-75</v>
      </c>
      <c r="D5931" t="s">
        <v>5903</v>
      </c>
      <c r="E5931" t="b">
        <f>IF(COUNTIF(D5931,"*"&amp;'Keyword Search'!$C$5&amp;"*"),TRUE,FALSE)</f>
        <v>1</v>
      </c>
      <c r="G5931" t="str">
        <f t="shared" si="380"/>
        <v>755-75: Concrete Joint Cleaning and Routing Machines</v>
      </c>
    </row>
    <row r="5932" spans="1:7" x14ac:dyDescent="0.25">
      <c r="A5932" s="1" t="str">
        <f t="shared" si="381"/>
        <v>755</v>
      </c>
      <c r="B5932" s="1" t="str">
        <f>TEXT(80,"00")</f>
        <v>80</v>
      </c>
      <c r="C5932" s="1" t="str">
        <f t="shared" si="379"/>
        <v>755-80</v>
      </c>
      <c r="D5932" t="s">
        <v>5904</v>
      </c>
      <c r="E5932" t="b">
        <f>IF(COUNTIF(D5932,"*"&amp;'Keyword Search'!$C$5&amp;"*"),TRUE,FALSE)</f>
        <v>1</v>
      </c>
      <c r="G5932" t="str">
        <f t="shared" si="380"/>
        <v>755-80: Concrete and Mortar Mixers</v>
      </c>
    </row>
    <row r="5933" spans="1:7" x14ac:dyDescent="0.25">
      <c r="A5933" s="1" t="str">
        <f t="shared" si="381"/>
        <v>755</v>
      </c>
      <c r="B5933" s="1" t="str">
        <f>TEXT(85,"00")</f>
        <v>85</v>
      </c>
      <c r="C5933" s="1" t="str">
        <f t="shared" si="379"/>
        <v>755-85</v>
      </c>
      <c r="D5933" t="s">
        <v>5905</v>
      </c>
      <c r="E5933" t="b">
        <f>IF(COUNTIF(D5933,"*"&amp;'Keyword Search'!$C$5&amp;"*"),TRUE,FALSE)</f>
        <v>1</v>
      </c>
      <c r="G5933" t="str">
        <f t="shared" si="380"/>
        <v>755-85: Concrete Vibrators</v>
      </c>
    </row>
    <row r="5934" spans="1:7" x14ac:dyDescent="0.25">
      <c r="A5934" s="1" t="str">
        <f t="shared" si="381"/>
        <v>755</v>
      </c>
      <c r="B5934" s="1" t="str">
        <f>TEXT(90,"00")</f>
        <v>90</v>
      </c>
      <c r="C5934" s="1" t="str">
        <f t="shared" si="379"/>
        <v>755-90</v>
      </c>
      <c r="D5934" t="s">
        <v>5906</v>
      </c>
      <c r="E5934" t="b">
        <f>IF(COUNTIF(D5934,"*"&amp;'Keyword Search'!$C$5&amp;"*"),TRUE,FALSE)</f>
        <v>1</v>
      </c>
      <c r="G5934" t="str">
        <f t="shared" si="380"/>
        <v>755-90: Sensors, Road, To detect Ice/Snow on Bridges, etc.</v>
      </c>
    </row>
    <row r="5935" spans="1:7" x14ac:dyDescent="0.25">
      <c r="A5935" s="1" t="str">
        <f t="shared" si="381"/>
        <v>755</v>
      </c>
      <c r="B5935" s="1" t="str">
        <f>TEXT(92,"00")</f>
        <v>92</v>
      </c>
      <c r="C5935" s="1" t="str">
        <f t="shared" si="379"/>
        <v>755-92</v>
      </c>
      <c r="D5935" t="s">
        <v>5907</v>
      </c>
      <c r="E5935" t="b">
        <f>IF(COUNTIF(D5935,"*"&amp;'Keyword Search'!$C$5&amp;"*"),TRUE,FALSE)</f>
        <v>1</v>
      </c>
      <c r="G5935" t="str">
        <f t="shared" si="380"/>
        <v>755-92: Thermometers: Pavement and Thermoplastic</v>
      </c>
    </row>
    <row r="5936" spans="1:7" x14ac:dyDescent="0.25">
      <c r="A5936" s="1" t="str">
        <f t="shared" si="381"/>
        <v>755</v>
      </c>
      <c r="B5936" s="1" t="str">
        <f>TEXT(95,"00")</f>
        <v>95</v>
      </c>
      <c r="C5936" s="1" t="str">
        <f t="shared" si="379"/>
        <v>755-95</v>
      </c>
      <c r="D5936" t="s">
        <v>5908</v>
      </c>
      <c r="E5936" t="b">
        <f>IF(COUNTIF(D5936,"*"&amp;'Keyword Search'!$C$5&amp;"*"),TRUE,FALSE)</f>
        <v>1</v>
      </c>
      <c r="G5936" t="str">
        <f t="shared" si="380"/>
        <v>755-95: Recycled Asphalt and Concrete Handling Equipment, Accessories and Supplies</v>
      </c>
    </row>
    <row r="5937" spans="1:7" x14ac:dyDescent="0.25">
      <c r="A5937" s="5" t="str">
        <f t="shared" ref="A5937:A5973" si="382">TEXT(760,"000")</f>
        <v>760</v>
      </c>
      <c r="B5937" s="5" t="str">
        <f>TEXT(0,"00")</f>
        <v>00</v>
      </c>
      <c r="C5937" s="1"/>
      <c r="D5937" s="2" t="s">
        <v>5909</v>
      </c>
    </row>
    <row r="5938" spans="1:7" x14ac:dyDescent="0.25">
      <c r="A5938" s="1" t="str">
        <f t="shared" si="382"/>
        <v>760</v>
      </c>
      <c r="B5938" s="1" t="str">
        <f>TEXT(3,"00")</f>
        <v>03</v>
      </c>
      <c r="C5938" s="1" t="str">
        <f t="shared" si="379"/>
        <v>760-03</v>
      </c>
      <c r="D5938" t="s">
        <v>5910</v>
      </c>
      <c r="E5938" t="b">
        <f>IF(COUNTIF(D5938,"*"&amp;'Keyword Search'!$C$5&amp;"*"),TRUE,FALSE)</f>
        <v>1</v>
      </c>
      <c r="G5938" t="str">
        <f t="shared" si="380"/>
        <v>760-03: Backhoes</v>
      </c>
    </row>
    <row r="5939" spans="1:7" x14ac:dyDescent="0.25">
      <c r="A5939" s="1" t="str">
        <f t="shared" si="382"/>
        <v>760</v>
      </c>
      <c r="B5939" s="1" t="str">
        <f>TEXT(4,"00")</f>
        <v>04</v>
      </c>
      <c r="C5939" s="1" t="str">
        <f t="shared" si="379"/>
        <v>760-04</v>
      </c>
      <c r="D5939" t="s">
        <v>5911</v>
      </c>
      <c r="E5939" t="b">
        <f>IF(COUNTIF(D5939,"*"&amp;'Keyword Search'!$C$5&amp;"*"),TRUE,FALSE)</f>
        <v>1</v>
      </c>
      <c r="G5939" t="str">
        <f t="shared" si="380"/>
        <v>760-04: Backhoe Loader Combination</v>
      </c>
    </row>
    <row r="5940" spans="1:7" x14ac:dyDescent="0.25">
      <c r="A5940" s="1" t="str">
        <f t="shared" si="382"/>
        <v>760</v>
      </c>
      <c r="B5940" s="1" t="str">
        <f>TEXT(5,"00")</f>
        <v>05</v>
      </c>
      <c r="C5940" s="1" t="str">
        <f t="shared" si="379"/>
        <v>760-05</v>
      </c>
      <c r="D5940" t="s">
        <v>5912</v>
      </c>
      <c r="E5940" t="b">
        <f>IF(COUNTIF(D5940,"*"&amp;'Keyword Search'!$C$5&amp;"*"),TRUE,FALSE)</f>
        <v>1</v>
      </c>
      <c r="G5940" t="str">
        <f t="shared" si="380"/>
        <v>760-05: Beach Cleaners</v>
      </c>
    </row>
    <row r="5941" spans="1:7" x14ac:dyDescent="0.25">
      <c r="A5941" s="1" t="str">
        <f t="shared" si="382"/>
        <v>760</v>
      </c>
      <c r="B5941" s="1" t="str">
        <f>TEXT(6,"00")</f>
        <v>06</v>
      </c>
      <c r="C5941" s="1" t="str">
        <f t="shared" si="379"/>
        <v>760-06</v>
      </c>
      <c r="D5941" t="s">
        <v>5913</v>
      </c>
      <c r="E5941" t="b">
        <f>IF(COUNTIF(D5941,"*"&amp;'Keyword Search'!$C$5&amp;"*"),TRUE,FALSE)</f>
        <v>1</v>
      </c>
      <c r="G5941" t="str">
        <f t="shared" si="380"/>
        <v>760-06: Blades and Edges: Dozer, Grader, Scraper, Snow Plow, etc.</v>
      </c>
    </row>
    <row r="5942" spans="1:7" x14ac:dyDescent="0.25">
      <c r="A5942" s="1" t="str">
        <f t="shared" si="382"/>
        <v>760</v>
      </c>
      <c r="B5942" s="1" t="str">
        <f>TEXT(10,"00")</f>
        <v>10</v>
      </c>
      <c r="C5942" s="1" t="str">
        <f t="shared" si="379"/>
        <v>760-10</v>
      </c>
      <c r="D5942" t="s">
        <v>5914</v>
      </c>
      <c r="E5942" t="b">
        <f>IF(COUNTIF(D5942,"*"&amp;'Keyword Search'!$C$5&amp;"*"),TRUE,FALSE)</f>
        <v>1</v>
      </c>
      <c r="G5942" t="str">
        <f t="shared" si="380"/>
        <v>760-10: Buckets: Ditchers, Draglines, Loaders, etc.</v>
      </c>
    </row>
    <row r="5943" spans="1:7" x14ac:dyDescent="0.25">
      <c r="A5943" s="1" t="str">
        <f t="shared" si="382"/>
        <v>760</v>
      </c>
      <c r="B5943" s="1" t="str">
        <f>TEXT(11,"00")</f>
        <v>11</v>
      </c>
      <c r="C5943" s="1" t="str">
        <f t="shared" si="379"/>
        <v>760-11</v>
      </c>
      <c r="D5943" t="s">
        <v>5915</v>
      </c>
      <c r="E5943" t="b">
        <f>IF(COUNTIF(D5943,"*"&amp;'Keyword Search'!$C$5&amp;"*"),TRUE,FALSE)</f>
        <v>1</v>
      </c>
      <c r="G5943" t="str">
        <f t="shared" si="380"/>
        <v>760-11: Caps, Equipment: Dust and Rain</v>
      </c>
    </row>
    <row r="5944" spans="1:7" x14ac:dyDescent="0.25">
      <c r="A5944" s="1" t="str">
        <f t="shared" si="382"/>
        <v>760</v>
      </c>
      <c r="B5944" s="1" t="str">
        <f>TEXT(12,"00")</f>
        <v>12</v>
      </c>
      <c r="C5944" s="1" t="str">
        <f t="shared" si="379"/>
        <v>760-12</v>
      </c>
      <c r="D5944" t="s">
        <v>5916</v>
      </c>
      <c r="E5944" t="b">
        <f>IF(COUNTIF(D5944,"*"&amp;'Keyword Search'!$C$5&amp;"*"),TRUE,FALSE)</f>
        <v>1</v>
      </c>
      <c r="G5944" t="str">
        <f t="shared" si="380"/>
        <v>760-12: Cruise Control Units, Low Speed, For Road Equipment</v>
      </c>
    </row>
    <row r="5945" spans="1:7" x14ac:dyDescent="0.25">
      <c r="A5945" s="1" t="str">
        <f t="shared" si="382"/>
        <v>760</v>
      </c>
      <c r="B5945" s="1" t="str">
        <f>TEXT(13,"00")</f>
        <v>13</v>
      </c>
      <c r="C5945" s="1" t="str">
        <f t="shared" si="379"/>
        <v>760-13</v>
      </c>
      <c r="D5945" t="s">
        <v>5917</v>
      </c>
      <c r="E5945" t="b">
        <f>IF(COUNTIF(D5945,"*"&amp;'Keyword Search'!$C$5&amp;"*"),TRUE,FALSE)</f>
        <v>1</v>
      </c>
      <c r="G5945" t="str">
        <f t="shared" si="380"/>
        <v>760-13: Cylinders, Hydraulic</v>
      </c>
    </row>
    <row r="5946" spans="1:7" x14ac:dyDescent="0.25">
      <c r="A5946" s="1" t="str">
        <f t="shared" si="382"/>
        <v>760</v>
      </c>
      <c r="B5946" s="1" t="str">
        <f>TEXT(15,"00")</f>
        <v>15</v>
      </c>
      <c r="C5946" s="1" t="str">
        <f t="shared" si="379"/>
        <v>760-15</v>
      </c>
      <c r="D5946" t="s">
        <v>5918</v>
      </c>
      <c r="E5946" t="b">
        <f>IF(COUNTIF(D5946,"*"&amp;'Keyword Search'!$C$5&amp;"*"),TRUE,FALSE)</f>
        <v>1</v>
      </c>
      <c r="G5946" t="str">
        <f t="shared" si="380"/>
        <v>760-15: Ditch and Trenching Machines</v>
      </c>
    </row>
    <row r="5947" spans="1:7" x14ac:dyDescent="0.25">
      <c r="A5947" s="1" t="str">
        <f t="shared" si="382"/>
        <v>760</v>
      </c>
      <c r="B5947" s="1" t="str">
        <f>TEXT(16,"00")</f>
        <v>16</v>
      </c>
      <c r="C5947" s="1" t="str">
        <f t="shared" si="379"/>
        <v>760-16</v>
      </c>
      <c r="D5947" t="s">
        <v>5919</v>
      </c>
      <c r="E5947" t="b">
        <f>IF(COUNTIF(D5947,"*"&amp;'Keyword Search'!$C$5&amp;"*"),TRUE,FALSE)</f>
        <v>1</v>
      </c>
      <c r="G5947" t="str">
        <f t="shared" si="380"/>
        <v>760-16: Dredging Machines and Equipment</v>
      </c>
    </row>
    <row r="5948" spans="1:7" x14ac:dyDescent="0.25">
      <c r="A5948" s="1" t="str">
        <f t="shared" si="382"/>
        <v>760</v>
      </c>
      <c r="B5948" s="1" t="str">
        <f>TEXT(20,"00")</f>
        <v>20</v>
      </c>
      <c r="C5948" s="1" t="str">
        <f t="shared" si="379"/>
        <v>760-20</v>
      </c>
      <c r="D5948" t="s">
        <v>5920</v>
      </c>
      <c r="E5948" t="b">
        <f>IF(COUNTIF(D5948,"*"&amp;'Keyword Search'!$C$5&amp;"*"),TRUE,FALSE)</f>
        <v>1</v>
      </c>
      <c r="G5948" t="str">
        <f t="shared" si="380"/>
        <v>760-20: Earth Boring Machines</v>
      </c>
    </row>
    <row r="5949" spans="1:7" x14ac:dyDescent="0.25">
      <c r="A5949" s="1" t="str">
        <f t="shared" si="382"/>
        <v>760</v>
      </c>
      <c r="B5949" s="1" t="str">
        <f>TEXT(23,"00")</f>
        <v>23</v>
      </c>
      <c r="C5949" s="1" t="str">
        <f t="shared" si="379"/>
        <v>760-23</v>
      </c>
      <c r="D5949" t="s">
        <v>5921</v>
      </c>
      <c r="E5949" t="b">
        <f>IF(COUNTIF(D5949,"*"&amp;'Keyword Search'!$C$5&amp;"*"),TRUE,FALSE)</f>
        <v>1</v>
      </c>
      <c r="G5949" t="str">
        <f t="shared" si="380"/>
        <v>760-23: Earth Movers, Motorized</v>
      </c>
    </row>
    <row r="5950" spans="1:7" x14ac:dyDescent="0.25">
      <c r="A5950" s="1" t="str">
        <f t="shared" si="382"/>
        <v>760</v>
      </c>
      <c r="B5950" s="1" t="str">
        <f>TEXT(26,"00")</f>
        <v>26</v>
      </c>
      <c r="C5950" s="1" t="str">
        <f t="shared" si="379"/>
        <v>760-26</v>
      </c>
      <c r="D5950" t="s">
        <v>5922</v>
      </c>
      <c r="E5950" t="b">
        <f>IF(COUNTIF(D5950,"*"&amp;'Keyword Search'!$C$5&amp;"*"),TRUE,FALSE)</f>
        <v>1</v>
      </c>
      <c r="G5950" t="str">
        <f t="shared" si="380"/>
        <v>760-26: Earth Pulverizers and Grinders</v>
      </c>
    </row>
    <row r="5951" spans="1:7" x14ac:dyDescent="0.25">
      <c r="A5951" s="1" t="str">
        <f t="shared" si="382"/>
        <v>760</v>
      </c>
      <c r="B5951" s="1" t="str">
        <f>TEXT(27,"00")</f>
        <v>27</v>
      </c>
      <c r="C5951" s="1" t="str">
        <f t="shared" si="379"/>
        <v>760-27</v>
      </c>
      <c r="D5951" t="s">
        <v>5923</v>
      </c>
      <c r="E5951" t="b">
        <f>IF(COUNTIF(D5951,"*"&amp;'Keyword Search'!$C$5&amp;"*"),TRUE,FALSE)</f>
        <v>1</v>
      </c>
      <c r="G5951" t="str">
        <f t="shared" si="380"/>
        <v>760-27: Electrical Accessories, Heavy Equipment: Alternators, Ammeters, Coils, Distributors Generators, Ignition, Regulators, Starters, etc.</v>
      </c>
    </row>
    <row r="5952" spans="1:7" x14ac:dyDescent="0.25">
      <c r="A5952" s="1" t="str">
        <f t="shared" si="382"/>
        <v>760</v>
      </c>
      <c r="B5952" s="1" t="str">
        <f>TEXT(28,"00")</f>
        <v>28</v>
      </c>
      <c r="C5952" s="1" t="str">
        <f t="shared" si="379"/>
        <v>760-28</v>
      </c>
      <c r="D5952" t="s">
        <v>5924</v>
      </c>
      <c r="E5952" t="b">
        <f>IF(COUNTIF(D5952,"*"&amp;'Keyword Search'!$C$5&amp;"*"),TRUE,FALSE)</f>
        <v>1</v>
      </c>
      <c r="G5952" t="str">
        <f t="shared" si="380"/>
        <v>760-28: Engines: Diesel and Gasoline, Heavy Equipment</v>
      </c>
    </row>
    <row r="5953" spans="1:7" x14ac:dyDescent="0.25">
      <c r="A5953" s="1" t="str">
        <f t="shared" si="382"/>
        <v>760</v>
      </c>
      <c r="B5953" s="1" t="str">
        <f>TEXT(30,"00")</f>
        <v>30</v>
      </c>
      <c r="C5953" s="1" t="str">
        <f t="shared" si="379"/>
        <v>760-30</v>
      </c>
      <c r="D5953" t="s">
        <v>5925</v>
      </c>
      <c r="E5953" t="b">
        <f>IF(COUNTIF(D5953,"*"&amp;'Keyword Search'!$C$5&amp;"*"),TRUE,FALSE)</f>
        <v>1</v>
      </c>
      <c r="G5953" t="str">
        <f t="shared" si="380"/>
        <v>760-30: Graders, Elevating Type</v>
      </c>
    </row>
    <row r="5954" spans="1:7" x14ac:dyDescent="0.25">
      <c r="A5954" s="1" t="str">
        <f t="shared" si="382"/>
        <v>760</v>
      </c>
      <c r="B5954" s="1" t="str">
        <f>TEXT(33,"00")</f>
        <v>33</v>
      </c>
      <c r="C5954" s="1" t="str">
        <f t="shared" si="379"/>
        <v>760-33</v>
      </c>
      <c r="D5954" t="s">
        <v>5926</v>
      </c>
      <c r="E5954" t="b">
        <f>IF(COUNTIF(D5954,"*"&amp;'Keyword Search'!$C$5&amp;"*"),TRUE,FALSE)</f>
        <v>1</v>
      </c>
      <c r="G5954" t="str">
        <f t="shared" si="380"/>
        <v>760-33: Graders, Motorized</v>
      </c>
    </row>
    <row r="5955" spans="1:7" x14ac:dyDescent="0.25">
      <c r="A5955" s="1" t="str">
        <f t="shared" si="382"/>
        <v>760</v>
      </c>
      <c r="B5955" s="1" t="str">
        <f>TEXT(36,"00")</f>
        <v>36</v>
      </c>
      <c r="C5955" s="1" t="str">
        <f t="shared" ref="C5955:C6018" si="383">CONCATENATE(A5955,"-",B5955)</f>
        <v>760-36</v>
      </c>
      <c r="D5955" t="s">
        <v>5927</v>
      </c>
      <c r="E5955" t="b">
        <f>IF(COUNTIF(D5955,"*"&amp;'Keyword Search'!$C$5&amp;"*"),TRUE,FALSE)</f>
        <v>1</v>
      </c>
      <c r="G5955" t="str">
        <f t="shared" si="380"/>
        <v>760-36: Graders, Towed Types</v>
      </c>
    </row>
    <row r="5956" spans="1:7" x14ac:dyDescent="0.25">
      <c r="A5956" s="1" t="str">
        <f t="shared" si="382"/>
        <v>760</v>
      </c>
      <c r="B5956" s="1" t="str">
        <f>TEXT(44,"00")</f>
        <v>44</v>
      </c>
      <c r="C5956" s="1" t="str">
        <f t="shared" si="383"/>
        <v>760-44</v>
      </c>
      <c r="D5956" t="s">
        <v>5928</v>
      </c>
      <c r="E5956" t="b">
        <f>IF(COUNTIF(D5956,"*"&amp;'Keyword Search'!$C$5&amp;"*"),TRUE,FALSE)</f>
        <v>1</v>
      </c>
      <c r="G5956" t="str">
        <f t="shared" ref="G5956:G6019" si="384">CONCATENATE(C5956,": ",D5956)</f>
        <v>760-44: Loaders, Front End, Crawler Tractors</v>
      </c>
    </row>
    <row r="5957" spans="1:7" x14ac:dyDescent="0.25">
      <c r="A5957" s="1" t="str">
        <f t="shared" si="382"/>
        <v>760</v>
      </c>
      <c r="B5957" s="1" t="str">
        <f>TEXT(47,"00")</f>
        <v>47</v>
      </c>
      <c r="C5957" s="1" t="str">
        <f t="shared" si="383"/>
        <v>760-47</v>
      </c>
      <c r="D5957" t="s">
        <v>5929</v>
      </c>
      <c r="E5957" t="b">
        <f>IF(COUNTIF(D5957,"*"&amp;'Keyword Search'!$C$5&amp;"*"),TRUE,FALSE)</f>
        <v>1</v>
      </c>
      <c r="G5957" t="str">
        <f t="shared" si="384"/>
        <v>760-47: Loaders, Front End, Trucks</v>
      </c>
    </row>
    <row r="5958" spans="1:7" x14ac:dyDescent="0.25">
      <c r="A5958" s="1" t="str">
        <f t="shared" si="382"/>
        <v>760</v>
      </c>
      <c r="B5958" s="1" t="str">
        <f>TEXT(50,"00")</f>
        <v>50</v>
      </c>
      <c r="C5958" s="1" t="str">
        <f t="shared" si="383"/>
        <v>760-50</v>
      </c>
      <c r="D5958" t="s">
        <v>5930</v>
      </c>
      <c r="E5958" t="b">
        <f>IF(COUNTIF(D5958,"*"&amp;'Keyword Search'!$C$5&amp;"*"),TRUE,FALSE)</f>
        <v>1</v>
      </c>
      <c r="G5958" t="str">
        <f t="shared" si="384"/>
        <v>760-50: Loaders, Front End, Wheel Type Tractors</v>
      </c>
    </row>
    <row r="5959" spans="1:7" x14ac:dyDescent="0.25">
      <c r="A5959" s="1" t="str">
        <f t="shared" si="382"/>
        <v>760</v>
      </c>
      <c r="B5959" s="1" t="str">
        <f>TEXT(51,"00")</f>
        <v>51</v>
      </c>
      <c r="C5959" s="1" t="str">
        <f t="shared" si="383"/>
        <v>760-51</v>
      </c>
      <c r="D5959" t="s">
        <v>5931</v>
      </c>
      <c r="E5959" t="b">
        <f>IF(COUNTIF(D5959,"*"&amp;'Keyword Search'!$C$5&amp;"*"),TRUE,FALSE)</f>
        <v>1</v>
      </c>
      <c r="G5959" t="str">
        <f t="shared" si="384"/>
        <v>760-51: Loaders, Pneumatic Tired</v>
      </c>
    </row>
    <row r="5960" spans="1:7" x14ac:dyDescent="0.25">
      <c r="A5960" s="1" t="str">
        <f t="shared" si="382"/>
        <v>760</v>
      </c>
      <c r="B5960" s="1" t="str">
        <f>TEXT(53,"00")</f>
        <v>53</v>
      </c>
      <c r="C5960" s="1" t="str">
        <f t="shared" si="383"/>
        <v>760-53</v>
      </c>
      <c r="D5960" t="s">
        <v>5932</v>
      </c>
      <c r="E5960" t="b">
        <f>IF(COUNTIF(D5960,"*"&amp;'Keyword Search'!$C$5&amp;"*"),TRUE,FALSE)</f>
        <v>1</v>
      </c>
      <c r="G5960" t="str">
        <f t="shared" si="384"/>
        <v>760-53: Loaders, Windrow Type</v>
      </c>
    </row>
    <row r="5961" spans="1:7" x14ac:dyDescent="0.25">
      <c r="A5961" s="1" t="str">
        <f t="shared" si="382"/>
        <v>760</v>
      </c>
      <c r="B5961" s="1" t="str">
        <f>TEXT(55,"00")</f>
        <v>55</v>
      </c>
      <c r="C5961" s="1" t="str">
        <f t="shared" si="383"/>
        <v>760-55</v>
      </c>
      <c r="D5961" t="s">
        <v>5933</v>
      </c>
      <c r="E5961" t="b">
        <f>IF(COUNTIF(D5961,"*"&amp;'Keyword Search'!$C$5&amp;"*"),TRUE,FALSE)</f>
        <v>1</v>
      </c>
      <c r="G5961" t="str">
        <f t="shared" si="384"/>
        <v>760-55: Mats, Erosion Control Blankets, Rolled</v>
      </c>
    </row>
    <row r="5962" spans="1:7" x14ac:dyDescent="0.25">
      <c r="A5962" s="1" t="str">
        <f t="shared" si="382"/>
        <v>760</v>
      </c>
      <c r="B5962" s="1" t="str">
        <f>TEXT(56,"00")</f>
        <v>56</v>
      </c>
      <c r="C5962" s="1" t="str">
        <f t="shared" si="383"/>
        <v>760-56</v>
      </c>
      <c r="D5962" t="s">
        <v>5934</v>
      </c>
      <c r="E5962" t="b">
        <f>IF(COUNTIF(D5962,"*"&amp;'Keyword Search'!$C$5&amp;"*"),TRUE,FALSE)</f>
        <v>1</v>
      </c>
      <c r="G5962" t="str">
        <f t="shared" si="384"/>
        <v>760-56: Mats, Floor, for Heavy Equipment (See 055-61 for Automotive Type)</v>
      </c>
    </row>
    <row r="5963" spans="1:7" x14ac:dyDescent="0.25">
      <c r="A5963" s="1" t="str">
        <f t="shared" si="382"/>
        <v>760</v>
      </c>
      <c r="B5963" s="1" t="str">
        <f>TEXT(59,"00")</f>
        <v>59</v>
      </c>
      <c r="C5963" s="1" t="str">
        <f t="shared" si="383"/>
        <v>760-59</v>
      </c>
      <c r="D5963" t="s">
        <v>5935</v>
      </c>
      <c r="E5963" t="b">
        <f>IF(COUNTIF(D5963,"*"&amp;'Keyword Search'!$C$5&amp;"*"),TRUE,FALSE)</f>
        <v>1</v>
      </c>
      <c r="G5963" t="str">
        <f t="shared" si="384"/>
        <v>760-59: AUTOMATIC ENGINE SHUT DOWN</v>
      </c>
    </row>
    <row r="5964" spans="1:7" x14ac:dyDescent="0.25">
      <c r="A5964" s="1" t="str">
        <f t="shared" si="382"/>
        <v>760</v>
      </c>
      <c r="B5964" s="1" t="str">
        <f>TEXT(60,"00")</f>
        <v>60</v>
      </c>
      <c r="C5964" s="1" t="str">
        <f t="shared" si="383"/>
        <v>760-60</v>
      </c>
      <c r="D5964" t="s">
        <v>5936</v>
      </c>
      <c r="E5964" t="b">
        <f>IF(COUNTIF(D5964,"*"&amp;'Keyword Search'!$C$5&amp;"*"),TRUE,FALSE)</f>
        <v>1</v>
      </c>
      <c r="G5964" t="str">
        <f t="shared" si="384"/>
        <v>760-60: Rippers and Scarifiers</v>
      </c>
    </row>
    <row r="5965" spans="1:7" x14ac:dyDescent="0.25">
      <c r="A5965" s="1" t="str">
        <f t="shared" si="382"/>
        <v>760</v>
      </c>
      <c r="B5965" s="1" t="str">
        <f>TEXT(63,"00")</f>
        <v>63</v>
      </c>
      <c r="C5965" s="1" t="str">
        <f t="shared" si="383"/>
        <v>760-63</v>
      </c>
      <c r="D5965" t="s">
        <v>5937</v>
      </c>
      <c r="E5965" t="b">
        <f>IF(COUNTIF(D5965,"*"&amp;'Keyword Search'!$C$5&amp;"*"),TRUE,FALSE)</f>
        <v>1</v>
      </c>
      <c r="G5965" t="str">
        <f t="shared" si="384"/>
        <v>760-63: Rollers, Flat Wheel Type, Static</v>
      </c>
    </row>
    <row r="5966" spans="1:7" x14ac:dyDescent="0.25">
      <c r="A5966" s="1" t="str">
        <f t="shared" si="382"/>
        <v>760</v>
      </c>
      <c r="B5966" s="1" t="str">
        <f>TEXT(66,"00")</f>
        <v>66</v>
      </c>
      <c r="C5966" s="1" t="str">
        <f t="shared" si="383"/>
        <v>760-66</v>
      </c>
      <c r="D5966" t="s">
        <v>5938</v>
      </c>
      <c r="E5966" t="b">
        <f>IF(COUNTIF(D5966,"*"&amp;'Keyword Search'!$C$5&amp;"*"),TRUE,FALSE)</f>
        <v>1</v>
      </c>
      <c r="G5966" t="str">
        <f t="shared" si="384"/>
        <v>760-66: Rollers, Flat Wheel Type, Vibrating</v>
      </c>
    </row>
    <row r="5967" spans="1:7" x14ac:dyDescent="0.25">
      <c r="A5967" s="1" t="str">
        <f t="shared" si="382"/>
        <v>760</v>
      </c>
      <c r="B5967" s="1" t="str">
        <f>TEXT(69,"00")</f>
        <v>69</v>
      </c>
      <c r="C5967" s="1" t="str">
        <f t="shared" si="383"/>
        <v>760-69</v>
      </c>
      <c r="D5967" t="s">
        <v>5939</v>
      </c>
      <c r="E5967" t="b">
        <f>IF(COUNTIF(D5967,"*"&amp;'Keyword Search'!$C$5&amp;"*"),TRUE,FALSE)</f>
        <v>1</v>
      </c>
      <c r="G5967" t="str">
        <f t="shared" si="384"/>
        <v>760-69: Rollers, Grid Type</v>
      </c>
    </row>
    <row r="5968" spans="1:7" x14ac:dyDescent="0.25">
      <c r="A5968" s="1" t="str">
        <f t="shared" si="382"/>
        <v>760</v>
      </c>
      <c r="B5968" s="1" t="str">
        <f>TEXT(72,"00")</f>
        <v>72</v>
      </c>
      <c r="C5968" s="1" t="str">
        <f t="shared" si="383"/>
        <v>760-72</v>
      </c>
      <c r="D5968" t="s">
        <v>5940</v>
      </c>
      <c r="E5968" t="b">
        <f>IF(COUNTIF(D5968,"*"&amp;'Keyword Search'!$C$5&amp;"*"),TRUE,FALSE)</f>
        <v>1</v>
      </c>
      <c r="G5968" t="str">
        <f t="shared" si="384"/>
        <v>760-72: Rollers, Portable Type</v>
      </c>
    </row>
    <row r="5969" spans="1:7" x14ac:dyDescent="0.25">
      <c r="A5969" s="1" t="str">
        <f t="shared" si="382"/>
        <v>760</v>
      </c>
      <c r="B5969" s="1" t="str">
        <f>TEXT(75,"00")</f>
        <v>75</v>
      </c>
      <c r="C5969" s="1" t="str">
        <f t="shared" si="383"/>
        <v>760-75</v>
      </c>
      <c r="D5969" t="s">
        <v>5941</v>
      </c>
      <c r="E5969" t="b">
        <f>IF(COUNTIF(D5969,"*"&amp;'Keyword Search'!$C$5&amp;"*"),TRUE,FALSE)</f>
        <v>1</v>
      </c>
      <c r="G5969" t="str">
        <f t="shared" si="384"/>
        <v>760-75: Rollers, Rubber Tired</v>
      </c>
    </row>
    <row r="5970" spans="1:7" x14ac:dyDescent="0.25">
      <c r="A5970" s="1" t="str">
        <f t="shared" si="382"/>
        <v>760</v>
      </c>
      <c r="B5970" s="1" t="str">
        <f>TEXT(78,"00")</f>
        <v>78</v>
      </c>
      <c r="C5970" s="1" t="str">
        <f t="shared" si="383"/>
        <v>760-78</v>
      </c>
      <c r="D5970" t="s">
        <v>5942</v>
      </c>
      <c r="E5970" t="b">
        <f>IF(COUNTIF(D5970,"*"&amp;'Keyword Search'!$C$5&amp;"*"),TRUE,FALSE)</f>
        <v>1</v>
      </c>
      <c r="G5970" t="str">
        <f t="shared" si="384"/>
        <v>760-78: Rollers, Sheep foot Type</v>
      </c>
    </row>
    <row r="5971" spans="1:7" x14ac:dyDescent="0.25">
      <c r="A5971" s="1" t="str">
        <f t="shared" si="382"/>
        <v>760</v>
      </c>
      <c r="B5971" s="1" t="str">
        <f>TEXT(79,"00")</f>
        <v>79</v>
      </c>
      <c r="C5971" s="1" t="str">
        <f t="shared" si="383"/>
        <v>760-79</v>
      </c>
      <c r="D5971" t="s">
        <v>5943</v>
      </c>
      <c r="E5971" t="b">
        <f>IF(COUNTIF(D5971,"*"&amp;'Keyword Search'!$C$5&amp;"*"),TRUE,FALSE)</f>
        <v>1</v>
      </c>
      <c r="G5971" t="str">
        <f t="shared" si="384"/>
        <v>760-79: Rolling Straight Edges, Towed</v>
      </c>
    </row>
    <row r="5972" spans="1:7" x14ac:dyDescent="0.25">
      <c r="A5972" s="1" t="str">
        <f t="shared" si="382"/>
        <v>760</v>
      </c>
      <c r="B5972" s="1" t="str">
        <f>TEXT(84,"00")</f>
        <v>84</v>
      </c>
      <c r="C5972" s="1" t="str">
        <f t="shared" si="383"/>
        <v>760-84</v>
      </c>
      <c r="D5972" t="s">
        <v>5944</v>
      </c>
      <c r="E5972" t="b">
        <f>IF(COUNTIF(D5972,"*"&amp;'Keyword Search'!$C$5&amp;"*"),TRUE,FALSE)</f>
        <v>1</v>
      </c>
      <c r="G5972" t="str">
        <f t="shared" si="384"/>
        <v>760-84: Scrapers</v>
      </c>
    </row>
    <row r="5973" spans="1:7" x14ac:dyDescent="0.25">
      <c r="A5973" s="1" t="str">
        <f t="shared" si="382"/>
        <v>760</v>
      </c>
      <c r="B5973" s="1" t="str">
        <f>TEXT(90,"00")</f>
        <v>90</v>
      </c>
      <c r="C5973" s="1" t="str">
        <f t="shared" si="383"/>
        <v>760-90</v>
      </c>
      <c r="D5973" t="s">
        <v>5945</v>
      </c>
      <c r="E5973" t="b">
        <f>IF(COUNTIF(D5973,"*"&amp;'Keyword Search'!$C$5&amp;"*"),TRUE,FALSE)</f>
        <v>1</v>
      </c>
      <c r="G5973" t="str">
        <f t="shared" si="384"/>
        <v>760-90: Shovels, Power; and Excavating Machines: Telescoping and Hinged Boom Type, Crawler or Tractor Mounted</v>
      </c>
    </row>
    <row r="5974" spans="1:7" x14ac:dyDescent="0.25">
      <c r="A5974" s="5" t="str">
        <f t="shared" ref="A5974:A6025" si="385">TEXT(765,"000")</f>
        <v>765</v>
      </c>
      <c r="B5974" s="5" t="str">
        <f>TEXT(0,"00")</f>
        <v>00</v>
      </c>
      <c r="C5974" s="1"/>
      <c r="D5974" s="2" t="s">
        <v>5946</v>
      </c>
    </row>
    <row r="5975" spans="1:7" x14ac:dyDescent="0.25">
      <c r="A5975" s="1" t="str">
        <f t="shared" si="385"/>
        <v>765</v>
      </c>
      <c r="B5975" s="1" t="str">
        <f>TEXT(2,"00")</f>
        <v>02</v>
      </c>
      <c r="C5975" s="1" t="str">
        <f t="shared" si="383"/>
        <v>765-02</v>
      </c>
      <c r="D5975" t="s">
        <v>5947</v>
      </c>
      <c r="E5975" t="b">
        <f>IF(COUNTIF(D5975,"*"&amp;'Keyword Search'!$C$5&amp;"*"),TRUE,FALSE)</f>
        <v>1</v>
      </c>
      <c r="G5975" t="str">
        <f t="shared" si="384"/>
        <v>765-02: Air Conditioners, Heaters and Ventilators, Heavy Equipment</v>
      </c>
    </row>
    <row r="5976" spans="1:7" x14ac:dyDescent="0.25">
      <c r="A5976" s="1" t="str">
        <f t="shared" si="385"/>
        <v>765</v>
      </c>
      <c r="B5976" s="1" t="str">
        <f>TEXT(3,"00")</f>
        <v>03</v>
      </c>
      <c r="C5976" s="1" t="str">
        <f t="shared" si="383"/>
        <v>765-03</v>
      </c>
      <c r="D5976" t="s">
        <v>5948</v>
      </c>
      <c r="E5976" t="b">
        <f>IF(COUNTIF(D5976,"*"&amp;'Keyword Search'!$C$5&amp;"*"),TRUE,FALSE)</f>
        <v>1</v>
      </c>
      <c r="G5976" t="str">
        <f t="shared" si="384"/>
        <v>765-03: Booms: Crane, Tractor, etc.</v>
      </c>
    </row>
    <row r="5977" spans="1:7" x14ac:dyDescent="0.25">
      <c r="A5977" s="1" t="str">
        <f t="shared" si="385"/>
        <v>765</v>
      </c>
      <c r="B5977" s="1" t="str">
        <f>TEXT(5,"00")</f>
        <v>05</v>
      </c>
      <c r="C5977" s="1" t="str">
        <f t="shared" si="383"/>
        <v>765-05</v>
      </c>
      <c r="D5977" t="s">
        <v>5949</v>
      </c>
      <c r="E5977" t="b">
        <f>IF(COUNTIF(D5977,"*"&amp;'Keyword Search'!$C$5&amp;"*"),TRUE,FALSE)</f>
        <v>1</v>
      </c>
      <c r="G5977" t="str">
        <f t="shared" si="384"/>
        <v>765-05: Brake and Clutch Parts and Accessories For Heavy Duty Equipment, Not Automotive)</v>
      </c>
    </row>
    <row r="5978" spans="1:7" x14ac:dyDescent="0.25">
      <c r="A5978" s="1" t="str">
        <f t="shared" si="385"/>
        <v>765</v>
      </c>
      <c r="B5978" s="1" t="str">
        <f>TEXT(6,"00")</f>
        <v>06</v>
      </c>
      <c r="C5978" s="1" t="str">
        <f t="shared" si="383"/>
        <v>765-06</v>
      </c>
      <c r="D5978" t="s">
        <v>5950</v>
      </c>
      <c r="E5978" t="b">
        <f>IF(COUNTIF(D5978,"*"&amp;'Keyword Search'!$C$5&amp;"*"),TRUE,FALSE)</f>
        <v>1</v>
      </c>
      <c r="G5978" t="str">
        <f t="shared" si="384"/>
        <v>765-06: Breaker Drill, Gasoline Powered</v>
      </c>
    </row>
    <row r="5979" spans="1:7" x14ac:dyDescent="0.25">
      <c r="A5979" s="1" t="str">
        <f t="shared" si="385"/>
        <v>765</v>
      </c>
      <c r="B5979" s="1" t="str">
        <f>TEXT(7,"00")</f>
        <v>07</v>
      </c>
      <c r="C5979" s="1" t="str">
        <f t="shared" si="383"/>
        <v>765-07</v>
      </c>
      <c r="D5979" t="s">
        <v>5951</v>
      </c>
      <c r="E5979" t="b">
        <f>IF(COUNTIF(D5979,"*"&amp;'Keyword Search'!$C$5&amp;"*"),TRUE,FALSE)</f>
        <v>1</v>
      </c>
      <c r="G5979" t="str">
        <f t="shared" si="384"/>
        <v>765-07: Cab, Body and Frame Parts, Heavy Equipment</v>
      </c>
    </row>
    <row r="5980" spans="1:7" x14ac:dyDescent="0.25">
      <c r="A5980" s="1" t="str">
        <f t="shared" si="385"/>
        <v>765</v>
      </c>
      <c r="B5980" s="1" t="str">
        <f>TEXT(8,"00")</f>
        <v>08</v>
      </c>
      <c r="C5980" s="1" t="str">
        <f t="shared" si="383"/>
        <v>765-08</v>
      </c>
      <c r="D5980" t="s">
        <v>5952</v>
      </c>
      <c r="E5980" t="b">
        <f>IF(COUNTIF(D5980,"*"&amp;'Keyword Search'!$C$5&amp;"*"),TRUE,FALSE)</f>
        <v>1</v>
      </c>
      <c r="G5980" t="str">
        <f t="shared" si="384"/>
        <v>765-08: Core Drilling Rigs, Including Parts and Accessories</v>
      </c>
    </row>
    <row r="5981" spans="1:7" x14ac:dyDescent="0.25">
      <c r="A5981" s="1" t="str">
        <f t="shared" si="385"/>
        <v>765</v>
      </c>
      <c r="B5981" s="1" t="str">
        <f>TEXT(9,"00")</f>
        <v>09</v>
      </c>
      <c r="C5981" s="1" t="str">
        <f t="shared" si="383"/>
        <v>765-09</v>
      </c>
      <c r="D5981" t="s">
        <v>5953</v>
      </c>
      <c r="E5981" t="b">
        <f>IF(COUNTIF(D5981,"*"&amp;'Keyword Search'!$C$5&amp;"*"),TRUE,FALSE)</f>
        <v>1</v>
      </c>
      <c r="G5981" t="str">
        <f t="shared" si="384"/>
        <v>765-09: Cranes, Backhoe and Dragline</v>
      </c>
    </row>
    <row r="5982" spans="1:7" x14ac:dyDescent="0.25">
      <c r="A5982" s="1" t="str">
        <f t="shared" si="385"/>
        <v>765</v>
      </c>
      <c r="B5982" s="1" t="str">
        <f>TEXT(11,"00")</f>
        <v>11</v>
      </c>
      <c r="C5982" s="1" t="str">
        <f t="shared" si="383"/>
        <v>765-11</v>
      </c>
      <c r="D5982" t="s">
        <v>5954</v>
      </c>
      <c r="E5982" t="b">
        <f>IF(COUNTIF(D5982,"*"&amp;'Keyword Search'!$C$5&amp;"*"),TRUE,FALSE)</f>
        <v>1</v>
      </c>
      <c r="G5982" t="str">
        <f t="shared" si="384"/>
        <v>765-11: Cranes, Clamshell</v>
      </c>
    </row>
    <row r="5983" spans="1:7" x14ac:dyDescent="0.25">
      <c r="A5983" s="1" t="str">
        <f t="shared" si="385"/>
        <v>765</v>
      </c>
      <c r="B5983" s="1" t="str">
        <f>TEXT(13,"00")</f>
        <v>13</v>
      </c>
      <c r="C5983" s="1" t="str">
        <f t="shared" si="383"/>
        <v>765-13</v>
      </c>
      <c r="D5983" t="s">
        <v>5955</v>
      </c>
      <c r="E5983" t="b">
        <f>IF(COUNTIF(D5983,"*"&amp;'Keyword Search'!$C$5&amp;"*"),TRUE,FALSE)</f>
        <v>1</v>
      </c>
      <c r="G5983" t="str">
        <f t="shared" si="384"/>
        <v>765-13: Cranes, Truck Mounted Type, Heavy Duty</v>
      </c>
    </row>
    <row r="5984" spans="1:7" x14ac:dyDescent="0.25">
      <c r="A5984" s="1" t="str">
        <f t="shared" si="385"/>
        <v>765</v>
      </c>
      <c r="B5984" s="1" t="str">
        <f>TEXT(14,"00")</f>
        <v>14</v>
      </c>
      <c r="C5984" s="1" t="str">
        <f t="shared" si="383"/>
        <v>765-14</v>
      </c>
      <c r="D5984" t="s">
        <v>5956</v>
      </c>
      <c r="E5984" t="b">
        <f>IF(COUNTIF(D5984,"*"&amp;'Keyword Search'!$C$5&amp;"*"),TRUE,FALSE)</f>
        <v>1</v>
      </c>
      <c r="G5984" t="str">
        <f t="shared" si="384"/>
        <v>765-14: Crane Indicators</v>
      </c>
    </row>
    <row r="5985" spans="1:7" x14ac:dyDescent="0.25">
      <c r="A5985" s="1" t="str">
        <f t="shared" si="385"/>
        <v>765</v>
      </c>
      <c r="B5985" s="1" t="str">
        <f>TEXT(16,"00")</f>
        <v>16</v>
      </c>
      <c r="C5985" s="1" t="str">
        <f t="shared" si="383"/>
        <v>765-16</v>
      </c>
      <c r="D5985" t="s">
        <v>5957</v>
      </c>
      <c r="E5985" t="b">
        <f>IF(COUNTIF(D5985,"*"&amp;'Keyword Search'!$C$5&amp;"*"),TRUE,FALSE)</f>
        <v>1</v>
      </c>
      <c r="G5985" t="str">
        <f t="shared" si="384"/>
        <v>765-16: Crushing Machines</v>
      </c>
    </row>
    <row r="5986" spans="1:7" x14ac:dyDescent="0.25">
      <c r="A5986" s="1" t="str">
        <f t="shared" si="385"/>
        <v>765</v>
      </c>
      <c r="B5986" s="1" t="str">
        <f>TEXT(18,"00")</f>
        <v>18</v>
      </c>
      <c r="C5986" s="1" t="str">
        <f t="shared" si="383"/>
        <v>765-18</v>
      </c>
      <c r="D5986" t="s">
        <v>5958</v>
      </c>
      <c r="E5986" t="b">
        <f>IF(COUNTIF(D5986,"*"&amp;'Keyword Search'!$C$5&amp;"*"),TRUE,FALSE)</f>
        <v>1</v>
      </c>
      <c r="G5986" t="str">
        <f t="shared" si="384"/>
        <v>765-18: Crushing Plants, Elevators, Furnaces, Kilns, Pugmills, and Stabilizing Material Plants</v>
      </c>
    </row>
    <row r="5987" spans="1:7" x14ac:dyDescent="0.25">
      <c r="A5987" s="1" t="str">
        <f t="shared" si="385"/>
        <v>765</v>
      </c>
      <c r="B5987" s="1" t="str">
        <f>TEXT(21,"00")</f>
        <v>21</v>
      </c>
      <c r="C5987" s="1" t="str">
        <f t="shared" si="383"/>
        <v>765-21</v>
      </c>
      <c r="D5987" t="s">
        <v>5959</v>
      </c>
      <c r="E5987" t="b">
        <f>IF(COUNTIF(D5987,"*"&amp;'Keyword Search'!$C$5&amp;"*"),TRUE,FALSE)</f>
        <v>1</v>
      </c>
      <c r="G5987" t="str">
        <f t="shared" si="384"/>
        <v>765-21: Culvert Cleaning Equipment</v>
      </c>
    </row>
    <row r="5988" spans="1:7" x14ac:dyDescent="0.25">
      <c r="A5988" s="1" t="str">
        <f t="shared" si="385"/>
        <v>765</v>
      </c>
      <c r="B5988" s="1" t="str">
        <f>TEXT(24,"00")</f>
        <v>24</v>
      </c>
      <c r="C5988" s="1" t="str">
        <f t="shared" si="383"/>
        <v>765-24</v>
      </c>
      <c r="D5988" t="s">
        <v>5960</v>
      </c>
      <c r="E5988" t="b">
        <f>IF(COUNTIF(D5988,"*"&amp;'Keyword Search'!$C$5&amp;"*"),TRUE,FALSE)</f>
        <v>1</v>
      </c>
      <c r="G5988" t="str">
        <f t="shared" si="384"/>
        <v>765-24: Diamond Core Drills</v>
      </c>
    </row>
    <row r="5989" spans="1:7" x14ac:dyDescent="0.25">
      <c r="A5989" s="1" t="str">
        <f t="shared" si="385"/>
        <v>765</v>
      </c>
      <c r="B5989" s="1" t="str">
        <f>TEXT(27,"00")</f>
        <v>27</v>
      </c>
      <c r="C5989" s="1" t="str">
        <f t="shared" si="383"/>
        <v>765-27</v>
      </c>
      <c r="D5989" t="s">
        <v>5961</v>
      </c>
      <c r="E5989" t="b">
        <f>IF(COUNTIF(D5989,"*"&amp;'Keyword Search'!$C$5&amp;"*"),TRUE,FALSE)</f>
        <v>1</v>
      </c>
      <c r="G5989" t="str">
        <f t="shared" si="384"/>
        <v>765-27: Drill Steel and Rock Bits</v>
      </c>
    </row>
    <row r="5990" spans="1:7" x14ac:dyDescent="0.25">
      <c r="A5990" s="1" t="str">
        <f t="shared" si="385"/>
        <v>765</v>
      </c>
      <c r="B5990" s="1" t="str">
        <f>TEXT(30,"00")</f>
        <v>30</v>
      </c>
      <c r="C5990" s="1" t="str">
        <f t="shared" si="383"/>
        <v>765-30</v>
      </c>
      <c r="D5990" t="s">
        <v>5962</v>
      </c>
      <c r="E5990" t="b">
        <f>IF(COUNTIF(D5990,"*"&amp;'Keyword Search'!$C$5&amp;"*"),TRUE,FALSE)</f>
        <v>1</v>
      </c>
      <c r="G5990" t="str">
        <f t="shared" si="384"/>
        <v>765-30: Epoxy Dispensing Machine, For Placing Buttons and Markers</v>
      </c>
    </row>
    <row r="5991" spans="1:7" x14ac:dyDescent="0.25">
      <c r="A5991" s="1" t="str">
        <f t="shared" si="385"/>
        <v>765</v>
      </c>
      <c r="B5991" s="1" t="str">
        <f>TEXT(31,"00")</f>
        <v>31</v>
      </c>
      <c r="C5991" s="1" t="str">
        <f t="shared" si="383"/>
        <v>765-31</v>
      </c>
      <c r="D5991" t="s">
        <v>5963</v>
      </c>
      <c r="E5991" t="b">
        <f>IF(COUNTIF(D5991,"*"&amp;'Keyword Search'!$C$5&amp;"*"),TRUE,FALSE)</f>
        <v>1</v>
      </c>
      <c r="G5991" t="str">
        <f t="shared" si="384"/>
        <v>765-31: Fabric Lay-Down Machines, etc.</v>
      </c>
    </row>
    <row r="5992" spans="1:7" x14ac:dyDescent="0.25">
      <c r="A5992" s="1" t="str">
        <f t="shared" si="385"/>
        <v>765</v>
      </c>
      <c r="B5992" s="1" t="str">
        <f>TEXT(33,"00")</f>
        <v>33</v>
      </c>
      <c r="C5992" s="1" t="str">
        <f t="shared" si="383"/>
        <v>765-33</v>
      </c>
      <c r="D5992" t="s">
        <v>5964</v>
      </c>
      <c r="E5992" t="b">
        <f>IF(COUNTIF(D5992,"*"&amp;'Keyword Search'!$C$5&amp;"*"),TRUE,FALSE)</f>
        <v>1</v>
      </c>
      <c r="G5992" t="str">
        <f t="shared" si="384"/>
        <v>765-33: Filters: Air, Fuel, Hydraulic, Oil, etc., Heavy Duty Equipment</v>
      </c>
    </row>
    <row r="5993" spans="1:7" x14ac:dyDescent="0.25">
      <c r="A5993" s="1" t="str">
        <f t="shared" si="385"/>
        <v>765</v>
      </c>
      <c r="B5993" s="1" t="str">
        <f>TEXT(34,"00")</f>
        <v>34</v>
      </c>
      <c r="C5993" s="1" t="str">
        <f t="shared" si="383"/>
        <v>765-34</v>
      </c>
      <c r="D5993" t="s">
        <v>5965</v>
      </c>
      <c r="E5993" t="b">
        <f>IF(COUNTIF(D5993,"*"&amp;'Keyword Search'!$C$5&amp;"*"),TRUE,FALSE)</f>
        <v>1</v>
      </c>
      <c r="G5993" t="str">
        <f t="shared" si="384"/>
        <v>765-34: Hour Meters, Heavy Equipment</v>
      </c>
    </row>
    <row r="5994" spans="1:7" x14ac:dyDescent="0.25">
      <c r="A5994" s="1" t="str">
        <f t="shared" si="385"/>
        <v>765</v>
      </c>
      <c r="B5994" s="1" t="str">
        <f>TEXT(35,"00")</f>
        <v>35</v>
      </c>
      <c r="C5994" s="1" t="str">
        <f t="shared" si="383"/>
        <v>765-35</v>
      </c>
      <c r="D5994" t="s">
        <v>5966</v>
      </c>
      <c r="E5994" t="b">
        <f>IF(COUNTIF(D5994,"*"&amp;'Keyword Search'!$C$5&amp;"*"),TRUE,FALSE)</f>
        <v>1</v>
      </c>
      <c r="G5994" t="str">
        <f t="shared" si="384"/>
        <v>765-35: Hydraulic Attachments and Accessories, Hammers, Rams, etc.</v>
      </c>
    </row>
    <row r="5995" spans="1:7" x14ac:dyDescent="0.25">
      <c r="A5995" s="1" t="str">
        <f t="shared" si="385"/>
        <v>765</v>
      </c>
      <c r="B5995" s="1" t="str">
        <f>TEXT(36,"00")</f>
        <v>36</v>
      </c>
      <c r="C5995" s="1" t="str">
        <f t="shared" si="383"/>
        <v>765-36</v>
      </c>
      <c r="D5995" t="s">
        <v>5967</v>
      </c>
      <c r="E5995" t="b">
        <f>IF(COUNTIF(D5995,"*"&amp;'Keyword Search'!$C$5&amp;"*"),TRUE,FALSE)</f>
        <v>1</v>
      </c>
      <c r="G5995" t="str">
        <f t="shared" si="384"/>
        <v>765-36: Gunite Machines</v>
      </c>
    </row>
    <row r="5996" spans="1:7" x14ac:dyDescent="0.25">
      <c r="A5996" s="1" t="str">
        <f t="shared" si="385"/>
        <v>765</v>
      </c>
      <c r="B5996" s="1" t="str">
        <f>TEXT(37,"00")</f>
        <v>37</v>
      </c>
      <c r="C5996" s="1" t="str">
        <f t="shared" si="383"/>
        <v>765-37</v>
      </c>
      <c r="D5996" t="s">
        <v>5968</v>
      </c>
      <c r="E5996" t="b">
        <f>IF(COUNTIF(D5996,"*"&amp;'Keyword Search'!$C$5&amp;"*"),TRUE,FALSE)</f>
        <v>1</v>
      </c>
      <c r="G5996" t="str">
        <f t="shared" si="384"/>
        <v>765-37: Mixers, Lime Slurry</v>
      </c>
    </row>
    <row r="5997" spans="1:7" x14ac:dyDescent="0.25">
      <c r="A5997" s="1" t="str">
        <f t="shared" si="385"/>
        <v>765</v>
      </c>
      <c r="B5997" s="1" t="str">
        <f>TEXT(38,"00")</f>
        <v>38</v>
      </c>
      <c r="C5997" s="1" t="str">
        <f t="shared" si="383"/>
        <v>765-38</v>
      </c>
      <c r="D5997" t="s">
        <v>5969</v>
      </c>
      <c r="E5997" t="b">
        <f>IF(COUNTIF(D5997,"*"&amp;'Keyword Search'!$C$5&amp;"*"),TRUE,FALSE)</f>
        <v>1</v>
      </c>
      <c r="G5997" t="str">
        <f t="shared" si="384"/>
        <v>765-38: Leaf Loaders, Heavy Duty, Truck or Trailer Mounted (See 445-43 for Hand Operated Type)</v>
      </c>
    </row>
    <row r="5998" spans="1:7" x14ac:dyDescent="0.25">
      <c r="A5998" s="1" t="str">
        <f t="shared" si="385"/>
        <v>765</v>
      </c>
      <c r="B5998" s="1" t="str">
        <f>TEXT(39,"00")</f>
        <v>39</v>
      </c>
      <c r="C5998" s="1" t="str">
        <f t="shared" si="383"/>
        <v>765-39</v>
      </c>
      <c r="D5998" t="s">
        <v>5970</v>
      </c>
      <c r="E5998" t="b">
        <f>IF(COUNTIF(D5998,"*"&amp;'Keyword Search'!$C$5&amp;"*"),TRUE,FALSE)</f>
        <v>1</v>
      </c>
      <c r="G5998" t="str">
        <f t="shared" si="384"/>
        <v>765-39: Lubrication System Accessory, Automatic</v>
      </c>
    </row>
    <row r="5999" spans="1:7" x14ac:dyDescent="0.25">
      <c r="A5999" s="1" t="str">
        <f t="shared" si="385"/>
        <v>765</v>
      </c>
      <c r="B5999" s="1" t="str">
        <f>TEXT(41,"00")</f>
        <v>41</v>
      </c>
      <c r="C5999" s="1" t="str">
        <f t="shared" si="383"/>
        <v>765-41</v>
      </c>
      <c r="D5999" t="s">
        <v>5971</v>
      </c>
      <c r="E5999" t="b">
        <f>IF(COUNTIF(D5999,"*"&amp;'Keyword Search'!$C$5&amp;"*"),TRUE,FALSE)</f>
        <v>1</v>
      </c>
      <c r="G5999" t="str">
        <f t="shared" si="384"/>
        <v>765-41: Mud Jacks and Accessories, Except Hose</v>
      </c>
    </row>
    <row r="6000" spans="1:7" x14ac:dyDescent="0.25">
      <c r="A6000" s="1" t="str">
        <f t="shared" si="385"/>
        <v>765</v>
      </c>
      <c r="B6000" s="1" t="str">
        <f>TEXT(43,"00")</f>
        <v>43</v>
      </c>
      <c r="C6000" s="1" t="str">
        <f t="shared" si="383"/>
        <v>765-43</v>
      </c>
      <c r="D6000" t="s">
        <v>5972</v>
      </c>
      <c r="E6000" t="b">
        <f>IF(COUNTIF(D6000,"*"&amp;'Keyword Search'!$C$5&amp;"*"),TRUE,FALSE)</f>
        <v>1</v>
      </c>
      <c r="G6000" t="str">
        <f t="shared" si="384"/>
        <v>765-43: Pavement Marking Removal Equipment and Accessories</v>
      </c>
    </row>
    <row r="6001" spans="1:7" x14ac:dyDescent="0.25">
      <c r="A6001" s="1" t="str">
        <f t="shared" si="385"/>
        <v>765</v>
      </c>
      <c r="B6001" s="1" t="str">
        <f>TEXT(46,"00")</f>
        <v>46</v>
      </c>
      <c r="C6001" s="1" t="str">
        <f t="shared" si="383"/>
        <v>765-46</v>
      </c>
      <c r="D6001" t="s">
        <v>5973</v>
      </c>
      <c r="E6001" t="b">
        <f>IF(COUNTIF(D6001,"*"&amp;'Keyword Search'!$C$5&amp;"*"),TRUE,FALSE)</f>
        <v>1</v>
      </c>
      <c r="G6001" t="str">
        <f t="shared" si="384"/>
        <v>765-46: Pile Drivers and Accessories</v>
      </c>
    </row>
    <row r="6002" spans="1:7" x14ac:dyDescent="0.25">
      <c r="A6002" s="1" t="str">
        <f t="shared" si="385"/>
        <v>765</v>
      </c>
      <c r="B6002" s="1" t="str">
        <f>TEXT(49,"00")</f>
        <v>49</v>
      </c>
      <c r="C6002" s="1" t="str">
        <f t="shared" si="383"/>
        <v>765-49</v>
      </c>
      <c r="D6002" t="s">
        <v>5974</v>
      </c>
      <c r="E6002" t="b">
        <f>IF(COUNTIF(D6002,"*"&amp;'Keyword Search'!$C$5&amp;"*"),TRUE,FALSE)</f>
        <v>1</v>
      </c>
      <c r="G6002" t="str">
        <f t="shared" si="384"/>
        <v>765-49: Pneumatic Machines: Demolition Tools, Paving Breakers, Rock Cutters, Tampers, etc. (See 765-80 for Non-Pneumatic Tampers)</v>
      </c>
    </row>
    <row r="6003" spans="1:7" x14ac:dyDescent="0.25">
      <c r="A6003" s="1" t="str">
        <f t="shared" si="385"/>
        <v>765</v>
      </c>
      <c r="B6003" s="1" t="str">
        <f>TEXT(51,"00")</f>
        <v>51</v>
      </c>
      <c r="C6003" s="1" t="str">
        <f t="shared" si="383"/>
        <v>765-51</v>
      </c>
      <c r="D6003" t="s">
        <v>5975</v>
      </c>
      <c r="E6003" t="b">
        <f>IF(COUNTIF(D6003,"*"&amp;'Keyword Search'!$C$5&amp;"*"),TRUE,FALSE)</f>
        <v>1</v>
      </c>
      <c r="G6003" t="str">
        <f t="shared" si="384"/>
        <v>765-51: Pneumatic Tool Accessories: Bits, Chisels, Points, Spades, Tampers, etc.</v>
      </c>
    </row>
    <row r="6004" spans="1:7" x14ac:dyDescent="0.25">
      <c r="A6004" s="1" t="str">
        <f t="shared" si="385"/>
        <v>765</v>
      </c>
      <c r="B6004" s="1" t="str">
        <f>TEXT(54,"00")</f>
        <v>54</v>
      </c>
      <c r="C6004" s="1" t="str">
        <f t="shared" si="383"/>
        <v>765-54</v>
      </c>
      <c r="D6004" t="s">
        <v>5976</v>
      </c>
      <c r="E6004" t="b">
        <f>IF(COUNTIF(D6004,"*"&amp;'Keyword Search'!$C$5&amp;"*"),TRUE,FALSE)</f>
        <v>1</v>
      </c>
      <c r="G6004" t="str">
        <f t="shared" si="384"/>
        <v>765-54: Power Transmission Units: Chains, Gear Reducers, Sprockets, etc.</v>
      </c>
    </row>
    <row r="6005" spans="1:7" x14ac:dyDescent="0.25">
      <c r="A6005" s="1" t="str">
        <f t="shared" si="385"/>
        <v>765</v>
      </c>
      <c r="B6005" s="1" t="str">
        <f>TEXT(56,"00")</f>
        <v>56</v>
      </c>
      <c r="C6005" s="1" t="str">
        <f t="shared" si="383"/>
        <v>765-56</v>
      </c>
      <c r="D6005" t="s">
        <v>5977</v>
      </c>
      <c r="E6005" t="b">
        <f>IF(COUNTIF(D6005,"*"&amp;'Keyword Search'!$C$5&amp;"*"),TRUE,FALSE)</f>
        <v>1</v>
      </c>
      <c r="G6005" t="str">
        <f t="shared" si="384"/>
        <v>765-56: Rollover Protections Structures (ROPS)</v>
      </c>
    </row>
    <row r="6006" spans="1:7" x14ac:dyDescent="0.25">
      <c r="A6006" s="1" t="str">
        <f t="shared" si="385"/>
        <v>765</v>
      </c>
      <c r="B6006" s="1" t="str">
        <f>TEXT(57,"00")</f>
        <v>57</v>
      </c>
      <c r="C6006" s="1" t="str">
        <f t="shared" si="383"/>
        <v>765-57</v>
      </c>
      <c r="D6006" t="s">
        <v>5978</v>
      </c>
      <c r="E6006" t="b">
        <f>IF(COUNTIF(D6006,"*"&amp;'Keyword Search'!$C$5&amp;"*"),TRUE,FALSE)</f>
        <v>1</v>
      </c>
      <c r="G6006" t="str">
        <f t="shared" si="384"/>
        <v>765-57: Snow Blowers, Self-Propelled</v>
      </c>
    </row>
    <row r="6007" spans="1:7" x14ac:dyDescent="0.25">
      <c r="A6007" s="1" t="str">
        <f t="shared" si="385"/>
        <v>765</v>
      </c>
      <c r="B6007" s="1" t="str">
        <f>TEXT(58,"00")</f>
        <v>58</v>
      </c>
      <c r="C6007" s="1" t="str">
        <f t="shared" si="383"/>
        <v>765-58</v>
      </c>
      <c r="D6007" t="s">
        <v>5979</v>
      </c>
      <c r="E6007" t="b">
        <f>IF(COUNTIF(D6007,"*"&amp;'Keyword Search'!$C$5&amp;"*"),TRUE,FALSE)</f>
        <v>1</v>
      </c>
      <c r="G6007" t="str">
        <f t="shared" si="384"/>
        <v>765-58: Snow Blowers, Vehicle or Equipment Mounted</v>
      </c>
    </row>
    <row r="6008" spans="1:7" x14ac:dyDescent="0.25">
      <c r="A6008" s="1" t="str">
        <f t="shared" si="385"/>
        <v>765</v>
      </c>
      <c r="B6008" s="1" t="str">
        <f>TEXT(59,"00")</f>
        <v>59</v>
      </c>
      <c r="C6008" s="1" t="str">
        <f t="shared" si="383"/>
        <v>765-59</v>
      </c>
      <c r="D6008" t="s">
        <v>5980</v>
      </c>
      <c r="E6008" t="b">
        <f>IF(COUNTIF(D6008,"*"&amp;'Keyword Search'!$C$5&amp;"*"),TRUE,FALSE)</f>
        <v>1</v>
      </c>
      <c r="G6008" t="str">
        <f t="shared" si="384"/>
        <v>765-59: Snow Blowers, Walk-Behind</v>
      </c>
    </row>
    <row r="6009" spans="1:7" x14ac:dyDescent="0.25">
      <c r="A6009" s="1" t="str">
        <f t="shared" si="385"/>
        <v>765</v>
      </c>
      <c r="B6009" s="1" t="str">
        <f>TEXT(60,"00")</f>
        <v>60</v>
      </c>
      <c r="C6009" s="1" t="str">
        <f t="shared" si="383"/>
        <v>765-60</v>
      </c>
      <c r="D6009" t="s">
        <v>5981</v>
      </c>
      <c r="E6009" t="b">
        <f>IF(COUNTIF(D6009,"*"&amp;'Keyword Search'!$C$5&amp;"*"),TRUE,FALSE)</f>
        <v>1</v>
      </c>
      <c r="G6009" t="str">
        <f t="shared" si="384"/>
        <v>765-60: Snow Plows, Motorized</v>
      </c>
    </row>
    <row r="6010" spans="1:7" x14ac:dyDescent="0.25">
      <c r="A6010" s="1" t="str">
        <f t="shared" si="385"/>
        <v>765</v>
      </c>
      <c r="B6010" s="1" t="str">
        <f>TEXT(61,"00")</f>
        <v>61</v>
      </c>
      <c r="C6010" s="1" t="str">
        <f t="shared" si="383"/>
        <v>765-61</v>
      </c>
      <c r="D6010" t="s">
        <v>5982</v>
      </c>
      <c r="E6010" t="b">
        <f>IF(COUNTIF(D6010,"*"&amp;'Keyword Search'!$C$5&amp;"*"),TRUE,FALSE)</f>
        <v>1</v>
      </c>
      <c r="G6010" t="str">
        <f t="shared" si="384"/>
        <v>765-61: Snow Plows and/or Snow Wings, Vehicle Mounted</v>
      </c>
    </row>
    <row r="6011" spans="1:7" x14ac:dyDescent="0.25">
      <c r="A6011" s="1" t="str">
        <f t="shared" si="385"/>
        <v>765</v>
      </c>
      <c r="B6011" s="1" t="str">
        <f>TEXT(64,"00")</f>
        <v>64</v>
      </c>
      <c r="C6011" s="1" t="str">
        <f t="shared" si="383"/>
        <v>765-64</v>
      </c>
      <c r="D6011" t="s">
        <v>5983</v>
      </c>
      <c r="E6011" t="b">
        <f>IF(COUNTIF(D6011,"*"&amp;'Keyword Search'!$C$5&amp;"*"),TRUE,FALSE)</f>
        <v>1</v>
      </c>
      <c r="G6011" t="str">
        <f t="shared" si="384"/>
        <v>765-64: Spreaders, Self-Propelled, For Aggregates, Sand, etc.</v>
      </c>
    </row>
    <row r="6012" spans="1:7" x14ac:dyDescent="0.25">
      <c r="A6012" s="1" t="str">
        <f t="shared" si="385"/>
        <v>765</v>
      </c>
      <c r="B6012" s="1" t="str">
        <f>TEXT(66,"00")</f>
        <v>66</v>
      </c>
      <c r="C6012" s="1" t="str">
        <f t="shared" si="383"/>
        <v>765-66</v>
      </c>
      <c r="D6012" t="s">
        <v>5984</v>
      </c>
      <c r="E6012" t="b">
        <f>IF(COUNTIF(D6012,"*"&amp;'Keyword Search'!$C$5&amp;"*"),TRUE,FALSE)</f>
        <v>1</v>
      </c>
      <c r="G6012" t="str">
        <f t="shared" si="384"/>
        <v>765-66: Spreaders, Truck Mounted, For Aggregates, Ice Control Materials, Seal Coatings, etc.</v>
      </c>
    </row>
    <row r="6013" spans="1:7" x14ac:dyDescent="0.25">
      <c r="A6013" s="1" t="str">
        <f t="shared" si="385"/>
        <v>765</v>
      </c>
      <c r="B6013" s="1" t="str">
        <f>TEXT(69,"00")</f>
        <v>69</v>
      </c>
      <c r="C6013" s="1" t="str">
        <f t="shared" si="383"/>
        <v>765-69</v>
      </c>
      <c r="D6013" t="s">
        <v>5985</v>
      </c>
      <c r="E6013" t="b">
        <f>IF(COUNTIF(D6013,"*"&amp;'Keyword Search'!$C$5&amp;"*"),TRUE,FALSE)</f>
        <v>1</v>
      </c>
      <c r="G6013" t="str">
        <f t="shared" si="384"/>
        <v>765-69: Sprinkler Equipment, Roads and Streets</v>
      </c>
    </row>
    <row r="6014" spans="1:7" x14ac:dyDescent="0.25">
      <c r="A6014" s="1" t="str">
        <f t="shared" si="385"/>
        <v>765</v>
      </c>
      <c r="B6014" s="1" t="str">
        <f>TEXT(72,"00")</f>
        <v>72</v>
      </c>
      <c r="C6014" s="1" t="str">
        <f t="shared" si="383"/>
        <v>765-72</v>
      </c>
      <c r="D6014" t="s">
        <v>5986</v>
      </c>
      <c r="E6014" t="b">
        <f>IF(COUNTIF(D6014,"*"&amp;'Keyword Search'!$C$5&amp;"*"),TRUE,FALSE)</f>
        <v>1</v>
      </c>
      <c r="G6014" t="str">
        <f t="shared" si="384"/>
        <v>765-72: Striping Machines and Accessories</v>
      </c>
    </row>
    <row r="6015" spans="1:7" x14ac:dyDescent="0.25">
      <c r="A6015" s="1" t="str">
        <f t="shared" si="385"/>
        <v>765</v>
      </c>
      <c r="B6015" s="1" t="str">
        <f>TEXT(75,"00")</f>
        <v>75</v>
      </c>
      <c r="C6015" s="1" t="str">
        <f t="shared" si="383"/>
        <v>765-75</v>
      </c>
      <c r="D6015" t="s">
        <v>5987</v>
      </c>
      <c r="E6015" t="b">
        <f>IF(COUNTIF(D6015,"*"&amp;'Keyword Search'!$C$5&amp;"*"),TRUE,FALSE)</f>
        <v>1</v>
      </c>
      <c r="G6015" t="str">
        <f t="shared" si="384"/>
        <v>765-75: Sweeper Accessories: Broom Fibers, Extension Brooms, Strips, Wire, Road Magnets, etc.</v>
      </c>
    </row>
    <row r="6016" spans="1:7" x14ac:dyDescent="0.25">
      <c r="A6016" s="1" t="str">
        <f t="shared" si="385"/>
        <v>765</v>
      </c>
      <c r="B6016" s="1" t="str">
        <f>TEXT(77,"00")</f>
        <v>77</v>
      </c>
      <c r="C6016" s="1" t="str">
        <f t="shared" si="383"/>
        <v>765-77</v>
      </c>
      <c r="D6016" t="s">
        <v>5988</v>
      </c>
      <c r="E6016" t="b">
        <f>IF(COUNTIF(D6016,"*"&amp;'Keyword Search'!$C$5&amp;"*"),TRUE,FALSE)</f>
        <v>1</v>
      </c>
      <c r="G6016" t="str">
        <f t="shared" si="384"/>
        <v>765-77: Sweepers, Drag Brooms, etc. Including Parts and Accessories  (See Class 365 for Warehouse Power Brooms and 035-81 for Runway Sweepers)</v>
      </c>
    </row>
    <row r="6017" spans="1:7" x14ac:dyDescent="0.25">
      <c r="A6017" s="1" t="str">
        <f t="shared" si="385"/>
        <v>765</v>
      </c>
      <c r="B6017" s="1" t="str">
        <f>TEXT(80,"00")</f>
        <v>80</v>
      </c>
      <c r="C6017" s="1" t="str">
        <f t="shared" si="383"/>
        <v>765-80</v>
      </c>
      <c r="D6017" t="s">
        <v>5989</v>
      </c>
      <c r="E6017" t="b">
        <f>IF(COUNTIF(D6017,"*"&amp;'Keyword Search'!$C$5&amp;"*"),TRUE,FALSE)</f>
        <v>1</v>
      </c>
      <c r="G6017" t="str">
        <f t="shared" si="384"/>
        <v>765-80: Tampers, Except Pneumatic and Vibrating Flat Plate Compactors (See 765-49 for Pneumatic Tampers)</v>
      </c>
    </row>
    <row r="6018" spans="1:7" x14ac:dyDescent="0.25">
      <c r="A6018" s="1" t="str">
        <f t="shared" si="385"/>
        <v>765</v>
      </c>
      <c r="B6018" s="1" t="str">
        <f>TEXT(83,"00")</f>
        <v>83</v>
      </c>
      <c r="C6018" s="1" t="str">
        <f t="shared" si="383"/>
        <v>765-83</v>
      </c>
      <c r="D6018" t="s">
        <v>5990</v>
      </c>
      <c r="E6018" t="b">
        <f>IF(COUNTIF(D6018,"*"&amp;'Keyword Search'!$C$5&amp;"*"),TRUE,FALSE)</f>
        <v>1</v>
      </c>
      <c r="G6018" t="str">
        <f t="shared" si="384"/>
        <v>765-83: Tractor Bulldozers, Crawler and Wheel Type</v>
      </c>
    </row>
    <row r="6019" spans="1:7" x14ac:dyDescent="0.25">
      <c r="A6019" s="1" t="str">
        <f t="shared" si="385"/>
        <v>765</v>
      </c>
      <c r="B6019" s="1" t="str">
        <f>TEXT(85,"00")</f>
        <v>85</v>
      </c>
      <c r="C6019" s="1" t="str">
        <f t="shared" ref="C6019:C6082" si="386">CONCATENATE(A6019,"-",B6019)</f>
        <v>765-85</v>
      </c>
      <c r="D6019" t="s">
        <v>5991</v>
      </c>
      <c r="E6019" t="b">
        <f>IF(COUNTIF(D6019,"*"&amp;'Keyword Search'!$C$5&amp;"*"),TRUE,FALSE)</f>
        <v>1</v>
      </c>
      <c r="G6019" t="str">
        <f t="shared" si="384"/>
        <v>765-85: Tractors, Crawler Type</v>
      </c>
    </row>
    <row r="6020" spans="1:7" x14ac:dyDescent="0.25">
      <c r="A6020" s="1" t="str">
        <f t="shared" si="385"/>
        <v>765</v>
      </c>
      <c r="B6020" s="1" t="str">
        <f>TEXT(87,"00")</f>
        <v>87</v>
      </c>
      <c r="C6020" s="1" t="str">
        <f t="shared" si="386"/>
        <v>765-87</v>
      </c>
      <c r="D6020" t="s">
        <v>5992</v>
      </c>
      <c r="E6020" t="b">
        <f>IF(COUNTIF(D6020,"*"&amp;'Keyword Search'!$C$5&amp;"*"),TRUE,FALSE)</f>
        <v>1</v>
      </c>
      <c r="G6020" t="str">
        <f t="shared" ref="G6020:G6083" si="387">CONCATENATE(C6020,": ",D6020)</f>
        <v>765-87: Tractors, Wheel Type, Except Farm Tractors, Including Walk-Behind Type)</v>
      </c>
    </row>
    <row r="6021" spans="1:7" x14ac:dyDescent="0.25">
      <c r="A6021" s="1" t="str">
        <f t="shared" si="385"/>
        <v>765</v>
      </c>
      <c r="B6021" s="1" t="str">
        <f>TEXT(88,"00")</f>
        <v>88</v>
      </c>
      <c r="C6021" s="1" t="str">
        <f t="shared" si="386"/>
        <v>765-88</v>
      </c>
      <c r="D6021" t="s">
        <v>5993</v>
      </c>
      <c r="E6021" t="b">
        <f>IF(COUNTIF(D6021,"*"&amp;'Keyword Search'!$C$5&amp;"*"),TRUE,FALSE)</f>
        <v>1</v>
      </c>
      <c r="G6021" t="str">
        <f t="shared" si="387"/>
        <v>765-88: Vacuum Trucks</v>
      </c>
    </row>
    <row r="6022" spans="1:7" x14ac:dyDescent="0.25">
      <c r="A6022" s="1" t="str">
        <f t="shared" si="385"/>
        <v>765</v>
      </c>
      <c r="B6022" s="1" t="str">
        <f>TEXT(90,"00")</f>
        <v>90</v>
      </c>
      <c r="C6022" s="1" t="str">
        <f t="shared" si="386"/>
        <v>765-90</v>
      </c>
      <c r="D6022" t="s">
        <v>5994</v>
      </c>
      <c r="E6022" t="b">
        <f>IF(COUNTIF(D6022,"*"&amp;'Keyword Search'!$C$5&amp;"*"),TRUE,FALSE)</f>
        <v>1</v>
      </c>
      <c r="G6022" t="str">
        <f t="shared" si="387"/>
        <v>765-90: Weed Burners and Accessories</v>
      </c>
    </row>
    <row r="6023" spans="1:7" x14ac:dyDescent="0.25">
      <c r="A6023" s="1" t="str">
        <f t="shared" si="385"/>
        <v>765</v>
      </c>
      <c r="B6023" s="1" t="str">
        <f>TEXT(93,"00")</f>
        <v>93</v>
      </c>
      <c r="C6023" s="1" t="str">
        <f t="shared" si="386"/>
        <v>765-93</v>
      </c>
      <c r="D6023" t="s">
        <v>5995</v>
      </c>
      <c r="E6023" t="b">
        <f>IF(COUNTIF(D6023,"*"&amp;'Keyword Search'!$C$5&amp;"*"),TRUE,FALSE)</f>
        <v>1</v>
      </c>
      <c r="G6023" t="str">
        <f t="shared" si="387"/>
        <v>765-93: Wire Rope  (Inactive, please see commodity code 765-95 effective January 1, 2016)</v>
      </c>
    </row>
    <row r="6024" spans="1:7" x14ac:dyDescent="0.25">
      <c r="A6024" s="1" t="str">
        <f t="shared" si="385"/>
        <v>765</v>
      </c>
      <c r="B6024" s="1" t="str">
        <f>TEXT(95,"00")</f>
        <v>95</v>
      </c>
      <c r="C6024" s="1" t="str">
        <f t="shared" si="386"/>
        <v>765-95</v>
      </c>
      <c r="D6024" t="s">
        <v>5996</v>
      </c>
      <c r="E6024" t="b">
        <f>IF(COUNTIF(D6024,"*"&amp;'Keyword Search'!$C$5&amp;"*"),TRUE,FALSE)</f>
        <v>1</v>
      </c>
      <c r="G6024" t="str">
        <f t="shared" si="387"/>
        <v>765-95: Wire Rope Including Accessories: Clamps, Clips, Cutters, Eyes, Hoists, Slings, Thimbles, Turnbuckles, Windlasses, etc.</v>
      </c>
    </row>
    <row r="6025" spans="1:7" x14ac:dyDescent="0.25">
      <c r="A6025" s="1" t="str">
        <f t="shared" si="385"/>
        <v>765</v>
      </c>
      <c r="B6025" s="1" t="str">
        <f>TEXT(96,"00")</f>
        <v>96</v>
      </c>
      <c r="C6025" s="1" t="str">
        <f t="shared" si="386"/>
        <v>765-96</v>
      </c>
      <c r="D6025" t="s">
        <v>5997</v>
      </c>
      <c r="E6025" t="b">
        <f>IF(COUNTIF(D6025,"*"&amp;'Keyword Search'!$C$5&amp;"*"),TRUE,FALSE)</f>
        <v>1</v>
      </c>
      <c r="G6025" t="str">
        <f t="shared" si="387"/>
        <v>765-96: Recycled Road and Highway Equipment and Supplies (Not Otherwise Classified)</v>
      </c>
    </row>
    <row r="6026" spans="1:7" x14ac:dyDescent="0.25">
      <c r="A6026" s="5" t="str">
        <f t="shared" ref="A6026:A6060" si="388">TEXT(770,"000")</f>
        <v>770</v>
      </c>
      <c r="B6026" s="5" t="str">
        <f>TEXT(0,"00")</f>
        <v>00</v>
      </c>
      <c r="C6026" s="1"/>
      <c r="D6026" s="2" t="s">
        <v>5998</v>
      </c>
    </row>
    <row r="6027" spans="1:7" x14ac:dyDescent="0.25">
      <c r="A6027" s="1" t="str">
        <f t="shared" si="388"/>
        <v>770</v>
      </c>
      <c r="B6027" s="1" t="str">
        <f>TEXT(6,"00")</f>
        <v>06</v>
      </c>
      <c r="C6027" s="1" t="str">
        <f t="shared" si="386"/>
        <v>770-06</v>
      </c>
      <c r="D6027" t="s">
        <v>5999</v>
      </c>
      <c r="E6027" t="b">
        <f>IF(COUNTIF(D6027,"*"&amp;'Keyword Search'!$C$5&amp;"*"),TRUE,FALSE)</f>
        <v>1</v>
      </c>
      <c r="G6027" t="str">
        <f t="shared" si="387"/>
        <v>770-06: Aggregate, Gravel, Marble and Stone Chips, etc., For Roofs)</v>
      </c>
    </row>
    <row r="6028" spans="1:7" x14ac:dyDescent="0.25">
      <c r="A6028" s="1" t="str">
        <f t="shared" si="388"/>
        <v>770</v>
      </c>
      <c r="B6028" s="1" t="str">
        <f>TEXT(9,"00")</f>
        <v>09</v>
      </c>
      <c r="C6028" s="1" t="str">
        <f t="shared" si="386"/>
        <v>770-09</v>
      </c>
      <c r="D6028" t="s">
        <v>6000</v>
      </c>
      <c r="E6028" t="b">
        <f>IF(COUNTIF(D6028,"*"&amp;'Keyword Search'!$C$5&amp;"*"),TRUE,FALSE)</f>
        <v>1</v>
      </c>
      <c r="G6028" t="str">
        <f t="shared" si="387"/>
        <v>770-09: Asphalt, Roofing</v>
      </c>
    </row>
    <row r="6029" spans="1:7" x14ac:dyDescent="0.25">
      <c r="A6029" s="1" t="str">
        <f t="shared" si="388"/>
        <v>770</v>
      </c>
      <c r="B6029" s="1" t="str">
        <f>TEXT(15,"00")</f>
        <v>15</v>
      </c>
      <c r="C6029" s="1" t="str">
        <f t="shared" si="386"/>
        <v>770-15</v>
      </c>
      <c r="D6029" t="s">
        <v>6001</v>
      </c>
      <c r="E6029" t="b">
        <f>IF(COUNTIF(D6029,"*"&amp;'Keyword Search'!$C$5&amp;"*"),TRUE,FALSE)</f>
        <v>1</v>
      </c>
      <c r="G6029" t="str">
        <f t="shared" si="387"/>
        <v>770-15: Bolts, Clips, Fasteners, etc., For Sheet Roofing</v>
      </c>
    </row>
    <row r="6030" spans="1:7" x14ac:dyDescent="0.25">
      <c r="A6030" s="1" t="str">
        <f t="shared" si="388"/>
        <v>770</v>
      </c>
      <c r="B6030" s="1" t="str">
        <f>TEXT(18,"00")</f>
        <v>18</v>
      </c>
      <c r="C6030" s="1" t="str">
        <f t="shared" si="386"/>
        <v>770-18</v>
      </c>
      <c r="D6030" t="s">
        <v>6002</v>
      </c>
      <c r="E6030" t="b">
        <f>IF(COUNTIF(D6030,"*"&amp;'Keyword Search'!$C$5&amp;"*"),TRUE,FALSE)</f>
        <v>1</v>
      </c>
      <c r="G6030" t="str">
        <f t="shared" si="387"/>
        <v>770-18: Cant Strips, Expansion Joint Fillers</v>
      </c>
    </row>
    <row r="6031" spans="1:7" x14ac:dyDescent="0.25">
      <c r="A6031" s="1" t="str">
        <f t="shared" si="388"/>
        <v>770</v>
      </c>
      <c r="B6031" s="1" t="str">
        <f>TEXT(20,"00")</f>
        <v>20</v>
      </c>
      <c r="C6031" s="1" t="str">
        <f t="shared" si="386"/>
        <v>770-20</v>
      </c>
      <c r="D6031" t="s">
        <v>6003</v>
      </c>
      <c r="E6031" t="b">
        <f>IF(COUNTIF(D6031,"*"&amp;'Keyword Search'!$C$5&amp;"*"),TRUE,FALSE)</f>
        <v>1</v>
      </c>
      <c r="G6031" t="str">
        <f t="shared" si="387"/>
        <v>770-20: Caps, Roofing</v>
      </c>
    </row>
    <row r="6032" spans="1:7" x14ac:dyDescent="0.25">
      <c r="A6032" s="1" t="str">
        <f t="shared" si="388"/>
        <v>770</v>
      </c>
      <c r="B6032" s="1" t="str">
        <f>TEXT(23,"00")</f>
        <v>23</v>
      </c>
      <c r="C6032" s="1" t="str">
        <f t="shared" si="386"/>
        <v>770-23</v>
      </c>
      <c r="D6032" t="s">
        <v>6004</v>
      </c>
      <c r="E6032" t="b">
        <f>IF(COUNTIF(D6032,"*"&amp;'Keyword Search'!$C$5&amp;"*"),TRUE,FALSE)</f>
        <v>1</v>
      </c>
      <c r="G6032" t="str">
        <f t="shared" si="387"/>
        <v>770-23: Cements and Mastics, Roofing</v>
      </c>
    </row>
    <row r="6033" spans="1:7" x14ac:dyDescent="0.25">
      <c r="A6033" s="1" t="str">
        <f t="shared" si="388"/>
        <v>770</v>
      </c>
      <c r="B6033" s="1" t="str">
        <f>TEXT(26,"00")</f>
        <v>26</v>
      </c>
      <c r="C6033" s="1" t="str">
        <f t="shared" si="386"/>
        <v>770-26</v>
      </c>
      <c r="D6033" t="s">
        <v>6005</v>
      </c>
      <c r="E6033" t="b">
        <f>IF(COUNTIF(D6033,"*"&amp;'Keyword Search'!$C$5&amp;"*"),TRUE,FALSE)</f>
        <v>1</v>
      </c>
      <c r="G6033" t="str">
        <f t="shared" si="387"/>
        <v>770-26: Coatings, Roof, All Kinds</v>
      </c>
    </row>
    <row r="6034" spans="1:7" x14ac:dyDescent="0.25">
      <c r="A6034" s="1" t="str">
        <f t="shared" si="388"/>
        <v>770</v>
      </c>
      <c r="B6034" s="1" t="str">
        <f>TEXT(38,"00")</f>
        <v>38</v>
      </c>
      <c r="C6034" s="1" t="str">
        <f t="shared" si="386"/>
        <v>770-38</v>
      </c>
      <c r="D6034" t="s">
        <v>6006</v>
      </c>
      <c r="E6034" t="b">
        <f>IF(COUNTIF(D6034,"*"&amp;'Keyword Search'!$C$5&amp;"*"),TRUE,FALSE)</f>
        <v>1</v>
      </c>
      <c r="G6034" t="str">
        <f t="shared" si="387"/>
        <v>770-38: Felt, Roofing, Rolls</v>
      </c>
    </row>
    <row r="6035" spans="1:7" x14ac:dyDescent="0.25">
      <c r="A6035" s="1" t="str">
        <f t="shared" si="388"/>
        <v>770</v>
      </c>
      <c r="B6035" s="1" t="str">
        <f>TEXT(41,"00")</f>
        <v>41</v>
      </c>
      <c r="C6035" s="1" t="str">
        <f t="shared" si="386"/>
        <v>770-41</v>
      </c>
      <c r="D6035" t="s">
        <v>6007</v>
      </c>
      <c r="E6035" t="b">
        <f>IF(COUNTIF(D6035,"*"&amp;'Keyword Search'!$C$5&amp;"*"),TRUE,FALSE)</f>
        <v>1</v>
      </c>
      <c r="G6035" t="str">
        <f t="shared" si="387"/>
        <v>770-41: Flashing, Eave Strips, Gravel Guards, Ridge Rolls, Valleys, etc., Metal</v>
      </c>
    </row>
    <row r="6036" spans="1:7" x14ac:dyDescent="0.25">
      <c r="A6036" s="1" t="str">
        <f t="shared" si="388"/>
        <v>770</v>
      </c>
      <c r="B6036" s="1" t="str">
        <f>TEXT(42,"00")</f>
        <v>42</v>
      </c>
      <c r="C6036" s="1" t="str">
        <f t="shared" si="386"/>
        <v>770-42</v>
      </c>
      <c r="D6036" t="s">
        <v>6008</v>
      </c>
      <c r="E6036" t="b">
        <f>IF(COUNTIF(D6036,"*"&amp;'Keyword Search'!$C$5&amp;"*"),TRUE,FALSE)</f>
        <v>1</v>
      </c>
      <c r="G6036" t="str">
        <f t="shared" si="387"/>
        <v>770-42: Flashing, Plastic</v>
      </c>
    </row>
    <row r="6037" spans="1:7" x14ac:dyDescent="0.25">
      <c r="A6037" s="1" t="str">
        <f t="shared" si="388"/>
        <v>770</v>
      </c>
      <c r="B6037" s="1" t="str">
        <f>TEXT(45,"00")</f>
        <v>45</v>
      </c>
      <c r="C6037" s="1" t="str">
        <f t="shared" si="386"/>
        <v>770-45</v>
      </c>
      <c r="D6037" t="s">
        <v>6009</v>
      </c>
      <c r="E6037" t="b">
        <f>IF(COUNTIF(D6037,"*"&amp;'Keyword Search'!$C$5&amp;"*"),TRUE,FALSE)</f>
        <v>1</v>
      </c>
      <c r="G6037" t="str">
        <f t="shared" si="387"/>
        <v>770-45: Insulation, Roof, All Kinds</v>
      </c>
    </row>
    <row r="6038" spans="1:7" x14ac:dyDescent="0.25">
      <c r="A6038" s="1" t="str">
        <f t="shared" si="388"/>
        <v>770</v>
      </c>
      <c r="B6038" s="1" t="str">
        <f>TEXT(48,"00")</f>
        <v>48</v>
      </c>
      <c r="C6038" s="1" t="str">
        <f t="shared" si="386"/>
        <v>770-48</v>
      </c>
      <c r="D6038" t="s">
        <v>6010</v>
      </c>
      <c r="E6038" t="b">
        <f>IF(COUNTIF(D6038,"*"&amp;'Keyword Search'!$C$5&amp;"*"),TRUE,FALSE)</f>
        <v>1</v>
      </c>
      <c r="G6038" t="str">
        <f t="shared" si="387"/>
        <v>770-48: Paper, Roofing</v>
      </c>
    </row>
    <row r="6039" spans="1:7" x14ac:dyDescent="0.25">
      <c r="A6039" s="1" t="str">
        <f t="shared" si="388"/>
        <v>770</v>
      </c>
      <c r="B6039" s="1" t="str">
        <f>TEXT(53,"00")</f>
        <v>53</v>
      </c>
      <c r="C6039" s="1" t="str">
        <f t="shared" si="386"/>
        <v>770-53</v>
      </c>
      <c r="D6039" t="s">
        <v>6011</v>
      </c>
      <c r="E6039" t="b">
        <f>IF(COUNTIF(D6039,"*"&amp;'Keyword Search'!$C$5&amp;"*"),TRUE,FALSE)</f>
        <v>1</v>
      </c>
      <c r="G6039" t="str">
        <f t="shared" si="387"/>
        <v>770-53: Primers, Roofing</v>
      </c>
    </row>
    <row r="6040" spans="1:7" x14ac:dyDescent="0.25">
      <c r="A6040" s="1" t="str">
        <f t="shared" si="388"/>
        <v>770</v>
      </c>
      <c r="B6040" s="1" t="str">
        <f>TEXT(56,"00")</f>
        <v>56</v>
      </c>
      <c r="C6040" s="1" t="str">
        <f t="shared" si="386"/>
        <v>770-56</v>
      </c>
      <c r="D6040" t="s">
        <v>6012</v>
      </c>
      <c r="E6040" t="b">
        <f>IF(COUNTIF(D6040,"*"&amp;'Keyword Search'!$C$5&amp;"*"),TRUE,FALSE)</f>
        <v>1</v>
      </c>
      <c r="G6040" t="str">
        <f t="shared" si="387"/>
        <v>770-56: Roofing, Aluminum: Corrugated, V-Crimp, etc.</v>
      </c>
    </row>
    <row r="6041" spans="1:7" x14ac:dyDescent="0.25">
      <c r="A6041" s="1" t="str">
        <f t="shared" si="388"/>
        <v>770</v>
      </c>
      <c r="B6041" s="1" t="str">
        <f>TEXT(59,"00")</f>
        <v>59</v>
      </c>
      <c r="C6041" s="1" t="str">
        <f t="shared" si="386"/>
        <v>770-59</v>
      </c>
      <c r="D6041" t="s">
        <v>6013</v>
      </c>
      <c r="E6041" t="b">
        <f>IF(COUNTIF(D6041,"*"&amp;'Keyword Search'!$C$5&amp;"*"),TRUE,FALSE)</f>
        <v>1</v>
      </c>
      <c r="G6041" t="str">
        <f t="shared" si="387"/>
        <v>770-59: Roofing, Asbestos-Cement: Corrugated, etc.</v>
      </c>
    </row>
    <row r="6042" spans="1:7" x14ac:dyDescent="0.25">
      <c r="A6042" s="1" t="str">
        <f t="shared" si="388"/>
        <v>770</v>
      </c>
      <c r="B6042" s="1" t="str">
        <f>TEXT(60,"00")</f>
        <v>60</v>
      </c>
      <c r="C6042" s="1" t="str">
        <f t="shared" si="386"/>
        <v>770-60</v>
      </c>
      <c r="D6042" t="s">
        <v>6014</v>
      </c>
      <c r="E6042" t="b">
        <f>IF(COUNTIF(D6042,"*"&amp;'Keyword Search'!$C$5&amp;"*"),TRUE,FALSE)</f>
        <v>1</v>
      </c>
      <c r="G6042" t="str">
        <f t="shared" si="387"/>
        <v>770-60: Roofing, Baked Enamel Sheet Steel: Corrugated, V-Crimp, etc.</v>
      </c>
    </row>
    <row r="6043" spans="1:7" x14ac:dyDescent="0.25">
      <c r="A6043" s="1" t="str">
        <f t="shared" si="388"/>
        <v>770</v>
      </c>
      <c r="B6043" s="1" t="str">
        <f>TEXT(61,"00")</f>
        <v>61</v>
      </c>
      <c r="C6043" s="1" t="str">
        <f t="shared" si="386"/>
        <v>770-61</v>
      </c>
      <c r="D6043" t="s">
        <v>6015</v>
      </c>
      <c r="E6043" t="b">
        <f>IF(COUNTIF(D6043,"*"&amp;'Keyword Search'!$C$5&amp;"*"),TRUE,FALSE)</f>
        <v>1</v>
      </c>
      <c r="G6043" t="str">
        <f t="shared" si="387"/>
        <v>770-61: Roofing: Coated, Elastomeric, Sprayed Foam, etc.</v>
      </c>
    </row>
    <row r="6044" spans="1:7" x14ac:dyDescent="0.25">
      <c r="A6044" s="1" t="str">
        <f t="shared" si="388"/>
        <v>770</v>
      </c>
      <c r="B6044" s="1" t="str">
        <f>TEXT(62,"00")</f>
        <v>62</v>
      </c>
      <c r="C6044" s="1" t="str">
        <f t="shared" si="386"/>
        <v>770-62</v>
      </c>
      <c r="D6044" t="s">
        <v>6016</v>
      </c>
      <c r="E6044" t="b">
        <f>IF(COUNTIF(D6044,"*"&amp;'Keyword Search'!$C$5&amp;"*"),TRUE,FALSE)</f>
        <v>1</v>
      </c>
      <c r="G6044" t="str">
        <f t="shared" si="387"/>
        <v>770-62: Roofing, Composition, Rolls</v>
      </c>
    </row>
    <row r="6045" spans="1:7" x14ac:dyDescent="0.25">
      <c r="A6045" s="1" t="str">
        <f t="shared" si="388"/>
        <v>770</v>
      </c>
      <c r="B6045" s="1" t="str">
        <f>TEXT(64,"00")</f>
        <v>64</v>
      </c>
      <c r="C6045" s="1" t="str">
        <f t="shared" si="386"/>
        <v>770-64</v>
      </c>
      <c r="D6045" t="s">
        <v>6017</v>
      </c>
      <c r="E6045" t="b">
        <f>IF(COUNTIF(D6045,"*"&amp;'Keyword Search'!$C$5&amp;"*"),TRUE,FALSE)</f>
        <v>1</v>
      </c>
      <c r="G6045" t="str">
        <f t="shared" si="387"/>
        <v>770-64: Roofing, Concrete Tile  (See 135-74 for Clay Roofing Tile)</v>
      </c>
    </row>
    <row r="6046" spans="1:7" x14ac:dyDescent="0.25">
      <c r="A6046" s="1" t="str">
        <f t="shared" si="388"/>
        <v>770</v>
      </c>
      <c r="B6046" s="1" t="str">
        <f>TEXT(65,"00")</f>
        <v>65</v>
      </c>
      <c r="C6046" s="1" t="str">
        <f t="shared" si="386"/>
        <v>770-65</v>
      </c>
      <c r="D6046" t="s">
        <v>6018</v>
      </c>
      <c r="E6046" t="b">
        <f>IF(COUNTIF(D6046,"*"&amp;'Keyword Search'!$C$5&amp;"*"),TRUE,FALSE)</f>
        <v>1</v>
      </c>
      <c r="G6046" t="str">
        <f t="shared" si="387"/>
        <v>770-65: Roofing, Galvanized Sheet Metal: Corrugated, V-Crimp, etc.</v>
      </c>
    </row>
    <row r="6047" spans="1:7" x14ac:dyDescent="0.25">
      <c r="A6047" s="1" t="str">
        <f t="shared" si="388"/>
        <v>770</v>
      </c>
      <c r="B6047" s="1" t="str">
        <f>TEXT(66,"00")</f>
        <v>66</v>
      </c>
      <c r="C6047" s="1" t="str">
        <f t="shared" si="386"/>
        <v>770-66</v>
      </c>
      <c r="D6047" t="s">
        <v>6019</v>
      </c>
      <c r="E6047" t="b">
        <f>IF(COUNTIF(D6047,"*"&amp;'Keyword Search'!$C$5&amp;"*"),TRUE,FALSE)</f>
        <v>1</v>
      </c>
      <c r="G6047" t="str">
        <f t="shared" si="387"/>
        <v>770-66: Roofing, Malleable Iron</v>
      </c>
    </row>
    <row r="6048" spans="1:7" x14ac:dyDescent="0.25">
      <c r="A6048" s="1" t="str">
        <f t="shared" si="388"/>
        <v>770</v>
      </c>
      <c r="B6048" s="1" t="str">
        <f>TEXT(68,"00")</f>
        <v>68</v>
      </c>
      <c r="C6048" s="1" t="str">
        <f t="shared" si="386"/>
        <v>770-68</v>
      </c>
      <c r="D6048" t="s">
        <v>6020</v>
      </c>
      <c r="E6048" t="b">
        <f>IF(COUNTIF(D6048,"*"&amp;'Keyword Search'!$C$5&amp;"*"),TRUE,FALSE)</f>
        <v>1</v>
      </c>
      <c r="G6048" t="str">
        <f t="shared" si="387"/>
        <v>770-68: Roofing, Plastic and Fiberglass: Corrugated, etc.</v>
      </c>
    </row>
    <row r="6049" spans="1:7" x14ac:dyDescent="0.25">
      <c r="A6049" s="1" t="str">
        <f t="shared" si="388"/>
        <v>770</v>
      </c>
      <c r="B6049" s="1" t="str">
        <f>TEXT(70,"00")</f>
        <v>70</v>
      </c>
      <c r="C6049" s="1" t="str">
        <f t="shared" si="386"/>
        <v>770-70</v>
      </c>
      <c r="D6049" t="s">
        <v>6021</v>
      </c>
      <c r="E6049" t="b">
        <f>IF(COUNTIF(D6049,"*"&amp;'Keyword Search'!$C$5&amp;"*"),TRUE,FALSE)</f>
        <v>1</v>
      </c>
      <c r="G6049" t="str">
        <f t="shared" si="387"/>
        <v>770-70: Roofing Repair Kits</v>
      </c>
    </row>
    <row r="6050" spans="1:7" x14ac:dyDescent="0.25">
      <c r="A6050" s="1" t="str">
        <f t="shared" si="388"/>
        <v>770</v>
      </c>
      <c r="B6050" s="1" t="str">
        <f>TEXT(72,"00")</f>
        <v>72</v>
      </c>
      <c r="C6050" s="1" t="str">
        <f t="shared" si="386"/>
        <v>770-72</v>
      </c>
      <c r="D6050" t="s">
        <v>6022</v>
      </c>
      <c r="E6050" t="b">
        <f>IF(COUNTIF(D6050,"*"&amp;'Keyword Search'!$C$5&amp;"*"),TRUE,FALSE)</f>
        <v>1</v>
      </c>
      <c r="G6050" t="str">
        <f t="shared" si="387"/>
        <v>770-72: Roofing Supplies (Not Otherwise Classified)</v>
      </c>
    </row>
    <row r="6051" spans="1:7" x14ac:dyDescent="0.25">
      <c r="A6051" s="1" t="str">
        <f t="shared" si="388"/>
        <v>770</v>
      </c>
      <c r="B6051" s="1" t="str">
        <f>TEXT(73,"00")</f>
        <v>73</v>
      </c>
      <c r="C6051" s="1" t="str">
        <f t="shared" si="386"/>
        <v>770-73</v>
      </c>
      <c r="D6051" t="s">
        <v>6023</v>
      </c>
      <c r="E6051" t="b">
        <f>IF(COUNTIF(D6051,"*"&amp;'Keyword Search'!$C$5&amp;"*"),TRUE,FALSE)</f>
        <v>1</v>
      </c>
      <c r="G6051" t="str">
        <f t="shared" si="387"/>
        <v>770-73: Roofing, Tin</v>
      </c>
    </row>
    <row r="6052" spans="1:7" x14ac:dyDescent="0.25">
      <c r="A6052" s="1" t="str">
        <f t="shared" si="388"/>
        <v>770</v>
      </c>
      <c r="B6052" s="1" t="str">
        <f>TEXT(74,"00")</f>
        <v>74</v>
      </c>
      <c r="C6052" s="1" t="str">
        <f t="shared" si="386"/>
        <v>770-74</v>
      </c>
      <c r="D6052" t="s">
        <v>6024</v>
      </c>
      <c r="E6052" t="b">
        <f>IF(COUNTIF(D6052,"*"&amp;'Keyword Search'!$C$5&amp;"*"),TRUE,FALSE)</f>
        <v>1</v>
      </c>
      <c r="G6052" t="str">
        <f t="shared" si="387"/>
        <v>770-74: Shingles, Asbestos</v>
      </c>
    </row>
    <row r="6053" spans="1:7" x14ac:dyDescent="0.25">
      <c r="A6053" s="1" t="str">
        <f t="shared" si="388"/>
        <v>770</v>
      </c>
      <c r="B6053" s="1" t="str">
        <f>TEXT(77,"00")</f>
        <v>77</v>
      </c>
      <c r="C6053" s="1" t="str">
        <f t="shared" si="386"/>
        <v>770-77</v>
      </c>
      <c r="D6053" t="s">
        <v>6025</v>
      </c>
      <c r="E6053" t="b">
        <f>IF(COUNTIF(D6053,"*"&amp;'Keyword Search'!$C$5&amp;"*"),TRUE,FALSE)</f>
        <v>1</v>
      </c>
      <c r="G6053" t="str">
        <f t="shared" si="387"/>
        <v>770-77: Shingles, Composition, Asphalt</v>
      </c>
    </row>
    <row r="6054" spans="1:7" x14ac:dyDescent="0.25">
      <c r="A6054" s="1" t="str">
        <f t="shared" si="388"/>
        <v>770</v>
      </c>
      <c r="B6054" s="1" t="str">
        <f>TEXT(78,"00")</f>
        <v>78</v>
      </c>
      <c r="C6054" s="1" t="str">
        <f t="shared" si="386"/>
        <v>770-78</v>
      </c>
      <c r="D6054" t="s">
        <v>6026</v>
      </c>
      <c r="E6054" t="b">
        <f>IF(COUNTIF(D6054,"*"&amp;'Keyword Search'!$C$5&amp;"*"),TRUE,FALSE)</f>
        <v>1</v>
      </c>
      <c r="G6054" t="str">
        <f t="shared" si="387"/>
        <v>770-78: Shingles, Fiberglass</v>
      </c>
    </row>
    <row r="6055" spans="1:7" x14ac:dyDescent="0.25">
      <c r="A6055" s="1" t="str">
        <f t="shared" si="388"/>
        <v>770</v>
      </c>
      <c r="B6055" s="1" t="str">
        <f>TEXT(80,"00")</f>
        <v>80</v>
      </c>
      <c r="C6055" s="1" t="str">
        <f t="shared" si="386"/>
        <v>770-80</v>
      </c>
      <c r="D6055" t="s">
        <v>6027</v>
      </c>
      <c r="E6055" t="b">
        <f>IF(COUNTIF(D6055,"*"&amp;'Keyword Search'!$C$5&amp;"*"),TRUE,FALSE)</f>
        <v>1</v>
      </c>
      <c r="G6055" t="str">
        <f t="shared" si="387"/>
        <v>770-80: Shingles, Metal</v>
      </c>
    </row>
    <row r="6056" spans="1:7" x14ac:dyDescent="0.25">
      <c r="A6056" s="1" t="str">
        <f t="shared" si="388"/>
        <v>770</v>
      </c>
      <c r="B6056" s="1" t="str">
        <f>TEXT(82,"00")</f>
        <v>82</v>
      </c>
      <c r="C6056" s="1" t="str">
        <f t="shared" si="386"/>
        <v>770-82</v>
      </c>
      <c r="D6056" t="s">
        <v>6028</v>
      </c>
      <c r="E6056" t="b">
        <f>IF(COUNTIF(D6056,"*"&amp;'Keyword Search'!$C$5&amp;"*"),TRUE,FALSE)</f>
        <v>1</v>
      </c>
      <c r="G6056" t="str">
        <f t="shared" si="387"/>
        <v>770-82: Shingles, Wood</v>
      </c>
    </row>
    <row r="6057" spans="1:7" x14ac:dyDescent="0.25">
      <c r="A6057" s="1" t="str">
        <f t="shared" si="388"/>
        <v>770</v>
      </c>
      <c r="B6057" s="1" t="str">
        <f>TEXT(83,"00")</f>
        <v>83</v>
      </c>
      <c r="C6057" s="1" t="str">
        <f t="shared" si="386"/>
        <v>770-83</v>
      </c>
      <c r="D6057" t="s">
        <v>6029</v>
      </c>
      <c r="E6057" t="b">
        <f>IF(COUNTIF(D6057,"*"&amp;'Keyword Search'!$C$5&amp;"*"),TRUE,FALSE)</f>
        <v>1</v>
      </c>
      <c r="G6057" t="str">
        <f t="shared" si="387"/>
        <v>770-83: Skylights, All Types</v>
      </c>
    </row>
    <row r="6058" spans="1:7" x14ac:dyDescent="0.25">
      <c r="A6058" s="1" t="str">
        <f t="shared" si="388"/>
        <v>770</v>
      </c>
      <c r="B6058" s="1" t="str">
        <f>TEXT(88,"00")</f>
        <v>88</v>
      </c>
      <c r="C6058" s="1" t="str">
        <f t="shared" si="386"/>
        <v>770-88</v>
      </c>
      <c r="D6058" t="s">
        <v>6030</v>
      </c>
      <c r="E6058" t="b">
        <f>IF(COUNTIF(D6058,"*"&amp;'Keyword Search'!$C$5&amp;"*"),TRUE,FALSE)</f>
        <v>1</v>
      </c>
      <c r="G6058" t="str">
        <f t="shared" si="387"/>
        <v>770-88: Tar, Roofing, Coal Tar Pitch</v>
      </c>
    </row>
    <row r="6059" spans="1:7" x14ac:dyDescent="0.25">
      <c r="A6059" s="1" t="str">
        <f t="shared" si="388"/>
        <v>770</v>
      </c>
      <c r="B6059" s="1" t="str">
        <f>TEXT(93,"00")</f>
        <v>93</v>
      </c>
      <c r="C6059" s="1" t="str">
        <f t="shared" si="386"/>
        <v>770-93</v>
      </c>
      <c r="D6059" t="s">
        <v>6031</v>
      </c>
      <c r="E6059" t="b">
        <f>IF(COUNTIF(D6059,"*"&amp;'Keyword Search'!$C$5&amp;"*"),TRUE,FALSE)</f>
        <v>1</v>
      </c>
      <c r="G6059" t="str">
        <f t="shared" si="387"/>
        <v>770-93: Waterproofing Membrane and Base Sheet</v>
      </c>
    </row>
    <row r="6060" spans="1:7" x14ac:dyDescent="0.25">
      <c r="A6060" s="1" t="str">
        <f t="shared" si="388"/>
        <v>770</v>
      </c>
      <c r="B6060" s="1" t="str">
        <f>TEXT(96,"00")</f>
        <v>96</v>
      </c>
      <c r="C6060" s="1" t="str">
        <f t="shared" si="386"/>
        <v>770-96</v>
      </c>
      <c r="D6060" t="s">
        <v>6032</v>
      </c>
      <c r="E6060" t="b">
        <f>IF(COUNTIF(D6060,"*"&amp;'Keyword Search'!$C$5&amp;"*"),TRUE,FALSE)</f>
        <v>1</v>
      </c>
      <c r="G6060" t="str">
        <f t="shared" si="387"/>
        <v>770-96: Recycled Roofing Material and Supplies Including Insulation</v>
      </c>
    </row>
    <row r="6061" spans="1:7" x14ac:dyDescent="0.25">
      <c r="A6061" s="5" t="str">
        <f t="shared" ref="A6061:A6072" si="389">TEXT(775,"000")</f>
        <v>775</v>
      </c>
      <c r="B6061" s="5" t="str">
        <f>TEXT(0,"00")</f>
        <v>00</v>
      </c>
      <c r="C6061" s="1"/>
      <c r="D6061" s="2" t="s">
        <v>6033</v>
      </c>
    </row>
    <row r="6062" spans="1:7" x14ac:dyDescent="0.25">
      <c r="A6062" s="1" t="str">
        <f t="shared" si="389"/>
        <v>775</v>
      </c>
      <c r="B6062" s="1" t="str">
        <f>TEXT(9,"00")</f>
        <v>09</v>
      </c>
      <c r="C6062" s="1" t="str">
        <f t="shared" si="386"/>
        <v>775-09</v>
      </c>
      <c r="D6062" t="s">
        <v>6034</v>
      </c>
      <c r="E6062" t="b">
        <f>IF(COUNTIF(D6062,"*"&amp;'Keyword Search'!$C$5&amp;"*"),TRUE,FALSE)</f>
        <v>1</v>
      </c>
      <c r="G6062" t="str">
        <f t="shared" si="387"/>
        <v>775-09: Block Salt, Plain or Medicated, For Livestock</v>
      </c>
    </row>
    <row r="6063" spans="1:7" x14ac:dyDescent="0.25">
      <c r="A6063" s="1" t="str">
        <f t="shared" si="389"/>
        <v>775</v>
      </c>
      <c r="B6063" s="1" t="str">
        <f>TEXT(18,"00")</f>
        <v>18</v>
      </c>
      <c r="C6063" s="1" t="str">
        <f t="shared" si="386"/>
        <v>775-18</v>
      </c>
      <c r="D6063" t="s">
        <v>6035</v>
      </c>
      <c r="E6063" t="b">
        <f>IF(COUNTIF(D6063,"*"&amp;'Keyword Search'!$C$5&amp;"*"),TRUE,FALSE)</f>
        <v>1</v>
      </c>
      <c r="G6063" t="str">
        <f t="shared" si="387"/>
        <v>775-18: Brine</v>
      </c>
    </row>
    <row r="6064" spans="1:7" x14ac:dyDescent="0.25">
      <c r="A6064" s="1" t="str">
        <f t="shared" si="389"/>
        <v>775</v>
      </c>
      <c r="B6064" s="1" t="str">
        <f>TEXT(27,"00")</f>
        <v>27</v>
      </c>
      <c r="C6064" s="1" t="str">
        <f t="shared" si="386"/>
        <v>775-27</v>
      </c>
      <c r="D6064" t="s">
        <v>6036</v>
      </c>
      <c r="E6064" t="b">
        <f>IF(COUNTIF(D6064,"*"&amp;'Keyword Search'!$C$5&amp;"*"),TRUE,FALSE)</f>
        <v>1</v>
      </c>
      <c r="G6064" t="str">
        <f t="shared" si="387"/>
        <v>775-27: Ice Cream Salt</v>
      </c>
    </row>
    <row r="6065" spans="1:7" x14ac:dyDescent="0.25">
      <c r="A6065" s="1" t="str">
        <f t="shared" si="389"/>
        <v>775</v>
      </c>
      <c r="B6065" s="1" t="str">
        <f>TEXT(36,"00")</f>
        <v>36</v>
      </c>
      <c r="C6065" s="1" t="str">
        <f t="shared" si="386"/>
        <v>775-36</v>
      </c>
      <c r="D6065" t="s">
        <v>6037</v>
      </c>
      <c r="E6065" t="b">
        <f>IF(COUNTIF(D6065,"*"&amp;'Keyword Search'!$C$5&amp;"*"),TRUE,FALSE)</f>
        <v>1</v>
      </c>
      <c r="G6065" t="str">
        <f t="shared" si="387"/>
        <v>775-36: Meat Curing Salt</v>
      </c>
    </row>
    <row r="6066" spans="1:7" x14ac:dyDescent="0.25">
      <c r="A6066" s="1" t="str">
        <f t="shared" si="389"/>
        <v>775</v>
      </c>
      <c r="B6066" s="1" t="str">
        <f>TEXT(45,"00")</f>
        <v>45</v>
      </c>
      <c r="C6066" s="1" t="str">
        <f t="shared" si="386"/>
        <v>775-45</v>
      </c>
      <c r="D6066" t="s">
        <v>6038</v>
      </c>
      <c r="E6066" t="b">
        <f>IF(COUNTIF(D6066,"*"&amp;'Keyword Search'!$C$5&amp;"*"),TRUE,FALSE)</f>
        <v>1</v>
      </c>
      <c r="G6066" t="str">
        <f t="shared" si="387"/>
        <v>775-45: Road Maintenance Salt (See Class 192 for Ice Removal Chemicals)</v>
      </c>
    </row>
    <row r="6067" spans="1:7" x14ac:dyDescent="0.25">
      <c r="A6067" s="1" t="str">
        <f t="shared" si="389"/>
        <v>775</v>
      </c>
      <c r="B6067" s="1" t="str">
        <f>TEXT(54,"00")</f>
        <v>54</v>
      </c>
      <c r="C6067" s="1" t="str">
        <f t="shared" si="386"/>
        <v>775-54</v>
      </c>
      <c r="D6067" t="s">
        <v>6039</v>
      </c>
      <c r="E6067" t="b">
        <f>IF(COUNTIF(D6067,"*"&amp;'Keyword Search'!$C$5&amp;"*"),TRUE,FALSE)</f>
        <v>1</v>
      </c>
      <c r="G6067" t="str">
        <f t="shared" si="387"/>
        <v>775-54: Rock, Granular Salt , For Livestock</v>
      </c>
    </row>
    <row r="6068" spans="1:7" x14ac:dyDescent="0.25">
      <c r="A6068" s="1" t="str">
        <f t="shared" si="389"/>
        <v>775</v>
      </c>
      <c r="B6068" s="1" t="str">
        <f>TEXT(63,"00")</f>
        <v>63</v>
      </c>
      <c r="C6068" s="1" t="str">
        <f t="shared" si="386"/>
        <v>775-63</v>
      </c>
      <c r="D6068" t="s">
        <v>6040</v>
      </c>
      <c r="E6068" t="b">
        <f>IF(COUNTIF(D6068,"*"&amp;'Keyword Search'!$C$5&amp;"*"),TRUE,FALSE)</f>
        <v>1</v>
      </c>
      <c r="G6068" t="str">
        <f t="shared" si="387"/>
        <v>775-63: Salt, Evaporated</v>
      </c>
    </row>
    <row r="6069" spans="1:7" x14ac:dyDescent="0.25">
      <c r="A6069" s="1" t="str">
        <f t="shared" si="389"/>
        <v>775</v>
      </c>
      <c r="B6069" s="1" t="str">
        <f>TEXT(72,"00")</f>
        <v>72</v>
      </c>
      <c r="C6069" s="1" t="str">
        <f t="shared" si="386"/>
        <v>775-72</v>
      </c>
      <c r="D6069" t="s">
        <v>6041</v>
      </c>
      <c r="E6069" t="b">
        <f>IF(COUNTIF(D6069,"*"&amp;'Keyword Search'!$C$5&amp;"*"),TRUE,FALSE)</f>
        <v>1</v>
      </c>
      <c r="G6069" t="str">
        <f t="shared" si="387"/>
        <v>775-72: Salt Tablets, With or Without Dextrose</v>
      </c>
    </row>
    <row r="6070" spans="1:7" x14ac:dyDescent="0.25">
      <c r="A6070" s="1" t="str">
        <f t="shared" si="389"/>
        <v>775</v>
      </c>
      <c r="B6070" s="1" t="str">
        <f>TEXT(81,"00")</f>
        <v>81</v>
      </c>
      <c r="C6070" s="1" t="str">
        <f t="shared" si="386"/>
        <v>775-81</v>
      </c>
      <c r="D6070" t="s">
        <v>6042</v>
      </c>
      <c r="E6070" t="b">
        <f>IF(COUNTIF(D6070,"*"&amp;'Keyword Search'!$C$5&amp;"*"),TRUE,FALSE)</f>
        <v>1</v>
      </c>
      <c r="G6070" t="str">
        <f t="shared" si="387"/>
        <v>775-81: Salt, Tissue Flake, Dairy, Dendritic Butter or Cheese Salt</v>
      </c>
    </row>
    <row r="6071" spans="1:7" x14ac:dyDescent="0.25">
      <c r="A6071" s="1" t="str">
        <f t="shared" si="389"/>
        <v>775</v>
      </c>
      <c r="B6071" s="1" t="str">
        <f>TEXT(90,"00")</f>
        <v>90</v>
      </c>
      <c r="C6071" s="1" t="str">
        <f t="shared" si="386"/>
        <v>775-90</v>
      </c>
      <c r="D6071" t="s">
        <v>6043</v>
      </c>
      <c r="E6071" t="b">
        <f>IF(COUNTIF(D6071,"*"&amp;'Keyword Search'!$C$5&amp;"*"),TRUE,FALSE)</f>
        <v>1</v>
      </c>
      <c r="G6071" t="str">
        <f t="shared" si="387"/>
        <v>775-90: Water Softener Salt</v>
      </c>
    </row>
    <row r="6072" spans="1:7" x14ac:dyDescent="0.25">
      <c r="A6072" s="1" t="str">
        <f t="shared" si="389"/>
        <v>775</v>
      </c>
      <c r="B6072" s="1" t="str">
        <f>TEXT(95,"00")</f>
        <v>95</v>
      </c>
      <c r="C6072" s="1" t="str">
        <f t="shared" si="386"/>
        <v>775-95</v>
      </c>
      <c r="D6072" t="s">
        <v>6044</v>
      </c>
      <c r="E6072" t="b">
        <f>IF(COUNTIF(D6072,"*"&amp;'Keyword Search'!$C$5&amp;"*"),TRUE,FALSE)</f>
        <v>1</v>
      </c>
      <c r="G6072" t="str">
        <f t="shared" si="387"/>
        <v>775-95: Recycled Road Salt</v>
      </c>
    </row>
    <row r="6073" spans="1:7" x14ac:dyDescent="0.25">
      <c r="A6073" s="5" t="str">
        <f t="shared" ref="A6073:A6105" si="390">TEXT(780,"000")</f>
        <v>780</v>
      </c>
      <c r="B6073" s="5" t="str">
        <f>TEXT(0,"00")</f>
        <v>00</v>
      </c>
      <c r="C6073" s="1"/>
      <c r="D6073" s="2" t="s">
        <v>6045</v>
      </c>
    </row>
    <row r="6074" spans="1:7" x14ac:dyDescent="0.25">
      <c r="A6074" s="1" t="str">
        <f t="shared" si="390"/>
        <v>780</v>
      </c>
      <c r="B6074" s="1" t="str">
        <f>TEXT(4,"00")</f>
        <v>04</v>
      </c>
      <c r="C6074" s="1" t="str">
        <f t="shared" si="386"/>
        <v>780-04</v>
      </c>
      <c r="D6074" t="s">
        <v>6046</v>
      </c>
      <c r="E6074" t="b">
        <f>IF(COUNTIF(D6074,"*"&amp;'Keyword Search'!$C$5&amp;"*"),TRUE,FALSE)</f>
        <v>1</v>
      </c>
      <c r="G6074" t="str">
        <f t="shared" si="387"/>
        <v>780-04: Abattoir Scales</v>
      </c>
    </row>
    <row r="6075" spans="1:7" x14ac:dyDescent="0.25">
      <c r="A6075" s="1" t="str">
        <f t="shared" si="390"/>
        <v>780</v>
      </c>
      <c r="B6075" s="1" t="str">
        <f>TEXT(8,"00")</f>
        <v>08</v>
      </c>
      <c r="C6075" s="1" t="str">
        <f t="shared" si="386"/>
        <v>780-08</v>
      </c>
      <c r="D6075" t="s">
        <v>6047</v>
      </c>
      <c r="E6075" t="b">
        <f>IF(COUNTIF(D6075,"*"&amp;'Keyword Search'!$C$5&amp;"*"),TRUE,FALSE)</f>
        <v>1</v>
      </c>
      <c r="G6075" t="str">
        <f t="shared" si="387"/>
        <v>780-08: Animal Scales, Cattle, Horses, etc.</v>
      </c>
    </row>
    <row r="6076" spans="1:7" x14ac:dyDescent="0.25">
      <c r="A6076" s="1" t="str">
        <f t="shared" si="390"/>
        <v>780</v>
      </c>
      <c r="B6076" s="1" t="str">
        <f>TEXT(12,"00")</f>
        <v>12</v>
      </c>
      <c r="C6076" s="1" t="str">
        <f t="shared" si="386"/>
        <v>780-12</v>
      </c>
      <c r="D6076" t="s">
        <v>6048</v>
      </c>
      <c r="E6076" t="b">
        <f>IF(COUNTIF(D6076,"*"&amp;'Keyword Search'!$C$5&amp;"*"),TRUE,FALSE)</f>
        <v>1</v>
      </c>
      <c r="G6076" t="str">
        <f t="shared" si="387"/>
        <v>780-12: Automatic Scales, With Printers and Recorders</v>
      </c>
    </row>
    <row r="6077" spans="1:7" x14ac:dyDescent="0.25">
      <c r="A6077" s="1" t="str">
        <f t="shared" si="390"/>
        <v>780</v>
      </c>
      <c r="B6077" s="1" t="str">
        <f>TEXT(16,"00")</f>
        <v>16</v>
      </c>
      <c r="C6077" s="1" t="str">
        <f t="shared" si="386"/>
        <v>780-16</v>
      </c>
      <c r="D6077" t="s">
        <v>6049</v>
      </c>
      <c r="E6077" t="b">
        <f>IF(COUNTIF(D6077,"*"&amp;'Keyword Search'!$C$5&amp;"*"),TRUE,FALSE)</f>
        <v>1</v>
      </c>
      <c r="G6077" t="str">
        <f t="shared" si="387"/>
        <v>780-16: Batching Scales</v>
      </c>
    </row>
    <row r="6078" spans="1:7" x14ac:dyDescent="0.25">
      <c r="A6078" s="1" t="str">
        <f t="shared" si="390"/>
        <v>780</v>
      </c>
      <c r="B6078" s="1" t="str">
        <f>TEXT(18,"00")</f>
        <v>18</v>
      </c>
      <c r="C6078" s="1" t="str">
        <f t="shared" si="386"/>
        <v>780-18</v>
      </c>
      <c r="D6078" t="s">
        <v>6050</v>
      </c>
      <c r="E6078" t="b">
        <f>IF(COUNTIF(D6078,"*"&amp;'Keyword Search'!$C$5&amp;"*"),TRUE,FALSE)</f>
        <v>1</v>
      </c>
      <c r="G6078" t="str">
        <f t="shared" si="387"/>
        <v>780-18: Bathroom Scales</v>
      </c>
    </row>
    <row r="6079" spans="1:7" x14ac:dyDescent="0.25">
      <c r="A6079" s="1" t="str">
        <f t="shared" si="390"/>
        <v>780</v>
      </c>
      <c r="B6079" s="1" t="str">
        <f>TEXT(20,"00")</f>
        <v>20</v>
      </c>
      <c r="C6079" s="1" t="str">
        <f t="shared" si="386"/>
        <v>780-20</v>
      </c>
      <c r="D6079" t="s">
        <v>6051</v>
      </c>
      <c r="E6079" t="b">
        <f>IF(COUNTIF(D6079,"*"&amp;'Keyword Search'!$C$5&amp;"*"),TRUE,FALSE)</f>
        <v>1</v>
      </c>
      <c r="G6079" t="str">
        <f t="shared" si="387"/>
        <v>780-20: Bench and Counter Scales</v>
      </c>
    </row>
    <row r="6080" spans="1:7" x14ac:dyDescent="0.25">
      <c r="A6080" s="1" t="str">
        <f t="shared" si="390"/>
        <v>780</v>
      </c>
      <c r="B6080" s="1" t="str">
        <f>TEXT(24,"00")</f>
        <v>24</v>
      </c>
      <c r="C6080" s="1" t="str">
        <f t="shared" si="386"/>
        <v>780-24</v>
      </c>
      <c r="D6080" t="s">
        <v>6052</v>
      </c>
      <c r="E6080" t="b">
        <f>IF(COUNTIF(D6080,"*"&amp;'Keyword Search'!$C$5&amp;"*"),TRUE,FALSE)</f>
        <v>1</v>
      </c>
      <c r="G6080" t="str">
        <f t="shared" si="387"/>
        <v>780-24: Computing Scales Except Postal</v>
      </c>
    </row>
    <row r="6081" spans="1:7" x14ac:dyDescent="0.25">
      <c r="A6081" s="1" t="str">
        <f t="shared" si="390"/>
        <v>780</v>
      </c>
      <c r="B6081" s="1" t="str">
        <f>TEXT(27,"00")</f>
        <v>27</v>
      </c>
      <c r="C6081" s="1" t="str">
        <f t="shared" si="386"/>
        <v>780-27</v>
      </c>
      <c r="D6081" t="s">
        <v>6053</v>
      </c>
      <c r="E6081" t="b">
        <f>IF(COUNTIF(D6081,"*"&amp;'Keyword Search'!$C$5&amp;"*"),TRUE,FALSE)</f>
        <v>1</v>
      </c>
      <c r="G6081" t="str">
        <f t="shared" si="387"/>
        <v>780-27: Counters, Mechanical: Tally, etc.</v>
      </c>
    </row>
    <row r="6082" spans="1:7" x14ac:dyDescent="0.25">
      <c r="A6082" s="1" t="str">
        <f t="shared" si="390"/>
        <v>780</v>
      </c>
      <c r="B6082" s="1" t="str">
        <f>TEXT(28,"00")</f>
        <v>28</v>
      </c>
      <c r="C6082" s="1" t="str">
        <f t="shared" si="386"/>
        <v>780-28</v>
      </c>
      <c r="D6082" t="s">
        <v>6054</v>
      </c>
      <c r="E6082" t="b">
        <f>IF(COUNTIF(D6082,"*"&amp;'Keyword Search'!$C$5&amp;"*"),TRUE,FALSE)</f>
        <v>1</v>
      </c>
      <c r="G6082" t="str">
        <f t="shared" si="387"/>
        <v>780-28: Counting Scales</v>
      </c>
    </row>
    <row r="6083" spans="1:7" x14ac:dyDescent="0.25">
      <c r="A6083" s="1" t="str">
        <f t="shared" si="390"/>
        <v>780</v>
      </c>
      <c r="B6083" s="1" t="str">
        <f>TEXT(32,"00")</f>
        <v>32</v>
      </c>
      <c r="C6083" s="1" t="str">
        <f t="shared" ref="C6083:C6146" si="391">CONCATENATE(A6083,"-",B6083)</f>
        <v>780-32</v>
      </c>
      <c r="D6083" t="s">
        <v>6055</v>
      </c>
      <c r="E6083" t="b">
        <f>IF(COUNTIF(D6083,"*"&amp;'Keyword Search'!$C$5&amp;"*"),TRUE,FALSE)</f>
        <v>1</v>
      </c>
      <c r="G6083" t="str">
        <f t="shared" si="387"/>
        <v>780-32: Crane Scales</v>
      </c>
    </row>
    <row r="6084" spans="1:7" x14ac:dyDescent="0.25">
      <c r="A6084" s="1" t="str">
        <f t="shared" si="390"/>
        <v>780</v>
      </c>
      <c r="B6084" s="1" t="str">
        <f>TEXT(34,"00")</f>
        <v>34</v>
      </c>
      <c r="C6084" s="1" t="str">
        <f t="shared" si="391"/>
        <v>780-34</v>
      </c>
      <c r="D6084" t="s">
        <v>6056</v>
      </c>
      <c r="E6084" t="b">
        <f>IF(COUNTIF(D6084,"*"&amp;'Keyword Search'!$C$5&amp;"*"),TRUE,FALSE)</f>
        <v>1</v>
      </c>
      <c r="G6084" t="str">
        <f t="shared" ref="G6084:G6147" si="392">CONCATENATE(C6084,": ",D6084)</f>
        <v>780-34: Dairy Scales</v>
      </c>
    </row>
    <row r="6085" spans="1:7" x14ac:dyDescent="0.25">
      <c r="A6085" s="1" t="str">
        <f t="shared" si="390"/>
        <v>780</v>
      </c>
      <c r="B6085" s="1" t="str">
        <f>TEXT(37,"00")</f>
        <v>37</v>
      </c>
      <c r="C6085" s="1" t="str">
        <f t="shared" si="391"/>
        <v>780-37</v>
      </c>
      <c r="D6085" t="s">
        <v>6057</v>
      </c>
      <c r="E6085" t="b">
        <f>IF(COUNTIF(D6085,"*"&amp;'Keyword Search'!$C$5&amp;"*"),TRUE,FALSE)</f>
        <v>1</v>
      </c>
      <c r="G6085" t="str">
        <f t="shared" si="392"/>
        <v>780-37: Egg Scales</v>
      </c>
    </row>
    <row r="6086" spans="1:7" x14ac:dyDescent="0.25">
      <c r="A6086" s="1" t="str">
        <f t="shared" si="390"/>
        <v>780</v>
      </c>
      <c r="B6086" s="1" t="str">
        <f>TEXT(40,"00")</f>
        <v>40</v>
      </c>
      <c r="C6086" s="1" t="str">
        <f t="shared" si="391"/>
        <v>780-40</v>
      </c>
      <c r="D6086" t="s">
        <v>6058</v>
      </c>
      <c r="E6086" t="b">
        <f>IF(COUNTIF(D6086,"*"&amp;'Keyword Search'!$C$5&amp;"*"),TRUE,FALSE)</f>
        <v>1</v>
      </c>
      <c r="G6086" t="str">
        <f t="shared" si="392"/>
        <v>780-40: Floor Scales</v>
      </c>
    </row>
    <row r="6087" spans="1:7" x14ac:dyDescent="0.25">
      <c r="A6087" s="1" t="str">
        <f t="shared" si="390"/>
        <v>780</v>
      </c>
      <c r="B6087" s="1" t="str">
        <f>TEXT(42,"00")</f>
        <v>42</v>
      </c>
      <c r="C6087" s="1" t="str">
        <f t="shared" si="391"/>
        <v>780-42</v>
      </c>
      <c r="D6087" t="s">
        <v>6059</v>
      </c>
      <c r="E6087" t="b">
        <f>IF(COUNTIF(D6087,"*"&amp;'Keyword Search'!$C$5&amp;"*"),TRUE,FALSE)</f>
        <v>1</v>
      </c>
      <c r="G6087" t="str">
        <f t="shared" si="392"/>
        <v>780-42: Gas Cylinder Weighing Scales</v>
      </c>
    </row>
    <row r="6088" spans="1:7" x14ac:dyDescent="0.25">
      <c r="A6088" s="1" t="str">
        <f t="shared" si="390"/>
        <v>780</v>
      </c>
      <c r="B6088" s="1" t="str">
        <f>TEXT(43,"00")</f>
        <v>43</v>
      </c>
      <c r="C6088" s="1" t="str">
        <f t="shared" si="391"/>
        <v>780-43</v>
      </c>
      <c r="D6088" t="s">
        <v>6060</v>
      </c>
      <c r="E6088" t="b">
        <f>IF(COUNTIF(D6088,"*"&amp;'Keyword Search'!$C$5&amp;"*"),TRUE,FALSE)</f>
        <v>1</v>
      </c>
      <c r="G6088" t="str">
        <f t="shared" si="392"/>
        <v>780-43: Grain Scales</v>
      </c>
    </row>
    <row r="6089" spans="1:7" x14ac:dyDescent="0.25">
      <c r="A6089" s="1" t="str">
        <f t="shared" si="390"/>
        <v>780</v>
      </c>
      <c r="B6089" s="1" t="str">
        <f>TEXT(44,"00")</f>
        <v>44</v>
      </c>
      <c r="C6089" s="1" t="str">
        <f t="shared" si="391"/>
        <v>780-44</v>
      </c>
      <c r="D6089" t="s">
        <v>6061</v>
      </c>
      <c r="E6089" t="b">
        <f>IF(COUNTIF(D6089,"*"&amp;'Keyword Search'!$C$5&amp;"*"),TRUE,FALSE)</f>
        <v>1</v>
      </c>
      <c r="G6089" t="str">
        <f t="shared" si="392"/>
        <v>780-44: Hanging Scales</v>
      </c>
    </row>
    <row r="6090" spans="1:7" x14ac:dyDescent="0.25">
      <c r="A6090" s="1" t="str">
        <f t="shared" si="390"/>
        <v>780</v>
      </c>
      <c r="B6090" s="1" t="str">
        <f>TEXT(48,"00")</f>
        <v>48</v>
      </c>
      <c r="C6090" s="1" t="str">
        <f t="shared" si="391"/>
        <v>780-48</v>
      </c>
      <c r="D6090" t="s">
        <v>6062</v>
      </c>
      <c r="E6090" t="b">
        <f>IF(COUNTIF(D6090,"*"&amp;'Keyword Search'!$C$5&amp;"*"),TRUE,FALSE)</f>
        <v>1</v>
      </c>
      <c r="G6090" t="str">
        <f t="shared" si="392"/>
        <v>780-48: Hopper Scales</v>
      </c>
    </row>
    <row r="6091" spans="1:7" x14ac:dyDescent="0.25">
      <c r="A6091" s="1" t="str">
        <f t="shared" si="390"/>
        <v>780</v>
      </c>
      <c r="B6091" s="1" t="str">
        <f>TEXT(49,"00")</f>
        <v>49</v>
      </c>
      <c r="C6091" s="1" t="str">
        <f t="shared" si="391"/>
        <v>780-49</v>
      </c>
      <c r="D6091" t="s">
        <v>6063</v>
      </c>
      <c r="E6091" t="b">
        <f>IF(COUNTIF(D6091,"*"&amp;'Keyword Search'!$C$5&amp;"*"),TRUE,FALSE)</f>
        <v>1</v>
      </c>
      <c r="G6091" t="str">
        <f t="shared" si="392"/>
        <v>780-49: Hospital Scales: Chair, In-Bed, etc.</v>
      </c>
    </row>
    <row r="6092" spans="1:7" x14ac:dyDescent="0.25">
      <c r="A6092" s="1" t="str">
        <f t="shared" si="390"/>
        <v>780</v>
      </c>
      <c r="B6092" s="1" t="str">
        <f>TEXT(52,"00")</f>
        <v>52</v>
      </c>
      <c r="C6092" s="1" t="str">
        <f t="shared" si="391"/>
        <v>780-52</v>
      </c>
      <c r="D6092" t="s">
        <v>6064</v>
      </c>
      <c r="E6092" t="b">
        <f>IF(COUNTIF(D6092,"*"&amp;'Keyword Search'!$C$5&amp;"*"),TRUE,FALSE)</f>
        <v>1</v>
      </c>
      <c r="G6092" t="str">
        <f t="shared" si="392"/>
        <v>780-52: Industrial Built-In Scales</v>
      </c>
    </row>
    <row r="6093" spans="1:7" x14ac:dyDescent="0.25">
      <c r="A6093" s="1" t="str">
        <f t="shared" si="390"/>
        <v>780</v>
      </c>
      <c r="B6093" s="1" t="str">
        <f>TEXT(60,"00")</f>
        <v>60</v>
      </c>
      <c r="C6093" s="1" t="str">
        <f t="shared" si="391"/>
        <v>780-60</v>
      </c>
      <c r="D6093" t="s">
        <v>6065</v>
      </c>
      <c r="E6093" t="b">
        <f>IF(COUNTIF(D6093,"*"&amp;'Keyword Search'!$C$5&amp;"*"),TRUE,FALSE)</f>
        <v>1</v>
      </c>
      <c r="G6093" t="str">
        <f t="shared" si="392"/>
        <v>780-60: Infant (Pediatric) Scales</v>
      </c>
    </row>
    <row r="6094" spans="1:7" x14ac:dyDescent="0.25">
      <c r="A6094" s="1" t="str">
        <f t="shared" si="390"/>
        <v>780</v>
      </c>
      <c r="B6094" s="1" t="str">
        <f>TEXT(63,"00")</f>
        <v>63</v>
      </c>
      <c r="C6094" s="1" t="str">
        <f t="shared" si="391"/>
        <v>780-63</v>
      </c>
      <c r="D6094" t="s">
        <v>6066</v>
      </c>
      <c r="E6094" t="b">
        <f>IF(COUNTIF(D6094,"*"&amp;'Keyword Search'!$C$5&amp;"*"),TRUE,FALSE)</f>
        <v>1</v>
      </c>
      <c r="G6094" t="str">
        <f t="shared" si="392"/>
        <v>780-63: Load Cell Scales</v>
      </c>
    </row>
    <row r="6095" spans="1:7" x14ac:dyDescent="0.25">
      <c r="A6095" s="1" t="str">
        <f t="shared" si="390"/>
        <v>780</v>
      </c>
      <c r="B6095" s="1" t="str">
        <f>TEXT(64,"00")</f>
        <v>64</v>
      </c>
      <c r="C6095" s="1" t="str">
        <f t="shared" si="391"/>
        <v>780-64</v>
      </c>
      <c r="D6095" t="s">
        <v>6067</v>
      </c>
      <c r="E6095" t="b">
        <f>IF(COUNTIF(D6095,"*"&amp;'Keyword Search'!$C$5&amp;"*"),TRUE,FALSE)</f>
        <v>1</v>
      </c>
      <c r="G6095" t="str">
        <f t="shared" si="392"/>
        <v>780-64: Over-Under, Even Balance Scales</v>
      </c>
    </row>
    <row r="6096" spans="1:7" x14ac:dyDescent="0.25">
      <c r="A6096" s="1" t="str">
        <f t="shared" si="390"/>
        <v>780</v>
      </c>
      <c r="B6096" s="1" t="str">
        <f>TEXT(72,"00")</f>
        <v>72</v>
      </c>
      <c r="C6096" s="1" t="str">
        <f t="shared" si="391"/>
        <v>780-72</v>
      </c>
      <c r="D6096" t="s">
        <v>6068</v>
      </c>
      <c r="E6096" t="b">
        <f>IF(COUNTIF(D6096,"*"&amp;'Keyword Search'!$C$5&amp;"*"),TRUE,FALSE)</f>
        <v>1</v>
      </c>
      <c r="G6096" t="str">
        <f t="shared" si="392"/>
        <v>780-72: Physician's Scales: Clinical, Office, etc.</v>
      </c>
    </row>
    <row r="6097" spans="1:7" x14ac:dyDescent="0.25">
      <c r="A6097" s="1" t="str">
        <f t="shared" si="390"/>
        <v>780</v>
      </c>
      <c r="B6097" s="1" t="str">
        <f>TEXT(76,"00")</f>
        <v>76</v>
      </c>
      <c r="C6097" s="1" t="str">
        <f t="shared" si="391"/>
        <v>780-76</v>
      </c>
      <c r="D6097" t="s">
        <v>6069</v>
      </c>
      <c r="E6097" t="b">
        <f>IF(COUNTIF(D6097,"*"&amp;'Keyword Search'!$C$5&amp;"*"),TRUE,FALSE)</f>
        <v>1</v>
      </c>
      <c r="G6097" t="str">
        <f t="shared" si="392"/>
        <v>780-76: Platform Scales</v>
      </c>
    </row>
    <row r="6098" spans="1:7" x14ac:dyDescent="0.25">
      <c r="A6098" s="1" t="str">
        <f t="shared" si="390"/>
        <v>780</v>
      </c>
      <c r="B6098" s="1" t="str">
        <f>TEXT(77,"00")</f>
        <v>77</v>
      </c>
      <c r="C6098" s="1" t="str">
        <f t="shared" si="391"/>
        <v>780-77</v>
      </c>
      <c r="D6098" t="s">
        <v>6070</v>
      </c>
      <c r="E6098" t="b">
        <f>IF(COUNTIF(D6098,"*"&amp;'Keyword Search'!$C$5&amp;"*"),TRUE,FALSE)</f>
        <v>1</v>
      </c>
      <c r="G6098" t="str">
        <f t="shared" si="392"/>
        <v>780-77: Postage Scales, Conventional</v>
      </c>
    </row>
    <row r="6099" spans="1:7" x14ac:dyDescent="0.25">
      <c r="A6099" s="1" t="str">
        <f t="shared" si="390"/>
        <v>780</v>
      </c>
      <c r="B6099" s="1" t="str">
        <f>TEXT(78,"00")</f>
        <v>78</v>
      </c>
      <c r="C6099" s="1" t="str">
        <f t="shared" si="391"/>
        <v>780-78</v>
      </c>
      <c r="D6099" t="s">
        <v>6071</v>
      </c>
      <c r="E6099" t="b">
        <f>IF(COUNTIF(D6099,"*"&amp;'Keyword Search'!$C$5&amp;"*"),TRUE,FALSE)</f>
        <v>1</v>
      </c>
      <c r="G6099" t="str">
        <f t="shared" si="392"/>
        <v>780-78: Postage Scales, Electronic, Computing</v>
      </c>
    </row>
    <row r="6100" spans="1:7" x14ac:dyDescent="0.25">
      <c r="A6100" s="1" t="str">
        <f t="shared" si="390"/>
        <v>780</v>
      </c>
      <c r="B6100" s="1" t="str">
        <f>TEXT(80,"00")</f>
        <v>80</v>
      </c>
      <c r="C6100" s="1" t="str">
        <f t="shared" si="391"/>
        <v>780-80</v>
      </c>
      <c r="D6100" t="s">
        <v>6072</v>
      </c>
      <c r="E6100" t="b">
        <f>IF(COUNTIF(D6100,"*"&amp;'Keyword Search'!$C$5&amp;"*"),TRUE,FALSE)</f>
        <v>1</v>
      </c>
      <c r="G6100" t="str">
        <f t="shared" si="392"/>
        <v>780-80: Table Scales, Small: Baker's, Dietetic, etc.</v>
      </c>
    </row>
    <row r="6101" spans="1:7" x14ac:dyDescent="0.25">
      <c r="A6101" s="1" t="str">
        <f t="shared" si="390"/>
        <v>780</v>
      </c>
      <c r="B6101" s="1" t="str">
        <f>TEXT(82,"00")</f>
        <v>82</v>
      </c>
      <c r="C6101" s="1" t="str">
        <f t="shared" si="391"/>
        <v>780-82</v>
      </c>
      <c r="D6101" t="s">
        <v>6073</v>
      </c>
      <c r="E6101" t="b">
        <f>IF(COUNTIF(D6101,"*"&amp;'Keyword Search'!$C$5&amp;"*"),TRUE,FALSE)</f>
        <v>1</v>
      </c>
      <c r="G6101" t="str">
        <f t="shared" si="392"/>
        <v>780-82: Test Systems and Calibration Standards</v>
      </c>
    </row>
    <row r="6102" spans="1:7" x14ac:dyDescent="0.25">
      <c r="A6102" s="1" t="str">
        <f t="shared" si="390"/>
        <v>780</v>
      </c>
      <c r="B6102" s="1" t="str">
        <f>TEXT(84,"00")</f>
        <v>84</v>
      </c>
      <c r="C6102" s="1" t="str">
        <f t="shared" si="391"/>
        <v>780-84</v>
      </c>
      <c r="D6102" t="s">
        <v>6074</v>
      </c>
      <c r="E6102" t="b">
        <f>IF(COUNTIF(D6102,"*"&amp;'Keyword Search'!$C$5&amp;"*"),TRUE,FALSE)</f>
        <v>1</v>
      </c>
      <c r="G6102" t="str">
        <f t="shared" si="392"/>
        <v>780-84: Truck Scales and Railroad Track Scales</v>
      </c>
    </row>
    <row r="6103" spans="1:7" x14ac:dyDescent="0.25">
      <c r="A6103" s="1" t="str">
        <f t="shared" si="390"/>
        <v>780</v>
      </c>
      <c r="B6103" s="1" t="str">
        <f>TEXT(90,"00")</f>
        <v>90</v>
      </c>
      <c r="C6103" s="1" t="str">
        <f t="shared" si="391"/>
        <v>780-90</v>
      </c>
      <c r="D6103" t="s">
        <v>6075</v>
      </c>
      <c r="E6103" t="b">
        <f>IF(COUNTIF(D6103,"*"&amp;'Keyword Search'!$C$5&amp;"*"),TRUE,FALSE)</f>
        <v>1</v>
      </c>
      <c r="G6103" t="str">
        <f t="shared" si="392"/>
        <v>780-90: Underwater Scales (See 495-82 For Laboratory)</v>
      </c>
    </row>
    <row r="6104" spans="1:7" x14ac:dyDescent="0.25">
      <c r="A6104" s="1" t="str">
        <f t="shared" si="390"/>
        <v>780</v>
      </c>
      <c r="B6104" s="1" t="str">
        <f>TEXT(95,"00")</f>
        <v>95</v>
      </c>
      <c r="C6104" s="1" t="str">
        <f t="shared" si="391"/>
        <v>780-95</v>
      </c>
      <c r="D6104" t="s">
        <v>6076</v>
      </c>
      <c r="E6104" t="b">
        <f>IF(COUNTIF(D6104,"*"&amp;'Keyword Search'!$C$5&amp;"*"),TRUE,FALSE)</f>
        <v>1</v>
      </c>
      <c r="G6104" t="str">
        <f t="shared" si="392"/>
        <v>780-95: Weigh-In-Motion Systems</v>
      </c>
    </row>
    <row r="6105" spans="1:7" x14ac:dyDescent="0.25">
      <c r="A6105" s="1" t="str">
        <f t="shared" si="390"/>
        <v>780</v>
      </c>
      <c r="B6105" s="1" t="str">
        <f>TEXT(96,"00")</f>
        <v>96</v>
      </c>
      <c r="C6105" s="1" t="str">
        <f t="shared" si="391"/>
        <v>780-96</v>
      </c>
      <c r="D6105" t="s">
        <v>6077</v>
      </c>
      <c r="E6105" t="b">
        <f>IF(COUNTIF(D6105,"*"&amp;'Keyword Search'!$C$5&amp;"*"),TRUE,FALSE)</f>
        <v>1</v>
      </c>
      <c r="G6105" t="str">
        <f t="shared" si="392"/>
        <v>780-96: Recycled Scales, Weighing Apparatus, Including Parts and Accessories</v>
      </c>
    </row>
    <row r="6106" spans="1:7" x14ac:dyDescent="0.25">
      <c r="A6106" s="5" t="str">
        <f t="shared" ref="A6106:A6142" si="393">TEXT(785,"000")</f>
        <v>785</v>
      </c>
      <c r="B6106" s="5" t="str">
        <f>TEXT(0,"00")</f>
        <v>00</v>
      </c>
      <c r="C6106" s="1"/>
      <c r="D6106" s="2" t="s">
        <v>6078</v>
      </c>
    </row>
    <row r="6107" spans="1:7" x14ac:dyDescent="0.25">
      <c r="A6107" s="1" t="str">
        <f t="shared" si="393"/>
        <v>785</v>
      </c>
      <c r="B6107" s="1" t="str">
        <f>TEXT(2,"00")</f>
        <v>02</v>
      </c>
      <c r="C6107" s="1" t="str">
        <f t="shared" si="391"/>
        <v>785-02</v>
      </c>
      <c r="D6107" t="s">
        <v>6079</v>
      </c>
      <c r="E6107" t="b">
        <f>IF(COUNTIF(D6107,"*"&amp;'Keyword Search'!$C$5&amp;"*"),TRUE,FALSE)</f>
        <v>1</v>
      </c>
      <c r="G6107" t="str">
        <f t="shared" si="392"/>
        <v>785-02: Agendas and Planners, Student</v>
      </c>
    </row>
    <row r="6108" spans="1:7" x14ac:dyDescent="0.25">
      <c r="A6108" s="1" t="str">
        <f t="shared" si="393"/>
        <v>785</v>
      </c>
      <c r="B6108" s="1" t="str">
        <f>TEXT(3,"00")</f>
        <v>03</v>
      </c>
      <c r="C6108" s="1" t="str">
        <f t="shared" si="391"/>
        <v>785-03</v>
      </c>
      <c r="D6108" t="s">
        <v>6080</v>
      </c>
      <c r="E6108" t="b">
        <f>IF(COUNTIF(D6108,"*"&amp;'Keyword Search'!$C$5&amp;"*"),TRUE,FALSE)</f>
        <v>1</v>
      </c>
      <c r="G6108" t="str">
        <f t="shared" si="392"/>
        <v>785-03: Anatomical Models, For Medical and Nursing Instruction, (See Also First Aid Manikins and Models In Class 345-68)</v>
      </c>
    </row>
    <row r="6109" spans="1:7" x14ac:dyDescent="0.25">
      <c r="A6109" s="1" t="str">
        <f t="shared" si="393"/>
        <v>785</v>
      </c>
      <c r="B6109" s="1" t="str">
        <f>TEXT(5,"00")</f>
        <v>05</v>
      </c>
      <c r="C6109" s="1" t="str">
        <f t="shared" si="391"/>
        <v>785-05</v>
      </c>
      <c r="D6109" t="s">
        <v>6081</v>
      </c>
      <c r="E6109" t="b">
        <f>IF(COUNTIF(D6109,"*"&amp;'Keyword Search'!$C$5&amp;"*"),TRUE,FALSE)</f>
        <v>1</v>
      </c>
      <c r="G6109" t="str">
        <f t="shared" si="392"/>
        <v>785-05: *Atlases, Charts, Globes, and Maps</v>
      </c>
    </row>
    <row r="6110" spans="1:7" x14ac:dyDescent="0.25">
      <c r="A6110" s="1" t="str">
        <f t="shared" si="393"/>
        <v>785</v>
      </c>
      <c r="B6110" s="1" t="str">
        <f>TEXT(15,"00")</f>
        <v>15</v>
      </c>
      <c r="C6110" s="1" t="str">
        <f t="shared" si="391"/>
        <v>785-15</v>
      </c>
      <c r="D6110" t="s">
        <v>6082</v>
      </c>
      <c r="E6110" t="b">
        <f>IF(COUNTIF(D6110,"*"&amp;'Keyword Search'!$C$5&amp;"*"),TRUE,FALSE)</f>
        <v>1</v>
      </c>
      <c r="G6110" t="str">
        <f t="shared" si="392"/>
        <v>785-15: Blackboards, Chalkboards and Dry Erase Boards</v>
      </c>
    </row>
    <row r="6111" spans="1:7" x14ac:dyDescent="0.25">
      <c r="A6111" s="1" t="str">
        <f t="shared" si="393"/>
        <v>785</v>
      </c>
      <c r="B6111" s="1" t="str">
        <f>TEXT(17,"00")</f>
        <v>17</v>
      </c>
      <c r="C6111" s="1" t="str">
        <f t="shared" si="391"/>
        <v>785-17</v>
      </c>
      <c r="D6111" t="s">
        <v>6083</v>
      </c>
      <c r="E6111" t="b">
        <f>IF(COUNTIF(D6111,"*"&amp;'Keyword Search'!$C$5&amp;"*"),TRUE,FALSE)</f>
        <v>1</v>
      </c>
      <c r="G6111" t="str">
        <f t="shared" si="392"/>
        <v>785-17: Blind Teaching and Training Equipment and Supplies (See Class 600 for Braille Writers and Printers)</v>
      </c>
    </row>
    <row r="6112" spans="1:7" x14ac:dyDescent="0.25">
      <c r="A6112" s="1" t="str">
        <f t="shared" si="393"/>
        <v>785</v>
      </c>
      <c r="B6112" s="1" t="str">
        <f>TEXT(20,"00")</f>
        <v>20</v>
      </c>
      <c r="C6112" s="1" t="str">
        <f t="shared" si="391"/>
        <v>785-20</v>
      </c>
      <c r="D6112" t="s">
        <v>6084</v>
      </c>
      <c r="E6112" t="b">
        <f>IF(COUNTIF(D6112,"*"&amp;'Keyword Search'!$C$5&amp;"*"),TRUE,FALSE)</f>
        <v>1</v>
      </c>
      <c r="G6112" t="str">
        <f t="shared" si="392"/>
        <v>785-20: Books: Class Register, Record, and Plan Books</v>
      </c>
    </row>
    <row r="6113" spans="1:7" x14ac:dyDescent="0.25">
      <c r="A6113" s="1" t="str">
        <f t="shared" si="393"/>
        <v>785</v>
      </c>
      <c r="B6113" s="1" t="str">
        <f>TEXT(25,"00")</f>
        <v>25</v>
      </c>
      <c r="C6113" s="1" t="str">
        <f t="shared" si="391"/>
        <v>785-25</v>
      </c>
      <c r="D6113" t="s">
        <v>6085</v>
      </c>
      <c r="E6113" t="b">
        <f>IF(COUNTIF(D6113,"*"&amp;'Keyword Search'!$C$5&amp;"*"),TRUE,FALSE)</f>
        <v>1</v>
      </c>
      <c r="G6113" t="str">
        <f t="shared" si="392"/>
        <v>785-25: Bulletin Boards: Changeable Letter, Cork, Magnetic, Peg, etc.</v>
      </c>
    </row>
    <row r="6114" spans="1:7" x14ac:dyDescent="0.25">
      <c r="A6114" s="1" t="str">
        <f t="shared" si="393"/>
        <v>785</v>
      </c>
      <c r="B6114" s="1" t="str">
        <f>TEXT(26,"00")</f>
        <v>26</v>
      </c>
      <c r="C6114" s="1" t="str">
        <f t="shared" si="391"/>
        <v>785-26</v>
      </c>
      <c r="D6114" t="s">
        <v>6086</v>
      </c>
      <c r="E6114" t="b">
        <f>IF(COUNTIF(D6114,"*"&amp;'Keyword Search'!$C$5&amp;"*"),TRUE,FALSE)</f>
        <v>1</v>
      </c>
      <c r="G6114" t="str">
        <f t="shared" si="392"/>
        <v>785-26: Bulletin Board Accessories</v>
      </c>
    </row>
    <row r="6115" spans="1:7" x14ac:dyDescent="0.25">
      <c r="A6115" s="1" t="str">
        <f t="shared" si="393"/>
        <v>785</v>
      </c>
      <c r="B6115" s="1" t="str">
        <f>TEXT(27,"00")</f>
        <v>27</v>
      </c>
      <c r="C6115" s="1" t="str">
        <f t="shared" si="391"/>
        <v>785-27</v>
      </c>
      <c r="D6115" t="s">
        <v>6087</v>
      </c>
      <c r="E6115" t="b">
        <f>IF(COUNTIF(D6115,"*"&amp;'Keyword Search'!$C$5&amp;"*"),TRUE,FALSE)</f>
        <v>1</v>
      </c>
      <c r="G6115" t="str">
        <f t="shared" si="392"/>
        <v>785-27: Carrels, Audio-Visual</v>
      </c>
    </row>
    <row r="6116" spans="1:7" x14ac:dyDescent="0.25">
      <c r="A6116" s="1" t="str">
        <f t="shared" si="393"/>
        <v>785</v>
      </c>
      <c r="B6116" s="1" t="str">
        <f>TEXT(30,"00")</f>
        <v>30</v>
      </c>
      <c r="C6116" s="1" t="str">
        <f t="shared" si="391"/>
        <v>785-30</v>
      </c>
      <c r="D6116" t="s">
        <v>6088</v>
      </c>
      <c r="E6116" t="b">
        <f>IF(COUNTIF(D6116,"*"&amp;'Keyword Search'!$C$5&amp;"*"),TRUE,FALSE)</f>
        <v>1</v>
      </c>
      <c r="G6116" t="str">
        <f t="shared" si="392"/>
        <v>785-30: Chalk, Crayons, Erasable Markers, Water Colors, Permanent Markers (Child Proof Safety Type), etc.</v>
      </c>
    </row>
    <row r="6117" spans="1:7" x14ac:dyDescent="0.25">
      <c r="A6117" s="1" t="str">
        <f t="shared" si="393"/>
        <v>785</v>
      </c>
      <c r="B6117" s="1" t="str">
        <f>TEXT(32,"00")</f>
        <v>32</v>
      </c>
      <c r="C6117" s="1" t="str">
        <f t="shared" si="391"/>
        <v>785-32</v>
      </c>
      <c r="D6117" t="s">
        <v>6089</v>
      </c>
      <c r="E6117" t="b">
        <f>IF(COUNTIF(D6117,"*"&amp;'Keyword Search'!$C$5&amp;"*"),TRUE,FALSE)</f>
        <v>1</v>
      </c>
      <c r="G6117" t="str">
        <f t="shared" si="392"/>
        <v>785-32: Classroom Equipment and Supplies, (Not Otherwise Classified)</v>
      </c>
    </row>
    <row r="6118" spans="1:7" x14ac:dyDescent="0.25">
      <c r="A6118" s="1" t="str">
        <f t="shared" si="393"/>
        <v>785</v>
      </c>
      <c r="B6118" s="1" t="str">
        <f>TEXT(43,"00")</f>
        <v>43</v>
      </c>
      <c r="C6118" s="1" t="str">
        <f t="shared" si="391"/>
        <v>785-43</v>
      </c>
      <c r="D6118" t="s">
        <v>6090</v>
      </c>
      <c r="E6118" t="b">
        <f>IF(COUNTIF(D6118,"*"&amp;'Keyword Search'!$C$5&amp;"*"),TRUE,FALSE)</f>
        <v>1</v>
      </c>
      <c r="G6118" t="str">
        <f t="shared" si="392"/>
        <v>785-43: Display Cabinets, Cases, Files, Racks, Stands, etc.</v>
      </c>
    </row>
    <row r="6119" spans="1:7" x14ac:dyDescent="0.25">
      <c r="A6119" s="1" t="str">
        <f t="shared" si="393"/>
        <v>785</v>
      </c>
      <c r="B6119" s="1" t="str">
        <f>TEXT(44,"00")</f>
        <v>44</v>
      </c>
      <c r="C6119" s="1" t="str">
        <f t="shared" si="391"/>
        <v>785-44</v>
      </c>
      <c r="D6119" t="s">
        <v>6091</v>
      </c>
      <c r="E6119" t="b">
        <f>IF(COUNTIF(D6119,"*"&amp;'Keyword Search'!$C$5&amp;"*"),TRUE,FALSE)</f>
        <v>1</v>
      </c>
      <c r="G6119" t="str">
        <f t="shared" si="392"/>
        <v>785-44: Displays, Educational: Kits, Models, Plaques, etc.</v>
      </c>
    </row>
    <row r="6120" spans="1:7" x14ac:dyDescent="0.25">
      <c r="A6120" s="1" t="str">
        <f t="shared" si="393"/>
        <v>785</v>
      </c>
      <c r="B6120" s="1" t="str">
        <f>TEXT(45,"00")</f>
        <v>45</v>
      </c>
      <c r="C6120" s="1" t="str">
        <f t="shared" si="391"/>
        <v>785-45</v>
      </c>
      <c r="D6120" t="s">
        <v>6092</v>
      </c>
      <c r="E6120" t="b">
        <f>IF(COUNTIF(D6120,"*"&amp;'Keyword Search'!$C$5&amp;"*"),TRUE,FALSE)</f>
        <v>1</v>
      </c>
      <c r="G6120" t="str">
        <f t="shared" si="392"/>
        <v>785-45: Drawing/Art Supplies, Schoolroom: Colored Pencils, Compasses, Construction Paper, Drawing Paper, Pencil/Pen Pouches, Protractors, etc.</v>
      </c>
    </row>
    <row r="6121" spans="1:7" x14ac:dyDescent="0.25">
      <c r="A6121" s="1" t="str">
        <f t="shared" si="393"/>
        <v>785</v>
      </c>
      <c r="B6121" s="1" t="str">
        <f>TEXT(46,"00")</f>
        <v>46</v>
      </c>
      <c r="C6121" s="1" t="str">
        <f t="shared" si="391"/>
        <v>785-46</v>
      </c>
      <c r="D6121" t="s">
        <v>6093</v>
      </c>
      <c r="E6121" t="b">
        <f>IF(COUNTIF(D6121,"*"&amp;'Keyword Search'!$C$5&amp;"*"),TRUE,FALSE)</f>
        <v>1</v>
      </c>
      <c r="G6121" t="str">
        <f t="shared" si="392"/>
        <v>785-46: Driver Training Materials</v>
      </c>
    </row>
    <row r="6122" spans="1:7" x14ac:dyDescent="0.25">
      <c r="A6122" s="1" t="str">
        <f t="shared" si="393"/>
        <v>785</v>
      </c>
      <c r="B6122" s="1" t="str">
        <f>TEXT(47,"00")</f>
        <v>47</v>
      </c>
      <c r="C6122" s="1" t="str">
        <f t="shared" si="391"/>
        <v>785-47</v>
      </c>
      <c r="D6122" t="s">
        <v>6094</v>
      </c>
      <c r="E6122" t="b">
        <f>IF(COUNTIF(D6122,"*"&amp;'Keyword Search'!$C$5&amp;"*"),TRUE,FALSE)</f>
        <v>1</v>
      </c>
      <c r="G6122" t="str">
        <f t="shared" si="392"/>
        <v>785-47: Easels, Accessories and Supplies, All Types, Including Flip Charts</v>
      </c>
    </row>
    <row r="6123" spans="1:7" x14ac:dyDescent="0.25">
      <c r="A6123" s="1" t="str">
        <f t="shared" si="393"/>
        <v>785</v>
      </c>
      <c r="B6123" s="1" t="str">
        <f>TEXT(53,"00")</f>
        <v>53</v>
      </c>
      <c r="C6123" s="1" t="str">
        <f t="shared" si="391"/>
        <v>785-53</v>
      </c>
      <c r="D6123" t="s">
        <v>6095</v>
      </c>
      <c r="E6123" t="b">
        <f>IF(COUNTIF(D6123,"*"&amp;'Keyword Search'!$C$5&amp;"*"),TRUE,FALSE)</f>
        <v>1</v>
      </c>
      <c r="G6123" t="str">
        <f t="shared" si="392"/>
        <v>785-53: Educationnal Games and Toys, All Types (see 037-84, 208-47, 209-48, and 805-51 for other type games) Incl.Assembly Kits</v>
      </c>
    </row>
    <row r="6124" spans="1:7" x14ac:dyDescent="0.25">
      <c r="A6124" s="1" t="str">
        <f t="shared" si="393"/>
        <v>785</v>
      </c>
      <c r="B6124" s="1" t="str">
        <f>TEXT(55,"00")</f>
        <v>55</v>
      </c>
      <c r="C6124" s="1" t="str">
        <f t="shared" si="391"/>
        <v>785-55</v>
      </c>
      <c r="D6124" t="s">
        <v>6096</v>
      </c>
      <c r="E6124" t="b">
        <f>IF(COUNTIF(D6124,"*"&amp;'Keyword Search'!$C$5&amp;"*"),TRUE,FALSE)</f>
        <v>1</v>
      </c>
      <c r="G6124" t="str">
        <f t="shared" si="392"/>
        <v>785-55: Engineering and Technical Instruction Equipment and Materials, For Air Conditioning, Electronics, Machine Shop, etc.</v>
      </c>
    </row>
    <row r="6125" spans="1:7" x14ac:dyDescent="0.25">
      <c r="A6125" s="1" t="str">
        <f t="shared" si="393"/>
        <v>785</v>
      </c>
      <c r="B6125" s="1" t="str">
        <f>TEXT(57,"00")</f>
        <v>57</v>
      </c>
      <c r="C6125" s="1" t="str">
        <f t="shared" si="391"/>
        <v>785-57</v>
      </c>
      <c r="D6125" t="s">
        <v>6097</v>
      </c>
      <c r="E6125" t="b">
        <f>IF(COUNTIF(D6125,"*"&amp;'Keyword Search'!$C$5&amp;"*"),TRUE,FALSE)</f>
        <v>1</v>
      </c>
      <c r="G6125" t="str">
        <f t="shared" si="392"/>
        <v>785-57: Erasers and Cleaners</v>
      </c>
    </row>
    <row r="6126" spans="1:7" x14ac:dyDescent="0.25">
      <c r="A6126" s="1" t="str">
        <f t="shared" si="393"/>
        <v>785</v>
      </c>
      <c r="B6126" s="1" t="str">
        <f>TEXT(62,"00")</f>
        <v>62</v>
      </c>
      <c r="C6126" s="1" t="str">
        <f t="shared" si="391"/>
        <v>785-62</v>
      </c>
      <c r="D6126" t="s">
        <v>6098</v>
      </c>
      <c r="E6126" t="b">
        <f>IF(COUNTIF(D6126,"*"&amp;'Keyword Search'!$C$5&amp;"*"),TRUE,FALSE)</f>
        <v>1</v>
      </c>
      <c r="G6126" t="str">
        <f t="shared" si="392"/>
        <v>785-62: Flannel Boards and Accessories</v>
      </c>
    </row>
    <row r="6127" spans="1:7" x14ac:dyDescent="0.25">
      <c r="A6127" s="1" t="str">
        <f t="shared" si="393"/>
        <v>785</v>
      </c>
      <c r="B6127" s="1" t="str">
        <f>TEXT(65,"00")</f>
        <v>65</v>
      </c>
      <c r="C6127" s="1" t="str">
        <f t="shared" si="391"/>
        <v>785-65</v>
      </c>
      <c r="D6127" t="s">
        <v>6099</v>
      </c>
      <c r="E6127" t="b">
        <f>IF(COUNTIF(D6127,"*"&amp;'Keyword Search'!$C$5&amp;"*"),TRUE,FALSE)</f>
        <v>1</v>
      </c>
      <c r="G6127" t="str">
        <f t="shared" si="392"/>
        <v>785-65: Handwriting Materials, Instructional Aids and Supplies</v>
      </c>
    </row>
    <row r="6128" spans="1:7" x14ac:dyDescent="0.25">
      <c r="A6128" s="1" t="str">
        <f t="shared" si="393"/>
        <v>785</v>
      </c>
      <c r="B6128" s="1" t="str">
        <f>TEXT(70,"00")</f>
        <v>70</v>
      </c>
      <c r="C6128" s="1" t="str">
        <f t="shared" si="391"/>
        <v>785-70</v>
      </c>
      <c r="D6128" t="s">
        <v>6100</v>
      </c>
      <c r="E6128" t="b">
        <f>IF(COUNTIF(D6128,"*"&amp;'Keyword Search'!$C$5&amp;"*"),TRUE,FALSE)</f>
        <v>1</v>
      </c>
      <c r="G6128" t="str">
        <f t="shared" si="392"/>
        <v>785-70: Instructional Aids: Courses, Lesson Plans, Prepared, Programs, Ancillary Materials, DVDs, etc. (See Class 715 for Textbooks)</v>
      </c>
    </row>
    <row r="6129" spans="1:7" x14ac:dyDescent="0.25">
      <c r="A6129" s="1" t="str">
        <f t="shared" si="393"/>
        <v>785</v>
      </c>
      <c r="B6129" s="1" t="str">
        <f>TEXT(72,"00")</f>
        <v>72</v>
      </c>
      <c r="C6129" s="1" t="str">
        <f t="shared" si="391"/>
        <v>785-72</v>
      </c>
      <c r="D6129" t="s">
        <v>6101</v>
      </c>
      <c r="E6129" t="b">
        <f>IF(COUNTIF(D6129,"*"&amp;'Keyword Search'!$C$5&amp;"*"),TRUE,FALSE)</f>
        <v>1</v>
      </c>
      <c r="G6129" t="str">
        <f t="shared" si="392"/>
        <v>785-72: Lecterns, Rostrums, and Speaker's Stands, Pointers, etc.</v>
      </c>
    </row>
    <row r="6130" spans="1:7" x14ac:dyDescent="0.25">
      <c r="A6130" s="1" t="str">
        <f t="shared" si="393"/>
        <v>785</v>
      </c>
      <c r="B6130" s="1" t="str">
        <f>TEXT(73,"00")</f>
        <v>73</v>
      </c>
      <c r="C6130" s="1" t="str">
        <f t="shared" si="391"/>
        <v>785-73</v>
      </c>
      <c r="D6130" t="s">
        <v>6102</v>
      </c>
      <c r="E6130" t="b">
        <f>IF(COUNTIF(D6130,"*"&amp;'Keyword Search'!$C$5&amp;"*"),TRUE,FALSE)</f>
        <v>1</v>
      </c>
      <c r="G6130" t="str">
        <f t="shared" si="392"/>
        <v>785-73: Notebooks and Spirals</v>
      </c>
    </row>
    <row r="6131" spans="1:7" x14ac:dyDescent="0.25">
      <c r="A6131" s="1" t="str">
        <f t="shared" si="393"/>
        <v>785</v>
      </c>
      <c r="B6131" s="1" t="str">
        <f>TEXT(74,"00")</f>
        <v>74</v>
      </c>
      <c r="C6131" s="1" t="str">
        <f t="shared" si="391"/>
        <v>785-74</v>
      </c>
      <c r="D6131" t="s">
        <v>6103</v>
      </c>
      <c r="E6131" t="b">
        <f>IF(COUNTIF(D6131,"*"&amp;'Keyword Search'!$C$5&amp;"*"),TRUE,FALSE)</f>
        <v>1</v>
      </c>
      <c r="G6131" t="str">
        <f t="shared" si="392"/>
        <v>785-74: Number Boards and Directory Boards</v>
      </c>
    </row>
    <row r="6132" spans="1:7" x14ac:dyDescent="0.25">
      <c r="A6132" s="1" t="str">
        <f t="shared" si="393"/>
        <v>785</v>
      </c>
      <c r="B6132" s="1" t="str">
        <f>TEXT(76,"00")</f>
        <v>76</v>
      </c>
      <c r="C6132" s="1" t="str">
        <f t="shared" si="391"/>
        <v>785-76</v>
      </c>
      <c r="D6132" t="s">
        <v>6104</v>
      </c>
      <c r="E6132" t="b">
        <f>IF(COUNTIF(D6132,"*"&amp;'Keyword Search'!$C$5&amp;"*"),TRUE,FALSE)</f>
        <v>1</v>
      </c>
      <c r="G6132" t="str">
        <f t="shared" si="392"/>
        <v>785-76: Paper Items, Classroom: Composition Books, Scrapbooks, Examination Booklets, Notebook Filler, Tablets, etc.</v>
      </c>
    </row>
    <row r="6133" spans="1:7" x14ac:dyDescent="0.25">
      <c r="A6133" s="1" t="str">
        <f t="shared" si="393"/>
        <v>785</v>
      </c>
      <c r="B6133" s="1" t="str">
        <f>TEXT(80,"00")</f>
        <v>80</v>
      </c>
      <c r="C6133" s="1" t="str">
        <f t="shared" si="391"/>
        <v>785-80</v>
      </c>
      <c r="D6133" t="s">
        <v>6105</v>
      </c>
      <c r="E6133" t="b">
        <f>IF(COUNTIF(D6133,"*"&amp;'Keyword Search'!$C$5&amp;"*"),TRUE,FALSE)</f>
        <v>1</v>
      </c>
      <c r="G6133" t="str">
        <f t="shared" si="392"/>
        <v>785-80: Plays and Entertainment, Schoolroom</v>
      </c>
    </row>
    <row r="6134" spans="1:7" x14ac:dyDescent="0.25">
      <c r="A6134" s="1" t="str">
        <f t="shared" si="393"/>
        <v>785</v>
      </c>
      <c r="B6134" s="1" t="str">
        <f>TEXT(83,"00")</f>
        <v>83</v>
      </c>
      <c r="C6134" s="1" t="str">
        <f t="shared" si="391"/>
        <v>785-83</v>
      </c>
      <c r="D6134" t="s">
        <v>6106</v>
      </c>
      <c r="E6134" t="b">
        <f>IF(COUNTIF(D6134,"*"&amp;'Keyword Search'!$C$5&amp;"*"),TRUE,FALSE)</f>
        <v>1</v>
      </c>
      <c r="G6134" t="str">
        <f t="shared" si="392"/>
        <v>785-83: Presentation Systems Equipment, Including Presentation Boards and Multi-Image Devices</v>
      </c>
    </row>
    <row r="6135" spans="1:7" x14ac:dyDescent="0.25">
      <c r="A6135" s="1" t="str">
        <f t="shared" si="393"/>
        <v>785</v>
      </c>
      <c r="B6135" s="1" t="str">
        <f>TEXT(85,"00")</f>
        <v>85</v>
      </c>
      <c r="C6135" s="1" t="str">
        <f t="shared" si="391"/>
        <v>785-85</v>
      </c>
      <c r="D6135" t="s">
        <v>6107</v>
      </c>
      <c r="E6135" t="b">
        <f>IF(COUNTIF(D6135,"*"&amp;'Keyword Search'!$C$5&amp;"*"),TRUE,FALSE)</f>
        <v>1</v>
      </c>
      <c r="G6135" t="str">
        <f t="shared" si="392"/>
        <v>785-85: Reading Programs, Reading Aids, Accelerators</v>
      </c>
    </row>
    <row r="6136" spans="1:7" x14ac:dyDescent="0.25">
      <c r="A6136" s="1" t="str">
        <f t="shared" si="393"/>
        <v>785</v>
      </c>
      <c r="B6136" s="1" t="str">
        <f>TEXT(86,"00")</f>
        <v>86</v>
      </c>
      <c r="C6136" s="1" t="str">
        <f t="shared" si="391"/>
        <v>785-86</v>
      </c>
      <c r="D6136" t="s">
        <v>6108</v>
      </c>
      <c r="E6136" t="b">
        <f>IF(COUNTIF(D6136,"*"&amp;'Keyword Search'!$C$5&amp;"*"),TRUE,FALSE)</f>
        <v>1</v>
      </c>
      <c r="G6136" t="str">
        <f t="shared" si="392"/>
        <v>785-86: Recycled School Equipment and Supplies</v>
      </c>
    </row>
    <row r="6137" spans="1:7" x14ac:dyDescent="0.25">
      <c r="A6137" s="1" t="str">
        <f t="shared" si="393"/>
        <v>785</v>
      </c>
      <c r="B6137" s="1" t="str">
        <f>TEXT(87,"00")</f>
        <v>87</v>
      </c>
      <c r="C6137" s="1" t="str">
        <f t="shared" si="391"/>
        <v>785-87</v>
      </c>
      <c r="D6137" t="s">
        <v>6109</v>
      </c>
      <c r="E6137" t="b">
        <f>IF(COUNTIF(D6137,"*"&amp;'Keyword Search'!$C$5&amp;"*"),TRUE,FALSE)</f>
        <v>1</v>
      </c>
      <c r="G6137" t="str">
        <f t="shared" si="392"/>
        <v>785-87: Resource Books and Materials, (Not Otherwise Classified)</v>
      </c>
    </row>
    <row r="6138" spans="1:7" x14ac:dyDescent="0.25">
      <c r="A6138" s="1" t="str">
        <f t="shared" si="393"/>
        <v>785</v>
      </c>
      <c r="B6138" s="1" t="str">
        <f>TEXT(88,"00")</f>
        <v>88</v>
      </c>
      <c r="C6138" s="1" t="str">
        <f t="shared" si="391"/>
        <v>785-88</v>
      </c>
      <c r="D6138" t="s">
        <v>6110</v>
      </c>
      <c r="E6138" t="b">
        <f>IF(COUNTIF(D6138,"*"&amp;'Keyword Search'!$C$5&amp;"*"),TRUE,FALSE)</f>
        <v>1</v>
      </c>
      <c r="G6138" t="str">
        <f t="shared" si="392"/>
        <v>785-88: Science Instruction Equipment, Classroom or Laboratory Use</v>
      </c>
    </row>
    <row r="6139" spans="1:7" x14ac:dyDescent="0.25">
      <c r="A6139" s="1" t="str">
        <f t="shared" si="393"/>
        <v>785</v>
      </c>
      <c r="B6139" s="1" t="str">
        <f>TEXT(89,"00")</f>
        <v>89</v>
      </c>
      <c r="C6139" s="1" t="str">
        <f t="shared" si="391"/>
        <v>785-89</v>
      </c>
      <c r="D6139" t="s">
        <v>6111</v>
      </c>
      <c r="E6139" t="b">
        <f>IF(COUNTIF(D6139,"*"&amp;'Keyword Search'!$C$5&amp;"*"),TRUE,FALSE)</f>
        <v>1</v>
      </c>
      <c r="G6139" t="str">
        <f t="shared" si="392"/>
        <v>785-89: School Equipment Required to Meet the Needs of the Physically Challenged Student: Prone Stands, Toddler Chairs, Special Computer Keyboards, etc.</v>
      </c>
    </row>
    <row r="6140" spans="1:7" x14ac:dyDescent="0.25">
      <c r="A6140" s="1" t="str">
        <f t="shared" si="393"/>
        <v>785</v>
      </c>
      <c r="B6140" s="1" t="str">
        <f>TEXT(90,"00")</f>
        <v>90</v>
      </c>
      <c r="C6140" s="1" t="str">
        <f t="shared" si="391"/>
        <v>785-90</v>
      </c>
      <c r="D6140" t="s">
        <v>6112</v>
      </c>
      <c r="E6140" t="b">
        <f>IF(COUNTIF(D6140,"*"&amp;'Keyword Search'!$C$5&amp;"*"),TRUE,FALSE)</f>
        <v>1</v>
      </c>
      <c r="G6140" t="str">
        <f t="shared" si="392"/>
        <v>785-90: Test and Test Scoring Devices: Achievement, Aptitude, Intelligence, etc.</v>
      </c>
    </row>
    <row r="6141" spans="1:7" x14ac:dyDescent="0.25">
      <c r="A6141" s="1" t="str">
        <f t="shared" si="393"/>
        <v>785</v>
      </c>
      <c r="B6141" s="1" t="str">
        <f>TEXT(92,"00")</f>
        <v>92</v>
      </c>
      <c r="C6141" s="1" t="str">
        <f t="shared" si="391"/>
        <v>785-92</v>
      </c>
      <c r="D6141" t="s">
        <v>6113</v>
      </c>
      <c r="E6141" t="b">
        <f>IF(COUNTIF(D6141,"*"&amp;'Keyword Search'!$C$5&amp;"*"),TRUE,FALSE)</f>
        <v>1</v>
      </c>
      <c r="G6141" t="str">
        <f t="shared" si="392"/>
        <v>785-92: Vocational Equipment and Supplies, Industrial Trades</v>
      </c>
    </row>
    <row r="6142" spans="1:7" x14ac:dyDescent="0.25">
      <c r="A6142" s="1" t="str">
        <f t="shared" si="393"/>
        <v>785</v>
      </c>
      <c r="B6142" s="1" t="str">
        <f>TEXT(93,"00")</f>
        <v>93</v>
      </c>
      <c r="C6142" s="1" t="str">
        <f t="shared" si="391"/>
        <v>785-93</v>
      </c>
      <c r="D6142" t="s">
        <v>6114</v>
      </c>
      <c r="E6142" t="b">
        <f>IF(COUNTIF(D6142,"*"&amp;'Keyword Search'!$C$5&amp;"*"),TRUE,FALSE)</f>
        <v>1</v>
      </c>
      <c r="G6142" t="str">
        <f t="shared" si="392"/>
        <v>785-93: Vocational Education Equipment and Supplies</v>
      </c>
    </row>
    <row r="6143" spans="1:7" x14ac:dyDescent="0.25">
      <c r="A6143" s="5" t="str">
        <f t="shared" ref="A6143:A6164" si="394">TEXT(790,"000")</f>
        <v>790</v>
      </c>
      <c r="B6143" s="5" t="str">
        <f>TEXT(0,"00")</f>
        <v>00</v>
      </c>
      <c r="C6143" s="1"/>
      <c r="D6143" s="2" t="s">
        <v>6115</v>
      </c>
    </row>
    <row r="6144" spans="1:7" x14ac:dyDescent="0.25">
      <c r="A6144" s="1" t="str">
        <f t="shared" si="394"/>
        <v>790</v>
      </c>
      <c r="B6144" s="1" t="str">
        <f>TEXT(2,"00")</f>
        <v>02</v>
      </c>
      <c r="C6144" s="1" t="str">
        <f t="shared" si="391"/>
        <v>790-02</v>
      </c>
      <c r="D6144" t="s">
        <v>6116</v>
      </c>
      <c r="E6144" t="b">
        <f>IF(COUNTIF(D6144,"*"&amp;'Keyword Search'!$C$5&amp;"*"),TRUE,FALSE)</f>
        <v>1</v>
      </c>
      <c r="G6144" t="str">
        <f t="shared" si="392"/>
        <v>790-02: Athletic Field Compositions, Baseball Infields, etc.</v>
      </c>
    </row>
    <row r="6145" spans="1:7" x14ac:dyDescent="0.25">
      <c r="A6145" s="1" t="str">
        <f t="shared" si="394"/>
        <v>790</v>
      </c>
      <c r="B6145" s="1" t="str">
        <f>TEXT(5,"00")</f>
        <v>05</v>
      </c>
      <c r="C6145" s="1" t="str">
        <f t="shared" si="391"/>
        <v>790-05</v>
      </c>
      <c r="D6145" t="s">
        <v>6117</v>
      </c>
      <c r="E6145" t="b">
        <f>IF(COUNTIF(D6145,"*"&amp;'Keyword Search'!$C$5&amp;"*"),TRUE,FALSE)</f>
        <v>1</v>
      </c>
      <c r="G6145" t="str">
        <f t="shared" si="392"/>
        <v>790-05: Desert Plant Seeds</v>
      </c>
    </row>
    <row r="6146" spans="1:7" x14ac:dyDescent="0.25">
      <c r="A6146" s="1" t="str">
        <f t="shared" si="394"/>
        <v>790</v>
      </c>
      <c r="B6146" s="1" t="str">
        <f>TEXT(10,"00")</f>
        <v>10</v>
      </c>
      <c r="C6146" s="1" t="str">
        <f t="shared" si="391"/>
        <v>790-10</v>
      </c>
      <c r="D6146" t="s">
        <v>6118</v>
      </c>
      <c r="E6146" t="b">
        <f>IF(COUNTIF(D6146,"*"&amp;'Keyword Search'!$C$5&amp;"*"),TRUE,FALSE)</f>
        <v>1</v>
      </c>
      <c r="G6146" t="str">
        <f t="shared" si="392"/>
        <v>790-10: Field Seeds, Cotton, etc.</v>
      </c>
    </row>
    <row r="6147" spans="1:7" x14ac:dyDescent="0.25">
      <c r="A6147" s="1" t="str">
        <f t="shared" si="394"/>
        <v>790</v>
      </c>
      <c r="B6147" s="1" t="str">
        <f>TEXT(15,"00")</f>
        <v>15</v>
      </c>
      <c r="C6147" s="1" t="str">
        <f t="shared" ref="C6147:C6210" si="395">CONCATENATE(A6147,"-",B6147)</f>
        <v>790-15</v>
      </c>
      <c r="D6147" t="s">
        <v>6119</v>
      </c>
      <c r="E6147" t="b">
        <f>IF(COUNTIF(D6147,"*"&amp;'Keyword Search'!$C$5&amp;"*"),TRUE,FALSE)</f>
        <v>1</v>
      </c>
      <c r="G6147" t="str">
        <f t="shared" si="392"/>
        <v>790-15: Field Seeds, Grains, etc.</v>
      </c>
    </row>
    <row r="6148" spans="1:7" x14ac:dyDescent="0.25">
      <c r="A6148" s="1" t="str">
        <f t="shared" si="394"/>
        <v>790</v>
      </c>
      <c r="B6148" s="1" t="str">
        <f>TEXT(18,"00")</f>
        <v>18</v>
      </c>
      <c r="C6148" s="1" t="str">
        <f t="shared" si="395"/>
        <v>790-18</v>
      </c>
      <c r="D6148" t="s">
        <v>6120</v>
      </c>
      <c r="E6148" t="b">
        <f>IF(COUNTIF(D6148,"*"&amp;'Keyword Search'!$C$5&amp;"*"),TRUE,FALSE)</f>
        <v>1</v>
      </c>
      <c r="G6148" t="str">
        <f t="shared" ref="G6148:G6211" si="396">CONCATENATE(C6148,": ",D6148)</f>
        <v>790-18: Fruit Seeds</v>
      </c>
    </row>
    <row r="6149" spans="1:7" x14ac:dyDescent="0.25">
      <c r="A6149" s="1" t="str">
        <f t="shared" si="394"/>
        <v>790</v>
      </c>
      <c r="B6149" s="1" t="str">
        <f>TEXT(20,"00")</f>
        <v>20</v>
      </c>
      <c r="C6149" s="1" t="str">
        <f t="shared" si="395"/>
        <v>790-20</v>
      </c>
      <c r="D6149" t="s">
        <v>6121</v>
      </c>
      <c r="E6149" t="b">
        <f>IF(COUNTIF(D6149,"*"&amp;'Keyword Search'!$C$5&amp;"*"),TRUE,FALSE)</f>
        <v>1</v>
      </c>
      <c r="G6149" t="str">
        <f t="shared" si="396"/>
        <v>790-20: Grass Seeds</v>
      </c>
    </row>
    <row r="6150" spans="1:7" x14ac:dyDescent="0.25">
      <c r="A6150" s="1" t="str">
        <f t="shared" si="394"/>
        <v>790</v>
      </c>
      <c r="B6150" s="1" t="str">
        <f>TEXT(30,"00")</f>
        <v>30</v>
      </c>
      <c r="C6150" s="1" t="str">
        <f t="shared" si="395"/>
        <v>790-30</v>
      </c>
      <c r="D6150" t="s">
        <v>6122</v>
      </c>
      <c r="E6150" t="b">
        <f>IF(COUNTIF(D6150,"*"&amp;'Keyword Search'!$C$5&amp;"*"),TRUE,FALSE)</f>
        <v>1</v>
      </c>
      <c r="G6150" t="str">
        <f t="shared" si="396"/>
        <v>790-30: Inoculants</v>
      </c>
    </row>
    <row r="6151" spans="1:7" x14ac:dyDescent="0.25">
      <c r="A6151" s="1" t="str">
        <f t="shared" si="394"/>
        <v>790</v>
      </c>
      <c r="B6151" s="1" t="str">
        <f>TEXT(31,"00")</f>
        <v>31</v>
      </c>
      <c r="C6151" s="1" t="str">
        <f t="shared" si="395"/>
        <v>790-31</v>
      </c>
      <c r="D6151" t="s">
        <v>6123</v>
      </c>
      <c r="E6151" t="b">
        <f>IF(COUNTIF(D6151,"*"&amp;'Keyword Search'!$C$5&amp;"*"),TRUE,FALSE)</f>
        <v>1</v>
      </c>
      <c r="G6151" t="str">
        <f t="shared" si="396"/>
        <v>790-31: Melon Seeds, Including Pumpkin</v>
      </c>
    </row>
    <row r="6152" spans="1:7" x14ac:dyDescent="0.25">
      <c r="A6152" s="1" t="str">
        <f t="shared" si="394"/>
        <v>790</v>
      </c>
      <c r="B6152" s="1" t="str">
        <f>TEXT(32,"00")</f>
        <v>32</v>
      </c>
      <c r="C6152" s="1" t="str">
        <f t="shared" si="395"/>
        <v>790-32</v>
      </c>
      <c r="D6152" t="s">
        <v>6124</v>
      </c>
      <c r="E6152" t="b">
        <f>IF(COUNTIF(D6152,"*"&amp;'Keyword Search'!$C$5&amp;"*"),TRUE,FALSE)</f>
        <v>1</v>
      </c>
      <c r="G6152" t="str">
        <f t="shared" si="396"/>
        <v>790-32: Millet Grass</v>
      </c>
    </row>
    <row r="6153" spans="1:7" x14ac:dyDescent="0.25">
      <c r="A6153" s="1" t="str">
        <f t="shared" si="394"/>
        <v>790</v>
      </c>
      <c r="B6153" s="1" t="str">
        <f>TEXT(33,"00")</f>
        <v>33</v>
      </c>
      <c r="C6153" s="1" t="str">
        <f t="shared" si="395"/>
        <v>790-33</v>
      </c>
      <c r="D6153" t="s">
        <v>6125</v>
      </c>
      <c r="E6153" t="b">
        <f>IF(COUNTIF(D6153,"*"&amp;'Keyword Search'!$C$5&amp;"*"),TRUE,FALSE)</f>
        <v>1</v>
      </c>
      <c r="G6153" t="str">
        <f t="shared" si="396"/>
        <v>790-33: Nut Seeds</v>
      </c>
    </row>
    <row r="6154" spans="1:7" x14ac:dyDescent="0.25">
      <c r="A6154" s="1" t="str">
        <f t="shared" si="394"/>
        <v>790</v>
      </c>
      <c r="B6154" s="1" t="str">
        <f>TEXT(34,"00")</f>
        <v>34</v>
      </c>
      <c r="C6154" s="1" t="str">
        <f t="shared" si="395"/>
        <v>790-34</v>
      </c>
      <c r="D6154" t="s">
        <v>6126</v>
      </c>
      <c r="E6154" t="b">
        <f>IF(COUNTIF(D6154,"*"&amp;'Keyword Search'!$C$5&amp;"*"),TRUE,FALSE)</f>
        <v>1</v>
      </c>
      <c r="G6154" t="str">
        <f t="shared" si="396"/>
        <v>790-34: Peanut Seeds</v>
      </c>
    </row>
    <row r="6155" spans="1:7" x14ac:dyDescent="0.25">
      <c r="A6155" s="1" t="str">
        <f t="shared" si="394"/>
        <v>790</v>
      </c>
      <c r="B6155" s="1" t="str">
        <f>TEXT(37,"00")</f>
        <v>37</v>
      </c>
      <c r="C6155" s="1" t="str">
        <f t="shared" si="395"/>
        <v>790-37</v>
      </c>
      <c r="D6155" t="s">
        <v>6127</v>
      </c>
      <c r="E6155" t="b">
        <f>IF(COUNTIF(D6155,"*"&amp;'Keyword Search'!$C$5&amp;"*"),TRUE,FALSE)</f>
        <v>1</v>
      </c>
      <c r="G6155" t="str">
        <f t="shared" si="396"/>
        <v>790-37: Rice Seeds</v>
      </c>
    </row>
    <row r="6156" spans="1:7" x14ac:dyDescent="0.25">
      <c r="A6156" s="1" t="str">
        <f t="shared" si="394"/>
        <v>790</v>
      </c>
      <c r="B6156" s="1" t="str">
        <f>TEXT(40,"00")</f>
        <v>40</v>
      </c>
      <c r="C6156" s="1" t="str">
        <f t="shared" si="395"/>
        <v>790-40</v>
      </c>
      <c r="D6156" t="s">
        <v>6128</v>
      </c>
      <c r="E6156" t="b">
        <f>IF(COUNTIF(D6156,"*"&amp;'Keyword Search'!$C$5&amp;"*"),TRUE,FALSE)</f>
        <v>1</v>
      </c>
      <c r="G6156" t="str">
        <f t="shared" si="396"/>
        <v>790-40: Seed Potato Seeds</v>
      </c>
    </row>
    <row r="6157" spans="1:7" x14ac:dyDescent="0.25">
      <c r="A6157" s="1" t="str">
        <f t="shared" si="394"/>
        <v>790</v>
      </c>
      <c r="B6157" s="1" t="str">
        <f>TEXT(44,"00")</f>
        <v>44</v>
      </c>
      <c r="C6157" s="1" t="str">
        <f t="shared" si="395"/>
        <v>790-44</v>
      </c>
      <c r="D6157" t="s">
        <v>6129</v>
      </c>
      <c r="E6157" t="b">
        <f>IF(COUNTIF(D6157,"*"&amp;'Keyword Search'!$C$5&amp;"*"),TRUE,FALSE)</f>
        <v>1</v>
      </c>
      <c r="G6157" t="str">
        <f t="shared" si="396"/>
        <v>790-44: Spice Seeds</v>
      </c>
    </row>
    <row r="6158" spans="1:7" x14ac:dyDescent="0.25">
      <c r="A6158" s="1" t="str">
        <f t="shared" si="394"/>
        <v>790</v>
      </c>
      <c r="B6158" s="1" t="str">
        <f>TEXT(50,"00")</f>
        <v>50</v>
      </c>
      <c r="C6158" s="1" t="str">
        <f t="shared" si="395"/>
        <v>790-50</v>
      </c>
      <c r="D6158" t="s">
        <v>6130</v>
      </c>
      <c r="E6158" t="b">
        <f>IF(COUNTIF(D6158,"*"&amp;'Keyword Search'!$C$5&amp;"*"),TRUE,FALSE)</f>
        <v>1</v>
      </c>
      <c r="G6158" t="str">
        <f t="shared" si="396"/>
        <v>790-50: Sod, Grass</v>
      </c>
    </row>
    <row r="6159" spans="1:7" x14ac:dyDescent="0.25">
      <c r="A6159" s="1" t="str">
        <f t="shared" si="394"/>
        <v>790</v>
      </c>
      <c r="B6159" s="1" t="str">
        <f>TEXT(54,"00")</f>
        <v>54</v>
      </c>
      <c r="C6159" s="1" t="str">
        <f t="shared" si="395"/>
        <v>790-54</v>
      </c>
      <c r="D6159" t="s">
        <v>6131</v>
      </c>
      <c r="E6159" t="b">
        <f>IF(COUNTIF(D6159,"*"&amp;'Keyword Search'!$C$5&amp;"*"),TRUE,FALSE)</f>
        <v>1</v>
      </c>
      <c r="G6159" t="str">
        <f t="shared" si="396"/>
        <v>790-54: Soil Mixtures, Special</v>
      </c>
    </row>
    <row r="6160" spans="1:7" x14ac:dyDescent="0.25">
      <c r="A6160" s="1" t="str">
        <f t="shared" si="394"/>
        <v>790</v>
      </c>
      <c r="B6160" s="1" t="str">
        <f>TEXT(60,"00")</f>
        <v>60</v>
      </c>
      <c r="C6160" s="1" t="str">
        <f t="shared" si="395"/>
        <v>790-60</v>
      </c>
      <c r="D6160" t="s">
        <v>6132</v>
      </c>
      <c r="E6160" t="b">
        <f>IF(COUNTIF(D6160,"*"&amp;'Keyword Search'!$C$5&amp;"*"),TRUE,FALSE)</f>
        <v>1</v>
      </c>
      <c r="G6160" t="str">
        <f t="shared" si="396"/>
        <v>790-60: Sprigs, Grass</v>
      </c>
    </row>
    <row r="6161" spans="1:7" x14ac:dyDescent="0.25">
      <c r="A6161" s="1" t="str">
        <f t="shared" si="394"/>
        <v>790</v>
      </c>
      <c r="B6161" s="1" t="str">
        <f>TEXT(70,"00")</f>
        <v>70</v>
      </c>
      <c r="C6161" s="1" t="str">
        <f t="shared" si="395"/>
        <v>790-70</v>
      </c>
      <c r="D6161" t="s">
        <v>6133</v>
      </c>
      <c r="E6161" t="b">
        <f>IF(COUNTIF(D6161,"*"&amp;'Keyword Search'!$C$5&amp;"*"),TRUE,FALSE)</f>
        <v>1</v>
      </c>
      <c r="G6161" t="str">
        <f t="shared" si="396"/>
        <v>790-70: Top Soil and Fill Dirt (See Class 335 for Mulch)</v>
      </c>
    </row>
    <row r="6162" spans="1:7" x14ac:dyDescent="0.25">
      <c r="A6162" s="1" t="str">
        <f t="shared" si="394"/>
        <v>790</v>
      </c>
      <c r="B6162" s="1" t="str">
        <f>TEXT(73,"00")</f>
        <v>73</v>
      </c>
      <c r="C6162" s="1" t="str">
        <f t="shared" si="395"/>
        <v>790-73</v>
      </c>
      <c r="D6162" t="s">
        <v>6134</v>
      </c>
      <c r="E6162" t="b">
        <f>IF(COUNTIF(D6162,"*"&amp;'Keyword Search'!$C$5&amp;"*"),TRUE,FALSE)</f>
        <v>1</v>
      </c>
      <c r="G6162" t="str">
        <f t="shared" si="396"/>
        <v>790-73: Tree Seeds</v>
      </c>
    </row>
    <row r="6163" spans="1:7" x14ac:dyDescent="0.25">
      <c r="A6163" s="1" t="str">
        <f t="shared" si="394"/>
        <v>790</v>
      </c>
      <c r="B6163" s="1" t="str">
        <f>TEXT(80,"00")</f>
        <v>80</v>
      </c>
      <c r="C6163" s="1" t="str">
        <f t="shared" si="395"/>
        <v>790-80</v>
      </c>
      <c r="D6163" t="s">
        <v>6135</v>
      </c>
      <c r="E6163" t="b">
        <f>IF(COUNTIF(D6163,"*"&amp;'Keyword Search'!$C$5&amp;"*"),TRUE,FALSE)</f>
        <v>1</v>
      </c>
      <c r="G6163" t="str">
        <f t="shared" si="396"/>
        <v>790-80: Vegetable Seeds</v>
      </c>
    </row>
    <row r="6164" spans="1:7" x14ac:dyDescent="0.25">
      <c r="A6164" s="1" t="str">
        <f t="shared" si="394"/>
        <v>790</v>
      </c>
      <c r="B6164" s="1" t="str">
        <f>TEXT(95,"00")</f>
        <v>95</v>
      </c>
      <c r="C6164" s="1" t="str">
        <f t="shared" si="395"/>
        <v>790-95</v>
      </c>
      <c r="D6164" t="s">
        <v>6136</v>
      </c>
      <c r="E6164" t="b">
        <f>IF(COUNTIF(D6164,"*"&amp;'Keyword Search'!$C$5&amp;"*"),TRUE,FALSE)</f>
        <v>1</v>
      </c>
      <c r="G6164" t="str">
        <f t="shared" si="396"/>
        <v>790-95: Recycled Seed, Soil, Sod and Inoculants</v>
      </c>
    </row>
    <row r="6165" spans="1:7" x14ac:dyDescent="0.25">
      <c r="A6165" s="5" t="str">
        <f t="shared" ref="A6165:A6197" si="397">TEXT(795,"000")</f>
        <v>795</v>
      </c>
      <c r="B6165" s="5" t="str">
        <f>TEXT(0,"00")</f>
        <v>00</v>
      </c>
      <c r="C6165" s="1"/>
      <c r="D6165" s="2" t="s">
        <v>6137</v>
      </c>
    </row>
    <row r="6166" spans="1:7" x14ac:dyDescent="0.25">
      <c r="A6166" s="1" t="str">
        <f t="shared" si="397"/>
        <v>795</v>
      </c>
      <c r="B6166" s="1" t="str">
        <f>TEXT(5,"00")</f>
        <v>05</v>
      </c>
      <c r="C6166" s="1" t="str">
        <f t="shared" si="395"/>
        <v>795-05</v>
      </c>
      <c r="D6166" t="s">
        <v>6138</v>
      </c>
      <c r="E6166" t="b">
        <f>IF(COUNTIF(D6166,"*"&amp;'Keyword Search'!$C$5&amp;"*"),TRUE,FALSE)</f>
        <v>1</v>
      </c>
      <c r="G6166" t="str">
        <f t="shared" si="396"/>
        <v>795-05: Bartacking Machines</v>
      </c>
    </row>
    <row r="6167" spans="1:7" x14ac:dyDescent="0.25">
      <c r="A6167" s="1" t="str">
        <f t="shared" si="397"/>
        <v>795</v>
      </c>
      <c r="B6167" s="1" t="str">
        <f>TEXT(10,"00")</f>
        <v>10</v>
      </c>
      <c r="C6167" s="1" t="str">
        <f t="shared" si="395"/>
        <v>795-10</v>
      </c>
      <c r="D6167" t="s">
        <v>6139</v>
      </c>
      <c r="E6167" t="b">
        <f>IF(COUNTIF(D6167,"*"&amp;'Keyword Search'!$C$5&amp;"*"),TRUE,FALSE)</f>
        <v>1</v>
      </c>
      <c r="G6167" t="str">
        <f t="shared" si="396"/>
        <v>795-10: Button Covering Machines</v>
      </c>
    </row>
    <row r="6168" spans="1:7" x14ac:dyDescent="0.25">
      <c r="A6168" s="1" t="str">
        <f t="shared" si="397"/>
        <v>795</v>
      </c>
      <c r="B6168" s="1" t="str">
        <f>TEXT(15,"00")</f>
        <v>15</v>
      </c>
      <c r="C6168" s="1" t="str">
        <f t="shared" si="395"/>
        <v>795-15</v>
      </c>
      <c r="D6168" t="s">
        <v>6140</v>
      </c>
      <c r="E6168" t="b">
        <f>IF(COUNTIF(D6168,"*"&amp;'Keyword Search'!$C$5&amp;"*"),TRUE,FALSE)</f>
        <v>1</v>
      </c>
      <c r="G6168" t="str">
        <f t="shared" si="396"/>
        <v>795-15: Button Sewing Machines</v>
      </c>
    </row>
    <row r="6169" spans="1:7" x14ac:dyDescent="0.25">
      <c r="A6169" s="1" t="str">
        <f t="shared" si="397"/>
        <v>795</v>
      </c>
      <c r="B6169" s="1" t="str">
        <f>TEXT(20,"00")</f>
        <v>20</v>
      </c>
      <c r="C6169" s="1" t="str">
        <f t="shared" si="395"/>
        <v>795-20</v>
      </c>
      <c r="D6169" t="s">
        <v>6141</v>
      </c>
      <c r="E6169" t="b">
        <f>IF(COUNTIF(D6169,"*"&amp;'Keyword Search'!$C$5&amp;"*"),TRUE,FALSE)</f>
        <v>1</v>
      </c>
      <c r="G6169" t="str">
        <f t="shared" si="396"/>
        <v>795-20: Buttonhole Machines</v>
      </c>
    </row>
    <row r="6170" spans="1:7" x14ac:dyDescent="0.25">
      <c r="A6170" s="1" t="str">
        <f t="shared" si="397"/>
        <v>795</v>
      </c>
      <c r="B6170" s="1" t="str">
        <f>TEXT(25,"00")</f>
        <v>25</v>
      </c>
      <c r="C6170" s="1" t="str">
        <f t="shared" si="395"/>
        <v>795-25</v>
      </c>
      <c r="D6170" t="s">
        <v>6142</v>
      </c>
      <c r="E6170" t="b">
        <f>IF(COUNTIF(D6170,"*"&amp;'Keyword Search'!$C$5&amp;"*"),TRUE,FALSE)</f>
        <v>1</v>
      </c>
      <c r="G6170" t="str">
        <f t="shared" si="396"/>
        <v>795-25: Cloth Cutting Machines</v>
      </c>
    </row>
    <row r="6171" spans="1:7" x14ac:dyDescent="0.25">
      <c r="A6171" s="1" t="str">
        <f t="shared" si="397"/>
        <v>795</v>
      </c>
      <c r="B6171" s="1" t="str">
        <f>TEXT(28,"00")</f>
        <v>28</v>
      </c>
      <c r="C6171" s="1" t="str">
        <f t="shared" si="395"/>
        <v>795-28</v>
      </c>
      <c r="D6171" t="s">
        <v>6143</v>
      </c>
      <c r="E6171" t="b">
        <f>IF(COUNTIF(D6171,"*"&amp;'Keyword Search'!$C$5&amp;"*"),TRUE,FALSE)</f>
        <v>1</v>
      </c>
      <c r="G6171" t="str">
        <f t="shared" si="396"/>
        <v>795-28: Cloth Rolling Equipment and Supplies</v>
      </c>
    </row>
    <row r="6172" spans="1:7" x14ac:dyDescent="0.25">
      <c r="A6172" s="1" t="str">
        <f t="shared" si="397"/>
        <v>795</v>
      </c>
      <c r="B6172" s="1" t="str">
        <f>TEXT(30,"00")</f>
        <v>30</v>
      </c>
      <c r="C6172" s="1" t="str">
        <f t="shared" si="395"/>
        <v>795-30</v>
      </c>
      <c r="D6172" t="s">
        <v>6144</v>
      </c>
      <c r="E6172" t="b">
        <f>IF(COUNTIF(D6172,"*"&amp;'Keyword Search'!$C$5&amp;"*"),TRUE,FALSE)</f>
        <v>1</v>
      </c>
      <c r="G6172" t="str">
        <f t="shared" si="396"/>
        <v>795-30: Cloth Spreading Machines</v>
      </c>
    </row>
    <row r="6173" spans="1:7" x14ac:dyDescent="0.25">
      <c r="A6173" s="1" t="str">
        <f t="shared" si="397"/>
        <v>795</v>
      </c>
      <c r="B6173" s="1" t="str">
        <f>TEXT(35,"00")</f>
        <v>35</v>
      </c>
      <c r="C6173" s="1" t="str">
        <f t="shared" si="395"/>
        <v>795-35</v>
      </c>
      <c r="D6173" t="s">
        <v>6145</v>
      </c>
      <c r="E6173" t="b">
        <f>IF(COUNTIF(D6173,"*"&amp;'Keyword Search'!$C$5&amp;"*"),TRUE,FALSE)</f>
        <v>1</v>
      </c>
      <c r="G6173" t="str">
        <f t="shared" si="396"/>
        <v>795-35: Cushion Filling Machines</v>
      </c>
    </row>
    <row r="6174" spans="1:7" x14ac:dyDescent="0.25">
      <c r="A6174" s="1" t="str">
        <f t="shared" si="397"/>
        <v>795</v>
      </c>
      <c r="B6174" s="1" t="str">
        <f>TEXT(37,"00")</f>
        <v>37</v>
      </c>
      <c r="C6174" s="1" t="str">
        <f t="shared" si="395"/>
        <v>795-37</v>
      </c>
      <c r="D6174" t="s">
        <v>6146</v>
      </c>
      <c r="E6174" t="b">
        <f>IF(COUNTIF(D6174,"*"&amp;'Keyword Search'!$C$5&amp;"*"),TRUE,FALSE)</f>
        <v>1</v>
      </c>
      <c r="G6174" t="str">
        <f t="shared" si="396"/>
        <v>795-37: Drapery Making Equipment and Accessories</v>
      </c>
    </row>
    <row r="6175" spans="1:7" x14ac:dyDescent="0.25">
      <c r="A6175" s="1" t="str">
        <f t="shared" si="397"/>
        <v>795</v>
      </c>
      <c r="B6175" s="1" t="str">
        <f>TEXT(38,"00")</f>
        <v>38</v>
      </c>
      <c r="C6175" s="1" t="str">
        <f t="shared" si="395"/>
        <v>795-38</v>
      </c>
      <c r="D6175" t="s">
        <v>6147</v>
      </c>
      <c r="E6175" t="b">
        <f>IF(COUNTIF(D6175,"*"&amp;'Keyword Search'!$C$5&amp;"*"),TRUE,FALSE)</f>
        <v>1</v>
      </c>
      <c r="G6175" t="str">
        <f t="shared" si="396"/>
        <v>795-38: Embroidery Machines, Accessories and Supplies</v>
      </c>
    </row>
    <row r="6176" spans="1:7" x14ac:dyDescent="0.25">
      <c r="A6176" s="1" t="str">
        <f t="shared" si="397"/>
        <v>795</v>
      </c>
      <c r="B6176" s="1" t="str">
        <f>TEXT(39,"00")</f>
        <v>39</v>
      </c>
      <c r="C6176" s="1" t="str">
        <f t="shared" si="395"/>
        <v>795-39</v>
      </c>
      <c r="D6176" t="s">
        <v>6148</v>
      </c>
      <c r="E6176" t="b">
        <f>IF(COUNTIF(D6176,"*"&amp;'Keyword Search'!$C$5&amp;"*"),TRUE,FALSE)</f>
        <v>1</v>
      </c>
      <c r="G6176" t="str">
        <f t="shared" si="396"/>
        <v>795-39: Eye and Hook Attaching Machines</v>
      </c>
    </row>
    <row r="6177" spans="1:7" x14ac:dyDescent="0.25">
      <c r="A6177" s="1" t="str">
        <f t="shared" si="397"/>
        <v>795</v>
      </c>
      <c r="B6177" s="1" t="str">
        <f>TEXT(40,"00")</f>
        <v>40</v>
      </c>
      <c r="C6177" s="1" t="str">
        <f t="shared" si="395"/>
        <v>795-40</v>
      </c>
      <c r="D6177" t="s">
        <v>6149</v>
      </c>
      <c r="E6177" t="b">
        <f>IF(COUNTIF(D6177,"*"&amp;'Keyword Search'!$C$5&amp;"*"),TRUE,FALSE)</f>
        <v>1</v>
      </c>
      <c r="G6177" t="str">
        <f t="shared" si="396"/>
        <v>795-40: Fabric Drills, All Types</v>
      </c>
    </row>
    <row r="6178" spans="1:7" x14ac:dyDescent="0.25">
      <c r="A6178" s="1" t="str">
        <f t="shared" si="397"/>
        <v>795</v>
      </c>
      <c r="B6178" s="1" t="str">
        <f>TEXT(45,"00")</f>
        <v>45</v>
      </c>
      <c r="C6178" s="1" t="str">
        <f t="shared" si="395"/>
        <v>795-45</v>
      </c>
      <c r="D6178" t="s">
        <v>6150</v>
      </c>
      <c r="E6178" t="b">
        <f>IF(COUNTIF(D6178,"*"&amp;'Keyword Search'!$C$5&amp;"*"),TRUE,FALSE)</f>
        <v>1</v>
      </c>
      <c r="G6178" t="str">
        <f t="shared" si="396"/>
        <v>795-45: Folding and Rewinding Machines</v>
      </c>
    </row>
    <row r="6179" spans="1:7" x14ac:dyDescent="0.25">
      <c r="A6179" s="1" t="str">
        <f t="shared" si="397"/>
        <v>795</v>
      </c>
      <c r="B6179" s="1" t="str">
        <f>TEXT(48,"00")</f>
        <v>48</v>
      </c>
      <c r="C6179" s="1" t="str">
        <f t="shared" si="395"/>
        <v>795-48</v>
      </c>
      <c r="D6179" t="s">
        <v>6151</v>
      </c>
      <c r="E6179" t="b">
        <f>IF(COUNTIF(D6179,"*"&amp;'Keyword Search'!$C$5&amp;"*"),TRUE,FALSE)</f>
        <v>1</v>
      </c>
      <c r="G6179" t="str">
        <f t="shared" si="396"/>
        <v>795-48: Garment and Brand Tag Fasteners and Accessories</v>
      </c>
    </row>
    <row r="6180" spans="1:7" x14ac:dyDescent="0.25">
      <c r="A6180" s="1" t="str">
        <f t="shared" si="397"/>
        <v>795</v>
      </c>
      <c r="B6180" s="1" t="str">
        <f>TEXT(50,"00")</f>
        <v>50</v>
      </c>
      <c r="C6180" s="1" t="str">
        <f t="shared" si="395"/>
        <v>795-50</v>
      </c>
      <c r="D6180" t="s">
        <v>6152</v>
      </c>
      <c r="E6180" t="b">
        <f>IF(COUNTIF(D6180,"*"&amp;'Keyword Search'!$C$5&amp;"*"),TRUE,FALSE)</f>
        <v>1</v>
      </c>
      <c r="G6180" t="str">
        <f t="shared" si="396"/>
        <v>795-50: Gripper Snap Fastener Machines</v>
      </c>
    </row>
    <row r="6181" spans="1:7" x14ac:dyDescent="0.25">
      <c r="A6181" s="1" t="str">
        <f t="shared" si="397"/>
        <v>795</v>
      </c>
      <c r="B6181" s="1" t="str">
        <f>TEXT(53,"00")</f>
        <v>53</v>
      </c>
      <c r="C6181" s="1" t="str">
        <f t="shared" si="395"/>
        <v>795-53</v>
      </c>
      <c r="D6181" t="s">
        <v>6153</v>
      </c>
      <c r="E6181" t="b">
        <f>IF(COUNTIF(D6181,"*"&amp;'Keyword Search'!$C$5&amp;"*"),TRUE,FALSE)</f>
        <v>1</v>
      </c>
      <c r="G6181" t="str">
        <f t="shared" si="396"/>
        <v>795-53: Knitting Machines and Accessories</v>
      </c>
    </row>
    <row r="6182" spans="1:7" x14ac:dyDescent="0.25">
      <c r="A6182" s="1" t="str">
        <f t="shared" si="397"/>
        <v>795</v>
      </c>
      <c r="B6182" s="1" t="str">
        <f>TEXT(55,"00")</f>
        <v>55</v>
      </c>
      <c r="C6182" s="1" t="str">
        <f t="shared" si="395"/>
        <v>795-55</v>
      </c>
      <c r="D6182" t="s">
        <v>6154</v>
      </c>
      <c r="E6182" t="b">
        <f>IF(COUNTIF(D6182,"*"&amp;'Keyword Search'!$C$5&amp;"*"),TRUE,FALSE)</f>
        <v>1</v>
      </c>
      <c r="G6182" t="str">
        <f t="shared" si="396"/>
        <v>795-55: Looms and Other Textile Weaving Equipment</v>
      </c>
    </row>
    <row r="6183" spans="1:7" x14ac:dyDescent="0.25">
      <c r="A6183" s="1" t="str">
        <f t="shared" si="397"/>
        <v>795</v>
      </c>
      <c r="B6183" s="1" t="str">
        <f>TEXT(60,"00")</f>
        <v>60</v>
      </c>
      <c r="C6183" s="1" t="str">
        <f t="shared" si="395"/>
        <v>795-60</v>
      </c>
      <c r="D6183" t="s">
        <v>6155</v>
      </c>
      <c r="E6183" t="b">
        <f>IF(COUNTIF(D6183,"*"&amp;'Keyword Search'!$C$5&amp;"*"),TRUE,FALSE)</f>
        <v>1</v>
      </c>
      <c r="G6183" t="str">
        <f t="shared" si="396"/>
        <v>795-60: Pattern Paper</v>
      </c>
    </row>
    <row r="6184" spans="1:7" x14ac:dyDescent="0.25">
      <c r="A6184" s="1" t="str">
        <f t="shared" si="397"/>
        <v>795</v>
      </c>
      <c r="B6184" s="1" t="str">
        <f>TEXT(63,"00")</f>
        <v>63</v>
      </c>
      <c r="C6184" s="1" t="str">
        <f t="shared" si="395"/>
        <v>795-63</v>
      </c>
      <c r="D6184" t="s">
        <v>6156</v>
      </c>
      <c r="E6184" t="b">
        <f>IF(COUNTIF(D6184,"*"&amp;'Keyword Search'!$C$5&amp;"*"),TRUE,FALSE)</f>
        <v>1</v>
      </c>
      <c r="G6184" t="str">
        <f t="shared" si="396"/>
        <v>795-63: Quiller Machines and Accessories</v>
      </c>
    </row>
    <row r="6185" spans="1:7" x14ac:dyDescent="0.25">
      <c r="A6185" s="1" t="str">
        <f t="shared" si="397"/>
        <v>795</v>
      </c>
      <c r="B6185" s="1" t="str">
        <f>TEXT(64,"00")</f>
        <v>64</v>
      </c>
      <c r="C6185" s="1" t="str">
        <f t="shared" si="395"/>
        <v>795-64</v>
      </c>
      <c r="D6185" t="s">
        <v>6157</v>
      </c>
      <c r="E6185" t="b">
        <f>IF(COUNTIF(D6185,"*"&amp;'Keyword Search'!$C$5&amp;"*"),TRUE,FALSE)</f>
        <v>1</v>
      </c>
      <c r="G6185" t="str">
        <f t="shared" si="396"/>
        <v>795-64: Roving Cans</v>
      </c>
    </row>
    <row r="6186" spans="1:7" x14ac:dyDescent="0.25">
      <c r="A6186" s="1" t="str">
        <f t="shared" si="397"/>
        <v>795</v>
      </c>
      <c r="B6186" s="1" t="str">
        <f>TEXT(65,"00")</f>
        <v>65</v>
      </c>
      <c r="C6186" s="1" t="str">
        <f t="shared" si="395"/>
        <v>795-65</v>
      </c>
      <c r="D6186" t="s">
        <v>6158</v>
      </c>
      <c r="E6186" t="b">
        <f>IF(COUNTIF(D6186,"*"&amp;'Keyword Search'!$C$5&amp;"*"),TRUE,FALSE)</f>
        <v>1</v>
      </c>
      <c r="G6186" t="str">
        <f t="shared" si="396"/>
        <v>795-65: Sewing Machines and Accessories, Domestic</v>
      </c>
    </row>
    <row r="6187" spans="1:7" x14ac:dyDescent="0.25">
      <c r="A6187" s="1" t="str">
        <f t="shared" si="397"/>
        <v>795</v>
      </c>
      <c r="B6187" s="1" t="str">
        <f>TEXT(70,"00")</f>
        <v>70</v>
      </c>
      <c r="C6187" s="1" t="str">
        <f t="shared" si="395"/>
        <v>795-70</v>
      </c>
      <c r="D6187" t="s">
        <v>6159</v>
      </c>
      <c r="E6187" t="b">
        <f>IF(COUNTIF(D6187,"*"&amp;'Keyword Search'!$C$5&amp;"*"),TRUE,FALSE)</f>
        <v>1</v>
      </c>
      <c r="G6187" t="str">
        <f t="shared" si="396"/>
        <v>795-70: Sewing Machines and Accessories, Heavy Duty, Except Shoe Stitching</v>
      </c>
    </row>
    <row r="6188" spans="1:7" x14ac:dyDescent="0.25">
      <c r="A6188" s="1" t="str">
        <f t="shared" si="397"/>
        <v>795</v>
      </c>
      <c r="B6188" s="1" t="str">
        <f>TEXT(75,"00")</f>
        <v>75</v>
      </c>
      <c r="C6188" s="1" t="str">
        <f t="shared" si="395"/>
        <v>795-75</v>
      </c>
      <c r="D6188" t="s">
        <v>6160</v>
      </c>
      <c r="E6188" t="b">
        <f>IF(COUNTIF(D6188,"*"&amp;'Keyword Search'!$C$5&amp;"*"),TRUE,FALSE)</f>
        <v>1</v>
      </c>
      <c r="G6188" t="str">
        <f t="shared" si="396"/>
        <v>795-75: Sheeting, Slitting, Spooling, and Notching Machines</v>
      </c>
    </row>
    <row r="6189" spans="1:7" x14ac:dyDescent="0.25">
      <c r="A6189" s="1" t="str">
        <f t="shared" si="397"/>
        <v>795</v>
      </c>
      <c r="B6189" s="1" t="str">
        <f>TEXT(80,"00")</f>
        <v>80</v>
      </c>
      <c r="C6189" s="1" t="str">
        <f t="shared" si="395"/>
        <v>795-80</v>
      </c>
      <c r="D6189" t="s">
        <v>6161</v>
      </c>
      <c r="E6189" t="b">
        <f>IF(COUNTIF(D6189,"*"&amp;'Keyword Search'!$C$5&amp;"*"),TRUE,FALSE)</f>
        <v>1</v>
      </c>
      <c r="G6189" t="str">
        <f t="shared" si="396"/>
        <v>795-80: Slashers, Batts, and Pickers</v>
      </c>
    </row>
    <row r="6190" spans="1:7" x14ac:dyDescent="0.25">
      <c r="A6190" s="1" t="str">
        <f t="shared" si="397"/>
        <v>795</v>
      </c>
      <c r="B6190" s="1" t="str">
        <f>TEXT(82,"00")</f>
        <v>82</v>
      </c>
      <c r="C6190" s="1" t="str">
        <f t="shared" si="395"/>
        <v>795-82</v>
      </c>
      <c r="D6190" t="s">
        <v>6162</v>
      </c>
      <c r="E6190" t="b">
        <f>IF(COUNTIF(D6190,"*"&amp;'Keyword Search'!$C$5&amp;"*"),TRUE,FALSE)</f>
        <v>1</v>
      </c>
      <c r="G6190" t="str">
        <f t="shared" si="396"/>
        <v>795-82: Spinning Machines and Accessories</v>
      </c>
    </row>
    <row r="6191" spans="1:7" x14ac:dyDescent="0.25">
      <c r="A6191" s="1" t="str">
        <f t="shared" si="397"/>
        <v>795</v>
      </c>
      <c r="B6191" s="1" t="str">
        <f>TEXT(83,"00")</f>
        <v>83</v>
      </c>
      <c r="C6191" s="1" t="str">
        <f t="shared" si="395"/>
        <v>795-83</v>
      </c>
      <c r="D6191" t="s">
        <v>6163</v>
      </c>
      <c r="E6191" t="b">
        <f>IF(COUNTIF(D6191,"*"&amp;'Keyword Search'!$C$5&amp;"*"),TRUE,FALSE)</f>
        <v>1</v>
      </c>
      <c r="G6191" t="str">
        <f t="shared" si="396"/>
        <v>795-83: Spiral Tubes</v>
      </c>
    </row>
    <row r="6192" spans="1:7" x14ac:dyDescent="0.25">
      <c r="A6192" s="1" t="str">
        <f t="shared" si="397"/>
        <v>795</v>
      </c>
      <c r="B6192" s="1" t="str">
        <f>TEXT(85,"00")</f>
        <v>85</v>
      </c>
      <c r="C6192" s="1" t="str">
        <f t="shared" si="395"/>
        <v>795-85</v>
      </c>
      <c r="D6192" t="s">
        <v>6164</v>
      </c>
      <c r="E6192" t="b">
        <f>IF(COUNTIF(D6192,"*"&amp;'Keyword Search'!$C$5&amp;"*"),TRUE,FALSE)</f>
        <v>1</v>
      </c>
      <c r="G6192" t="str">
        <f t="shared" si="396"/>
        <v>795-85: Tables, Cloth Cutting and Sewing</v>
      </c>
    </row>
    <row r="6193" spans="1:7" x14ac:dyDescent="0.25">
      <c r="A6193" s="1" t="str">
        <f t="shared" si="397"/>
        <v>795</v>
      </c>
      <c r="B6193" s="1" t="str">
        <f>TEXT(87,"00")</f>
        <v>87</v>
      </c>
      <c r="C6193" s="1" t="str">
        <f t="shared" si="395"/>
        <v>795-87</v>
      </c>
      <c r="D6193" t="s">
        <v>6165</v>
      </c>
      <c r="E6193" t="b">
        <f>IF(COUNTIF(D6193,"*"&amp;'Keyword Search'!$C$5&amp;"*"),TRUE,FALSE)</f>
        <v>1</v>
      </c>
      <c r="G6193" t="str">
        <f t="shared" si="396"/>
        <v>795-87: Textile Processing Equipment (Not Otherwise Classified)</v>
      </c>
    </row>
    <row r="6194" spans="1:7" x14ac:dyDescent="0.25">
      <c r="A6194" s="1" t="str">
        <f t="shared" si="397"/>
        <v>795</v>
      </c>
      <c r="B6194" s="1" t="str">
        <f>TEXT(88,"00")</f>
        <v>88</v>
      </c>
      <c r="C6194" s="1" t="str">
        <f t="shared" si="395"/>
        <v>795-88</v>
      </c>
      <c r="D6194" t="s">
        <v>6166</v>
      </c>
      <c r="E6194" t="b">
        <f>IF(COUNTIF(D6194,"*"&amp;'Keyword Search'!$C$5&amp;"*"),TRUE,FALSE)</f>
        <v>1</v>
      </c>
      <c r="G6194" t="str">
        <f t="shared" si="396"/>
        <v>795-88: Textile Working Equipment (Not Otherwise Classified)</v>
      </c>
    </row>
    <row r="6195" spans="1:7" x14ac:dyDescent="0.25">
      <c r="A6195" s="1" t="str">
        <f t="shared" si="397"/>
        <v>795</v>
      </c>
      <c r="B6195" s="1" t="str">
        <f>TEXT(90,"00")</f>
        <v>90</v>
      </c>
      <c r="C6195" s="1" t="str">
        <f t="shared" si="395"/>
        <v>795-90</v>
      </c>
      <c r="D6195" t="s">
        <v>6167</v>
      </c>
      <c r="E6195" t="b">
        <f>IF(COUNTIF(D6195,"*"&amp;'Keyword Search'!$C$5&amp;"*"),TRUE,FALSE)</f>
        <v>1</v>
      </c>
      <c r="G6195" t="str">
        <f t="shared" si="396"/>
        <v>795-90: Warp Conditioner</v>
      </c>
    </row>
    <row r="6196" spans="1:7" x14ac:dyDescent="0.25">
      <c r="A6196" s="1" t="str">
        <f t="shared" si="397"/>
        <v>795</v>
      </c>
      <c r="B6196" s="1" t="str">
        <f>TEXT(92,"00")</f>
        <v>92</v>
      </c>
      <c r="C6196" s="1" t="str">
        <f t="shared" si="395"/>
        <v>795-92</v>
      </c>
      <c r="D6196" t="s">
        <v>6168</v>
      </c>
      <c r="E6196" t="b">
        <f>IF(COUNTIF(D6196,"*"&amp;'Keyword Search'!$C$5&amp;"*"),TRUE,FALSE)</f>
        <v>1</v>
      </c>
      <c r="G6196" t="str">
        <f t="shared" si="396"/>
        <v>795-92: Warper Machines and Supplies</v>
      </c>
    </row>
    <row r="6197" spans="1:7" x14ac:dyDescent="0.25">
      <c r="A6197" s="1" t="str">
        <f t="shared" si="397"/>
        <v>795</v>
      </c>
      <c r="B6197" s="1" t="str">
        <f>TEXT(95,"00")</f>
        <v>95</v>
      </c>
      <c r="C6197" s="1" t="str">
        <f t="shared" si="395"/>
        <v>795-95</v>
      </c>
      <c r="D6197" t="s">
        <v>6169</v>
      </c>
      <c r="E6197" t="b">
        <f>IF(COUNTIF(D6197,"*"&amp;'Keyword Search'!$C$5&amp;"*"),TRUE,FALSE)</f>
        <v>1</v>
      </c>
      <c r="G6197" t="str">
        <f t="shared" si="396"/>
        <v>795-95: Refurbished  Sewing Room and Textile Equipment, Including Parts and Accessories</v>
      </c>
    </row>
    <row r="6198" spans="1:7" x14ac:dyDescent="0.25">
      <c r="A6198" s="5" t="str">
        <f t="shared" ref="A6198:A6220" si="398">TEXT(800,"000")</f>
        <v>800</v>
      </c>
      <c r="B6198" s="5" t="str">
        <f>TEXT(0,"00")</f>
        <v>00</v>
      </c>
      <c r="C6198" s="1"/>
      <c r="D6198" s="2" t="s">
        <v>6170</v>
      </c>
    </row>
    <row r="6199" spans="1:7" x14ac:dyDescent="0.25">
      <c r="A6199" s="1" t="str">
        <f t="shared" si="398"/>
        <v>800</v>
      </c>
      <c r="B6199" s="1" t="str">
        <f>TEXT(5,"00")</f>
        <v>05</v>
      </c>
      <c r="C6199" s="1" t="str">
        <f t="shared" si="395"/>
        <v>800-05</v>
      </c>
      <c r="D6199" t="s">
        <v>6171</v>
      </c>
      <c r="E6199" t="b">
        <f>IF(COUNTIF(D6199,"*"&amp;'Keyword Search'!$C$5&amp;"*"),TRUE,FALSE)</f>
        <v>1</v>
      </c>
      <c r="G6199" t="str">
        <f t="shared" si="396"/>
        <v>800-05: Boots and Shoes, Athletic and Sportsman Type, Including Canvas Type</v>
      </c>
    </row>
    <row r="6200" spans="1:7" x14ac:dyDescent="0.25">
      <c r="A6200" s="1" t="str">
        <f t="shared" si="398"/>
        <v>800</v>
      </c>
      <c r="B6200" s="1" t="str">
        <f>TEXT(8,"00")</f>
        <v>08</v>
      </c>
      <c r="C6200" s="1" t="str">
        <f t="shared" si="395"/>
        <v>800-08</v>
      </c>
      <c r="D6200" t="s">
        <v>6172</v>
      </c>
      <c r="E6200" t="b">
        <f>IF(COUNTIF(D6200,"*"&amp;'Keyword Search'!$C$5&amp;"*"),TRUE,FALSE)</f>
        <v>1</v>
      </c>
      <c r="G6200" t="str">
        <f t="shared" si="396"/>
        <v>800-08: Boots, Leather</v>
      </c>
    </row>
    <row r="6201" spans="1:7" x14ac:dyDescent="0.25">
      <c r="A6201" s="1" t="str">
        <f t="shared" si="398"/>
        <v>800</v>
      </c>
      <c r="B6201" s="1" t="str">
        <f>TEXT(14,"00")</f>
        <v>14</v>
      </c>
      <c r="C6201" s="1" t="str">
        <f t="shared" si="395"/>
        <v>800-14</v>
      </c>
      <c r="D6201" t="s">
        <v>6173</v>
      </c>
      <c r="E6201" t="b">
        <f>IF(COUNTIF(D6201,"*"&amp;'Keyword Search'!$C$5&amp;"*"),TRUE,FALSE)</f>
        <v>1</v>
      </c>
      <c r="G6201" t="str">
        <f t="shared" si="396"/>
        <v>800-14: Boots, Other Than Leather or Rubber)</v>
      </c>
    </row>
    <row r="6202" spans="1:7" x14ac:dyDescent="0.25">
      <c r="A6202" s="1" t="str">
        <f t="shared" si="398"/>
        <v>800</v>
      </c>
      <c r="B6202" s="1" t="str">
        <f>TEXT(16,"00")</f>
        <v>16</v>
      </c>
      <c r="C6202" s="1" t="str">
        <f t="shared" si="395"/>
        <v>800-16</v>
      </c>
      <c r="D6202" t="s">
        <v>6174</v>
      </c>
      <c r="E6202" t="b">
        <f>IF(COUNTIF(D6202,"*"&amp;'Keyword Search'!$C$5&amp;"*"),TRUE,FALSE)</f>
        <v>1</v>
      </c>
      <c r="G6202" t="str">
        <f t="shared" si="396"/>
        <v>800-16: Boots, Rubber</v>
      </c>
    </row>
    <row r="6203" spans="1:7" x14ac:dyDescent="0.25">
      <c r="A6203" s="1" t="str">
        <f t="shared" si="398"/>
        <v>800</v>
      </c>
      <c r="B6203" s="1" t="str">
        <f>TEXT(17,"00")</f>
        <v>17</v>
      </c>
      <c r="C6203" s="1" t="str">
        <f t="shared" si="395"/>
        <v>800-17</v>
      </c>
      <c r="D6203" t="s">
        <v>6175</v>
      </c>
      <c r="E6203" t="b">
        <f>IF(COUNTIF(D6203,"*"&amp;'Keyword Search'!$C$5&amp;"*"),TRUE,FALSE)</f>
        <v>1</v>
      </c>
      <c r="G6203" t="str">
        <f t="shared" si="396"/>
        <v>800-17: Boots, Rubber, Waders</v>
      </c>
    </row>
    <row r="6204" spans="1:7" x14ac:dyDescent="0.25">
      <c r="A6204" s="1" t="str">
        <f t="shared" si="398"/>
        <v>800</v>
      </c>
      <c r="B6204" s="1" t="str">
        <f>TEXT(24,"00")</f>
        <v>24</v>
      </c>
      <c r="C6204" s="1" t="str">
        <f t="shared" si="395"/>
        <v>800-24</v>
      </c>
      <c r="D6204" t="s">
        <v>6176</v>
      </c>
      <c r="E6204" t="b">
        <f>IF(COUNTIF(D6204,"*"&amp;'Keyword Search'!$C$5&amp;"*"),TRUE,FALSE)</f>
        <v>1</v>
      </c>
      <c r="G6204" t="str">
        <f t="shared" si="396"/>
        <v>800-24: Boots, Rubber, Safety Toe</v>
      </c>
    </row>
    <row r="6205" spans="1:7" x14ac:dyDescent="0.25">
      <c r="A6205" s="1" t="str">
        <f t="shared" si="398"/>
        <v>800</v>
      </c>
      <c r="B6205" s="1" t="str">
        <f>TEXT(25,"00")</f>
        <v>25</v>
      </c>
      <c r="C6205" s="1" t="str">
        <f t="shared" si="395"/>
        <v>800-25</v>
      </c>
      <c r="D6205" t="s">
        <v>6177</v>
      </c>
      <c r="E6205" t="b">
        <f>IF(COUNTIF(D6205,"*"&amp;'Keyword Search'!$C$5&amp;"*"),TRUE,FALSE)</f>
        <v>1</v>
      </c>
      <c r="G6205" t="str">
        <f t="shared" si="396"/>
        <v>800-25: Boots, Rubber, Waders, Safety Toe</v>
      </c>
    </row>
    <row r="6206" spans="1:7" x14ac:dyDescent="0.25">
      <c r="A6206" s="1" t="str">
        <f t="shared" si="398"/>
        <v>800</v>
      </c>
      <c r="B6206" s="1" t="str">
        <f>TEXT(28,"00")</f>
        <v>28</v>
      </c>
      <c r="C6206" s="1" t="str">
        <f t="shared" si="395"/>
        <v>800-28</v>
      </c>
      <c r="D6206" t="s">
        <v>6178</v>
      </c>
      <c r="E6206" t="b">
        <f>IF(COUNTIF(D6206,"*"&amp;'Keyword Search'!$C$5&amp;"*"),TRUE,FALSE)</f>
        <v>1</v>
      </c>
      <c r="G6206" t="str">
        <f t="shared" si="396"/>
        <v>800-28: Caps, Spikes, Spurs, and Shields</v>
      </c>
    </row>
    <row r="6207" spans="1:7" x14ac:dyDescent="0.25">
      <c r="A6207" s="1" t="str">
        <f t="shared" si="398"/>
        <v>800</v>
      </c>
      <c r="B6207" s="1" t="str">
        <f>TEXT(32,"00")</f>
        <v>32</v>
      </c>
      <c r="C6207" s="1" t="str">
        <f t="shared" si="395"/>
        <v>800-32</v>
      </c>
      <c r="D6207" t="s">
        <v>6179</v>
      </c>
      <c r="E6207" t="b">
        <f>IF(COUNTIF(D6207,"*"&amp;'Keyword Search'!$C$5&amp;"*"),TRUE,FALSE)</f>
        <v>1</v>
      </c>
      <c r="G6207" t="str">
        <f t="shared" si="396"/>
        <v>800-32: Shoes and Slippers, House, All Types</v>
      </c>
    </row>
    <row r="6208" spans="1:7" x14ac:dyDescent="0.25">
      <c r="A6208" s="1" t="str">
        <f t="shared" si="398"/>
        <v>800</v>
      </c>
      <c r="B6208" s="1" t="str">
        <f>TEXT(38,"00")</f>
        <v>38</v>
      </c>
      <c r="C6208" s="1" t="str">
        <f t="shared" si="395"/>
        <v>800-38</v>
      </c>
      <c r="D6208" t="s">
        <v>6180</v>
      </c>
      <c r="E6208" t="b">
        <f>IF(COUNTIF(D6208,"*"&amp;'Keyword Search'!$C$5&amp;"*"),TRUE,FALSE)</f>
        <v>1</v>
      </c>
      <c r="G6208" t="str">
        <f t="shared" si="396"/>
        <v>800-38: Racks, Shoe and Boot</v>
      </c>
    </row>
    <row r="6209" spans="1:7" x14ac:dyDescent="0.25">
      <c r="A6209" s="1" t="str">
        <f t="shared" si="398"/>
        <v>800</v>
      </c>
      <c r="B6209" s="1" t="str">
        <f>TEXT(40,"00")</f>
        <v>40</v>
      </c>
      <c r="C6209" s="1" t="str">
        <f t="shared" si="395"/>
        <v>800-40</v>
      </c>
      <c r="D6209" t="s">
        <v>6181</v>
      </c>
      <c r="E6209" t="b">
        <f>IF(COUNTIF(D6209,"*"&amp;'Keyword Search'!$C$5&amp;"*"),TRUE,FALSE)</f>
        <v>1</v>
      </c>
      <c r="G6209" t="str">
        <f t="shared" si="396"/>
        <v>800-40: Shoes, Casual, Women's and Girls</v>
      </c>
    </row>
    <row r="6210" spans="1:7" x14ac:dyDescent="0.25">
      <c r="A6210" s="1" t="str">
        <f t="shared" si="398"/>
        <v>800</v>
      </c>
      <c r="B6210" s="1" t="str">
        <f>TEXT(48,"00")</f>
        <v>48</v>
      </c>
      <c r="C6210" s="1" t="str">
        <f t="shared" si="395"/>
        <v>800-48</v>
      </c>
      <c r="D6210" t="s">
        <v>6182</v>
      </c>
      <c r="E6210" t="b">
        <f>IF(COUNTIF(D6210,"*"&amp;'Keyword Search'!$C$5&amp;"*"),TRUE,FALSE)</f>
        <v>1</v>
      </c>
      <c r="G6210" t="str">
        <f t="shared" si="396"/>
        <v>800-48: Shoes, Casual, Men's and Boys</v>
      </c>
    </row>
    <row r="6211" spans="1:7" x14ac:dyDescent="0.25">
      <c r="A6211" s="1" t="str">
        <f t="shared" si="398"/>
        <v>800</v>
      </c>
      <c r="B6211" s="1" t="str">
        <f>TEXT(56,"00")</f>
        <v>56</v>
      </c>
      <c r="C6211" s="1" t="str">
        <f t="shared" ref="C6211:C6274" si="399">CONCATENATE(A6211,"-",B6211)</f>
        <v>800-56</v>
      </c>
      <c r="D6211" t="s">
        <v>6183</v>
      </c>
      <c r="E6211" t="b">
        <f>IF(COUNTIF(D6211,"*"&amp;'Keyword Search'!$C$5&amp;"*"),TRUE,FALSE)</f>
        <v>1</v>
      </c>
      <c r="G6211" t="str">
        <f t="shared" si="396"/>
        <v>800-56: Shoes, Dress, Women's and Girls</v>
      </c>
    </row>
    <row r="6212" spans="1:7" x14ac:dyDescent="0.25">
      <c r="A6212" s="1" t="str">
        <f t="shared" si="398"/>
        <v>800</v>
      </c>
      <c r="B6212" s="1" t="str">
        <f>TEXT(64,"00")</f>
        <v>64</v>
      </c>
      <c r="C6212" s="1" t="str">
        <f t="shared" si="399"/>
        <v>800-64</v>
      </c>
      <c r="D6212" t="s">
        <v>6184</v>
      </c>
      <c r="E6212" t="b">
        <f>IF(COUNTIF(D6212,"*"&amp;'Keyword Search'!$C$5&amp;"*"),TRUE,FALSE)</f>
        <v>1</v>
      </c>
      <c r="G6212" t="str">
        <f t="shared" ref="G6212:G6275" si="400">CONCATENATE(C6212,": ",D6212)</f>
        <v>800-64: Shoes, Dress, Men's and Boys</v>
      </c>
    </row>
    <row r="6213" spans="1:7" x14ac:dyDescent="0.25">
      <c r="A6213" s="1" t="str">
        <f t="shared" si="398"/>
        <v>800</v>
      </c>
      <c r="B6213" s="1" t="str">
        <f>TEXT(68,"00")</f>
        <v>68</v>
      </c>
      <c r="C6213" s="1" t="str">
        <f t="shared" si="399"/>
        <v>800-68</v>
      </c>
      <c r="D6213" t="s">
        <v>6185</v>
      </c>
      <c r="E6213" t="b">
        <f>IF(COUNTIF(D6213,"*"&amp;'Keyword Search'!$C$5&amp;"*"),TRUE,FALSE)</f>
        <v>1</v>
      </c>
      <c r="G6213" t="str">
        <f t="shared" si="400"/>
        <v>800-68: Shoes and Boots, Inmate</v>
      </c>
    </row>
    <row r="6214" spans="1:7" x14ac:dyDescent="0.25">
      <c r="A6214" s="1" t="str">
        <f t="shared" si="398"/>
        <v>800</v>
      </c>
      <c r="B6214" s="1" t="str">
        <f>TEXT(70,"00")</f>
        <v>70</v>
      </c>
      <c r="C6214" s="1" t="str">
        <f t="shared" si="399"/>
        <v>800-70</v>
      </c>
      <c r="D6214" t="s">
        <v>6186</v>
      </c>
      <c r="E6214" t="b">
        <f>IF(COUNTIF(D6214,"*"&amp;'Keyword Search'!$C$5&amp;"*"),TRUE,FALSE)</f>
        <v>1</v>
      </c>
      <c r="G6214" t="str">
        <f t="shared" si="400"/>
        <v>800-70: Shoes, Orthopedic</v>
      </c>
    </row>
    <row r="6215" spans="1:7" x14ac:dyDescent="0.25">
      <c r="A6215" s="1" t="str">
        <f t="shared" si="398"/>
        <v>800</v>
      </c>
      <c r="B6215" s="1" t="str">
        <f>TEXT(72,"00")</f>
        <v>72</v>
      </c>
      <c r="C6215" s="1" t="str">
        <f t="shared" si="399"/>
        <v>800-72</v>
      </c>
      <c r="D6215" t="s">
        <v>6187</v>
      </c>
      <c r="E6215" t="b">
        <f>IF(COUNTIF(D6215,"*"&amp;'Keyword Search'!$C$5&amp;"*"),TRUE,FALSE)</f>
        <v>1</v>
      </c>
      <c r="G6215" t="str">
        <f t="shared" si="400"/>
        <v>800-72: Shoes and Boots, Safety Toe</v>
      </c>
    </row>
    <row r="6216" spans="1:7" x14ac:dyDescent="0.25">
      <c r="A6216" s="1" t="str">
        <f t="shared" si="398"/>
        <v>800</v>
      </c>
      <c r="B6216" s="1" t="str">
        <f>TEXT(80,"00")</f>
        <v>80</v>
      </c>
      <c r="C6216" s="1" t="str">
        <f t="shared" si="399"/>
        <v>800-80</v>
      </c>
      <c r="D6216" t="s">
        <v>6188</v>
      </c>
      <c r="E6216" t="b">
        <f>IF(COUNTIF(D6216,"*"&amp;'Keyword Search'!$C$5&amp;"*"),TRUE,FALSE)</f>
        <v>1</v>
      </c>
      <c r="G6216" t="str">
        <f t="shared" si="400"/>
        <v>800-80: Shoes, Rain</v>
      </c>
    </row>
    <row r="6217" spans="1:7" x14ac:dyDescent="0.25">
      <c r="A6217" s="1" t="str">
        <f t="shared" si="398"/>
        <v>800</v>
      </c>
      <c r="B6217" s="1" t="str">
        <f>TEXT(86,"00")</f>
        <v>86</v>
      </c>
      <c r="C6217" s="1" t="str">
        <f t="shared" si="399"/>
        <v>800-86</v>
      </c>
      <c r="D6217" t="s">
        <v>6189</v>
      </c>
      <c r="E6217" t="b">
        <f>IF(COUNTIF(D6217,"*"&amp;'Keyword Search'!$C$5&amp;"*"),TRUE,FALSE)</f>
        <v>1</v>
      </c>
      <c r="G6217" t="str">
        <f t="shared" si="400"/>
        <v>800-86: Shoes and Boots, Work, Men's</v>
      </c>
    </row>
    <row r="6218" spans="1:7" x14ac:dyDescent="0.25">
      <c r="A6218" s="1" t="str">
        <f t="shared" si="398"/>
        <v>800</v>
      </c>
      <c r="B6218" s="1" t="str">
        <f>TEXT(88,"00")</f>
        <v>88</v>
      </c>
      <c r="C6218" s="1" t="str">
        <f t="shared" si="399"/>
        <v>800-88</v>
      </c>
      <c r="D6218" t="s">
        <v>6190</v>
      </c>
      <c r="E6218" t="b">
        <f>IF(COUNTIF(D6218,"*"&amp;'Keyword Search'!$C$5&amp;"*"),TRUE,FALSE)</f>
        <v>1</v>
      </c>
      <c r="G6218" t="str">
        <f t="shared" si="400"/>
        <v>800-88: Shoes and Boots, Work, Women's</v>
      </c>
    </row>
    <row r="6219" spans="1:7" x14ac:dyDescent="0.25">
      <c r="A6219" s="1" t="str">
        <f t="shared" si="398"/>
        <v>800</v>
      </c>
      <c r="B6219" s="1" t="str">
        <f>TEXT(89,"00")</f>
        <v>89</v>
      </c>
      <c r="C6219" s="1" t="str">
        <f t="shared" si="399"/>
        <v>800-89</v>
      </c>
      <c r="D6219" t="s">
        <v>6191</v>
      </c>
      <c r="E6219" t="b">
        <f>IF(COUNTIF(D6219,"*"&amp;'Keyword Search'!$C$5&amp;"*"),TRUE,FALSE)</f>
        <v>1</v>
      </c>
      <c r="G6219" t="str">
        <f t="shared" si="400"/>
        <v>800-89: Shoes and Sandals, Disposable</v>
      </c>
    </row>
    <row r="6220" spans="1:7" x14ac:dyDescent="0.25">
      <c r="A6220" s="1" t="str">
        <f t="shared" si="398"/>
        <v>800</v>
      </c>
      <c r="B6220" s="1" t="str">
        <f>TEXT(95,"00")</f>
        <v>95</v>
      </c>
      <c r="C6220" s="1" t="str">
        <f t="shared" si="399"/>
        <v>800-95</v>
      </c>
      <c r="D6220" t="s">
        <v>6192</v>
      </c>
      <c r="E6220" t="b">
        <f>IF(COUNTIF(D6220,"*"&amp;'Keyword Search'!$C$5&amp;"*"),TRUE,FALSE)</f>
        <v>1</v>
      </c>
      <c r="G6220" t="str">
        <f t="shared" si="400"/>
        <v>800-95: Recycled Shoes and Boots</v>
      </c>
    </row>
    <row r="6221" spans="1:7" x14ac:dyDescent="0.25">
      <c r="A6221" s="5" t="str">
        <f t="shared" ref="A6221:A6258" si="401">TEXT(801,"000")</f>
        <v>801</v>
      </c>
      <c r="B6221" s="5" t="str">
        <f>TEXT(0,"00")</f>
        <v>00</v>
      </c>
      <c r="C6221" s="1"/>
      <c r="D6221" s="2" t="s">
        <v>6193</v>
      </c>
    </row>
    <row r="6222" spans="1:7" x14ac:dyDescent="0.25">
      <c r="A6222" s="1" t="str">
        <f t="shared" si="401"/>
        <v>801</v>
      </c>
      <c r="B6222" s="1" t="str">
        <f>TEXT(9,"00")</f>
        <v>09</v>
      </c>
      <c r="C6222" s="1" t="str">
        <f t="shared" si="399"/>
        <v>801-09</v>
      </c>
      <c r="D6222" t="s">
        <v>6194</v>
      </c>
      <c r="E6222" t="b">
        <f>IF(COUNTIF(D6222,"*"&amp;'Keyword Search'!$C$5&amp;"*"),TRUE,FALSE)</f>
        <v>1</v>
      </c>
      <c r="G6222" t="str">
        <f t="shared" si="400"/>
        <v>801-09: Blanks, Sign, Metal (See 801-71, 89, and 97 for other Sign Blanks)</v>
      </c>
    </row>
    <row r="6223" spans="1:7" x14ac:dyDescent="0.25">
      <c r="A6223" s="1" t="str">
        <f t="shared" si="401"/>
        <v>801</v>
      </c>
      <c r="B6223" s="1" t="str">
        <f>TEXT(12,"00")</f>
        <v>12</v>
      </c>
      <c r="C6223" s="1" t="str">
        <f t="shared" si="399"/>
        <v>801-12</v>
      </c>
      <c r="D6223" t="s">
        <v>6195</v>
      </c>
      <c r="E6223" t="b">
        <f>IF(COUNTIF(D6223,"*"&amp;'Keyword Search'!$C$5&amp;"*"),TRUE,FALSE)</f>
        <v>1</v>
      </c>
      <c r="G6223" t="str">
        <f t="shared" si="400"/>
        <v>801-12: Brackets and Holders, Sign</v>
      </c>
    </row>
    <row r="6224" spans="1:7" x14ac:dyDescent="0.25">
      <c r="A6224" s="1" t="str">
        <f t="shared" si="401"/>
        <v>801</v>
      </c>
      <c r="B6224" s="1" t="str">
        <f>TEXT(20,"00")</f>
        <v>20</v>
      </c>
      <c r="C6224" s="1" t="str">
        <f t="shared" si="399"/>
        <v>801-20</v>
      </c>
      <c r="D6224" t="s">
        <v>6196</v>
      </c>
      <c r="E6224" t="b">
        <f>IF(COUNTIF(D6224,"*"&amp;'Keyword Search'!$C$5&amp;"*"),TRUE,FALSE)</f>
        <v>1</v>
      </c>
      <c r="G6224" t="str">
        <f t="shared" si="400"/>
        <v>801-20: Letters and Numerals, Sign, Including Logos</v>
      </c>
    </row>
    <row r="6225" spans="1:7" x14ac:dyDescent="0.25">
      <c r="A6225" s="1" t="str">
        <f t="shared" si="401"/>
        <v>801</v>
      </c>
      <c r="B6225" s="1" t="str">
        <f>TEXT(30,"00")</f>
        <v>30</v>
      </c>
      <c r="C6225" s="1" t="str">
        <f t="shared" si="399"/>
        <v>801-30</v>
      </c>
      <c r="D6225" t="s">
        <v>6197</v>
      </c>
      <c r="E6225" t="b">
        <f>IF(COUNTIF(D6225,"*"&amp;'Keyword Search'!$C$5&amp;"*"),TRUE,FALSE)</f>
        <v>1</v>
      </c>
      <c r="G6225" t="str">
        <f t="shared" si="400"/>
        <v>801-30: Posts, Standards, Supports, and Expansion Plugs</v>
      </c>
    </row>
    <row r="6226" spans="1:7" x14ac:dyDescent="0.25">
      <c r="A6226" s="1" t="str">
        <f t="shared" si="401"/>
        <v>801</v>
      </c>
      <c r="B6226" s="1" t="str">
        <f>TEXT(38,"00")</f>
        <v>38</v>
      </c>
      <c r="C6226" s="1" t="str">
        <f t="shared" si="399"/>
        <v>801-38</v>
      </c>
      <c r="D6226" t="s">
        <v>6198</v>
      </c>
      <c r="E6226" t="b">
        <f>IF(COUNTIF(D6226,"*"&amp;'Keyword Search'!$C$5&amp;"*"),TRUE,FALSE)</f>
        <v>1</v>
      </c>
      <c r="G6226" t="str">
        <f t="shared" si="400"/>
        <v>801-38: Recycled Signs, Equipment, and Supplies, Including Braille Type</v>
      </c>
    </row>
    <row r="6227" spans="1:7" x14ac:dyDescent="0.25">
      <c r="A6227" s="1" t="str">
        <f t="shared" si="401"/>
        <v>801</v>
      </c>
      <c r="B6227" s="1" t="str">
        <f>TEXT(40,"00")</f>
        <v>40</v>
      </c>
      <c r="C6227" s="1" t="str">
        <f t="shared" si="399"/>
        <v>801-40</v>
      </c>
      <c r="D6227" t="s">
        <v>6199</v>
      </c>
      <c r="E6227" t="b">
        <f>IF(COUNTIF(D6227,"*"&amp;'Keyword Search'!$C$5&amp;"*"),TRUE,FALSE)</f>
        <v>1</v>
      </c>
      <c r="G6227" t="str">
        <f t="shared" si="400"/>
        <v>801-40: Sign Faces</v>
      </c>
    </row>
    <row r="6228" spans="1:7" x14ac:dyDescent="0.25">
      <c r="A6228" s="1" t="str">
        <f t="shared" si="401"/>
        <v>801</v>
      </c>
      <c r="B6228" s="1" t="str">
        <f>TEXT(45,"00")</f>
        <v>45</v>
      </c>
      <c r="C6228" s="1" t="str">
        <f t="shared" si="399"/>
        <v>801-45</v>
      </c>
      <c r="D6228" t="s">
        <v>6200</v>
      </c>
      <c r="E6228" t="b">
        <f>IF(COUNTIF(D6228,"*"&amp;'Keyword Search'!$C$5&amp;"*"),TRUE,FALSE)</f>
        <v>1</v>
      </c>
      <c r="G6228" t="str">
        <f t="shared" si="400"/>
        <v>801-45: *Sign Making Equipment Including Computerized Type</v>
      </c>
    </row>
    <row r="6229" spans="1:7" x14ac:dyDescent="0.25">
      <c r="A6229" s="1" t="str">
        <f t="shared" si="401"/>
        <v>801</v>
      </c>
      <c r="B6229" s="1" t="str">
        <f>TEXT(48,"00")</f>
        <v>48</v>
      </c>
      <c r="C6229" s="1" t="str">
        <f t="shared" si="399"/>
        <v>801-48</v>
      </c>
      <c r="D6229" t="s">
        <v>6201</v>
      </c>
      <c r="E6229" t="b">
        <f>IF(COUNTIF(D6229,"*"&amp;'Keyword Search'!$C$5&amp;"*"),TRUE,FALSE)</f>
        <v>1</v>
      </c>
      <c r="G6229" t="str">
        <f t="shared" si="400"/>
        <v>801-48: Sign Material, Non-Reflective</v>
      </c>
    </row>
    <row r="6230" spans="1:7" x14ac:dyDescent="0.25">
      <c r="A6230" s="1" t="str">
        <f t="shared" si="401"/>
        <v>801</v>
      </c>
      <c r="B6230" s="1" t="str">
        <f>TEXT(49,"00")</f>
        <v>49</v>
      </c>
      <c r="C6230" s="1" t="str">
        <f t="shared" si="399"/>
        <v>801-49</v>
      </c>
      <c r="D6230" t="s">
        <v>6202</v>
      </c>
      <c r="E6230" t="b">
        <f>IF(COUNTIF(D6230,"*"&amp;'Keyword Search'!$C$5&amp;"*"),TRUE,FALSE)</f>
        <v>1</v>
      </c>
      <c r="G6230" t="str">
        <f t="shared" si="400"/>
        <v>801-49: Sign Material, Reflective (See 550-45 for Reflective Sheeting for other than Signs)</v>
      </c>
    </row>
    <row r="6231" spans="1:7" x14ac:dyDescent="0.25">
      <c r="A6231" s="1" t="str">
        <f t="shared" si="401"/>
        <v>801</v>
      </c>
      <c r="B6231" s="1" t="str">
        <f>TEXT(50,"00")</f>
        <v>50</v>
      </c>
      <c r="C6231" s="1" t="str">
        <f t="shared" si="399"/>
        <v>801-50</v>
      </c>
      <c r="D6231" t="s">
        <v>6203</v>
      </c>
      <c r="E6231" t="b">
        <f>IF(COUNTIF(D6231,"*"&amp;'Keyword Search'!$C$5&amp;"*"),TRUE,FALSE)</f>
        <v>1</v>
      </c>
      <c r="G6231" t="str">
        <f t="shared" si="400"/>
        <v>801-50: Sign Material, Reflective, Die Cut, (See 550-45 for Reflective Sheeting for other than Signs)</v>
      </c>
    </row>
    <row r="6232" spans="1:7" x14ac:dyDescent="0.25">
      <c r="A6232" s="1" t="str">
        <f t="shared" si="401"/>
        <v>801</v>
      </c>
      <c r="B6232" s="1" t="str">
        <f>TEXT(53,"00")</f>
        <v>53</v>
      </c>
      <c r="C6232" s="1" t="str">
        <f t="shared" si="399"/>
        <v>801-53</v>
      </c>
      <c r="D6232" t="s">
        <v>6204</v>
      </c>
      <c r="E6232" t="b">
        <f>IF(COUNTIF(D6232,"*"&amp;'Keyword Search'!$C$5&amp;"*"),TRUE,FALSE)</f>
        <v>1</v>
      </c>
      <c r="G6232" t="str">
        <f t="shared" si="400"/>
        <v>801-53: Sign Painting Machines, Including Automatic</v>
      </c>
    </row>
    <row r="6233" spans="1:7" x14ac:dyDescent="0.25">
      <c r="A6233" s="1" t="str">
        <f t="shared" si="401"/>
        <v>801</v>
      </c>
      <c r="B6233" s="1" t="str">
        <f>TEXT(54,"00")</f>
        <v>54</v>
      </c>
      <c r="C6233" s="1" t="str">
        <f t="shared" si="399"/>
        <v>801-54</v>
      </c>
      <c r="D6233" t="s">
        <v>6205</v>
      </c>
      <c r="E6233" t="b">
        <f>IF(COUNTIF(D6233,"*"&amp;'Keyword Search'!$C$5&amp;"*"),TRUE,FALSE)</f>
        <v>1</v>
      </c>
      <c r="G6233" t="str">
        <f t="shared" si="400"/>
        <v>801-54: Sign Painting Supplies, Including Brushes and Inks</v>
      </c>
    </row>
    <row r="6234" spans="1:7" x14ac:dyDescent="0.25">
      <c r="A6234" s="1" t="str">
        <f t="shared" si="401"/>
        <v>801</v>
      </c>
      <c r="B6234" s="1" t="str">
        <f>TEXT(56,"00")</f>
        <v>56</v>
      </c>
      <c r="C6234" s="1" t="str">
        <f t="shared" si="399"/>
        <v>801-56</v>
      </c>
      <c r="D6234" t="s">
        <v>6206</v>
      </c>
      <c r="E6234" t="b">
        <f>IF(COUNTIF(D6234,"*"&amp;'Keyword Search'!$C$5&amp;"*"),TRUE,FALSE)</f>
        <v>1</v>
      </c>
      <c r="G6234" t="str">
        <f t="shared" si="400"/>
        <v>801-56: Signs, American Disability Act (ADA)</v>
      </c>
    </row>
    <row r="6235" spans="1:7" x14ac:dyDescent="0.25">
      <c r="A6235" s="1" t="str">
        <f t="shared" si="401"/>
        <v>801</v>
      </c>
      <c r="B6235" s="1" t="str">
        <f>TEXT(58,"00")</f>
        <v>58</v>
      </c>
      <c r="C6235" s="1" t="str">
        <f t="shared" si="399"/>
        <v>801-58</v>
      </c>
      <c r="D6235" t="s">
        <v>6207</v>
      </c>
      <c r="E6235" t="b">
        <f>IF(COUNTIF(D6235,"*"&amp;'Keyword Search'!$C$5&amp;"*"),TRUE,FALSE)</f>
        <v>1</v>
      </c>
      <c r="G6235" t="str">
        <f t="shared" si="400"/>
        <v>801-58: Signs: Billboard, Advertising, etc.</v>
      </c>
    </row>
    <row r="6236" spans="1:7" x14ac:dyDescent="0.25">
      <c r="A6236" s="1" t="str">
        <f t="shared" si="401"/>
        <v>801</v>
      </c>
      <c r="B6236" s="1" t="str">
        <f>TEXT(59,"00")</f>
        <v>59</v>
      </c>
      <c r="C6236" s="1" t="str">
        <f t="shared" si="399"/>
        <v>801-59</v>
      </c>
      <c r="D6236" t="s">
        <v>6208</v>
      </c>
      <c r="E6236" t="b">
        <f>IF(COUNTIF(D6236,"*"&amp;'Keyword Search'!$C$5&amp;"*"),TRUE,FALSE)</f>
        <v>1</v>
      </c>
      <c r="G6236" t="str">
        <f t="shared" si="400"/>
        <v>801-59: Signs, Braille, Including Markers and Plaques</v>
      </c>
    </row>
    <row r="6237" spans="1:7" x14ac:dyDescent="0.25">
      <c r="A6237" s="1" t="str">
        <f t="shared" si="401"/>
        <v>801</v>
      </c>
      <c r="B6237" s="1" t="str">
        <f>TEXT(60,"00")</f>
        <v>60</v>
      </c>
      <c r="C6237" s="1" t="str">
        <f t="shared" si="399"/>
        <v>801-60</v>
      </c>
      <c r="D6237" t="s">
        <v>6209</v>
      </c>
      <c r="E6237" t="b">
        <f>IF(COUNTIF(D6237,"*"&amp;'Keyword Search'!$C$5&amp;"*"),TRUE,FALSE)</f>
        <v>1</v>
      </c>
      <c r="G6237" t="str">
        <f t="shared" si="400"/>
        <v>801-60: Signs: Construction, Including Roll-Up Type Message Signs</v>
      </c>
    </row>
    <row r="6238" spans="1:7" x14ac:dyDescent="0.25">
      <c r="A6238" s="1" t="str">
        <f t="shared" si="401"/>
        <v>801</v>
      </c>
      <c r="B6238" s="1" t="str">
        <f>TEXT(62,"00")</f>
        <v>62</v>
      </c>
      <c r="C6238" s="1" t="str">
        <f t="shared" si="399"/>
        <v>801-62</v>
      </c>
      <c r="D6238" t="s">
        <v>6210</v>
      </c>
      <c r="E6238" t="b">
        <f>IF(COUNTIF(D6238,"*"&amp;'Keyword Search'!$C$5&amp;"*"),TRUE,FALSE)</f>
        <v>1</v>
      </c>
      <c r="G6238" t="str">
        <f t="shared" si="400"/>
        <v>801-62: Signs, Door Knob: Meeting in Progress, Do Not Disturb, etc.</v>
      </c>
    </row>
    <row r="6239" spans="1:7" x14ac:dyDescent="0.25">
      <c r="A6239" s="1" t="str">
        <f t="shared" si="401"/>
        <v>801</v>
      </c>
      <c r="B6239" s="1" t="str">
        <f>TEXT(66,"00")</f>
        <v>66</v>
      </c>
      <c r="C6239" s="1" t="str">
        <f t="shared" si="399"/>
        <v>801-66</v>
      </c>
      <c r="D6239" t="s">
        <v>6211</v>
      </c>
      <c r="E6239" t="b">
        <f>IF(COUNTIF(D6239,"*"&amp;'Keyword Search'!$C$5&amp;"*"),TRUE,FALSE)</f>
        <v>1</v>
      </c>
      <c r="G6239" t="str">
        <f t="shared" si="400"/>
        <v>801-66: *Signs, Electronic Display, Marquee, etc.</v>
      </c>
    </row>
    <row r="6240" spans="1:7" x14ac:dyDescent="0.25">
      <c r="A6240" s="1" t="str">
        <f t="shared" si="401"/>
        <v>801</v>
      </c>
      <c r="B6240" s="1" t="str">
        <f>TEXT(68,"00")</f>
        <v>68</v>
      </c>
      <c r="C6240" s="1" t="str">
        <f t="shared" si="399"/>
        <v>801-68</v>
      </c>
      <c r="D6240" t="s">
        <v>6212</v>
      </c>
      <c r="E6240" t="b">
        <f>IF(COUNTIF(D6240,"*"&amp;'Keyword Search'!$C$5&amp;"*"),TRUE,FALSE)</f>
        <v>1</v>
      </c>
      <c r="G6240" t="str">
        <f t="shared" si="400"/>
        <v>801-68: Signs, Exit: LED, Lighted, etc.</v>
      </c>
    </row>
    <row r="6241" spans="1:7" x14ac:dyDescent="0.25">
      <c r="A6241" s="1" t="str">
        <f t="shared" si="401"/>
        <v>801</v>
      </c>
      <c r="B6241" s="1" t="str">
        <f>TEXT(69,"00")</f>
        <v>69</v>
      </c>
      <c r="C6241" s="1" t="str">
        <f t="shared" si="399"/>
        <v>801-69</v>
      </c>
      <c r="D6241" t="s">
        <v>6213</v>
      </c>
      <c r="E6241" t="b">
        <f>IF(COUNTIF(D6241,"*"&amp;'Keyword Search'!$C$5&amp;"*"),TRUE,FALSE)</f>
        <v>1</v>
      </c>
      <c r="G6241" t="str">
        <f t="shared" si="400"/>
        <v>801-69: Signs, Fabric</v>
      </c>
    </row>
    <row r="6242" spans="1:7" x14ac:dyDescent="0.25">
      <c r="A6242" s="1" t="str">
        <f t="shared" si="401"/>
        <v>801</v>
      </c>
      <c r="B6242" s="1" t="str">
        <f>TEXT(71,"00")</f>
        <v>71</v>
      </c>
      <c r="C6242" s="1" t="str">
        <f t="shared" si="399"/>
        <v>801-71</v>
      </c>
      <c r="D6242" t="s">
        <v>6214</v>
      </c>
      <c r="E6242" t="b">
        <f>IF(COUNTIF(D6242,"*"&amp;'Keyword Search'!$C$5&amp;"*"),TRUE,FALSE)</f>
        <v>1</v>
      </c>
      <c r="G6242" t="str">
        <f t="shared" si="400"/>
        <v>801-71: Signs, Fiberglass, Including Blanks</v>
      </c>
    </row>
    <row r="6243" spans="1:7" x14ac:dyDescent="0.25">
      <c r="A6243" s="1" t="str">
        <f t="shared" si="401"/>
        <v>801</v>
      </c>
      <c r="B6243" s="1" t="str">
        <f>TEXT(74,"00")</f>
        <v>74</v>
      </c>
      <c r="C6243" s="1" t="str">
        <f t="shared" si="399"/>
        <v>801-74</v>
      </c>
      <c r="D6243" t="s">
        <v>6215</v>
      </c>
      <c r="E6243" t="b">
        <f>IF(COUNTIF(D6243,"*"&amp;'Keyword Search'!$C$5&amp;"*"),TRUE,FALSE)</f>
        <v>1</v>
      </c>
      <c r="G6243" t="str">
        <f t="shared" si="400"/>
        <v>801-74: Signs, Hospital Bed</v>
      </c>
    </row>
    <row r="6244" spans="1:7" x14ac:dyDescent="0.25">
      <c r="A6244" s="1" t="str">
        <f t="shared" si="401"/>
        <v>801</v>
      </c>
      <c r="B6244" s="1" t="str">
        <f>TEXT(76,"00")</f>
        <v>76</v>
      </c>
      <c r="C6244" s="1" t="str">
        <f t="shared" si="399"/>
        <v>801-76</v>
      </c>
      <c r="D6244" t="s">
        <v>6216</v>
      </c>
      <c r="E6244" t="b">
        <f>IF(COUNTIF(D6244,"*"&amp;'Keyword Search'!$C$5&amp;"*"),TRUE,FALSE)</f>
        <v>1</v>
      </c>
      <c r="G6244" t="str">
        <f t="shared" si="400"/>
        <v>801-76: Signs and Posters, Informational, No Smoking, Fire Extinguisher, etc.</v>
      </c>
    </row>
    <row r="6245" spans="1:7" x14ac:dyDescent="0.25">
      <c r="A6245" s="1" t="str">
        <f t="shared" si="401"/>
        <v>801</v>
      </c>
      <c r="B6245" s="1" t="str">
        <f>TEXT(78,"00")</f>
        <v>78</v>
      </c>
      <c r="C6245" s="1" t="str">
        <f t="shared" si="399"/>
        <v>801-78</v>
      </c>
      <c r="D6245" t="s">
        <v>6217</v>
      </c>
      <c r="E6245" t="b">
        <f>IF(COUNTIF(D6245,"*"&amp;'Keyword Search'!$C$5&amp;"*"),TRUE,FALSE)</f>
        <v>1</v>
      </c>
      <c r="G6245" t="str">
        <f t="shared" si="400"/>
        <v>801-78: Signs, Janitorial, Wet Floor, Hazardous Spill, etc.</v>
      </c>
    </row>
    <row r="6246" spans="1:7" x14ac:dyDescent="0.25">
      <c r="A6246" s="1" t="str">
        <f t="shared" si="401"/>
        <v>801</v>
      </c>
      <c r="B6246" s="1" t="str">
        <f>TEXT(81,"00")</f>
        <v>81</v>
      </c>
      <c r="C6246" s="1" t="str">
        <f t="shared" si="399"/>
        <v>801-81</v>
      </c>
      <c r="D6246" t="s">
        <v>6218</v>
      </c>
      <c r="E6246" t="b">
        <f>IF(COUNTIF(D6246,"*"&amp;'Keyword Search'!$C$5&amp;"*"),TRUE,FALSE)</f>
        <v>1</v>
      </c>
      <c r="G6246" t="str">
        <f t="shared" si="400"/>
        <v>801-81: Signs, Library</v>
      </c>
    </row>
    <row r="6247" spans="1:7" x14ac:dyDescent="0.25">
      <c r="A6247" s="1" t="str">
        <f t="shared" si="401"/>
        <v>801</v>
      </c>
      <c r="B6247" s="1" t="str">
        <f>TEXT(82,"00")</f>
        <v>82</v>
      </c>
      <c r="C6247" s="1" t="str">
        <f t="shared" si="399"/>
        <v>801-82</v>
      </c>
      <c r="D6247" t="s">
        <v>6219</v>
      </c>
      <c r="E6247" t="b">
        <f>IF(COUNTIF(D6247,"*"&amp;'Keyword Search'!$C$5&amp;"*"),TRUE,FALSE)</f>
        <v>1</v>
      </c>
      <c r="G6247" t="str">
        <f t="shared" si="400"/>
        <v>801-82: Signs, Magnetic</v>
      </c>
    </row>
    <row r="6248" spans="1:7" x14ac:dyDescent="0.25">
      <c r="A6248" s="1" t="str">
        <f t="shared" si="401"/>
        <v>801</v>
      </c>
      <c r="B6248" s="1" t="str">
        <f>TEXT(83,"00")</f>
        <v>83</v>
      </c>
      <c r="C6248" s="1" t="str">
        <f t="shared" si="399"/>
        <v>801-83</v>
      </c>
      <c r="D6248" t="s">
        <v>6220</v>
      </c>
      <c r="E6248" t="b">
        <f>IF(COUNTIF(D6248,"*"&amp;'Keyword Search'!$C$5&amp;"*"),TRUE,FALSE)</f>
        <v>1</v>
      </c>
      <c r="G6248" t="str">
        <f t="shared" si="400"/>
        <v>801-83: Signs, Metal, Not Blanks</v>
      </c>
    </row>
    <row r="6249" spans="1:7" x14ac:dyDescent="0.25">
      <c r="A6249" s="1" t="str">
        <f t="shared" si="401"/>
        <v>801</v>
      </c>
      <c r="B6249" s="1" t="str">
        <f>TEXT(84,"00")</f>
        <v>84</v>
      </c>
      <c r="C6249" s="1" t="str">
        <f t="shared" si="399"/>
        <v>801-84</v>
      </c>
      <c r="D6249" t="s">
        <v>6221</v>
      </c>
      <c r="E6249" t="b">
        <f>IF(COUNTIF(D6249,"*"&amp;'Keyword Search'!$C$5&amp;"*"),TRUE,FALSE)</f>
        <v>1</v>
      </c>
      <c r="G6249" t="str">
        <f t="shared" si="400"/>
        <v>801-84: *Signs, Message, Computerized</v>
      </c>
    </row>
    <row r="6250" spans="1:7" x14ac:dyDescent="0.25">
      <c r="A6250" s="1" t="str">
        <f t="shared" si="401"/>
        <v>801</v>
      </c>
      <c r="B6250" s="1" t="str">
        <f>TEXT(85,"00")</f>
        <v>85</v>
      </c>
      <c r="C6250" s="1" t="str">
        <f t="shared" si="399"/>
        <v>801-85</v>
      </c>
      <c r="D6250" t="s">
        <v>6222</v>
      </c>
      <c r="E6250" t="b">
        <f>IF(COUNTIF(D6250,"*"&amp;'Keyword Search'!$C$5&amp;"*"),TRUE,FALSE)</f>
        <v>1</v>
      </c>
      <c r="G6250" t="str">
        <f t="shared" si="400"/>
        <v>801-85: Signs, Neon</v>
      </c>
    </row>
    <row r="6251" spans="1:7" x14ac:dyDescent="0.25">
      <c r="A6251" s="1" t="str">
        <f t="shared" si="401"/>
        <v>801</v>
      </c>
      <c r="B6251" s="1" t="str">
        <f>TEXT(86,"00")</f>
        <v>86</v>
      </c>
      <c r="C6251" s="1" t="str">
        <f t="shared" si="399"/>
        <v>801-86</v>
      </c>
      <c r="D6251" t="s">
        <v>6223</v>
      </c>
      <c r="E6251" t="b">
        <f>IF(COUNTIF(D6251,"*"&amp;'Keyword Search'!$C$5&amp;"*"),TRUE,FALSE)</f>
        <v>1</v>
      </c>
      <c r="G6251" t="str">
        <f t="shared" si="400"/>
        <v>801-86: Signs, Miscellaneous (Not Otherwise Classified)</v>
      </c>
    </row>
    <row r="6252" spans="1:7" x14ac:dyDescent="0.25">
      <c r="A6252" s="1" t="str">
        <f t="shared" si="401"/>
        <v>801</v>
      </c>
      <c r="B6252" s="1" t="str">
        <f>TEXT(87,"00")</f>
        <v>87</v>
      </c>
      <c r="C6252" s="1" t="str">
        <f t="shared" si="399"/>
        <v>801-87</v>
      </c>
      <c r="D6252" t="s">
        <v>6224</v>
      </c>
      <c r="E6252" t="b">
        <f>IF(COUNTIF(D6252,"*"&amp;'Keyword Search'!$C$5&amp;"*"),TRUE,FALSE)</f>
        <v>1</v>
      </c>
      <c r="G6252" t="str">
        <f t="shared" si="400"/>
        <v>801-87: Signs, Overhead, Traffic</v>
      </c>
    </row>
    <row r="6253" spans="1:7" x14ac:dyDescent="0.25">
      <c r="A6253" s="1" t="str">
        <f t="shared" si="401"/>
        <v>801</v>
      </c>
      <c r="B6253" s="1" t="str">
        <f>TEXT(89,"00")</f>
        <v>89</v>
      </c>
      <c r="C6253" s="1" t="str">
        <f t="shared" si="399"/>
        <v>801-89</v>
      </c>
      <c r="D6253" t="s">
        <v>6225</v>
      </c>
      <c r="E6253" t="b">
        <f>IF(COUNTIF(D6253,"*"&amp;'Keyword Search'!$C$5&amp;"*"),TRUE,FALSE)</f>
        <v>1</v>
      </c>
      <c r="G6253" t="str">
        <f t="shared" si="400"/>
        <v>801-89: Signs, Plastic and Polyethylene, Including Blanks</v>
      </c>
    </row>
    <row r="6254" spans="1:7" x14ac:dyDescent="0.25">
      <c r="A6254" s="1" t="str">
        <f t="shared" si="401"/>
        <v>801</v>
      </c>
      <c r="B6254" s="1" t="str">
        <f>TEXT(91,"00")</f>
        <v>91</v>
      </c>
      <c r="C6254" s="1" t="str">
        <f t="shared" si="399"/>
        <v>801-91</v>
      </c>
      <c r="D6254" t="s">
        <v>6226</v>
      </c>
      <c r="E6254" t="b">
        <f>IF(COUNTIF(D6254,"*"&amp;'Keyword Search'!$C$5&amp;"*"),TRUE,FALSE)</f>
        <v>1</v>
      </c>
      <c r="G6254" t="str">
        <f t="shared" si="400"/>
        <v>801-91: Signs, Railroad Crossing, Electric</v>
      </c>
    </row>
    <row r="6255" spans="1:7" x14ac:dyDescent="0.25">
      <c r="A6255" s="1" t="str">
        <f t="shared" si="401"/>
        <v>801</v>
      </c>
      <c r="B6255" s="1" t="str">
        <f>TEXT(94,"00")</f>
        <v>94</v>
      </c>
      <c r="C6255" s="1" t="str">
        <f t="shared" si="399"/>
        <v>801-94</v>
      </c>
      <c r="D6255" t="s">
        <v>6227</v>
      </c>
      <c r="E6255" t="b">
        <f>IF(COUNTIF(D6255,"*"&amp;'Keyword Search'!$C$5&amp;"*"),TRUE,FALSE)</f>
        <v>1</v>
      </c>
      <c r="G6255" t="str">
        <f t="shared" si="400"/>
        <v>801-94: Signs, Runway and Taxiway</v>
      </c>
    </row>
    <row r="6256" spans="1:7" x14ac:dyDescent="0.25">
      <c r="A6256" s="1" t="str">
        <f t="shared" si="401"/>
        <v>801</v>
      </c>
      <c r="B6256" s="1" t="str">
        <f>TEXT(95,"00")</f>
        <v>95</v>
      </c>
      <c r="C6256" s="1" t="str">
        <f t="shared" si="399"/>
        <v>801-95</v>
      </c>
      <c r="D6256" t="s">
        <v>6228</v>
      </c>
      <c r="E6256" t="b">
        <f>IF(COUNTIF(D6256,"*"&amp;'Keyword Search'!$C$5&amp;"*"),TRUE,FALSE)</f>
        <v>1</v>
      </c>
      <c r="G6256" t="str">
        <f t="shared" si="400"/>
        <v>801-95: Signs, Surge Marker, Metal</v>
      </c>
    </row>
    <row r="6257" spans="1:7" x14ac:dyDescent="0.25">
      <c r="A6257" s="1" t="str">
        <f t="shared" si="401"/>
        <v>801</v>
      </c>
      <c r="B6257" s="1" t="str">
        <f>TEXT(96,"00")</f>
        <v>96</v>
      </c>
      <c r="C6257" s="1" t="str">
        <f t="shared" si="399"/>
        <v>801-96</v>
      </c>
      <c r="D6257" t="s">
        <v>6229</v>
      </c>
      <c r="E6257" t="b">
        <f>IF(COUNTIF(D6257,"*"&amp;'Keyword Search'!$C$5&amp;"*"),TRUE,FALSE)</f>
        <v>1</v>
      </c>
      <c r="G6257" t="str">
        <f t="shared" si="400"/>
        <v>801-96: Signs, Traffic, Solar Powered, LED, Flashing, Programmable</v>
      </c>
    </row>
    <row r="6258" spans="1:7" x14ac:dyDescent="0.25">
      <c r="A6258" s="1" t="str">
        <f t="shared" si="401"/>
        <v>801</v>
      </c>
      <c r="B6258" s="1" t="str">
        <f>TEXT(97,"00")</f>
        <v>97</v>
      </c>
      <c r="C6258" s="1" t="str">
        <f t="shared" si="399"/>
        <v>801-97</v>
      </c>
      <c r="D6258" t="s">
        <v>6230</v>
      </c>
      <c r="E6258" t="b">
        <f>IF(COUNTIF(D6258,"*"&amp;'Keyword Search'!$C$5&amp;"*"),TRUE,FALSE)</f>
        <v>1</v>
      </c>
      <c r="G6258" t="str">
        <f t="shared" si="400"/>
        <v>801-97: Signs, Wood, Including Blanks</v>
      </c>
    </row>
    <row r="6259" spans="1:7" x14ac:dyDescent="0.25">
      <c r="A6259" s="5" t="str">
        <f t="shared" ref="A6259:A6284" si="402">TEXT(803,"000")</f>
        <v>803</v>
      </c>
      <c r="B6259" s="5" t="str">
        <f>TEXT(0,"00")</f>
        <v>00</v>
      </c>
      <c r="C6259" s="1"/>
      <c r="D6259" s="2" t="s">
        <v>6231</v>
      </c>
    </row>
    <row r="6260" spans="1:7" x14ac:dyDescent="0.25">
      <c r="A6260" s="1" t="str">
        <f t="shared" si="402"/>
        <v>803</v>
      </c>
      <c r="B6260" s="1" t="str">
        <f>TEXT(10,"00")</f>
        <v>10</v>
      </c>
      <c r="C6260" s="1" t="str">
        <f t="shared" si="399"/>
        <v>803-10</v>
      </c>
      <c r="D6260" t="s">
        <v>6232</v>
      </c>
      <c r="E6260" t="b">
        <f>IF(COUNTIF(D6260,"*"&amp;'Keyword Search'!$C$5&amp;"*"),TRUE,FALSE)</f>
        <v>1</v>
      </c>
      <c r="G6260" t="str">
        <f t="shared" si="400"/>
        <v>803-10: Cartridges, Microphone, Phonograph, etc., Needles, Pickup Arms, Styli, etc.</v>
      </c>
    </row>
    <row r="6261" spans="1:7" x14ac:dyDescent="0.25">
      <c r="A6261" s="1" t="str">
        <f t="shared" si="402"/>
        <v>803</v>
      </c>
      <c r="B6261" s="1" t="str">
        <f>TEXT(16,"00")</f>
        <v>16</v>
      </c>
      <c r="C6261" s="1" t="str">
        <f t="shared" si="399"/>
        <v>803-16</v>
      </c>
      <c r="D6261" t="s">
        <v>6233</v>
      </c>
      <c r="E6261" t="b">
        <f>IF(COUNTIF(D6261,"*"&amp;'Keyword Search'!$C$5&amp;"*"),TRUE,FALSE)</f>
        <v>1</v>
      </c>
      <c r="G6261" t="str">
        <f t="shared" si="400"/>
        <v>803-16: Disc Players, Compact, MP3, etc.</v>
      </c>
    </row>
    <row r="6262" spans="1:7" x14ac:dyDescent="0.25">
      <c r="A6262" s="1" t="str">
        <f t="shared" si="402"/>
        <v>803</v>
      </c>
      <c r="B6262" s="1" t="str">
        <f>TEXT(18,"00")</f>
        <v>18</v>
      </c>
      <c r="C6262" s="1" t="str">
        <f t="shared" si="399"/>
        <v>803-18</v>
      </c>
      <c r="D6262" t="s">
        <v>6234</v>
      </c>
      <c r="E6262" t="b">
        <f>IF(COUNTIF(D6262,"*"&amp;'Keyword Search'!$C$5&amp;"*"),TRUE,FALSE)</f>
        <v>1</v>
      </c>
      <c r="G6262" t="str">
        <f t="shared" si="400"/>
        <v>803-18: Electronic Sound Equipment (Not Otherwise Classified)</v>
      </c>
    </row>
    <row r="6263" spans="1:7" x14ac:dyDescent="0.25">
      <c r="A6263" s="1" t="str">
        <f t="shared" si="402"/>
        <v>803</v>
      </c>
      <c r="B6263" s="1" t="str">
        <f>TEXT(20,"00")</f>
        <v>20</v>
      </c>
      <c r="C6263" s="1" t="str">
        <f t="shared" si="399"/>
        <v>803-20</v>
      </c>
      <c r="D6263" t="s">
        <v>6235</v>
      </c>
      <c r="E6263" t="b">
        <f>IF(COUNTIF(D6263,"*"&amp;'Keyword Search'!$C$5&amp;"*"),TRUE,FALSE)</f>
        <v>1</v>
      </c>
      <c r="G6263" t="str">
        <f t="shared" si="400"/>
        <v>803-20: Group Auditory Systems, Language Laboratories, and Speech Training Equipment</v>
      </c>
    </row>
    <row r="6264" spans="1:7" x14ac:dyDescent="0.25">
      <c r="A6264" s="1" t="str">
        <f t="shared" si="402"/>
        <v>803</v>
      </c>
      <c r="B6264" s="1" t="str">
        <f>TEXT(30,"00")</f>
        <v>30</v>
      </c>
      <c r="C6264" s="1" t="str">
        <f t="shared" si="399"/>
        <v>803-30</v>
      </c>
      <c r="D6264" t="s">
        <v>6236</v>
      </c>
      <c r="E6264" t="b">
        <f>IF(COUNTIF(D6264,"*"&amp;'Keyword Search'!$C$5&amp;"*"),TRUE,FALSE)</f>
        <v>1</v>
      </c>
      <c r="G6264" t="str">
        <f t="shared" si="400"/>
        <v>803-30: Intercom Systems, Group, For Panel Discussions, Schoolrooms, Hospital Rooms, etc.</v>
      </c>
    </row>
    <row r="6265" spans="1:7" x14ac:dyDescent="0.25">
      <c r="A6265" s="1" t="str">
        <f t="shared" si="402"/>
        <v>803</v>
      </c>
      <c r="B6265" s="1" t="str">
        <f>TEXT(39,"00")</f>
        <v>39</v>
      </c>
      <c r="C6265" s="1" t="str">
        <f t="shared" si="399"/>
        <v>803-39</v>
      </c>
      <c r="D6265" t="s">
        <v>6237</v>
      </c>
      <c r="E6265" t="b">
        <f>IF(COUNTIF(D6265,"*"&amp;'Keyword Search'!$C$5&amp;"*"),TRUE,FALSE)</f>
        <v>1</v>
      </c>
      <c r="G6265" t="str">
        <f t="shared" si="400"/>
        <v>803-39: Microphones and Related Equipment, Not Wireless Systems: Chestsets, Earphones, Handsets, Headphones, etc.</v>
      </c>
    </row>
    <row r="6266" spans="1:7" x14ac:dyDescent="0.25">
      <c r="A6266" s="1" t="str">
        <f t="shared" si="402"/>
        <v>803</v>
      </c>
      <c r="B6266" s="1" t="str">
        <f>TEXT(40,"00")</f>
        <v>40</v>
      </c>
      <c r="C6266" s="1" t="str">
        <f t="shared" si="399"/>
        <v>803-40</v>
      </c>
      <c r="D6266" t="s">
        <v>6238</v>
      </c>
      <c r="E6266" t="b">
        <f>IF(COUNTIF(D6266,"*"&amp;'Keyword Search'!$C$5&amp;"*"),TRUE,FALSE)</f>
        <v>1</v>
      </c>
      <c r="G6266" t="str">
        <f t="shared" si="400"/>
        <v>803-40: Microphones and Related Equipment, Wireless Systems: Chestsets, Earphones, Handsets, Headphones, etc.</v>
      </c>
    </row>
    <row r="6267" spans="1:7" x14ac:dyDescent="0.25">
      <c r="A6267" s="1" t="str">
        <f t="shared" si="402"/>
        <v>803</v>
      </c>
      <c r="B6267" s="1" t="str">
        <f>TEXT(45,"00")</f>
        <v>45</v>
      </c>
      <c r="C6267" s="1" t="str">
        <f t="shared" si="399"/>
        <v>803-45</v>
      </c>
      <c r="D6267" t="s">
        <v>6239</v>
      </c>
      <c r="E6267" t="b">
        <f>IF(COUNTIF(D6267,"*"&amp;'Keyword Search'!$C$5&amp;"*"),TRUE,FALSE)</f>
        <v>1</v>
      </c>
      <c r="G6267" t="str">
        <f t="shared" si="400"/>
        <v>803-45: Music Systems and Components: Amplifiers, Mixers, Preamplifiers, Tuners, Turntables, etc.</v>
      </c>
    </row>
    <row r="6268" spans="1:7" x14ac:dyDescent="0.25">
      <c r="A6268" s="1" t="str">
        <f t="shared" si="402"/>
        <v>803</v>
      </c>
      <c r="B6268" s="1" t="str">
        <f>TEXT(50,"00")</f>
        <v>50</v>
      </c>
      <c r="C6268" s="1" t="str">
        <f t="shared" si="399"/>
        <v>803-50</v>
      </c>
      <c r="D6268" t="s">
        <v>6240</v>
      </c>
      <c r="E6268" t="b">
        <f>IF(COUNTIF(D6268,"*"&amp;'Keyword Search'!$C$5&amp;"*"),TRUE,FALSE)</f>
        <v>1</v>
      </c>
      <c r="G6268" t="str">
        <f t="shared" si="400"/>
        <v>803-50: Music Systems and Component, Stereo Only</v>
      </c>
    </row>
    <row r="6269" spans="1:7" x14ac:dyDescent="0.25">
      <c r="A6269" s="1" t="str">
        <f t="shared" si="402"/>
        <v>803</v>
      </c>
      <c r="B6269" s="1" t="str">
        <f>TEXT(54,"00")</f>
        <v>54</v>
      </c>
      <c r="C6269" s="1" t="str">
        <f t="shared" si="399"/>
        <v>803-54</v>
      </c>
      <c r="D6269" t="s">
        <v>6241</v>
      </c>
      <c r="E6269" t="b">
        <f>IF(COUNTIF(D6269,"*"&amp;'Keyword Search'!$C$5&amp;"*"),TRUE,FALSE)</f>
        <v>1</v>
      </c>
      <c r="G6269" t="str">
        <f t="shared" si="400"/>
        <v>803-54: Paging Systems, Airport</v>
      </c>
    </row>
    <row r="6270" spans="1:7" x14ac:dyDescent="0.25">
      <c r="A6270" s="1" t="str">
        <f t="shared" si="402"/>
        <v>803</v>
      </c>
      <c r="B6270" s="1" t="str">
        <f>TEXT(55,"00")</f>
        <v>55</v>
      </c>
      <c r="C6270" s="1" t="str">
        <f t="shared" si="399"/>
        <v>803-55</v>
      </c>
      <c r="D6270" t="s">
        <v>6242</v>
      </c>
      <c r="E6270" t="b">
        <f>IF(COUNTIF(D6270,"*"&amp;'Keyword Search'!$C$5&amp;"*"),TRUE,FALSE)</f>
        <v>1</v>
      </c>
      <c r="G6270" t="str">
        <f t="shared" si="400"/>
        <v>803-55: Paging Systems, Loud Speaker Type</v>
      </c>
    </row>
    <row r="6271" spans="1:7" x14ac:dyDescent="0.25">
      <c r="A6271" s="1" t="str">
        <f t="shared" si="402"/>
        <v>803</v>
      </c>
      <c r="B6271" s="1" t="str">
        <f>TEXT(56,"00")</f>
        <v>56</v>
      </c>
      <c r="C6271" s="1" t="str">
        <f t="shared" si="399"/>
        <v>803-56</v>
      </c>
      <c r="D6271" t="s">
        <v>6243</v>
      </c>
      <c r="E6271" t="b">
        <f>IF(COUNTIF(D6271,"*"&amp;'Keyword Search'!$C$5&amp;"*"),TRUE,FALSE)</f>
        <v>1</v>
      </c>
      <c r="G6271" t="str">
        <f t="shared" si="400"/>
        <v>803-56: *Paging Terminal, Solid State, Computerized</v>
      </c>
    </row>
    <row r="6272" spans="1:7" x14ac:dyDescent="0.25">
      <c r="A6272" s="1" t="str">
        <f t="shared" si="402"/>
        <v>803</v>
      </c>
      <c r="B6272" s="1" t="str">
        <f>TEXT(60,"00")</f>
        <v>60</v>
      </c>
      <c r="C6272" s="1" t="str">
        <f t="shared" si="399"/>
        <v>803-60</v>
      </c>
      <c r="D6272" t="s">
        <v>6244</v>
      </c>
      <c r="E6272" t="b">
        <f>IF(COUNTIF(D6272,"*"&amp;'Keyword Search'!$C$5&amp;"*"),TRUE,FALSE)</f>
        <v>1</v>
      </c>
      <c r="G6272" t="str">
        <f t="shared" si="400"/>
        <v>803-60: Public Address Systems, Portable</v>
      </c>
    </row>
    <row r="6273" spans="1:7" x14ac:dyDescent="0.25">
      <c r="A6273" s="1" t="str">
        <f t="shared" si="402"/>
        <v>803</v>
      </c>
      <c r="B6273" s="1" t="str">
        <f>TEXT(61,"00")</f>
        <v>61</v>
      </c>
      <c r="C6273" s="1" t="str">
        <f t="shared" si="399"/>
        <v>803-61</v>
      </c>
      <c r="D6273" t="s">
        <v>6245</v>
      </c>
      <c r="E6273" t="b">
        <f>IF(COUNTIF(D6273,"*"&amp;'Keyword Search'!$C$5&amp;"*"),TRUE,FALSE)</f>
        <v>1</v>
      </c>
      <c r="G6273" t="str">
        <f t="shared" si="400"/>
        <v>803-61: Public Address Systems, Stationary</v>
      </c>
    </row>
    <row r="6274" spans="1:7" x14ac:dyDescent="0.25">
      <c r="A6274" s="1" t="str">
        <f t="shared" si="402"/>
        <v>803</v>
      </c>
      <c r="B6274" s="1" t="str">
        <f>TEXT(65,"00")</f>
        <v>65</v>
      </c>
      <c r="C6274" s="1" t="str">
        <f t="shared" si="399"/>
        <v>803-65</v>
      </c>
      <c r="D6274" t="s">
        <v>6246</v>
      </c>
      <c r="E6274" t="b">
        <f>IF(COUNTIF(D6274,"*"&amp;'Keyword Search'!$C$5&amp;"*"),TRUE,FALSE)</f>
        <v>1</v>
      </c>
      <c r="G6274" t="str">
        <f t="shared" si="400"/>
        <v>803-65: Record Player, Phonographs, Record Changers, Including Parts and Accessories</v>
      </c>
    </row>
    <row r="6275" spans="1:7" x14ac:dyDescent="0.25">
      <c r="A6275" s="1" t="str">
        <f t="shared" si="402"/>
        <v>803</v>
      </c>
      <c r="B6275" s="1" t="str">
        <f>TEXT(68,"00")</f>
        <v>68</v>
      </c>
      <c r="C6275" s="1" t="str">
        <f t="shared" ref="C6275:C6338" si="403">CONCATENATE(A6275,"-",B6275)</f>
        <v>803-68</v>
      </c>
      <c r="D6275" t="s">
        <v>6247</v>
      </c>
      <c r="E6275" t="b">
        <f>IF(COUNTIF(D6275,"*"&amp;'Keyword Search'!$C$5&amp;"*"),TRUE,FALSE)</f>
        <v>1</v>
      </c>
      <c r="G6275" t="str">
        <f t="shared" si="400"/>
        <v>803-68: *Recorders, Digital, Voice to CD</v>
      </c>
    </row>
    <row r="6276" spans="1:7" x14ac:dyDescent="0.25">
      <c r="A6276" s="1" t="str">
        <f t="shared" si="402"/>
        <v>803</v>
      </c>
      <c r="B6276" s="1" t="str">
        <f>TEXT(70,"00")</f>
        <v>70</v>
      </c>
      <c r="C6276" s="1" t="str">
        <f t="shared" si="403"/>
        <v>803-70</v>
      </c>
      <c r="D6276" t="s">
        <v>6248</v>
      </c>
      <c r="E6276" t="b">
        <f>IF(COUNTIF(D6276,"*"&amp;'Keyword Search'!$C$5&amp;"*"),TRUE,FALSE)</f>
        <v>1</v>
      </c>
      <c r="G6276" t="str">
        <f t="shared" ref="G6276:G6339" si="404">CONCATENATE(C6276,": ",D6276)</f>
        <v>803-70: Recording Disks and Sound Sheets, Including Compact and Laser Disks</v>
      </c>
    </row>
    <row r="6277" spans="1:7" x14ac:dyDescent="0.25">
      <c r="A6277" s="1" t="str">
        <f t="shared" si="402"/>
        <v>803</v>
      </c>
      <c r="B6277" s="1" t="str">
        <f>TEXT(75,"00")</f>
        <v>75</v>
      </c>
      <c r="C6277" s="1" t="str">
        <f t="shared" si="403"/>
        <v>803-75</v>
      </c>
      <c r="D6277" t="s">
        <v>6249</v>
      </c>
      <c r="E6277" t="b">
        <f>IF(COUNTIF(D6277,"*"&amp;'Keyword Search'!$C$5&amp;"*"),TRUE,FALSE)</f>
        <v>1</v>
      </c>
      <c r="G6277" t="str">
        <f t="shared" si="404"/>
        <v>803-75: Recording Tape, Sound: Audio Cassettes, Cartridges, Reels, etc.</v>
      </c>
    </row>
    <row r="6278" spans="1:7" x14ac:dyDescent="0.25">
      <c r="A6278" s="1" t="str">
        <f t="shared" si="402"/>
        <v>803</v>
      </c>
      <c r="B6278" s="1" t="str">
        <f>TEXT(77,"00")</f>
        <v>77</v>
      </c>
      <c r="C6278" s="1" t="str">
        <f t="shared" si="403"/>
        <v>803-77</v>
      </c>
      <c r="D6278" t="s">
        <v>6250</v>
      </c>
      <c r="E6278" t="b">
        <f>IF(COUNTIF(D6278,"*"&amp;'Keyword Search'!$C$5&amp;"*"),TRUE,FALSE)</f>
        <v>1</v>
      </c>
      <c r="G6278" t="str">
        <f t="shared" si="404"/>
        <v>803-77: Recycled Sound Equipment, Components and Accessories</v>
      </c>
    </row>
    <row r="6279" spans="1:7" x14ac:dyDescent="0.25">
      <c r="A6279" s="1" t="str">
        <f t="shared" si="402"/>
        <v>803</v>
      </c>
      <c r="B6279" s="1" t="str">
        <f>TEXT(79,"00")</f>
        <v>79</v>
      </c>
      <c r="C6279" s="1" t="str">
        <f t="shared" si="403"/>
        <v>803-79</v>
      </c>
      <c r="D6279" t="s">
        <v>6251</v>
      </c>
      <c r="E6279" t="b">
        <f>IF(COUNTIF(D6279,"*"&amp;'Keyword Search'!$C$5&amp;"*"),TRUE,FALSE)</f>
        <v>1</v>
      </c>
      <c r="G6279" t="str">
        <f t="shared" si="404"/>
        <v>803-79: Sound Booths or Chambers, Including Anechoic, Portable and Soundproof Types</v>
      </c>
    </row>
    <row r="6280" spans="1:7" x14ac:dyDescent="0.25">
      <c r="A6280" s="1" t="str">
        <f t="shared" si="402"/>
        <v>803</v>
      </c>
      <c r="B6280" s="1" t="str">
        <f>TEXT(80,"00")</f>
        <v>80</v>
      </c>
      <c r="C6280" s="1" t="str">
        <f t="shared" si="403"/>
        <v>803-80</v>
      </c>
      <c r="D6280" t="s">
        <v>6252</v>
      </c>
      <c r="E6280" t="b">
        <f>IF(COUNTIF(D6280,"*"&amp;'Keyword Search'!$C$5&amp;"*"),TRUE,FALSE)</f>
        <v>1</v>
      </c>
      <c r="G6280" t="str">
        <f t="shared" si="404"/>
        <v>803-80: Speakers and Accessories: Drivers, Enclosures, Grilles, Grille Cloth, etc.</v>
      </c>
    </row>
    <row r="6281" spans="1:7" x14ac:dyDescent="0.25">
      <c r="A6281" s="1" t="str">
        <f t="shared" si="402"/>
        <v>803</v>
      </c>
      <c r="B6281" s="1" t="str">
        <f>TEXT(82,"00")</f>
        <v>82</v>
      </c>
      <c r="C6281" s="1" t="str">
        <f t="shared" si="403"/>
        <v>803-82</v>
      </c>
      <c r="D6281" t="s">
        <v>6253</v>
      </c>
      <c r="E6281" t="b">
        <f>IF(COUNTIF(D6281,"*"&amp;'Keyword Search'!$C$5&amp;"*"),TRUE,FALSE)</f>
        <v>1</v>
      </c>
      <c r="G6281" t="str">
        <f t="shared" si="404"/>
        <v>803-82: Studio Monitors, Broadcasting and Recording</v>
      </c>
    </row>
    <row r="6282" spans="1:7" x14ac:dyDescent="0.25">
      <c r="A6282" s="1" t="str">
        <f t="shared" si="402"/>
        <v>803</v>
      </c>
      <c r="B6282" s="1" t="str">
        <f>TEXT(85,"00")</f>
        <v>85</v>
      </c>
      <c r="C6282" s="1" t="str">
        <f t="shared" si="403"/>
        <v>803-85</v>
      </c>
      <c r="D6282" t="s">
        <v>6254</v>
      </c>
      <c r="E6282" t="b">
        <f>IF(COUNTIF(D6282,"*"&amp;'Keyword Search'!$C$5&amp;"*"),TRUE,FALSE)</f>
        <v>1</v>
      </c>
      <c r="G6282" t="str">
        <f t="shared" si="404"/>
        <v>803-85: Tape Recorders, Decks, Players, etc., Sound, Not for Office Dictation</v>
      </c>
    </row>
    <row r="6283" spans="1:7" x14ac:dyDescent="0.25">
      <c r="A6283" s="1" t="str">
        <f t="shared" si="402"/>
        <v>803</v>
      </c>
      <c r="B6283" s="1" t="str">
        <f>TEXT(90,"00")</f>
        <v>90</v>
      </c>
      <c r="C6283" s="1" t="str">
        <f t="shared" si="403"/>
        <v>803-90</v>
      </c>
      <c r="D6283" t="s">
        <v>6255</v>
      </c>
      <c r="E6283" t="b">
        <f>IF(COUNTIF(D6283,"*"&amp;'Keyword Search'!$C$5&amp;"*"),TRUE,FALSE)</f>
        <v>1</v>
      </c>
      <c r="G6283" t="str">
        <f t="shared" si="404"/>
        <v>803-90: Tape Duplicating and Erasing Equipment</v>
      </c>
    </row>
    <row r="6284" spans="1:7" x14ac:dyDescent="0.25">
      <c r="A6284" s="1" t="str">
        <f t="shared" si="402"/>
        <v>803</v>
      </c>
      <c r="B6284" s="1" t="str">
        <f>TEXT(92,"00")</f>
        <v>92</v>
      </c>
      <c r="C6284" s="1" t="str">
        <f t="shared" si="403"/>
        <v>803-92</v>
      </c>
      <c r="D6284" t="s">
        <v>6256</v>
      </c>
      <c r="E6284" t="b">
        <f>IF(COUNTIF(D6284,"*"&amp;'Keyword Search'!$C$5&amp;"*"),TRUE,FALSE)</f>
        <v>1</v>
      </c>
      <c r="G6284" t="str">
        <f t="shared" si="404"/>
        <v>803-92: *Telephony Equipment, Accessories and Supplies</v>
      </c>
    </row>
    <row r="6285" spans="1:7" x14ac:dyDescent="0.25">
      <c r="A6285" s="5" t="str">
        <f t="shared" ref="A6285:A6295" si="405">TEXT(804,"000")</f>
        <v>804</v>
      </c>
      <c r="B6285" s="5" t="str">
        <f>TEXT(0,"00")</f>
        <v>00</v>
      </c>
      <c r="C6285" s="1"/>
      <c r="D6285" s="2" t="s">
        <v>6257</v>
      </c>
    </row>
    <row r="6286" spans="1:7" x14ac:dyDescent="0.25">
      <c r="A6286" s="1" t="str">
        <f t="shared" si="405"/>
        <v>804</v>
      </c>
      <c r="B6286" s="1" t="str">
        <f>TEXT(10,"00")</f>
        <v>10</v>
      </c>
      <c r="C6286" s="1" t="str">
        <f t="shared" si="403"/>
        <v>804-10</v>
      </c>
      <c r="D6286" t="s">
        <v>6258</v>
      </c>
      <c r="E6286" t="b">
        <f>IF(COUNTIF(D6286,"*"&amp;'Keyword Search'!$C$5&amp;"*"),TRUE,FALSE)</f>
        <v>1</v>
      </c>
      <c r="G6286" t="str">
        <f t="shared" si="404"/>
        <v>804-10: Accessories, Satellite (Not Otherwise Classified)</v>
      </c>
    </row>
    <row r="6287" spans="1:7" x14ac:dyDescent="0.25">
      <c r="A6287" s="1" t="str">
        <f t="shared" si="405"/>
        <v>804</v>
      </c>
      <c r="B6287" s="1" t="str">
        <f>TEXT(12,"00")</f>
        <v>12</v>
      </c>
      <c r="C6287" s="1" t="str">
        <f t="shared" si="403"/>
        <v>804-12</v>
      </c>
      <c r="D6287" t="s">
        <v>6259</v>
      </c>
      <c r="E6287" t="b">
        <f>IF(COUNTIF(D6287,"*"&amp;'Keyword Search'!$C$5&amp;"*"),TRUE,FALSE)</f>
        <v>1</v>
      </c>
      <c r="G6287" t="str">
        <f t="shared" si="404"/>
        <v>804-12: Altitude Control Systems, Spacecraft</v>
      </c>
    </row>
    <row r="6288" spans="1:7" x14ac:dyDescent="0.25">
      <c r="A6288" s="1" t="str">
        <f t="shared" si="405"/>
        <v>804</v>
      </c>
      <c r="B6288" s="1" t="str">
        <f>TEXT(32,"00")</f>
        <v>32</v>
      </c>
      <c r="C6288" s="1" t="str">
        <f t="shared" si="403"/>
        <v>804-32</v>
      </c>
      <c r="D6288" t="s">
        <v>6260</v>
      </c>
      <c r="E6288" t="b">
        <f>IF(COUNTIF(D6288,"*"&amp;'Keyword Search'!$C$5&amp;"*"),TRUE,FALSE)</f>
        <v>1</v>
      </c>
      <c r="G6288" t="str">
        <f t="shared" si="404"/>
        <v>804-32: Computerized Master Control Systems, Spacecraft</v>
      </c>
    </row>
    <row r="6289" spans="1:7" x14ac:dyDescent="0.25">
      <c r="A6289" s="1" t="str">
        <f t="shared" si="405"/>
        <v>804</v>
      </c>
      <c r="B6289" s="1" t="str">
        <f>TEXT(42,"00")</f>
        <v>42</v>
      </c>
      <c r="C6289" s="1" t="str">
        <f t="shared" si="403"/>
        <v>804-42</v>
      </c>
      <c r="D6289" t="s">
        <v>6261</v>
      </c>
      <c r="E6289" t="b">
        <f>IF(COUNTIF(D6289,"*"&amp;'Keyword Search'!$C$5&amp;"*"),TRUE,FALSE)</f>
        <v>1</v>
      </c>
      <c r="G6289" t="str">
        <f t="shared" si="404"/>
        <v>804-42: Flight Instrumentation, Aerospace</v>
      </c>
    </row>
    <row r="6290" spans="1:7" x14ac:dyDescent="0.25">
      <c r="A6290" s="1" t="str">
        <f t="shared" si="405"/>
        <v>804</v>
      </c>
      <c r="B6290" s="1" t="str">
        <f>TEXT(53,"00")</f>
        <v>53</v>
      </c>
      <c r="C6290" s="1" t="str">
        <f t="shared" si="403"/>
        <v>804-53</v>
      </c>
      <c r="D6290" t="s">
        <v>6262</v>
      </c>
      <c r="E6290" t="b">
        <f>IF(COUNTIF(D6290,"*"&amp;'Keyword Search'!$C$5&amp;"*"),TRUE,FALSE)</f>
        <v>1</v>
      </c>
      <c r="G6290" t="str">
        <f t="shared" si="404"/>
        <v>804-53: Payload Delivery Systems, Spacecraft</v>
      </c>
    </row>
    <row r="6291" spans="1:7" x14ac:dyDescent="0.25">
      <c r="A6291" s="1" t="str">
        <f t="shared" si="405"/>
        <v>804</v>
      </c>
      <c r="B6291" s="1" t="str">
        <f>TEXT(57,"00")</f>
        <v>57</v>
      </c>
      <c r="C6291" s="1" t="str">
        <f t="shared" si="403"/>
        <v>804-57</v>
      </c>
      <c r="D6291" t="s">
        <v>6263</v>
      </c>
      <c r="E6291" t="b">
        <f>IF(COUNTIF(D6291,"*"&amp;'Keyword Search'!$C$5&amp;"*"),TRUE,FALSE)</f>
        <v>1</v>
      </c>
      <c r="G6291" t="str">
        <f t="shared" si="404"/>
        <v>804-57: Power Systems, Spacecraft, Solar Arrays, Solar Cells, etc.</v>
      </c>
    </row>
    <row r="6292" spans="1:7" x14ac:dyDescent="0.25">
      <c r="A6292" s="1" t="str">
        <f t="shared" si="405"/>
        <v>804</v>
      </c>
      <c r="B6292" s="1" t="str">
        <f>TEXT(74,"00")</f>
        <v>74</v>
      </c>
      <c r="C6292" s="1" t="str">
        <f t="shared" si="403"/>
        <v>804-74</v>
      </c>
      <c r="D6292" t="s">
        <v>6264</v>
      </c>
      <c r="E6292" t="b">
        <f>IF(COUNTIF(D6292,"*"&amp;'Keyword Search'!$C$5&amp;"*"),TRUE,FALSE)</f>
        <v>1</v>
      </c>
      <c r="G6292" t="str">
        <f t="shared" si="404"/>
        <v>804-74: Satellites, Navigation, Geosynchrous, Orbiting, etc., (See 257-75 for Military Types)</v>
      </c>
    </row>
    <row r="6293" spans="1:7" x14ac:dyDescent="0.25">
      <c r="A6293" s="1" t="str">
        <f t="shared" si="405"/>
        <v>804</v>
      </c>
      <c r="B6293" s="1" t="str">
        <f>TEXT(76,"00")</f>
        <v>76</v>
      </c>
      <c r="C6293" s="1" t="str">
        <f t="shared" si="403"/>
        <v>804-76</v>
      </c>
      <c r="D6293" t="s">
        <v>6265</v>
      </c>
      <c r="E6293" t="b">
        <f>IF(COUNTIF(D6293,"*"&amp;'Keyword Search'!$C$5&amp;"*"),TRUE,FALSE)</f>
        <v>1</v>
      </c>
      <c r="G6293" t="str">
        <f t="shared" si="404"/>
        <v>804-76: Service Modules, Spacecraft</v>
      </c>
    </row>
    <row r="6294" spans="1:7" x14ac:dyDescent="0.25">
      <c r="A6294" s="1" t="str">
        <f t="shared" si="405"/>
        <v>804</v>
      </c>
      <c r="B6294" s="1" t="str">
        <f>TEXT(77,"00")</f>
        <v>77</v>
      </c>
      <c r="C6294" s="1" t="str">
        <f t="shared" si="403"/>
        <v>804-77</v>
      </c>
      <c r="D6294" t="s">
        <v>6266</v>
      </c>
      <c r="E6294" t="b">
        <f>IF(COUNTIF(D6294,"*"&amp;'Keyword Search'!$C$5&amp;"*"),TRUE,FALSE)</f>
        <v>1</v>
      </c>
      <c r="G6294" t="str">
        <f t="shared" si="404"/>
        <v>804-77: Spacecrafts</v>
      </c>
    </row>
    <row r="6295" spans="1:7" x14ac:dyDescent="0.25">
      <c r="A6295" s="1" t="str">
        <f t="shared" si="405"/>
        <v>804</v>
      </c>
      <c r="B6295" s="1" t="str">
        <f>TEXT(95,"00")</f>
        <v>95</v>
      </c>
      <c r="C6295" s="1" t="str">
        <f t="shared" si="403"/>
        <v>804-95</v>
      </c>
      <c r="D6295" t="s">
        <v>6267</v>
      </c>
      <c r="E6295" t="b">
        <f>IF(COUNTIF(D6295,"*"&amp;'Keyword Search'!$C$5&amp;"*"),TRUE,FALSE)</f>
        <v>1</v>
      </c>
      <c r="G6295" t="str">
        <f t="shared" si="404"/>
        <v>804-95: Recycled Spacecrafts, Components and Accessories</v>
      </c>
    </row>
    <row r="6296" spans="1:7" x14ac:dyDescent="0.25">
      <c r="A6296" s="5" t="str">
        <f t="shared" ref="A6296:A6355" si="406">TEXT(805,"000")</f>
        <v>805</v>
      </c>
      <c r="B6296" s="5" t="str">
        <f>TEXT(0,"00")</f>
        <v>00</v>
      </c>
      <c r="C6296" s="1"/>
      <c r="D6296" s="2" t="s">
        <v>6268</v>
      </c>
    </row>
    <row r="6297" spans="1:7" x14ac:dyDescent="0.25">
      <c r="A6297" s="1" t="str">
        <f t="shared" si="406"/>
        <v>805</v>
      </c>
      <c r="B6297" s="1" t="str">
        <f>TEXT(5,"00")</f>
        <v>05</v>
      </c>
      <c r="C6297" s="1" t="str">
        <f t="shared" si="403"/>
        <v>805-05</v>
      </c>
      <c r="D6297" t="s">
        <v>6269</v>
      </c>
      <c r="E6297" t="b">
        <f>IF(COUNTIF(D6297,"*"&amp;'Keyword Search'!$C$5&amp;"*"),TRUE,FALSE)</f>
        <v>1</v>
      </c>
      <c r="G6297" t="str">
        <f t="shared" si="404"/>
        <v>805-05: Aerobic Training Equipment</v>
      </c>
    </row>
    <row r="6298" spans="1:7" x14ac:dyDescent="0.25">
      <c r="A6298" s="1" t="str">
        <f t="shared" si="406"/>
        <v>805</v>
      </c>
      <c r="B6298" s="1" t="str">
        <f>TEXT(9,"00")</f>
        <v>09</v>
      </c>
      <c r="C6298" s="1" t="str">
        <f t="shared" si="403"/>
        <v>805-09</v>
      </c>
      <c r="D6298" t="s">
        <v>6270</v>
      </c>
      <c r="E6298" t="b">
        <f>IF(COUNTIF(D6298,"*"&amp;'Keyword Search'!$C$5&amp;"*"),TRUE,FALSE)</f>
        <v>1</v>
      </c>
      <c r="G6298" t="str">
        <f t="shared" si="404"/>
        <v>805-09: Archery Equipment</v>
      </c>
    </row>
    <row r="6299" spans="1:7" x14ac:dyDescent="0.25">
      <c r="A6299" s="1" t="str">
        <f t="shared" si="406"/>
        <v>805</v>
      </c>
      <c r="B6299" s="1" t="str">
        <f>TEXT(10,"00")</f>
        <v>10</v>
      </c>
      <c r="C6299" s="1" t="str">
        <f t="shared" si="403"/>
        <v>805-10</v>
      </c>
      <c r="D6299" t="s">
        <v>6271</v>
      </c>
      <c r="E6299" t="b">
        <f>IF(COUNTIF(D6299,"*"&amp;'Keyword Search'!$C$5&amp;"*"),TRUE,FALSE)</f>
        <v>1</v>
      </c>
      <c r="G6299" t="str">
        <f t="shared" si="404"/>
        <v>805-10: Athletic Benches</v>
      </c>
    </row>
    <row r="6300" spans="1:7" x14ac:dyDescent="0.25">
      <c r="A6300" s="1" t="str">
        <f t="shared" si="406"/>
        <v>805</v>
      </c>
      <c r="B6300" s="1" t="str">
        <f>TEXT(15,"00")</f>
        <v>15</v>
      </c>
      <c r="C6300" s="1" t="str">
        <f t="shared" si="403"/>
        <v>805-15</v>
      </c>
      <c r="D6300" t="s">
        <v>6272</v>
      </c>
      <c r="E6300" t="b">
        <f>IF(COUNTIF(D6300,"*"&amp;'Keyword Search'!$C$5&amp;"*"),TRUE,FALSE)</f>
        <v>1</v>
      </c>
      <c r="G6300" t="str">
        <f t="shared" si="404"/>
        <v>805-15: Athletic Awards: Medals, Plaques, Trophies, etc., (See Class 080 For Service Type)</v>
      </c>
    </row>
    <row r="6301" spans="1:7" x14ac:dyDescent="0.25">
      <c r="A6301" s="1" t="str">
        <f t="shared" si="406"/>
        <v>805</v>
      </c>
      <c r="B6301" s="1" t="str">
        <f>TEXT(16,"00")</f>
        <v>16</v>
      </c>
      <c r="C6301" s="1" t="str">
        <f t="shared" si="403"/>
        <v>805-16</v>
      </c>
      <c r="D6301" t="s">
        <v>6273</v>
      </c>
      <c r="E6301" t="b">
        <f>IF(COUNTIF(D6301,"*"&amp;'Keyword Search'!$C$5&amp;"*"),TRUE,FALSE)</f>
        <v>1</v>
      </c>
      <c r="G6301" t="str">
        <f t="shared" si="404"/>
        <v>805-16: Athletic Facility Storage Equipment, Including Locker Room Equipment</v>
      </c>
    </row>
    <row r="6302" spans="1:7" x14ac:dyDescent="0.25">
      <c r="A6302" s="1" t="str">
        <f t="shared" si="406"/>
        <v>805</v>
      </c>
      <c r="B6302" s="1" t="str">
        <f>TEXT(17,"00")</f>
        <v>17</v>
      </c>
      <c r="C6302" s="1" t="str">
        <f t="shared" si="403"/>
        <v>805-17</v>
      </c>
      <c r="D6302" t="s">
        <v>6274</v>
      </c>
      <c r="E6302" t="b">
        <f>IF(COUNTIF(D6302,"*"&amp;'Keyword Search'!$C$5&amp;"*"),TRUE,FALSE)</f>
        <v>1</v>
      </c>
      <c r="G6302" t="str">
        <f t="shared" si="404"/>
        <v>805-17: Athletic Field Markers, Goal Posts, Bases, Goals, etc., Including Athletic Field Striping Machines</v>
      </c>
    </row>
    <row r="6303" spans="1:7" x14ac:dyDescent="0.25">
      <c r="A6303" s="1" t="str">
        <f t="shared" si="406"/>
        <v>805</v>
      </c>
      <c r="B6303" s="1" t="str">
        <f>TEXT(18,"00")</f>
        <v>18</v>
      </c>
      <c r="C6303" s="1" t="str">
        <f t="shared" si="403"/>
        <v>805-18</v>
      </c>
      <c r="D6303" t="s">
        <v>6275</v>
      </c>
      <c r="E6303" t="b">
        <f>IF(COUNTIF(D6303,"*"&amp;'Keyword Search'!$C$5&amp;"*"),TRUE,FALSE)</f>
        <v>1</v>
      </c>
      <c r="G6303" t="str">
        <f t="shared" si="404"/>
        <v>805-18: Athletic Field Groomers and Equipment, Artificial Turf</v>
      </c>
    </row>
    <row r="6304" spans="1:7" x14ac:dyDescent="0.25">
      <c r="A6304" s="1" t="str">
        <f t="shared" si="406"/>
        <v>805</v>
      </c>
      <c r="B6304" s="1" t="str">
        <f>TEXT(21,"00")</f>
        <v>21</v>
      </c>
      <c r="C6304" s="1" t="str">
        <f t="shared" si="403"/>
        <v>805-21</v>
      </c>
      <c r="D6304" t="s">
        <v>6276</v>
      </c>
      <c r="E6304" t="b">
        <f>IF(COUNTIF(D6304,"*"&amp;'Keyword Search'!$C$5&amp;"*"),TRUE,FALSE)</f>
        <v>1</v>
      </c>
      <c r="G6304" t="str">
        <f t="shared" si="404"/>
        <v>805-21: Badminton Equipment</v>
      </c>
    </row>
    <row r="6305" spans="1:7" x14ac:dyDescent="0.25">
      <c r="A6305" s="1" t="str">
        <f t="shared" si="406"/>
        <v>805</v>
      </c>
      <c r="B6305" s="1" t="str">
        <f>TEXT(22,"00")</f>
        <v>22</v>
      </c>
      <c r="C6305" s="1" t="str">
        <f t="shared" si="403"/>
        <v>805-22</v>
      </c>
      <c r="D6305" t="s">
        <v>6277</v>
      </c>
      <c r="E6305" t="b">
        <f>IF(COUNTIF(D6305,"*"&amp;'Keyword Search'!$C$5&amp;"*"),TRUE,FALSE)</f>
        <v>1</v>
      </c>
      <c r="G6305" t="str">
        <f t="shared" si="404"/>
        <v>805-22: Balls, (Not Otherwise Classified): Medicine, Playground, Push, etc., and Inflators</v>
      </c>
    </row>
    <row r="6306" spans="1:7" x14ac:dyDescent="0.25">
      <c r="A6306" s="1" t="str">
        <f t="shared" si="406"/>
        <v>805</v>
      </c>
      <c r="B6306" s="1" t="str">
        <f>TEXT(23,"00")</f>
        <v>23</v>
      </c>
      <c r="C6306" s="1" t="str">
        <f t="shared" si="403"/>
        <v>805-23</v>
      </c>
      <c r="D6306" t="s">
        <v>6278</v>
      </c>
      <c r="E6306" t="b">
        <f>IF(COUNTIF(D6306,"*"&amp;'Keyword Search'!$C$5&amp;"*"),TRUE,FALSE)</f>
        <v>1</v>
      </c>
      <c r="G6306" t="str">
        <f t="shared" si="404"/>
        <v>805-23: Bags, Sports Equipment</v>
      </c>
    </row>
    <row r="6307" spans="1:7" x14ac:dyDescent="0.25">
      <c r="A6307" s="1" t="str">
        <f t="shared" si="406"/>
        <v>805</v>
      </c>
      <c r="B6307" s="1" t="str">
        <f>TEXT(24,"00")</f>
        <v>24</v>
      </c>
      <c r="C6307" s="1" t="str">
        <f t="shared" si="403"/>
        <v>805-24</v>
      </c>
      <c r="D6307" t="s">
        <v>6279</v>
      </c>
      <c r="E6307" t="b">
        <f>IF(COUNTIF(D6307,"*"&amp;'Keyword Search'!$C$5&amp;"*"),TRUE,FALSE)</f>
        <v>1</v>
      </c>
      <c r="G6307" t="str">
        <f t="shared" si="404"/>
        <v>805-24: Baseball Equipment</v>
      </c>
    </row>
    <row r="6308" spans="1:7" x14ac:dyDescent="0.25">
      <c r="A6308" s="1" t="str">
        <f t="shared" si="406"/>
        <v>805</v>
      </c>
      <c r="B6308" s="1" t="str">
        <f>TEXT(30,"00")</f>
        <v>30</v>
      </c>
      <c r="C6308" s="1" t="str">
        <f t="shared" si="403"/>
        <v>805-30</v>
      </c>
      <c r="D6308" t="s">
        <v>6280</v>
      </c>
      <c r="E6308" t="b">
        <f>IF(COUNTIF(D6308,"*"&amp;'Keyword Search'!$C$5&amp;"*"),TRUE,FALSE)</f>
        <v>1</v>
      </c>
      <c r="G6308" t="str">
        <f t="shared" si="404"/>
        <v>805-30: Basketball Equipment, Including Backboards and Backstops</v>
      </c>
    </row>
    <row r="6309" spans="1:7" x14ac:dyDescent="0.25">
      <c r="A6309" s="1" t="str">
        <f t="shared" si="406"/>
        <v>805</v>
      </c>
      <c r="B6309" s="1" t="str">
        <f>TEXT(34,"00")</f>
        <v>34</v>
      </c>
      <c r="C6309" s="1" t="str">
        <f t="shared" si="403"/>
        <v>805-34</v>
      </c>
      <c r="D6309" t="s">
        <v>6281</v>
      </c>
      <c r="E6309" t="b">
        <f>IF(COUNTIF(D6309,"*"&amp;'Keyword Search'!$C$5&amp;"*"),TRUE,FALSE)</f>
        <v>1</v>
      </c>
      <c r="G6309" t="str">
        <f t="shared" si="404"/>
        <v>805-34: Bicycles and Tricycles, All Types: Children's, Mountain, Racing, Recumbent, Tandem, Touring, etc. (See 805-05 for Stationary Bikes and 805-57 for Exercise Bikes)</v>
      </c>
    </row>
    <row r="6310" spans="1:7" x14ac:dyDescent="0.25">
      <c r="A6310" s="1" t="str">
        <f t="shared" si="406"/>
        <v>805</v>
      </c>
      <c r="B6310" s="1" t="str">
        <f>TEXT(35,"00")</f>
        <v>35</v>
      </c>
      <c r="C6310" s="1" t="str">
        <f t="shared" si="403"/>
        <v>805-35</v>
      </c>
      <c r="D6310" t="s">
        <v>6282</v>
      </c>
      <c r="E6310" t="b">
        <f>IF(COUNTIF(D6310,"*"&amp;'Keyword Search'!$C$5&amp;"*"),TRUE,FALSE)</f>
        <v>1</v>
      </c>
      <c r="G6310" t="str">
        <f t="shared" si="404"/>
        <v>805-35: Bicycle Accessories Including Tires and Tubes</v>
      </c>
    </row>
    <row r="6311" spans="1:7" x14ac:dyDescent="0.25">
      <c r="A6311" s="1" t="str">
        <f t="shared" si="406"/>
        <v>805</v>
      </c>
      <c r="B6311" s="1" t="str">
        <f>TEXT(36,"00")</f>
        <v>36</v>
      </c>
      <c r="C6311" s="1" t="str">
        <f t="shared" si="403"/>
        <v>805-36</v>
      </c>
      <c r="D6311" t="s">
        <v>6283</v>
      </c>
      <c r="E6311" t="b">
        <f>IF(COUNTIF(D6311,"*"&amp;'Keyword Search'!$C$5&amp;"*"),TRUE,FALSE)</f>
        <v>1</v>
      </c>
      <c r="G6311" t="str">
        <f t="shared" si="404"/>
        <v>805-36: Billiard and Pool Tables and Supplies</v>
      </c>
    </row>
    <row r="6312" spans="1:7" x14ac:dyDescent="0.25">
      <c r="A6312" s="1" t="str">
        <f t="shared" si="406"/>
        <v>805</v>
      </c>
      <c r="B6312" s="1" t="str">
        <f>TEXT(37,"00")</f>
        <v>37</v>
      </c>
      <c r="C6312" s="1" t="str">
        <f t="shared" si="403"/>
        <v>805-37</v>
      </c>
      <c r="D6312" t="s">
        <v>6284</v>
      </c>
      <c r="E6312" t="b">
        <f>IF(COUNTIF(D6312,"*"&amp;'Keyword Search'!$C$5&amp;"*"),TRUE,FALSE)</f>
        <v>1</v>
      </c>
      <c r="G6312" t="str">
        <f t="shared" si="404"/>
        <v>805-37: Bobsled Equipment and Accessories</v>
      </c>
    </row>
    <row r="6313" spans="1:7" x14ac:dyDescent="0.25">
      <c r="A6313" s="1" t="str">
        <f t="shared" si="406"/>
        <v>805</v>
      </c>
      <c r="B6313" s="1" t="str">
        <f>TEXT(38,"00")</f>
        <v>38</v>
      </c>
      <c r="C6313" s="1" t="str">
        <f t="shared" si="403"/>
        <v>805-38</v>
      </c>
      <c r="D6313" t="s">
        <v>6285</v>
      </c>
      <c r="E6313" t="b">
        <f>IF(COUNTIF(D6313,"*"&amp;'Keyword Search'!$C$5&amp;"*"),TRUE,FALSE)</f>
        <v>1</v>
      </c>
      <c r="G6313" t="str">
        <f t="shared" si="404"/>
        <v>805-38: Bungee Equipment and Accessories</v>
      </c>
    </row>
    <row r="6314" spans="1:7" x14ac:dyDescent="0.25">
      <c r="A6314" s="1" t="str">
        <f t="shared" si="406"/>
        <v>805</v>
      </c>
      <c r="B6314" s="1" t="str">
        <f>TEXT(39,"00")</f>
        <v>39</v>
      </c>
      <c r="C6314" s="1" t="str">
        <f t="shared" si="403"/>
        <v>805-39</v>
      </c>
      <c r="D6314" t="s">
        <v>6286</v>
      </c>
      <c r="E6314" t="b">
        <f>IF(COUNTIF(D6314,"*"&amp;'Keyword Search'!$C$5&amp;"*"),TRUE,FALSE)</f>
        <v>1</v>
      </c>
      <c r="G6314" t="str">
        <f t="shared" si="404"/>
        <v>805-39: Bowling Equipment, Including Lawn Bowling</v>
      </c>
    </row>
    <row r="6315" spans="1:7" x14ac:dyDescent="0.25">
      <c r="A6315" s="1" t="str">
        <f t="shared" si="406"/>
        <v>805</v>
      </c>
      <c r="B6315" s="1" t="str">
        <f>TEXT(40,"00")</f>
        <v>40</v>
      </c>
      <c r="C6315" s="1" t="str">
        <f t="shared" si="403"/>
        <v>805-40</v>
      </c>
      <c r="D6315" t="s">
        <v>6287</v>
      </c>
      <c r="E6315" t="b">
        <f>IF(COUNTIF(D6315,"*"&amp;'Keyword Search'!$C$5&amp;"*"),TRUE,FALSE)</f>
        <v>1</v>
      </c>
      <c r="G6315" t="str">
        <f t="shared" si="404"/>
        <v>805-40: Coaching Equipment and Supplies</v>
      </c>
    </row>
    <row r="6316" spans="1:7" x14ac:dyDescent="0.25">
      <c r="A6316" s="1" t="str">
        <f t="shared" si="406"/>
        <v>805</v>
      </c>
      <c r="B6316" s="1" t="str">
        <f>TEXT(41,"00")</f>
        <v>41</v>
      </c>
      <c r="C6316" s="1" t="str">
        <f t="shared" si="403"/>
        <v>805-41</v>
      </c>
      <c r="D6316" t="s">
        <v>6288</v>
      </c>
      <c r="E6316" t="b">
        <f>IF(COUNTIF(D6316,"*"&amp;'Keyword Search'!$C$5&amp;"*"),TRUE,FALSE)</f>
        <v>1</v>
      </c>
      <c r="G6316" t="str">
        <f t="shared" si="404"/>
        <v>805-41: Cricket Equipment and Accessories</v>
      </c>
    </row>
    <row r="6317" spans="1:7" x14ac:dyDescent="0.25">
      <c r="A6317" s="1" t="str">
        <f t="shared" si="406"/>
        <v>805</v>
      </c>
      <c r="B6317" s="1" t="str">
        <f>TEXT(42,"00")</f>
        <v>42</v>
      </c>
      <c r="C6317" s="1" t="str">
        <f t="shared" si="403"/>
        <v>805-42</v>
      </c>
      <c r="D6317" t="s">
        <v>6289</v>
      </c>
      <c r="E6317" t="b">
        <f>IF(COUNTIF(D6317,"*"&amp;'Keyword Search'!$C$5&amp;"*"),TRUE,FALSE)</f>
        <v>1</v>
      </c>
      <c r="G6317" t="str">
        <f t="shared" si="404"/>
        <v>805-42: Boxing and Wrestling Equipment: Gloves, Platforms, Rings, Striking Bags, Training Bags, etc.</v>
      </c>
    </row>
    <row r="6318" spans="1:7" x14ac:dyDescent="0.25">
      <c r="A6318" s="1" t="str">
        <f t="shared" si="406"/>
        <v>805</v>
      </c>
      <c r="B6318" s="1" t="str">
        <f>TEXT(43,"00")</f>
        <v>43</v>
      </c>
      <c r="C6318" s="1" t="str">
        <f t="shared" si="403"/>
        <v>805-43</v>
      </c>
      <c r="D6318" t="s">
        <v>6290</v>
      </c>
      <c r="E6318" t="b">
        <f>IF(COUNTIF(D6318,"*"&amp;'Keyword Search'!$C$5&amp;"*"),TRUE,FALSE)</f>
        <v>1</v>
      </c>
      <c r="G6318" t="str">
        <f t="shared" si="404"/>
        <v>805-43: Climbing and Rappelling Equipment</v>
      </c>
    </row>
    <row r="6319" spans="1:7" x14ac:dyDescent="0.25">
      <c r="A6319" s="1" t="str">
        <f t="shared" si="406"/>
        <v>805</v>
      </c>
      <c r="B6319" s="1" t="str">
        <f>TEXT(44,"00")</f>
        <v>44</v>
      </c>
      <c r="C6319" s="1" t="str">
        <f t="shared" si="403"/>
        <v>805-44</v>
      </c>
      <c r="D6319" t="s">
        <v>6291</v>
      </c>
      <c r="E6319" t="b">
        <f>IF(COUNTIF(D6319,"*"&amp;'Keyword Search'!$C$5&amp;"*"),TRUE,FALSE)</f>
        <v>1</v>
      </c>
      <c r="G6319" t="str">
        <f t="shared" si="404"/>
        <v>805-44: Equestrian Equipment, Clothing and Supplies, Including Polo</v>
      </c>
    </row>
    <row r="6320" spans="1:7" x14ac:dyDescent="0.25">
      <c r="A6320" s="1" t="str">
        <f t="shared" si="406"/>
        <v>805</v>
      </c>
      <c r="B6320" s="1" t="str">
        <f>TEXT(45,"00")</f>
        <v>45</v>
      </c>
      <c r="C6320" s="1" t="str">
        <f t="shared" si="403"/>
        <v>805-45</v>
      </c>
      <c r="D6320" t="s">
        <v>6292</v>
      </c>
      <c r="E6320" t="b">
        <f>IF(COUNTIF(D6320,"*"&amp;'Keyword Search'!$C$5&amp;"*"),TRUE,FALSE)</f>
        <v>1</v>
      </c>
      <c r="G6320" t="str">
        <f t="shared" si="404"/>
        <v>805-45: *Fencing Equipment, Sport</v>
      </c>
    </row>
    <row r="6321" spans="1:7" x14ac:dyDescent="0.25">
      <c r="A6321" s="1" t="str">
        <f t="shared" si="406"/>
        <v>805</v>
      </c>
      <c r="B6321" s="1" t="str">
        <f>TEXT(46,"00")</f>
        <v>46</v>
      </c>
      <c r="C6321" s="1" t="str">
        <f t="shared" si="403"/>
        <v>805-46</v>
      </c>
      <c r="D6321" t="s">
        <v>6293</v>
      </c>
      <c r="E6321" t="b">
        <f>IF(COUNTIF(D6321,"*"&amp;'Keyword Search'!$C$5&amp;"*"),TRUE,FALSE)</f>
        <v>1</v>
      </c>
      <c r="G6321" t="str">
        <f t="shared" si="404"/>
        <v>805-46: Flip Score Cards</v>
      </c>
    </row>
    <row r="6322" spans="1:7" x14ac:dyDescent="0.25">
      <c r="A6322" s="1" t="str">
        <f t="shared" si="406"/>
        <v>805</v>
      </c>
      <c r="B6322" s="1" t="str">
        <f>TEXT(47,"00")</f>
        <v>47</v>
      </c>
      <c r="C6322" s="1" t="str">
        <f t="shared" si="403"/>
        <v>805-47</v>
      </c>
      <c r="D6322" t="s">
        <v>6294</v>
      </c>
      <c r="E6322" t="b">
        <f>IF(COUNTIF(D6322,"*"&amp;'Keyword Search'!$C$5&amp;"*"),TRUE,FALSE)</f>
        <v>1</v>
      </c>
      <c r="G6322" t="str">
        <f t="shared" si="404"/>
        <v>805-47: Flooring, Temporary Portable, Athletic Facility</v>
      </c>
    </row>
    <row r="6323" spans="1:7" x14ac:dyDescent="0.25">
      <c r="A6323" s="1" t="str">
        <f t="shared" si="406"/>
        <v>805</v>
      </c>
      <c r="B6323" s="1" t="str">
        <f>TEXT(48,"00")</f>
        <v>48</v>
      </c>
      <c r="C6323" s="1" t="str">
        <f t="shared" si="403"/>
        <v>805-48</v>
      </c>
      <c r="D6323" t="s">
        <v>6295</v>
      </c>
      <c r="E6323" t="b">
        <f>IF(COUNTIF(D6323,"*"&amp;'Keyword Search'!$C$5&amp;"*"),TRUE,FALSE)</f>
        <v>1</v>
      </c>
      <c r="G6323" t="str">
        <f t="shared" si="404"/>
        <v>805-48: Football Equipment</v>
      </c>
    </row>
    <row r="6324" spans="1:7" x14ac:dyDescent="0.25">
      <c r="A6324" s="1" t="str">
        <f t="shared" si="406"/>
        <v>805</v>
      </c>
      <c r="B6324" s="1" t="str">
        <f>TEXT(50,"00")</f>
        <v>50</v>
      </c>
      <c r="C6324" s="1" t="str">
        <f t="shared" si="403"/>
        <v>805-50</v>
      </c>
      <c r="D6324" t="s">
        <v>6296</v>
      </c>
      <c r="E6324" t="b">
        <f>IF(COUNTIF(D6324,"*"&amp;'Keyword Search'!$C$5&amp;"*"),TRUE,FALSE)</f>
        <v>1</v>
      </c>
      <c r="G6324" t="str">
        <f t="shared" si="404"/>
        <v>805-50: Jumping and Parachuting Equipment</v>
      </c>
    </row>
    <row r="6325" spans="1:7" x14ac:dyDescent="0.25">
      <c r="A6325" s="1" t="str">
        <f t="shared" si="406"/>
        <v>805</v>
      </c>
      <c r="B6325" s="1" t="str">
        <f>TEXT(51,"00")</f>
        <v>51</v>
      </c>
      <c r="C6325" s="1" t="str">
        <f t="shared" si="403"/>
        <v>805-51</v>
      </c>
      <c r="D6325" t="s">
        <v>6297</v>
      </c>
      <c r="E6325" t="b">
        <f>IF(COUNTIF(D6325,"*"&amp;'Keyword Search'!$C$5&amp;"*"),TRUE,FALSE)</f>
        <v>1</v>
      </c>
      <c r="G6325" t="str">
        <f t="shared" si="404"/>
        <v>805-51: Games: Croquet, Dart Boards, Horseshoes, Shuffleboards, Table Tennis, Tetherball, etc. (See 037-84; 208-47; 209-48; and 785-53 for other type games)</v>
      </c>
    </row>
    <row r="6326" spans="1:7" x14ac:dyDescent="0.25">
      <c r="A6326" s="1" t="str">
        <f t="shared" si="406"/>
        <v>805</v>
      </c>
      <c r="B6326" s="1" t="str">
        <f>TEXT(54,"00")</f>
        <v>54</v>
      </c>
      <c r="C6326" s="1" t="str">
        <f t="shared" si="403"/>
        <v>805-54</v>
      </c>
      <c r="D6326" t="s">
        <v>6298</v>
      </c>
      <c r="E6326" t="b">
        <f>IF(COUNTIF(D6326,"*"&amp;'Keyword Search'!$C$5&amp;"*"),TRUE,FALSE)</f>
        <v>1</v>
      </c>
      <c r="G6326" t="str">
        <f t="shared" si="404"/>
        <v>805-54: Golfing Equipment</v>
      </c>
    </row>
    <row r="6327" spans="1:7" x14ac:dyDescent="0.25">
      <c r="A6327" s="1" t="str">
        <f t="shared" si="406"/>
        <v>805</v>
      </c>
      <c r="B6327" s="1" t="str">
        <f>TEXT(57,"00")</f>
        <v>57</v>
      </c>
      <c r="C6327" s="1" t="str">
        <f t="shared" si="403"/>
        <v>805-57</v>
      </c>
      <c r="D6327" t="s">
        <v>6299</v>
      </c>
      <c r="E6327" t="b">
        <f>IF(COUNTIF(D6327,"*"&amp;'Keyword Search'!$C$5&amp;"*"),TRUE,FALSE)</f>
        <v>1</v>
      </c>
      <c r="G6327" t="str">
        <f t="shared" si="404"/>
        <v>805-57: Gymnasium Apparatus and Equipment: Bicycle Trainers, Climbing Ropes, Exerciser Units, Game Standards, Horizontal, Parallel, and Stall Bars</v>
      </c>
    </row>
    <row r="6328" spans="1:7" x14ac:dyDescent="0.25">
      <c r="A6328" s="1" t="str">
        <f t="shared" si="406"/>
        <v>805</v>
      </c>
      <c r="B6328" s="1" t="str">
        <f>TEXT(58,"00")</f>
        <v>58</v>
      </c>
      <c r="C6328" s="1" t="str">
        <f t="shared" si="403"/>
        <v>805-58</v>
      </c>
      <c r="D6328" t="s">
        <v>6300</v>
      </c>
      <c r="E6328" t="b">
        <f>IF(COUNTIF(D6328,"*"&amp;'Keyword Search'!$C$5&amp;"*"),TRUE,FALSE)</f>
        <v>1</v>
      </c>
      <c r="G6328" t="str">
        <f t="shared" si="404"/>
        <v>805-58: LaCrosse Equipment and Accessories</v>
      </c>
    </row>
    <row r="6329" spans="1:7" x14ac:dyDescent="0.25">
      <c r="A6329" s="1" t="str">
        <f t="shared" si="406"/>
        <v>805</v>
      </c>
      <c r="B6329" s="1" t="str">
        <f>TEXT(59,"00")</f>
        <v>59</v>
      </c>
      <c r="C6329" s="1" t="str">
        <f t="shared" si="403"/>
        <v>805-59</v>
      </c>
      <c r="D6329" t="s">
        <v>6301</v>
      </c>
      <c r="E6329" t="b">
        <f>IF(COUNTIF(D6329,"*"&amp;'Keyword Search'!$C$5&amp;"*"),TRUE,FALSE)</f>
        <v>1</v>
      </c>
      <c r="G6329" t="str">
        <f t="shared" si="404"/>
        <v>805-59: Hunting Equipment and Accessories, Including Decoys and Blinds, (See Class 680 For Weapons)</v>
      </c>
    </row>
    <row r="6330" spans="1:7" x14ac:dyDescent="0.25">
      <c r="A6330" s="1" t="str">
        <f t="shared" si="406"/>
        <v>805</v>
      </c>
      <c r="B6330" s="1" t="str">
        <f>TEXT(60,"00")</f>
        <v>60</v>
      </c>
      <c r="C6330" s="1" t="str">
        <f t="shared" si="403"/>
        <v>805-60</v>
      </c>
      <c r="D6330" t="s">
        <v>6302</v>
      </c>
      <c r="E6330" t="b">
        <f>IF(COUNTIF(D6330,"*"&amp;'Keyword Search'!$C$5&amp;"*"),TRUE,FALSE)</f>
        <v>1</v>
      </c>
      <c r="G6330" t="str">
        <f t="shared" si="404"/>
        <v>805-60: Gymnasium Mats, Covers, Hangers, and Trucks</v>
      </c>
    </row>
    <row r="6331" spans="1:7" x14ac:dyDescent="0.25">
      <c r="A6331" s="1" t="str">
        <f t="shared" si="406"/>
        <v>805</v>
      </c>
      <c r="B6331" s="1" t="str">
        <f>TEXT(61,"00")</f>
        <v>61</v>
      </c>
      <c r="C6331" s="1" t="str">
        <f t="shared" si="403"/>
        <v>805-61</v>
      </c>
      <c r="D6331" t="s">
        <v>6303</v>
      </c>
      <c r="E6331" t="b">
        <f>IF(COUNTIF(D6331,"*"&amp;'Keyword Search'!$C$5&amp;"*"),TRUE,FALSE)</f>
        <v>1</v>
      </c>
      <c r="G6331" t="str">
        <f t="shared" si="404"/>
        <v>805-61: Hockey Equipment, Ice and Field</v>
      </c>
    </row>
    <row r="6332" spans="1:7" x14ac:dyDescent="0.25">
      <c r="A6332" s="1" t="str">
        <f t="shared" si="406"/>
        <v>805</v>
      </c>
      <c r="B6332" s="1" t="str">
        <f>TEXT(62,"00")</f>
        <v>62</v>
      </c>
      <c r="C6332" s="1" t="str">
        <f t="shared" si="403"/>
        <v>805-62</v>
      </c>
      <c r="D6332" t="s">
        <v>6304</v>
      </c>
      <c r="E6332" t="b">
        <f>IF(COUNTIF(D6332,"*"&amp;'Keyword Search'!$C$5&amp;"*"),TRUE,FALSE)</f>
        <v>1</v>
      </c>
      <c r="G6332" t="str">
        <f t="shared" si="404"/>
        <v>805-62: Physical Education Equipment, Adaptive: Body Alignment Wedges, Mobile Mats, Stimulation Boards, Straddle Seats, Vestibular Boards, etc.</v>
      </c>
    </row>
    <row r="6333" spans="1:7" x14ac:dyDescent="0.25">
      <c r="A6333" s="1" t="str">
        <f t="shared" si="406"/>
        <v>805</v>
      </c>
      <c r="B6333" s="1" t="str">
        <f>TEXT(63,"00")</f>
        <v>63</v>
      </c>
      <c r="C6333" s="1" t="str">
        <f t="shared" si="403"/>
        <v>805-63</v>
      </c>
      <c r="D6333" t="s">
        <v>6305</v>
      </c>
      <c r="E6333" t="b">
        <f>IF(COUNTIF(D6333,"*"&amp;'Keyword Search'!$C$5&amp;"*"),TRUE,FALSE)</f>
        <v>1</v>
      </c>
      <c r="G6333" t="str">
        <f t="shared" si="404"/>
        <v>805-63: Scoreboards, Sports</v>
      </c>
    </row>
    <row r="6334" spans="1:7" x14ac:dyDescent="0.25">
      <c r="A6334" s="1" t="str">
        <f t="shared" si="406"/>
        <v>805</v>
      </c>
      <c r="B6334" s="1" t="str">
        <f>TEXT(64,"00")</f>
        <v>64</v>
      </c>
      <c r="C6334" s="1" t="str">
        <f t="shared" si="403"/>
        <v>805-64</v>
      </c>
      <c r="D6334" t="s">
        <v>6306</v>
      </c>
      <c r="E6334" t="b">
        <f>IF(COUNTIF(D6334,"*"&amp;'Keyword Search'!$C$5&amp;"*"),TRUE,FALSE)</f>
        <v>1</v>
      </c>
      <c r="G6334" t="str">
        <f t="shared" si="404"/>
        <v>805-64: Skating Rink and Skater Equipment and Accessories, Ice and Roller</v>
      </c>
    </row>
    <row r="6335" spans="1:7" x14ac:dyDescent="0.25">
      <c r="A6335" s="1" t="str">
        <f t="shared" si="406"/>
        <v>805</v>
      </c>
      <c r="B6335" s="1" t="str">
        <f>TEXT(65,"00")</f>
        <v>65</v>
      </c>
      <c r="C6335" s="1" t="str">
        <f t="shared" si="403"/>
        <v>805-65</v>
      </c>
      <c r="D6335" t="s">
        <v>6307</v>
      </c>
      <c r="E6335" t="b">
        <f>IF(COUNTIF(D6335,"*"&amp;'Keyword Search'!$C$5&amp;"*"),TRUE,FALSE)</f>
        <v>1</v>
      </c>
      <c r="G6335" t="str">
        <f t="shared" si="404"/>
        <v>805-65: Ski Equipment and Accessories</v>
      </c>
    </row>
    <row r="6336" spans="1:7" x14ac:dyDescent="0.25">
      <c r="A6336" s="1" t="str">
        <f t="shared" si="406"/>
        <v>805</v>
      </c>
      <c r="B6336" s="1" t="str">
        <f>TEXT(66,"00")</f>
        <v>66</v>
      </c>
      <c r="C6336" s="1" t="str">
        <f t="shared" si="403"/>
        <v>805-66</v>
      </c>
      <c r="D6336" t="s">
        <v>6308</v>
      </c>
      <c r="E6336" t="b">
        <f>IF(COUNTIF(D6336,"*"&amp;'Keyword Search'!$C$5&amp;"*"),TRUE,FALSE)</f>
        <v>1</v>
      </c>
      <c r="G6336" t="str">
        <f t="shared" si="404"/>
        <v>805-66: Soccer Equipment</v>
      </c>
    </row>
    <row r="6337" spans="1:7" x14ac:dyDescent="0.25">
      <c r="A6337" s="1" t="str">
        <f t="shared" si="406"/>
        <v>805</v>
      </c>
      <c r="B6337" s="1" t="str">
        <f>TEXT(67,"00")</f>
        <v>67</v>
      </c>
      <c r="C6337" s="1" t="str">
        <f t="shared" si="403"/>
        <v>805-67</v>
      </c>
      <c r="D6337" t="s">
        <v>6309</v>
      </c>
      <c r="E6337" t="b">
        <f>IF(COUNTIF(D6337,"*"&amp;'Keyword Search'!$C$5&amp;"*"),TRUE,FALSE)</f>
        <v>1</v>
      </c>
      <c r="G6337" t="str">
        <f t="shared" si="404"/>
        <v>805-67: Scooters and Skateboards</v>
      </c>
    </row>
    <row r="6338" spans="1:7" x14ac:dyDescent="0.25">
      <c r="A6338" s="1" t="str">
        <f t="shared" si="406"/>
        <v>805</v>
      </c>
      <c r="B6338" s="1" t="str">
        <f>TEXT(69,"00")</f>
        <v>69</v>
      </c>
      <c r="C6338" s="1" t="str">
        <f t="shared" si="403"/>
        <v>805-69</v>
      </c>
      <c r="D6338" t="s">
        <v>6310</v>
      </c>
      <c r="E6338" t="b">
        <f>IF(COUNTIF(D6338,"*"&amp;'Keyword Search'!$C$5&amp;"*"),TRUE,FALSE)</f>
        <v>1</v>
      </c>
      <c r="G6338" t="str">
        <f t="shared" si="404"/>
        <v>805-69: Softball Equipment</v>
      </c>
    </row>
    <row r="6339" spans="1:7" x14ac:dyDescent="0.25">
      <c r="A6339" s="1" t="str">
        <f t="shared" si="406"/>
        <v>805</v>
      </c>
      <c r="B6339" s="1" t="str">
        <f>TEXT(72,"00")</f>
        <v>72</v>
      </c>
      <c r="C6339" s="1" t="str">
        <f t="shared" ref="C6339:C6402" si="407">CONCATENATE(A6339,"-",B6339)</f>
        <v>805-72</v>
      </c>
      <c r="D6339" t="s">
        <v>6311</v>
      </c>
      <c r="E6339" t="b">
        <f>IF(COUNTIF(D6339,"*"&amp;'Keyword Search'!$C$5&amp;"*"),TRUE,FALSE)</f>
        <v>1</v>
      </c>
      <c r="G6339" t="str">
        <f t="shared" si="404"/>
        <v>805-72: Squash, Handball, Paddle Ball, and Racquet Ball Equipment</v>
      </c>
    </row>
    <row r="6340" spans="1:7" x14ac:dyDescent="0.25">
      <c r="A6340" s="1" t="str">
        <f t="shared" si="406"/>
        <v>805</v>
      </c>
      <c r="B6340" s="1" t="str">
        <f>TEXT(73,"00")</f>
        <v>73</v>
      </c>
      <c r="C6340" s="1" t="str">
        <f t="shared" si="407"/>
        <v>805-73</v>
      </c>
      <c r="D6340" t="s">
        <v>6312</v>
      </c>
      <c r="E6340" t="b">
        <f>IF(COUNTIF(D6340,"*"&amp;'Keyword Search'!$C$5&amp;"*"),TRUE,FALSE)</f>
        <v>1</v>
      </c>
      <c r="G6340" t="str">
        <f t="shared" ref="G6340:G6403" si="408">CONCATENATE(C6340,": ",D6340)</f>
        <v>805-73: Stadium Lighting Equipment and Light Poles (See Class 285 for Lamps)</v>
      </c>
    </row>
    <row r="6341" spans="1:7" x14ac:dyDescent="0.25">
      <c r="A6341" s="1" t="str">
        <f t="shared" si="406"/>
        <v>805</v>
      </c>
      <c r="B6341" s="1" t="str">
        <f>TEXT(74,"00")</f>
        <v>74</v>
      </c>
      <c r="C6341" s="1" t="str">
        <f t="shared" si="407"/>
        <v>805-74</v>
      </c>
      <c r="D6341" t="s">
        <v>6313</v>
      </c>
      <c r="E6341" t="b">
        <f>IF(COUNTIF(D6341,"*"&amp;'Keyword Search'!$C$5&amp;"*"),TRUE,FALSE)</f>
        <v>1</v>
      </c>
      <c r="G6341" t="str">
        <f t="shared" si="408"/>
        <v>805-74: Starting Gates and Other Racing Equipment</v>
      </c>
    </row>
    <row r="6342" spans="1:7" x14ac:dyDescent="0.25">
      <c r="A6342" s="1" t="str">
        <f t="shared" si="406"/>
        <v>805</v>
      </c>
      <c r="B6342" s="1" t="str">
        <f>TEXT(75,"00")</f>
        <v>75</v>
      </c>
      <c r="C6342" s="1" t="str">
        <f t="shared" si="407"/>
        <v>805-75</v>
      </c>
      <c r="D6342" t="s">
        <v>6314</v>
      </c>
      <c r="E6342" t="b">
        <f>IF(COUNTIF(D6342,"*"&amp;'Keyword Search'!$C$5&amp;"*"),TRUE,FALSE)</f>
        <v>1</v>
      </c>
      <c r="G6342" t="str">
        <f t="shared" si="408"/>
        <v>805-75: Swimming and Surfing Equipment</v>
      </c>
    </row>
    <row r="6343" spans="1:7" x14ac:dyDescent="0.25">
      <c r="A6343" s="1" t="str">
        <f t="shared" si="406"/>
        <v>805</v>
      </c>
      <c r="B6343" s="1" t="str">
        <f>TEXT(77,"00")</f>
        <v>77</v>
      </c>
      <c r="C6343" s="1" t="str">
        <f t="shared" si="407"/>
        <v>805-77</v>
      </c>
      <c r="D6343" t="s">
        <v>6315</v>
      </c>
      <c r="E6343" t="b">
        <f>IF(COUNTIF(D6343,"*"&amp;'Keyword Search'!$C$5&amp;"*"),TRUE,FALSE)</f>
        <v>1</v>
      </c>
      <c r="G6343" t="str">
        <f t="shared" si="408"/>
        <v>805-77: Tables, Score, For Scorer's Use</v>
      </c>
    </row>
    <row r="6344" spans="1:7" x14ac:dyDescent="0.25">
      <c r="A6344" s="1" t="str">
        <f t="shared" si="406"/>
        <v>805</v>
      </c>
      <c r="B6344" s="1" t="str">
        <f>TEXT(78,"00")</f>
        <v>78</v>
      </c>
      <c r="C6344" s="1" t="str">
        <f t="shared" si="407"/>
        <v>805-78</v>
      </c>
      <c r="D6344" t="s">
        <v>6316</v>
      </c>
      <c r="E6344" t="b">
        <f>IF(COUNTIF(D6344,"*"&amp;'Keyword Search'!$C$5&amp;"*"),TRUE,FALSE)</f>
        <v>1</v>
      </c>
      <c r="G6344" t="str">
        <f t="shared" si="408"/>
        <v>805-78: Tennis Equipment</v>
      </c>
    </row>
    <row r="6345" spans="1:7" x14ac:dyDescent="0.25">
      <c r="A6345" s="1" t="str">
        <f t="shared" si="406"/>
        <v>805</v>
      </c>
      <c r="B6345" s="1" t="str">
        <f>TEXT(81,"00")</f>
        <v>81</v>
      </c>
      <c r="C6345" s="1" t="str">
        <f t="shared" si="407"/>
        <v>805-81</v>
      </c>
      <c r="D6345" t="s">
        <v>6317</v>
      </c>
      <c r="E6345" t="b">
        <f>IF(COUNTIF(D6345,"*"&amp;'Keyword Search'!$C$5&amp;"*"),TRUE,FALSE)</f>
        <v>1</v>
      </c>
      <c r="G6345" t="str">
        <f t="shared" si="408"/>
        <v>805-81: Track and Field Equipment</v>
      </c>
    </row>
    <row r="6346" spans="1:7" x14ac:dyDescent="0.25">
      <c r="A6346" s="1" t="str">
        <f t="shared" si="406"/>
        <v>805</v>
      </c>
      <c r="B6346" s="1" t="str">
        <f>TEXT(84,"00")</f>
        <v>84</v>
      </c>
      <c r="C6346" s="1" t="str">
        <f t="shared" si="407"/>
        <v>805-84</v>
      </c>
      <c r="D6346" t="s">
        <v>6318</v>
      </c>
      <c r="E6346" t="b">
        <f>IF(COUNTIF(D6346,"*"&amp;'Keyword Search'!$C$5&amp;"*"),TRUE,FALSE)</f>
        <v>1</v>
      </c>
      <c r="G6346" t="str">
        <f t="shared" si="408"/>
        <v>805-84: Trainer Supplies</v>
      </c>
    </row>
    <row r="6347" spans="1:7" x14ac:dyDescent="0.25">
      <c r="A6347" s="1" t="str">
        <f t="shared" si="406"/>
        <v>805</v>
      </c>
      <c r="B6347" s="1" t="str">
        <f>TEXT(86,"00")</f>
        <v>86</v>
      </c>
      <c r="C6347" s="1" t="str">
        <f t="shared" si="407"/>
        <v>805-86</v>
      </c>
      <c r="D6347" t="s">
        <v>6319</v>
      </c>
      <c r="E6347" t="b">
        <f>IF(COUNTIF(D6347,"*"&amp;'Keyword Search'!$C$5&amp;"*"),TRUE,FALSE)</f>
        <v>1</v>
      </c>
      <c r="G6347" t="str">
        <f t="shared" si="408"/>
        <v>805-86: Tubes, Sports Type: Snow and Water</v>
      </c>
    </row>
    <row r="6348" spans="1:7" x14ac:dyDescent="0.25">
      <c r="A6348" s="1" t="str">
        <f t="shared" si="406"/>
        <v>805</v>
      </c>
      <c r="B6348" s="1" t="str">
        <f>TEXT(87,"00")</f>
        <v>87</v>
      </c>
      <c r="C6348" s="1" t="str">
        <f t="shared" si="407"/>
        <v>805-87</v>
      </c>
      <c r="D6348" t="s">
        <v>6320</v>
      </c>
      <c r="E6348" t="b">
        <f>IF(COUNTIF(D6348,"*"&amp;'Keyword Search'!$C$5&amp;"*"),TRUE,FALSE)</f>
        <v>1</v>
      </c>
      <c r="G6348" t="str">
        <f t="shared" si="408"/>
        <v>805-87: Trampolines, Beds, Cables, Frame Pads, etc.</v>
      </c>
    </row>
    <row r="6349" spans="1:7" x14ac:dyDescent="0.25">
      <c r="A6349" s="1" t="str">
        <f t="shared" si="406"/>
        <v>805</v>
      </c>
      <c r="B6349" s="1" t="str">
        <f>TEXT(88,"00")</f>
        <v>88</v>
      </c>
      <c r="C6349" s="1" t="str">
        <f t="shared" si="407"/>
        <v>805-88</v>
      </c>
      <c r="D6349" t="s">
        <v>6321</v>
      </c>
      <c r="E6349" t="b">
        <f>IF(COUNTIF(D6349,"*"&amp;'Keyword Search'!$C$5&amp;"*"),TRUE,FALSE)</f>
        <v>1</v>
      </c>
      <c r="G6349" t="str">
        <f t="shared" si="408"/>
        <v>805-88: Trap Shooting Equipment</v>
      </c>
    </row>
    <row r="6350" spans="1:7" x14ac:dyDescent="0.25">
      <c r="A6350" s="1" t="str">
        <f t="shared" si="406"/>
        <v>805</v>
      </c>
      <c r="B6350" s="1" t="str">
        <f>TEXT(89,"00")</f>
        <v>89</v>
      </c>
      <c r="C6350" s="1" t="str">
        <f t="shared" si="407"/>
        <v>805-89</v>
      </c>
      <c r="D6350" t="s">
        <v>6322</v>
      </c>
      <c r="E6350" t="b">
        <f>IF(COUNTIF(D6350,"*"&amp;'Keyword Search'!$C$5&amp;"*"),TRUE,FALSE)</f>
        <v>1</v>
      </c>
      <c r="G6350" t="str">
        <f t="shared" si="408"/>
        <v>805-89: Umpire, Referee, and Coach Equipment, Clothing and Supplies</v>
      </c>
    </row>
    <row r="6351" spans="1:7" x14ac:dyDescent="0.25">
      <c r="A6351" s="1" t="str">
        <f t="shared" si="406"/>
        <v>805</v>
      </c>
      <c r="B6351" s="1" t="str">
        <f>TEXT(90,"00")</f>
        <v>90</v>
      </c>
      <c r="C6351" s="1" t="str">
        <f t="shared" si="407"/>
        <v>805-90</v>
      </c>
      <c r="D6351" t="s">
        <v>6323</v>
      </c>
      <c r="E6351" t="b">
        <f>IF(COUNTIF(D6351,"*"&amp;'Keyword Search'!$C$5&amp;"*"),TRUE,FALSE)</f>
        <v>1</v>
      </c>
      <c r="G6351" t="str">
        <f t="shared" si="408"/>
        <v>805-90: Volleyball Equipment</v>
      </c>
    </row>
    <row r="6352" spans="1:7" x14ac:dyDescent="0.25">
      <c r="A6352" s="1" t="str">
        <f t="shared" si="406"/>
        <v>805</v>
      </c>
      <c r="B6352" s="1" t="str">
        <f>TEXT(93,"00")</f>
        <v>93</v>
      </c>
      <c r="C6352" s="1" t="str">
        <f t="shared" si="407"/>
        <v>805-93</v>
      </c>
      <c r="D6352" t="s">
        <v>6324</v>
      </c>
      <c r="E6352" t="b">
        <f>IF(COUNTIF(D6352,"*"&amp;'Keyword Search'!$C$5&amp;"*"),TRUE,FALSE)</f>
        <v>1</v>
      </c>
      <c r="G6352" t="str">
        <f t="shared" si="408"/>
        <v>805-93: Water Polo Equipment and Accessories</v>
      </c>
    </row>
    <row r="6353" spans="1:7" x14ac:dyDescent="0.25">
      <c r="A6353" s="1" t="str">
        <f t="shared" si="406"/>
        <v>805</v>
      </c>
      <c r="B6353" s="1" t="str">
        <f>TEXT(94,"00")</f>
        <v>94</v>
      </c>
      <c r="C6353" s="1" t="str">
        <f t="shared" si="407"/>
        <v>805-94</v>
      </c>
      <c r="D6353" t="s">
        <v>6325</v>
      </c>
      <c r="E6353" t="b">
        <f>IF(COUNTIF(D6353,"*"&amp;'Keyword Search'!$C$5&amp;"*"),TRUE,FALSE)</f>
        <v>1</v>
      </c>
      <c r="G6353" t="str">
        <f t="shared" si="408"/>
        <v>805-94: Weight Lifting Equipment and Accessories</v>
      </c>
    </row>
    <row r="6354" spans="1:7" x14ac:dyDescent="0.25">
      <c r="A6354" s="1" t="str">
        <f t="shared" si="406"/>
        <v>805</v>
      </c>
      <c r="B6354" s="1" t="str">
        <f>TEXT(95,"00")</f>
        <v>95</v>
      </c>
      <c r="C6354" s="1" t="str">
        <f t="shared" si="407"/>
        <v>805-95</v>
      </c>
      <c r="D6354" t="s">
        <v>6326</v>
      </c>
      <c r="E6354" t="b">
        <f>IF(COUNTIF(D6354,"*"&amp;'Keyword Search'!$C$5&amp;"*"),TRUE,FALSE)</f>
        <v>1</v>
      </c>
      <c r="G6354" t="str">
        <f t="shared" si="408"/>
        <v>805-95: Whirlpools, Saunas, Hot Tubs, Spas, etc.</v>
      </c>
    </row>
    <row r="6355" spans="1:7" x14ac:dyDescent="0.25">
      <c r="A6355" s="1" t="str">
        <f t="shared" si="406"/>
        <v>805</v>
      </c>
      <c r="B6355" s="1" t="str">
        <f>TEXT(96,"00")</f>
        <v>96</v>
      </c>
      <c r="C6355" s="1" t="str">
        <f t="shared" si="407"/>
        <v>805-96</v>
      </c>
      <c r="D6355" t="s">
        <v>6327</v>
      </c>
      <c r="E6355" t="b">
        <f>IF(COUNTIF(D6355,"*"&amp;'Keyword Search'!$C$5&amp;"*"),TRUE,FALSE)</f>
        <v>1</v>
      </c>
      <c r="G6355" t="str">
        <f t="shared" si="408"/>
        <v>805-96: Recycled Sporting Goods and Athletic Equipment and Accessories</v>
      </c>
    </row>
    <row r="6356" spans="1:7" x14ac:dyDescent="0.25">
      <c r="A6356" s="5" t="str">
        <f t="shared" ref="A6356:A6372" si="409">TEXT(810,"000")</f>
        <v>810</v>
      </c>
      <c r="B6356" s="5" t="str">
        <f>TEXT(0,"00")</f>
        <v>00</v>
      </c>
      <c r="C6356" s="1"/>
      <c r="D6356" s="2" t="s">
        <v>6328</v>
      </c>
    </row>
    <row r="6357" spans="1:7" x14ac:dyDescent="0.25">
      <c r="A6357" s="1" t="str">
        <f t="shared" si="409"/>
        <v>810</v>
      </c>
      <c r="B6357" s="1" t="str">
        <f>TEXT(15,"00")</f>
        <v>15</v>
      </c>
      <c r="C6357" s="1" t="str">
        <f t="shared" si="407"/>
        <v>810-15</v>
      </c>
      <c r="D6357" t="s">
        <v>6329</v>
      </c>
      <c r="E6357" t="b">
        <f>IF(COUNTIF(D6357,"*"&amp;'Keyword Search'!$C$5&amp;"*"),TRUE,FALSE)</f>
        <v>1</v>
      </c>
      <c r="G6357" t="str">
        <f t="shared" si="408"/>
        <v>810-15: Cleaner, Spray Equipment</v>
      </c>
    </row>
    <row r="6358" spans="1:7" x14ac:dyDescent="0.25">
      <c r="A6358" s="1" t="str">
        <f t="shared" si="409"/>
        <v>810</v>
      </c>
      <c r="B6358" s="1" t="str">
        <f>TEXT(18,"00")</f>
        <v>18</v>
      </c>
      <c r="C6358" s="1" t="str">
        <f t="shared" si="407"/>
        <v>810-18</v>
      </c>
      <c r="D6358" t="s">
        <v>6330</v>
      </c>
      <c r="E6358" t="b">
        <f>IF(COUNTIF(D6358,"*"&amp;'Keyword Search'!$C$5&amp;"*"),TRUE,FALSE)</f>
        <v>1</v>
      </c>
      <c r="G6358" t="str">
        <f t="shared" si="408"/>
        <v>810-18: Dusting Machines, Crop</v>
      </c>
    </row>
    <row r="6359" spans="1:7" x14ac:dyDescent="0.25">
      <c r="A6359" s="1" t="str">
        <f t="shared" si="409"/>
        <v>810</v>
      </c>
      <c r="B6359" s="1" t="str">
        <f>TEXT(27,"00")</f>
        <v>27</v>
      </c>
      <c r="C6359" s="1" t="str">
        <f t="shared" si="407"/>
        <v>810-27</v>
      </c>
      <c r="D6359" t="s">
        <v>6331</v>
      </c>
      <c r="E6359" t="b">
        <f>IF(COUNTIF(D6359,"*"&amp;'Keyword Search'!$C$5&amp;"*"),TRUE,FALSE)</f>
        <v>1</v>
      </c>
      <c r="G6359" t="str">
        <f t="shared" si="408"/>
        <v>810-27: Fogging Machines for Outdoor Service (See 485-60 for Room Type)</v>
      </c>
    </row>
    <row r="6360" spans="1:7" x14ac:dyDescent="0.25">
      <c r="A6360" s="1" t="str">
        <f t="shared" si="409"/>
        <v>810</v>
      </c>
      <c r="B6360" s="1" t="str">
        <f>TEXT(40,"00")</f>
        <v>40</v>
      </c>
      <c r="C6360" s="1" t="str">
        <f t="shared" si="407"/>
        <v>810-40</v>
      </c>
      <c r="D6360" t="s">
        <v>6332</v>
      </c>
      <c r="E6360" t="b">
        <f>IF(COUNTIF(D6360,"*"&amp;'Keyword Search'!$C$5&amp;"*"),TRUE,FALSE)</f>
        <v>1</v>
      </c>
      <c r="G6360" t="str">
        <f t="shared" si="408"/>
        <v>810-40: Insect Vacuum, Engine Driven</v>
      </c>
    </row>
    <row r="6361" spans="1:7" x14ac:dyDescent="0.25">
      <c r="A6361" s="1" t="str">
        <f t="shared" si="409"/>
        <v>810</v>
      </c>
      <c r="B6361" s="1" t="str">
        <f>TEXT(50,"00")</f>
        <v>50</v>
      </c>
      <c r="C6361" s="1" t="str">
        <f t="shared" si="407"/>
        <v>810-50</v>
      </c>
      <c r="D6361" t="s">
        <v>6333</v>
      </c>
      <c r="E6361" t="b">
        <f>IF(COUNTIF(D6361,"*"&amp;'Keyword Search'!$C$5&amp;"*"),TRUE,FALSE)</f>
        <v>1</v>
      </c>
      <c r="G6361" t="str">
        <f t="shared" si="408"/>
        <v>810-50: Smoke Generators</v>
      </c>
    </row>
    <row r="6362" spans="1:7" x14ac:dyDescent="0.25">
      <c r="A6362" s="1" t="str">
        <f t="shared" si="409"/>
        <v>810</v>
      </c>
      <c r="B6362" s="1" t="str">
        <f>TEXT(54,"00")</f>
        <v>54</v>
      </c>
      <c r="C6362" s="1" t="str">
        <f t="shared" si="407"/>
        <v>810-54</v>
      </c>
      <c r="D6362" t="s">
        <v>6334</v>
      </c>
      <c r="E6362" t="b">
        <f>IF(COUNTIF(D6362,"*"&amp;'Keyword Search'!$C$5&amp;"*"),TRUE,FALSE)</f>
        <v>1</v>
      </c>
      <c r="G6362" t="str">
        <f t="shared" si="408"/>
        <v>810-54: Spray Equipment, Crop, Machine Powered</v>
      </c>
    </row>
    <row r="6363" spans="1:7" x14ac:dyDescent="0.25">
      <c r="A6363" s="1" t="str">
        <f t="shared" si="409"/>
        <v>810</v>
      </c>
      <c r="B6363" s="1" t="str">
        <f>TEXT(56,"00")</f>
        <v>56</v>
      </c>
      <c r="C6363" s="1" t="str">
        <f t="shared" si="407"/>
        <v>810-56</v>
      </c>
      <c r="D6363" t="s">
        <v>6335</v>
      </c>
      <c r="E6363" t="b">
        <f>IF(COUNTIF(D6363,"*"&amp;'Keyword Search'!$C$5&amp;"*"),TRUE,FALSE)</f>
        <v>1</v>
      </c>
      <c r="G6363" t="str">
        <f t="shared" si="408"/>
        <v>810-56: Spray Equipment, Defoliant</v>
      </c>
    </row>
    <row r="6364" spans="1:7" x14ac:dyDescent="0.25">
      <c r="A6364" s="1" t="str">
        <f t="shared" si="409"/>
        <v>810</v>
      </c>
      <c r="B6364" s="1" t="str">
        <f>TEXT(57,"00")</f>
        <v>57</v>
      </c>
      <c r="C6364" s="1" t="str">
        <f t="shared" si="407"/>
        <v>810-57</v>
      </c>
      <c r="D6364" t="s">
        <v>6336</v>
      </c>
      <c r="E6364" t="b">
        <f>IF(COUNTIF(D6364,"*"&amp;'Keyword Search'!$C$5&amp;"*"),TRUE,FALSE)</f>
        <v>1</v>
      </c>
      <c r="G6364" t="str">
        <f t="shared" si="408"/>
        <v>810-57: Spray Equipment, Deicer and Frost Protection</v>
      </c>
    </row>
    <row r="6365" spans="1:7" x14ac:dyDescent="0.25">
      <c r="A6365" s="1" t="str">
        <f t="shared" si="409"/>
        <v>810</v>
      </c>
      <c r="B6365" s="1" t="str">
        <f>TEXT(71,"00")</f>
        <v>71</v>
      </c>
      <c r="C6365" s="1" t="str">
        <f t="shared" si="407"/>
        <v>810-71</v>
      </c>
      <c r="D6365" t="s">
        <v>6337</v>
      </c>
      <c r="E6365" t="b">
        <f>IF(COUNTIF(D6365,"*"&amp;'Keyword Search'!$C$5&amp;"*"),TRUE,FALSE)</f>
        <v>1</v>
      </c>
      <c r="G6365" t="str">
        <f t="shared" si="408"/>
        <v>810-71: Spray Equipment, Landscape, Machine Powered</v>
      </c>
    </row>
    <row r="6366" spans="1:7" x14ac:dyDescent="0.25">
      <c r="A6366" s="1" t="str">
        <f t="shared" si="409"/>
        <v>810</v>
      </c>
      <c r="B6366" s="1" t="str">
        <f>TEXT(72,"00")</f>
        <v>72</v>
      </c>
      <c r="C6366" s="1" t="str">
        <f t="shared" si="407"/>
        <v>810-72</v>
      </c>
      <c r="D6366" t="s">
        <v>6338</v>
      </c>
      <c r="E6366" t="b">
        <f>IF(COUNTIF(D6366,"*"&amp;'Keyword Search'!$C$5&amp;"*"),TRUE,FALSE)</f>
        <v>1</v>
      </c>
      <c r="G6366" t="str">
        <f t="shared" si="408"/>
        <v>810-72: Spray Equipment, Livestock, Machine Powered</v>
      </c>
    </row>
    <row r="6367" spans="1:7" x14ac:dyDescent="0.25">
      <c r="A6367" s="1" t="str">
        <f t="shared" si="409"/>
        <v>810</v>
      </c>
      <c r="B6367" s="1" t="str">
        <f>TEXT(85,"00")</f>
        <v>85</v>
      </c>
      <c r="C6367" s="1" t="str">
        <f t="shared" si="407"/>
        <v>810-85</v>
      </c>
      <c r="D6367" t="s">
        <v>6339</v>
      </c>
      <c r="E6367" t="b">
        <f>IF(COUNTIF(D6367,"*"&amp;'Keyword Search'!$C$5&amp;"*"),TRUE,FALSE)</f>
        <v>1</v>
      </c>
      <c r="G6367" t="str">
        <f t="shared" si="408"/>
        <v>810-85: Spray Equipment, Pesticide, Machine Powered, Commercial</v>
      </c>
    </row>
    <row r="6368" spans="1:7" x14ac:dyDescent="0.25">
      <c r="A6368" s="1" t="str">
        <f t="shared" si="409"/>
        <v>810</v>
      </c>
      <c r="B6368" s="1" t="str">
        <f>TEXT(90,"00")</f>
        <v>90</v>
      </c>
      <c r="C6368" s="1" t="str">
        <f t="shared" si="407"/>
        <v>810-90</v>
      </c>
      <c r="D6368" t="s">
        <v>6340</v>
      </c>
      <c r="E6368" t="b">
        <f>IF(COUNTIF(D6368,"*"&amp;'Keyword Search'!$C$5&amp;"*"),TRUE,FALSE)</f>
        <v>1</v>
      </c>
      <c r="G6368" t="str">
        <f t="shared" si="408"/>
        <v>810-90: Spray Equipment, Portable, Hand Powered</v>
      </c>
    </row>
    <row r="6369" spans="1:7" x14ac:dyDescent="0.25">
      <c r="A6369" s="1" t="str">
        <f t="shared" si="409"/>
        <v>810</v>
      </c>
      <c r="B6369" s="1" t="str">
        <f>TEXT(91,"00")</f>
        <v>91</v>
      </c>
      <c r="C6369" s="1" t="str">
        <f t="shared" si="407"/>
        <v>810-91</v>
      </c>
      <c r="D6369" t="s">
        <v>6341</v>
      </c>
      <c r="E6369" t="b">
        <f>IF(COUNTIF(D6369,"*"&amp;'Keyword Search'!$C$5&amp;"*"),TRUE,FALSE)</f>
        <v>1</v>
      </c>
      <c r="G6369" t="str">
        <f t="shared" si="408"/>
        <v>810-91: Spray Equipment, Portable, Machine Powered, Back-Pack Type, etc.</v>
      </c>
    </row>
    <row r="6370" spans="1:7" x14ac:dyDescent="0.25">
      <c r="A6370" s="1" t="str">
        <f t="shared" si="409"/>
        <v>810</v>
      </c>
      <c r="B6370" s="1" t="str">
        <f>TEXT(93,"00")</f>
        <v>93</v>
      </c>
      <c r="C6370" s="1" t="str">
        <f t="shared" si="407"/>
        <v>810-93</v>
      </c>
      <c r="D6370" t="s">
        <v>6342</v>
      </c>
      <c r="E6370" t="b">
        <f>IF(COUNTIF(D6370,"*"&amp;'Keyword Search'!$C$5&amp;"*"),TRUE,FALSE)</f>
        <v>1</v>
      </c>
      <c r="G6370" t="str">
        <f t="shared" si="408"/>
        <v>810-93: Spray Equipment: Vehicle, Trailer, or Skid Mounted</v>
      </c>
    </row>
    <row r="6371" spans="1:7" x14ac:dyDescent="0.25">
      <c r="A6371" s="1" t="str">
        <f t="shared" si="409"/>
        <v>810</v>
      </c>
      <c r="B6371" s="1" t="str">
        <f>TEXT(95,"00")</f>
        <v>95</v>
      </c>
      <c r="C6371" s="1" t="str">
        <f t="shared" si="407"/>
        <v>810-95</v>
      </c>
      <c r="D6371" t="s">
        <v>6343</v>
      </c>
      <c r="E6371" t="b">
        <f>IF(COUNTIF(D6371,"*"&amp;'Keyword Search'!$C$5&amp;"*"),TRUE,FALSE)</f>
        <v>1</v>
      </c>
      <c r="G6371" t="str">
        <f t="shared" si="408"/>
        <v>810-95: Sprayer Guns, Nozzles, Fittings, Reels, etc.</v>
      </c>
    </row>
    <row r="6372" spans="1:7" x14ac:dyDescent="0.25">
      <c r="A6372" s="1" t="str">
        <f t="shared" si="409"/>
        <v>810</v>
      </c>
      <c r="B6372" s="1" t="str">
        <f>TEXT(96,"00")</f>
        <v>96</v>
      </c>
      <c r="C6372" s="1" t="str">
        <f t="shared" si="407"/>
        <v>810-96</v>
      </c>
      <c r="D6372" t="s">
        <v>6344</v>
      </c>
      <c r="E6372" t="b">
        <f>IF(COUNTIF(D6372,"*"&amp;'Keyword Search'!$C$5&amp;"*"),TRUE,FALSE)</f>
        <v>1</v>
      </c>
      <c r="G6372" t="str">
        <f t="shared" si="408"/>
        <v>810-96: Recycled Spraying Equipment, Accessories and Supplies</v>
      </c>
    </row>
    <row r="6373" spans="1:7" x14ac:dyDescent="0.25">
      <c r="A6373" s="5" t="str">
        <f t="shared" ref="A6373:A6396" si="410">TEXT(815,"000")</f>
        <v>815</v>
      </c>
      <c r="B6373" s="5" t="str">
        <f>TEXT(0,"00")</f>
        <v>00</v>
      </c>
      <c r="C6373" s="1"/>
      <c r="D6373" s="2" t="s">
        <v>6345</v>
      </c>
    </row>
    <row r="6374" spans="1:7" x14ac:dyDescent="0.25">
      <c r="A6374" s="1" t="str">
        <f t="shared" si="410"/>
        <v>815</v>
      </c>
      <c r="B6374" s="1" t="str">
        <f>TEXT(6,"00")</f>
        <v>06</v>
      </c>
      <c r="C6374" s="1" t="str">
        <f t="shared" si="407"/>
        <v>815-06</v>
      </c>
      <c r="D6374" t="s">
        <v>6346</v>
      </c>
      <c r="E6374" t="b">
        <f>IF(COUNTIF(D6374,"*"&amp;'Keyword Search'!$C$5&amp;"*"),TRUE,FALSE)</f>
        <v>1</v>
      </c>
      <c r="G6374" t="str">
        <f t="shared" si="408"/>
        <v>815-06: Cocks: Air, Drain, Gauge, Pet, Try, etc.</v>
      </c>
    </row>
    <row r="6375" spans="1:7" x14ac:dyDescent="0.25">
      <c r="A6375" s="1" t="str">
        <f t="shared" si="410"/>
        <v>815</v>
      </c>
      <c r="B6375" s="1" t="str">
        <f>TEXT(12,"00")</f>
        <v>12</v>
      </c>
      <c r="C6375" s="1" t="str">
        <f t="shared" si="407"/>
        <v>815-12</v>
      </c>
      <c r="D6375" t="s">
        <v>6347</v>
      </c>
      <c r="E6375" t="b">
        <f>IF(COUNTIF(D6375,"*"&amp;'Keyword Search'!$C$5&amp;"*"),TRUE,FALSE)</f>
        <v>1</v>
      </c>
      <c r="G6375" t="str">
        <f t="shared" si="408"/>
        <v>815-12: Expansion Joints</v>
      </c>
    </row>
    <row r="6376" spans="1:7" x14ac:dyDescent="0.25">
      <c r="A6376" s="1" t="str">
        <f t="shared" si="410"/>
        <v>815</v>
      </c>
      <c r="B6376" s="1" t="str">
        <f>TEXT(18,"00")</f>
        <v>18</v>
      </c>
      <c r="C6376" s="1" t="str">
        <f t="shared" si="407"/>
        <v>815-18</v>
      </c>
      <c r="D6376" t="s">
        <v>6348</v>
      </c>
      <c r="E6376" t="b">
        <f>IF(COUNTIF(D6376,"*"&amp;'Keyword Search'!$C$5&amp;"*"),TRUE,FALSE)</f>
        <v>1</v>
      </c>
      <c r="G6376" t="str">
        <f t="shared" si="408"/>
        <v>815-18: Fusible Plugs</v>
      </c>
    </row>
    <row r="6377" spans="1:7" x14ac:dyDescent="0.25">
      <c r="A6377" s="1" t="str">
        <f t="shared" si="410"/>
        <v>815</v>
      </c>
      <c r="B6377" s="1" t="str">
        <f>TEXT(22,"00")</f>
        <v>22</v>
      </c>
      <c r="C6377" s="1" t="str">
        <f t="shared" si="407"/>
        <v>815-22</v>
      </c>
      <c r="D6377" t="s">
        <v>6349</v>
      </c>
      <c r="E6377" t="b">
        <f>IF(COUNTIF(D6377,"*"&amp;'Keyword Search'!$C$5&amp;"*"),TRUE,FALSE)</f>
        <v>1</v>
      </c>
      <c r="G6377" t="str">
        <f t="shared" si="408"/>
        <v>815-22: Gaskets: Flange, Handhole and Manhole, All Types</v>
      </c>
    </row>
    <row r="6378" spans="1:7" x14ac:dyDescent="0.25">
      <c r="A6378" s="1" t="str">
        <f t="shared" si="410"/>
        <v>815</v>
      </c>
      <c r="B6378" s="1" t="str">
        <f>TEXT(23,"00")</f>
        <v>23</v>
      </c>
      <c r="C6378" s="1" t="str">
        <f t="shared" si="407"/>
        <v>815-23</v>
      </c>
      <c r="D6378" t="s">
        <v>6350</v>
      </c>
      <c r="E6378" t="b">
        <f>IF(COUNTIF(D6378,"*"&amp;'Keyword Search'!$C$5&amp;"*"),TRUE,FALSE)</f>
        <v>1</v>
      </c>
      <c r="G6378" t="str">
        <f t="shared" si="408"/>
        <v>815-23: Gasket Sealants, Compounds, etc.</v>
      </c>
    </row>
    <row r="6379" spans="1:7" x14ac:dyDescent="0.25">
      <c r="A6379" s="1" t="str">
        <f t="shared" si="410"/>
        <v>815</v>
      </c>
      <c r="B6379" s="1" t="str">
        <f>TEXT(26,"00")</f>
        <v>26</v>
      </c>
      <c r="C6379" s="1" t="str">
        <f t="shared" si="407"/>
        <v>815-26</v>
      </c>
      <c r="D6379" t="s">
        <v>6351</v>
      </c>
      <c r="E6379" t="b">
        <f>IF(COUNTIF(D6379,"*"&amp;'Keyword Search'!$C$5&amp;"*"),TRUE,FALSE)</f>
        <v>1</v>
      </c>
      <c r="G6379" t="str">
        <f t="shared" si="408"/>
        <v>815-26: Gauge Glass and Gaskets</v>
      </c>
    </row>
    <row r="6380" spans="1:7" x14ac:dyDescent="0.25">
      <c r="A6380" s="1" t="str">
        <f t="shared" si="410"/>
        <v>815</v>
      </c>
      <c r="B6380" s="1" t="str">
        <f>TEXT(28,"00")</f>
        <v>28</v>
      </c>
      <c r="C6380" s="1" t="str">
        <f t="shared" si="407"/>
        <v>815-28</v>
      </c>
      <c r="D6380" t="s">
        <v>6352</v>
      </c>
      <c r="E6380" t="b">
        <f>IF(COUNTIF(D6380,"*"&amp;'Keyword Search'!$C$5&amp;"*"),TRUE,FALSE)</f>
        <v>1</v>
      </c>
      <c r="G6380" t="str">
        <f t="shared" si="408"/>
        <v>815-28: Gauge Siphons and Pulsation Dampers</v>
      </c>
    </row>
    <row r="6381" spans="1:7" x14ac:dyDescent="0.25">
      <c r="A6381" s="1" t="str">
        <f t="shared" si="410"/>
        <v>815</v>
      </c>
      <c r="B6381" s="1" t="str">
        <f>TEXT(40,"00")</f>
        <v>40</v>
      </c>
      <c r="C6381" s="1" t="str">
        <f t="shared" si="407"/>
        <v>815-40</v>
      </c>
      <c r="D6381" t="s">
        <v>6353</v>
      </c>
      <c r="E6381" t="b">
        <f>IF(COUNTIF(D6381,"*"&amp;'Keyword Search'!$C$5&amp;"*"),TRUE,FALSE)</f>
        <v>1</v>
      </c>
      <c r="G6381" t="str">
        <f t="shared" si="408"/>
        <v>815-40: Mechanical Pump and Shaft Seals</v>
      </c>
    </row>
    <row r="6382" spans="1:7" x14ac:dyDescent="0.25">
      <c r="A6382" s="1" t="str">
        <f t="shared" si="410"/>
        <v>815</v>
      </c>
      <c r="B6382" s="1" t="str">
        <f>TEXT(45,"00")</f>
        <v>45</v>
      </c>
      <c r="C6382" s="1" t="str">
        <f t="shared" si="407"/>
        <v>815-45</v>
      </c>
      <c r="D6382" t="s">
        <v>6354</v>
      </c>
      <c r="E6382" t="b">
        <f>IF(COUNTIF(D6382,"*"&amp;'Keyword Search'!$C$5&amp;"*"),TRUE,FALSE)</f>
        <v>1</v>
      </c>
      <c r="G6382" t="str">
        <f t="shared" si="408"/>
        <v>815-45: O-Rings</v>
      </c>
    </row>
    <row r="6383" spans="1:7" x14ac:dyDescent="0.25">
      <c r="A6383" s="1" t="str">
        <f t="shared" si="410"/>
        <v>815</v>
      </c>
      <c r="B6383" s="1" t="str">
        <f>TEXT(48,"00")</f>
        <v>48</v>
      </c>
      <c r="C6383" s="1" t="str">
        <f t="shared" si="407"/>
        <v>815-48</v>
      </c>
      <c r="D6383" t="s">
        <v>6355</v>
      </c>
      <c r="E6383" t="b">
        <f>IF(COUNTIF(D6383,"*"&amp;'Keyword Search'!$C$5&amp;"*"),TRUE,FALSE)</f>
        <v>1</v>
      </c>
      <c r="G6383" t="str">
        <f t="shared" si="408"/>
        <v>815-48: Oil Seals</v>
      </c>
    </row>
    <row r="6384" spans="1:7" x14ac:dyDescent="0.25">
      <c r="A6384" s="1" t="str">
        <f t="shared" si="410"/>
        <v>815</v>
      </c>
      <c r="B6384" s="1" t="str">
        <f>TEXT(52,"00")</f>
        <v>52</v>
      </c>
      <c r="C6384" s="1" t="str">
        <f t="shared" si="407"/>
        <v>815-52</v>
      </c>
      <c r="D6384" t="s">
        <v>6356</v>
      </c>
      <c r="E6384" t="b">
        <f>IF(COUNTIF(D6384,"*"&amp;'Keyword Search'!$C$5&amp;"*"),TRUE,FALSE)</f>
        <v>1</v>
      </c>
      <c r="G6384" t="str">
        <f t="shared" si="408"/>
        <v>815-52: Packing, All Kinds, Except Sheet: Rod, Shaft, Valve Stem, etc.</v>
      </c>
    </row>
    <row r="6385" spans="1:7" x14ac:dyDescent="0.25">
      <c r="A6385" s="1" t="str">
        <f t="shared" si="410"/>
        <v>815</v>
      </c>
      <c r="B6385" s="1" t="str">
        <f>TEXT(54,"00")</f>
        <v>54</v>
      </c>
      <c r="C6385" s="1" t="str">
        <f t="shared" si="407"/>
        <v>815-54</v>
      </c>
      <c r="D6385" t="s">
        <v>6357</v>
      </c>
      <c r="E6385" t="b">
        <f>IF(COUNTIF(D6385,"*"&amp;'Keyword Search'!$C$5&amp;"*"),TRUE,FALSE)</f>
        <v>1</v>
      </c>
      <c r="G6385" t="str">
        <f t="shared" si="408"/>
        <v>815-54: Packing, Sheet, All Kinds</v>
      </c>
    </row>
    <row r="6386" spans="1:7" x14ac:dyDescent="0.25">
      <c r="A6386" s="1" t="str">
        <f t="shared" si="410"/>
        <v>815</v>
      </c>
      <c r="B6386" s="1" t="str">
        <f>TEXT(58,"00")</f>
        <v>58</v>
      </c>
      <c r="C6386" s="1" t="str">
        <f t="shared" si="407"/>
        <v>815-58</v>
      </c>
      <c r="D6386" t="s">
        <v>6358</v>
      </c>
      <c r="E6386" t="b">
        <f>IF(COUNTIF(D6386,"*"&amp;'Keyword Search'!$C$5&amp;"*"),TRUE,FALSE)</f>
        <v>1</v>
      </c>
      <c r="G6386" t="str">
        <f t="shared" si="408"/>
        <v>815-58: Pressure Gauges, Not Hospital, Laboratory, and Refrigeration</v>
      </c>
    </row>
    <row r="6387" spans="1:7" x14ac:dyDescent="0.25">
      <c r="A6387" s="1" t="str">
        <f t="shared" si="410"/>
        <v>815</v>
      </c>
      <c r="B6387" s="1" t="str">
        <f>TEXT(62,"00")</f>
        <v>62</v>
      </c>
      <c r="C6387" s="1" t="str">
        <f t="shared" si="407"/>
        <v>815-62</v>
      </c>
      <c r="D6387" t="s">
        <v>6359</v>
      </c>
      <c r="E6387" t="b">
        <f>IF(COUNTIF(D6387,"*"&amp;'Keyword Search'!$C$5&amp;"*"),TRUE,FALSE)</f>
        <v>1</v>
      </c>
      <c r="G6387" t="str">
        <f t="shared" si="408"/>
        <v>815-62: Steam Specialties: Air Vent Valves, Main Vent Valves, Radiator Valves, Radiator Traps, etc.</v>
      </c>
    </row>
    <row r="6388" spans="1:7" x14ac:dyDescent="0.25">
      <c r="A6388" s="1" t="str">
        <f t="shared" si="410"/>
        <v>815</v>
      </c>
      <c r="B6388" s="1" t="str">
        <f>TEXT(65,"00")</f>
        <v>65</v>
      </c>
      <c r="C6388" s="1" t="str">
        <f t="shared" si="407"/>
        <v>815-65</v>
      </c>
      <c r="D6388" t="s">
        <v>6360</v>
      </c>
      <c r="E6388" t="b">
        <f>IF(COUNTIF(D6388,"*"&amp;'Keyword Search'!$C$5&amp;"*"),TRUE,FALSE)</f>
        <v>1</v>
      </c>
      <c r="G6388" t="str">
        <f t="shared" si="408"/>
        <v>815-65: Steam Traps and Strainers</v>
      </c>
    </row>
    <row r="6389" spans="1:7" x14ac:dyDescent="0.25">
      <c r="A6389" s="1" t="str">
        <f t="shared" si="410"/>
        <v>815</v>
      </c>
      <c r="B6389" s="1" t="str">
        <f>TEXT(70,"00")</f>
        <v>70</v>
      </c>
      <c r="C6389" s="1" t="str">
        <f t="shared" si="407"/>
        <v>815-70</v>
      </c>
      <c r="D6389" t="s">
        <v>6361</v>
      </c>
      <c r="E6389" t="b">
        <f>IF(COUNTIF(D6389,"*"&amp;'Keyword Search'!$C$5&amp;"*"),TRUE,FALSE)</f>
        <v>1</v>
      </c>
      <c r="G6389" t="str">
        <f t="shared" si="408"/>
        <v>815-70: Thermometers, Industrial; and Thermometer Wells</v>
      </c>
    </row>
    <row r="6390" spans="1:7" x14ac:dyDescent="0.25">
      <c r="A6390" s="1" t="str">
        <f t="shared" si="410"/>
        <v>815</v>
      </c>
      <c r="B6390" s="1" t="str">
        <f>TEXT(73,"00")</f>
        <v>73</v>
      </c>
      <c r="C6390" s="1" t="str">
        <f t="shared" si="407"/>
        <v>815-73</v>
      </c>
      <c r="D6390" t="s">
        <v>6362</v>
      </c>
      <c r="E6390" t="b">
        <f>IF(COUNTIF(D6390,"*"&amp;'Keyword Search'!$C$5&amp;"*"),TRUE,FALSE)</f>
        <v>1</v>
      </c>
      <c r="G6390" t="str">
        <f t="shared" si="408"/>
        <v>815-73: Valves, Directional Control, To Control Pneumatic, Hydraulic, or Water Cylinders</v>
      </c>
    </row>
    <row r="6391" spans="1:7" x14ac:dyDescent="0.25">
      <c r="A6391" s="1" t="str">
        <f t="shared" si="410"/>
        <v>815</v>
      </c>
      <c r="B6391" s="1" t="str">
        <f>TEXT(75,"00")</f>
        <v>75</v>
      </c>
      <c r="C6391" s="1" t="str">
        <f t="shared" si="407"/>
        <v>815-75</v>
      </c>
      <c r="D6391" t="s">
        <v>6363</v>
      </c>
      <c r="E6391" t="b">
        <f>IF(COUNTIF(D6391,"*"&amp;'Keyword Search'!$C$5&amp;"*"),TRUE,FALSE)</f>
        <v>1</v>
      </c>
      <c r="G6391" t="str">
        <f t="shared" si="408"/>
        <v>815-75: Valves, Mixing</v>
      </c>
    </row>
    <row r="6392" spans="1:7" x14ac:dyDescent="0.25">
      <c r="A6392" s="1" t="str">
        <f t="shared" si="410"/>
        <v>815</v>
      </c>
      <c r="B6392" s="1" t="str">
        <f>TEXT(78,"00")</f>
        <v>78</v>
      </c>
      <c r="C6392" s="1" t="str">
        <f t="shared" si="407"/>
        <v>815-78</v>
      </c>
      <c r="D6392" t="s">
        <v>6364</v>
      </c>
      <c r="E6392" t="b">
        <f>IF(COUNTIF(D6392,"*"&amp;'Keyword Search'!$C$5&amp;"*"),TRUE,FALSE)</f>
        <v>1</v>
      </c>
      <c r="G6392" t="str">
        <f t="shared" si="408"/>
        <v>815-78: Valves, Pressure Reducing</v>
      </c>
    </row>
    <row r="6393" spans="1:7" x14ac:dyDescent="0.25">
      <c r="A6393" s="1" t="str">
        <f t="shared" si="410"/>
        <v>815</v>
      </c>
      <c r="B6393" s="1" t="str">
        <f>TEXT(81,"00")</f>
        <v>81</v>
      </c>
      <c r="C6393" s="1" t="str">
        <f t="shared" si="407"/>
        <v>815-81</v>
      </c>
      <c r="D6393" t="s">
        <v>6365</v>
      </c>
      <c r="E6393" t="b">
        <f>IF(COUNTIF(D6393,"*"&amp;'Keyword Search'!$C$5&amp;"*"),TRUE,FALSE)</f>
        <v>1</v>
      </c>
      <c r="G6393" t="str">
        <f t="shared" si="408"/>
        <v>815-81: Valves, Relief and Safety</v>
      </c>
    </row>
    <row r="6394" spans="1:7" x14ac:dyDescent="0.25">
      <c r="A6394" s="1" t="str">
        <f t="shared" si="410"/>
        <v>815</v>
      </c>
      <c r="B6394" s="1" t="str">
        <f>TEXT(84,"00")</f>
        <v>84</v>
      </c>
      <c r="C6394" s="1" t="str">
        <f t="shared" si="407"/>
        <v>815-84</v>
      </c>
      <c r="D6394" t="s">
        <v>6366</v>
      </c>
      <c r="E6394" t="b">
        <f>IF(COUNTIF(D6394,"*"&amp;'Keyword Search'!$C$5&amp;"*"),TRUE,FALSE)</f>
        <v>1</v>
      </c>
      <c r="G6394" t="str">
        <f t="shared" si="408"/>
        <v>815-84: Valves, Temperature and Pressure Regulating</v>
      </c>
    </row>
    <row r="6395" spans="1:7" x14ac:dyDescent="0.25">
      <c r="A6395" s="1" t="str">
        <f t="shared" si="410"/>
        <v>815</v>
      </c>
      <c r="B6395" s="1" t="str">
        <f>TEXT(90,"00")</f>
        <v>90</v>
      </c>
      <c r="C6395" s="1" t="str">
        <f t="shared" si="407"/>
        <v>815-90</v>
      </c>
      <c r="D6395" t="s">
        <v>6367</v>
      </c>
      <c r="E6395" t="b">
        <f>IF(COUNTIF(D6395,"*"&amp;'Keyword Search'!$C$5&amp;"*"),TRUE,FALSE)</f>
        <v>1</v>
      </c>
      <c r="G6395" t="str">
        <f t="shared" si="408"/>
        <v>815-90: Water Gauges, Columns, etc.</v>
      </c>
    </row>
    <row r="6396" spans="1:7" x14ac:dyDescent="0.25">
      <c r="A6396" s="1" t="str">
        <f t="shared" si="410"/>
        <v>815</v>
      </c>
      <c r="B6396" s="1" t="str">
        <f>TEXT(95,"00")</f>
        <v>95</v>
      </c>
      <c r="C6396" s="1" t="str">
        <f t="shared" si="407"/>
        <v>815-95</v>
      </c>
      <c r="D6396" t="s">
        <v>6368</v>
      </c>
      <c r="E6396" t="b">
        <f>IF(COUNTIF(D6396,"*"&amp;'Keyword Search'!$C$5&amp;"*"),TRUE,FALSE)</f>
        <v>1</v>
      </c>
      <c r="G6396" t="str">
        <f t="shared" si="408"/>
        <v>815-95: Recycled Steam and Hot Water Fittings, Accessories and Supplies</v>
      </c>
    </row>
    <row r="6397" spans="1:7" x14ac:dyDescent="0.25">
      <c r="A6397" s="5" t="str">
        <f t="shared" ref="A6397:A6440" si="411">TEXT(820,"000")</f>
        <v>820</v>
      </c>
      <c r="B6397" s="5" t="str">
        <f>TEXT(0,"00")</f>
        <v>00</v>
      </c>
      <c r="C6397" s="1"/>
      <c r="D6397" s="2" t="s">
        <v>6369</v>
      </c>
    </row>
    <row r="6398" spans="1:7" x14ac:dyDescent="0.25">
      <c r="A6398" s="1" t="str">
        <f t="shared" si="411"/>
        <v>820</v>
      </c>
      <c r="B6398" s="1" t="str">
        <f>TEXT(4,"00")</f>
        <v>04</v>
      </c>
      <c r="C6398" s="1" t="str">
        <f t="shared" si="407"/>
        <v>820-04</v>
      </c>
      <c r="D6398" t="s">
        <v>6370</v>
      </c>
      <c r="E6398" t="b">
        <f>IF(COUNTIF(D6398,"*"&amp;'Keyword Search'!$C$5&amp;"*"),TRUE,FALSE)</f>
        <v>1</v>
      </c>
      <c r="G6398" t="str">
        <f t="shared" si="408"/>
        <v>820-04: After-Coolers and Condensers</v>
      </c>
    </row>
    <row r="6399" spans="1:7" x14ac:dyDescent="0.25">
      <c r="A6399" s="1" t="str">
        <f t="shared" si="411"/>
        <v>820</v>
      </c>
      <c r="B6399" s="1" t="str">
        <f>TEXT(5,"00")</f>
        <v>05</v>
      </c>
      <c r="C6399" s="1" t="str">
        <f t="shared" si="407"/>
        <v>820-05</v>
      </c>
      <c r="D6399" t="s">
        <v>6371</v>
      </c>
      <c r="E6399" t="b">
        <f>IF(COUNTIF(D6399,"*"&amp;'Keyword Search'!$C$5&amp;"*"),TRUE,FALSE)</f>
        <v>1</v>
      </c>
      <c r="G6399" t="str">
        <f t="shared" si="408"/>
        <v>820-05: Air Dryers, Dehydrators, and Preheaters</v>
      </c>
    </row>
    <row r="6400" spans="1:7" x14ac:dyDescent="0.25">
      <c r="A6400" s="1" t="str">
        <f t="shared" si="411"/>
        <v>820</v>
      </c>
      <c r="B6400" s="1" t="str">
        <f>TEXT(6,"00")</f>
        <v>06</v>
      </c>
      <c r="C6400" s="1" t="str">
        <f t="shared" si="407"/>
        <v>820-06</v>
      </c>
      <c r="D6400" t="s">
        <v>6372</v>
      </c>
      <c r="E6400" t="b">
        <f>IF(COUNTIF(D6400,"*"&amp;'Keyword Search'!$C$5&amp;"*"),TRUE,FALSE)</f>
        <v>1</v>
      </c>
      <c r="G6400" t="str">
        <f t="shared" si="408"/>
        <v>820-06: A.S.M.E. Code Tanks</v>
      </c>
    </row>
    <row r="6401" spans="1:7" x14ac:dyDescent="0.25">
      <c r="A6401" s="1" t="str">
        <f t="shared" si="411"/>
        <v>820</v>
      </c>
      <c r="B6401" s="1" t="str">
        <f>TEXT(8,"00")</f>
        <v>08</v>
      </c>
      <c r="C6401" s="1" t="str">
        <f t="shared" si="407"/>
        <v>820-08</v>
      </c>
      <c r="D6401" t="s">
        <v>6373</v>
      </c>
      <c r="E6401" t="b">
        <f>IF(COUNTIF(D6401,"*"&amp;'Keyword Search'!$C$5&amp;"*"),TRUE,FALSE)</f>
        <v>1</v>
      </c>
      <c r="G6401" t="str">
        <f t="shared" si="408"/>
        <v>820-08: Boilers, High Pressure</v>
      </c>
    </row>
    <row r="6402" spans="1:7" x14ac:dyDescent="0.25">
      <c r="A6402" s="1" t="str">
        <f t="shared" si="411"/>
        <v>820</v>
      </c>
      <c r="B6402" s="1" t="str">
        <f>TEXT(12,"00")</f>
        <v>12</v>
      </c>
      <c r="C6402" s="1" t="str">
        <f t="shared" si="407"/>
        <v>820-12</v>
      </c>
      <c r="D6402" t="s">
        <v>6374</v>
      </c>
      <c r="E6402" t="b">
        <f>IF(COUNTIF(D6402,"*"&amp;'Keyword Search'!$C$5&amp;"*"),TRUE,FALSE)</f>
        <v>1</v>
      </c>
      <c r="G6402" t="str">
        <f t="shared" si="408"/>
        <v>820-12: Boilers, Low Pressure</v>
      </c>
    </row>
    <row r="6403" spans="1:7" x14ac:dyDescent="0.25">
      <c r="A6403" s="1" t="str">
        <f t="shared" si="411"/>
        <v>820</v>
      </c>
      <c r="B6403" s="1" t="str">
        <f>TEXT(14,"00")</f>
        <v>14</v>
      </c>
      <c r="C6403" s="1" t="str">
        <f t="shared" ref="C6403:C6466" si="412">CONCATENATE(A6403,"-",B6403)</f>
        <v>820-14</v>
      </c>
      <c r="D6403" t="s">
        <v>6375</v>
      </c>
      <c r="E6403" t="b">
        <f>IF(COUNTIF(D6403,"*"&amp;'Keyword Search'!$C$5&amp;"*"),TRUE,FALSE)</f>
        <v>1</v>
      </c>
      <c r="G6403" t="str">
        <f t="shared" si="408"/>
        <v>820-14: Boiler Parts and Accessories (Not Otherwise Classified)</v>
      </c>
    </row>
    <row r="6404" spans="1:7" x14ac:dyDescent="0.25">
      <c r="A6404" s="1" t="str">
        <f t="shared" si="411"/>
        <v>820</v>
      </c>
      <c r="B6404" s="1" t="str">
        <f>TEXT(16,"00")</f>
        <v>16</v>
      </c>
      <c r="C6404" s="1" t="str">
        <f t="shared" si="412"/>
        <v>820-16</v>
      </c>
      <c r="D6404" t="s">
        <v>6376</v>
      </c>
      <c r="E6404" t="b">
        <f>IF(COUNTIF(D6404,"*"&amp;'Keyword Search'!$C$5&amp;"*"),TRUE,FALSE)</f>
        <v>1</v>
      </c>
      <c r="G6404" t="str">
        <f t="shared" ref="G6404:G6467" si="413">CONCATENATE(C6404,": ",D6404)</f>
        <v>820-16: Boiler Tubes</v>
      </c>
    </row>
    <row r="6405" spans="1:7" x14ac:dyDescent="0.25">
      <c r="A6405" s="1" t="str">
        <f t="shared" si="411"/>
        <v>820</v>
      </c>
      <c r="B6405" s="1" t="str">
        <f>TEXT(19,"00")</f>
        <v>19</v>
      </c>
      <c r="C6405" s="1" t="str">
        <f t="shared" si="412"/>
        <v>820-19</v>
      </c>
      <c r="D6405" t="s">
        <v>6377</v>
      </c>
      <c r="E6405" t="b">
        <f>IF(COUNTIF(D6405,"*"&amp;'Keyword Search'!$C$5&amp;"*"),TRUE,FALSE)</f>
        <v>1</v>
      </c>
      <c r="G6405" t="str">
        <f t="shared" si="413"/>
        <v>820-19: Blow-Down Equipment, Automatic Top</v>
      </c>
    </row>
    <row r="6406" spans="1:7" x14ac:dyDescent="0.25">
      <c r="A6406" s="1" t="str">
        <f t="shared" si="411"/>
        <v>820</v>
      </c>
      <c r="B6406" s="1" t="str">
        <f>TEXT(20,"00")</f>
        <v>20</v>
      </c>
      <c r="C6406" s="1" t="str">
        <f t="shared" si="412"/>
        <v>820-20</v>
      </c>
      <c r="D6406" t="s">
        <v>6378</v>
      </c>
      <c r="E6406" t="b">
        <f>IF(COUNTIF(D6406,"*"&amp;'Keyword Search'!$C$5&amp;"*"),TRUE,FALSE)</f>
        <v>1</v>
      </c>
      <c r="G6406" t="str">
        <f t="shared" si="413"/>
        <v>820-20: Blow-Off Basins</v>
      </c>
    </row>
    <row r="6407" spans="1:7" x14ac:dyDescent="0.25">
      <c r="A6407" s="1" t="str">
        <f t="shared" si="411"/>
        <v>820</v>
      </c>
      <c r="B6407" s="1" t="str">
        <f>TEXT(24,"00")</f>
        <v>24</v>
      </c>
      <c r="C6407" s="1" t="str">
        <f t="shared" si="412"/>
        <v>820-24</v>
      </c>
      <c r="D6407" t="s">
        <v>6379</v>
      </c>
      <c r="E6407" t="b">
        <f>IF(COUNTIF(D6407,"*"&amp;'Keyword Search'!$C$5&amp;"*"),TRUE,FALSE)</f>
        <v>1</v>
      </c>
      <c r="G6407" t="str">
        <f t="shared" si="413"/>
        <v>820-24: Blow-Off Valves</v>
      </c>
    </row>
    <row r="6408" spans="1:7" x14ac:dyDescent="0.25">
      <c r="A6408" s="1" t="str">
        <f t="shared" si="411"/>
        <v>820</v>
      </c>
      <c r="B6408" s="1" t="str">
        <f>TEXT(28,"00")</f>
        <v>28</v>
      </c>
      <c r="C6408" s="1" t="str">
        <f t="shared" si="412"/>
        <v>820-28</v>
      </c>
      <c r="D6408" t="s">
        <v>6380</v>
      </c>
      <c r="E6408" t="b">
        <f>IF(COUNTIF(D6408,"*"&amp;'Keyword Search'!$C$5&amp;"*"),TRUE,FALSE)</f>
        <v>1</v>
      </c>
      <c r="G6408" t="str">
        <f t="shared" si="413"/>
        <v>820-28: Burners, Gas and Oil</v>
      </c>
    </row>
    <row r="6409" spans="1:7" x14ac:dyDescent="0.25">
      <c r="A6409" s="1" t="str">
        <f t="shared" si="411"/>
        <v>820</v>
      </c>
      <c r="B6409" s="1" t="str">
        <f>TEXT(32,"00")</f>
        <v>32</v>
      </c>
      <c r="C6409" s="1" t="str">
        <f t="shared" si="412"/>
        <v>820-32</v>
      </c>
      <c r="D6409" t="s">
        <v>6381</v>
      </c>
      <c r="E6409" t="b">
        <f>IF(COUNTIF(D6409,"*"&amp;'Keyword Search'!$C$5&amp;"*"),TRUE,FALSE)</f>
        <v>1</v>
      </c>
      <c r="G6409" t="str">
        <f t="shared" si="413"/>
        <v>820-32: Chemical Feed Systems (See Class 720 For Proportioning Pumps)</v>
      </c>
    </row>
    <row r="6410" spans="1:7" x14ac:dyDescent="0.25">
      <c r="A6410" s="1" t="str">
        <f t="shared" si="411"/>
        <v>820</v>
      </c>
      <c r="B6410" s="1" t="str">
        <f>TEXT(36,"00")</f>
        <v>36</v>
      </c>
      <c r="C6410" s="1" t="str">
        <f t="shared" si="412"/>
        <v>820-36</v>
      </c>
      <c r="D6410" t="s">
        <v>6382</v>
      </c>
      <c r="E6410" t="b">
        <f>IF(COUNTIF(D6410,"*"&amp;'Keyword Search'!$C$5&amp;"*"),TRUE,FALSE)</f>
        <v>1</v>
      </c>
      <c r="G6410" t="str">
        <f t="shared" si="413"/>
        <v>820-36: Coils, Steam Heating</v>
      </c>
    </row>
    <row r="6411" spans="1:7" x14ac:dyDescent="0.25">
      <c r="A6411" s="1" t="str">
        <f t="shared" si="411"/>
        <v>820</v>
      </c>
      <c r="B6411" s="1" t="str">
        <f>TEXT(38,"00")</f>
        <v>38</v>
      </c>
      <c r="C6411" s="1" t="str">
        <f t="shared" si="412"/>
        <v>820-38</v>
      </c>
      <c r="D6411" t="s">
        <v>6383</v>
      </c>
      <c r="E6411" t="b">
        <f>IF(COUNTIF(D6411,"*"&amp;'Keyword Search'!$C$5&amp;"*"),TRUE,FALSE)</f>
        <v>1</v>
      </c>
      <c r="G6411" t="str">
        <f t="shared" si="413"/>
        <v>820-38: Condensate Return Systems: Vacuum Heat Pumps, Wet Vacuum Pumps, etc.</v>
      </c>
    </row>
    <row r="6412" spans="1:7" x14ac:dyDescent="0.25">
      <c r="A6412" s="1" t="str">
        <f t="shared" si="411"/>
        <v>820</v>
      </c>
      <c r="B6412" s="1" t="str">
        <f>TEXT(40,"00")</f>
        <v>40</v>
      </c>
      <c r="C6412" s="1" t="str">
        <f t="shared" si="412"/>
        <v>820-40</v>
      </c>
      <c r="D6412" t="s">
        <v>6384</v>
      </c>
      <c r="E6412" t="b">
        <f>IF(COUNTIF(D6412,"*"&amp;'Keyword Search'!$C$5&amp;"*"),TRUE,FALSE)</f>
        <v>1</v>
      </c>
      <c r="G6412" t="str">
        <f t="shared" si="413"/>
        <v>820-40: Controls: Combustion, Fuel Cut-Off, Hardness, High-Low Water Level, Ignition, etc.</v>
      </c>
    </row>
    <row r="6413" spans="1:7" x14ac:dyDescent="0.25">
      <c r="A6413" s="1" t="str">
        <f t="shared" si="411"/>
        <v>820</v>
      </c>
      <c r="B6413" s="1" t="str">
        <f>TEXT(41,"00")</f>
        <v>41</v>
      </c>
      <c r="C6413" s="1" t="str">
        <f t="shared" si="412"/>
        <v>820-41</v>
      </c>
      <c r="D6413" t="s">
        <v>6385</v>
      </c>
      <c r="E6413" t="b">
        <f>IF(COUNTIF(D6413,"*"&amp;'Keyword Search'!$C$5&amp;"*"),TRUE,FALSE)</f>
        <v>1</v>
      </c>
      <c r="G6413" t="str">
        <f t="shared" si="413"/>
        <v>820-41: Control, Corrosion, Using Entrained Gas Eliminator Equipment</v>
      </c>
    </row>
    <row r="6414" spans="1:7" x14ac:dyDescent="0.25">
      <c r="A6414" s="1" t="str">
        <f t="shared" si="411"/>
        <v>820</v>
      </c>
      <c r="B6414" s="1" t="str">
        <f>TEXT(42,"00")</f>
        <v>42</v>
      </c>
      <c r="C6414" s="1" t="str">
        <f t="shared" si="412"/>
        <v>820-42</v>
      </c>
      <c r="D6414" t="s">
        <v>6386</v>
      </c>
      <c r="E6414" t="b">
        <f>IF(COUNTIF(D6414,"*"&amp;'Keyword Search'!$C$5&amp;"*"),TRUE,FALSE)</f>
        <v>1</v>
      </c>
      <c r="G6414" t="str">
        <f t="shared" si="413"/>
        <v>820-42: Controllers, Steam Boiler Automatic Conductivity</v>
      </c>
    </row>
    <row r="6415" spans="1:7" x14ac:dyDescent="0.25">
      <c r="A6415" s="1" t="str">
        <f t="shared" si="411"/>
        <v>820</v>
      </c>
      <c r="B6415" s="1" t="str">
        <f>TEXT(44,"00")</f>
        <v>44</v>
      </c>
      <c r="C6415" s="1" t="str">
        <f t="shared" si="412"/>
        <v>820-44</v>
      </c>
      <c r="D6415" t="s">
        <v>6387</v>
      </c>
      <c r="E6415" t="b">
        <f>IF(COUNTIF(D6415,"*"&amp;'Keyword Search'!$C$5&amp;"*"),TRUE,FALSE)</f>
        <v>1</v>
      </c>
      <c r="G6415" t="str">
        <f t="shared" si="413"/>
        <v>820-44: Convectors and Radiators</v>
      </c>
    </row>
    <row r="6416" spans="1:7" x14ac:dyDescent="0.25">
      <c r="A6416" s="1" t="str">
        <f t="shared" si="411"/>
        <v>820</v>
      </c>
      <c r="B6416" s="1" t="str">
        <f>TEXT(48,"00")</f>
        <v>48</v>
      </c>
      <c r="C6416" s="1" t="str">
        <f t="shared" si="412"/>
        <v>820-48</v>
      </c>
      <c r="D6416" t="s">
        <v>6388</v>
      </c>
      <c r="E6416" t="b">
        <f>IF(COUNTIF(D6416,"*"&amp;'Keyword Search'!$C$5&amp;"*"),TRUE,FALSE)</f>
        <v>1</v>
      </c>
      <c r="G6416" t="str">
        <f t="shared" si="413"/>
        <v>820-48: Deaerating Units</v>
      </c>
    </row>
    <row r="6417" spans="1:7" x14ac:dyDescent="0.25">
      <c r="A6417" s="1" t="str">
        <f t="shared" si="411"/>
        <v>820</v>
      </c>
      <c r="B6417" s="1" t="str">
        <f>TEXT(49,"00")</f>
        <v>49</v>
      </c>
      <c r="C6417" s="1" t="str">
        <f t="shared" si="412"/>
        <v>820-49</v>
      </c>
      <c r="D6417" t="s">
        <v>6389</v>
      </c>
      <c r="E6417" t="b">
        <f>IF(COUNTIF(D6417,"*"&amp;'Keyword Search'!$C$5&amp;"*"),TRUE,FALSE)</f>
        <v>1</v>
      </c>
      <c r="G6417" t="str">
        <f t="shared" si="413"/>
        <v>820-49: Descaling Equipment, MHD Type</v>
      </c>
    </row>
    <row r="6418" spans="1:7" x14ac:dyDescent="0.25">
      <c r="A6418" s="1" t="str">
        <f t="shared" si="411"/>
        <v>820</v>
      </c>
      <c r="B6418" s="1" t="str">
        <f>TEXT(52,"00")</f>
        <v>52</v>
      </c>
      <c r="C6418" s="1" t="str">
        <f t="shared" si="412"/>
        <v>820-52</v>
      </c>
      <c r="D6418" t="s">
        <v>6390</v>
      </c>
      <c r="E6418" t="b">
        <f>IF(COUNTIF(D6418,"*"&amp;'Keyword Search'!$C$5&amp;"*"),TRUE,FALSE)</f>
        <v>1</v>
      </c>
      <c r="G6418" t="str">
        <f t="shared" si="413"/>
        <v>820-52: Draft Fans and Draft Gauges</v>
      </c>
    </row>
    <row r="6419" spans="1:7" x14ac:dyDescent="0.25">
      <c r="A6419" s="1" t="str">
        <f t="shared" si="411"/>
        <v>820</v>
      </c>
      <c r="B6419" s="1" t="str">
        <f>TEXT(56,"00")</f>
        <v>56</v>
      </c>
      <c r="C6419" s="1" t="str">
        <f t="shared" si="412"/>
        <v>820-56</v>
      </c>
      <c r="D6419" t="s">
        <v>6391</v>
      </c>
      <c r="E6419" t="b">
        <f>IF(COUNTIF(D6419,"*"&amp;'Keyword Search'!$C$5&amp;"*"),TRUE,FALSE)</f>
        <v>1</v>
      </c>
      <c r="G6419" t="str">
        <f t="shared" si="413"/>
        <v>820-56: Feedwater Heaters</v>
      </c>
    </row>
    <row r="6420" spans="1:7" x14ac:dyDescent="0.25">
      <c r="A6420" s="1" t="str">
        <f t="shared" si="411"/>
        <v>820</v>
      </c>
      <c r="B6420" s="1" t="str">
        <f>TEXT(60,"00")</f>
        <v>60</v>
      </c>
      <c r="C6420" s="1" t="str">
        <f t="shared" si="412"/>
        <v>820-60</v>
      </c>
      <c r="D6420" t="s">
        <v>6392</v>
      </c>
      <c r="E6420" t="b">
        <f>IF(COUNTIF(D6420,"*"&amp;'Keyword Search'!$C$5&amp;"*"),TRUE,FALSE)</f>
        <v>1</v>
      </c>
      <c r="G6420" t="str">
        <f t="shared" si="413"/>
        <v>820-60: Feedwater Injectors</v>
      </c>
    </row>
    <row r="6421" spans="1:7" x14ac:dyDescent="0.25">
      <c r="A6421" s="1" t="str">
        <f t="shared" si="411"/>
        <v>820</v>
      </c>
      <c r="B6421" s="1" t="str">
        <f>TEXT(62,"00")</f>
        <v>62</v>
      </c>
      <c r="C6421" s="1" t="str">
        <f t="shared" si="412"/>
        <v>820-62</v>
      </c>
      <c r="D6421" t="s">
        <v>6393</v>
      </c>
      <c r="E6421" t="b">
        <f>IF(COUNTIF(D6421,"*"&amp;'Keyword Search'!$C$5&amp;"*"),TRUE,FALSE)</f>
        <v>1</v>
      </c>
      <c r="G6421" t="str">
        <f t="shared" si="413"/>
        <v>820-62: Feedwater Pumps</v>
      </c>
    </row>
    <row r="6422" spans="1:7" x14ac:dyDescent="0.25">
      <c r="A6422" s="1" t="str">
        <f t="shared" si="411"/>
        <v>820</v>
      </c>
      <c r="B6422" s="1" t="str">
        <f>TEXT(64,"00")</f>
        <v>64</v>
      </c>
      <c r="C6422" s="1" t="str">
        <f t="shared" si="412"/>
        <v>820-64</v>
      </c>
      <c r="D6422" t="s">
        <v>6394</v>
      </c>
      <c r="E6422" t="b">
        <f>IF(COUNTIF(D6422,"*"&amp;'Keyword Search'!$C$5&amp;"*"),TRUE,FALSE)</f>
        <v>1</v>
      </c>
      <c r="G6422" t="str">
        <f t="shared" si="413"/>
        <v>820-64: Filters, Boiler Water</v>
      </c>
    </row>
    <row r="6423" spans="1:7" x14ac:dyDescent="0.25">
      <c r="A6423" s="1" t="str">
        <f t="shared" si="411"/>
        <v>820</v>
      </c>
      <c r="B6423" s="1" t="str">
        <f>TEXT(65,"00")</f>
        <v>65</v>
      </c>
      <c r="C6423" s="1" t="str">
        <f t="shared" si="412"/>
        <v>820-65</v>
      </c>
      <c r="D6423" t="s">
        <v>6395</v>
      </c>
      <c r="E6423" t="b">
        <f>IF(COUNTIF(D6423,"*"&amp;'Keyword Search'!$C$5&amp;"*"),TRUE,FALSE)</f>
        <v>1</v>
      </c>
      <c r="G6423" t="str">
        <f t="shared" si="413"/>
        <v>820-65: Flue Gas Desulfurization System Equipment</v>
      </c>
    </row>
    <row r="6424" spans="1:7" x14ac:dyDescent="0.25">
      <c r="A6424" s="1" t="str">
        <f t="shared" si="411"/>
        <v>820</v>
      </c>
      <c r="B6424" s="1" t="str">
        <f>TEXT(66,"00")</f>
        <v>66</v>
      </c>
      <c r="C6424" s="1" t="str">
        <f t="shared" si="412"/>
        <v>820-66</v>
      </c>
      <c r="D6424" t="s">
        <v>6396</v>
      </c>
      <c r="E6424" t="b">
        <f>IF(COUNTIF(D6424,"*"&amp;'Keyword Search'!$C$5&amp;"*"),TRUE,FALSE)</f>
        <v>1</v>
      </c>
      <c r="G6424" t="str">
        <f t="shared" si="413"/>
        <v>820-66: Flue Gas Heat Recovery System Equipment</v>
      </c>
    </row>
    <row r="6425" spans="1:7" x14ac:dyDescent="0.25">
      <c r="A6425" s="1" t="str">
        <f t="shared" si="411"/>
        <v>820</v>
      </c>
      <c r="B6425" s="1" t="str">
        <f>TEXT(68,"00")</f>
        <v>68</v>
      </c>
      <c r="C6425" s="1" t="str">
        <f t="shared" si="412"/>
        <v>820-68</v>
      </c>
      <c r="D6425" t="s">
        <v>6397</v>
      </c>
      <c r="E6425" t="b">
        <f>IF(COUNTIF(D6425,"*"&amp;'Keyword Search'!$C$5&amp;"*"),TRUE,FALSE)</f>
        <v>1</v>
      </c>
      <c r="G6425" t="str">
        <f t="shared" si="413"/>
        <v>820-68: Heat Exchangers, Accessories, and Parts</v>
      </c>
    </row>
    <row r="6426" spans="1:7" x14ac:dyDescent="0.25">
      <c r="A6426" s="1" t="str">
        <f t="shared" si="411"/>
        <v>820</v>
      </c>
      <c r="B6426" s="1" t="str">
        <f>TEXT(72,"00")</f>
        <v>72</v>
      </c>
      <c r="C6426" s="1" t="str">
        <f t="shared" si="412"/>
        <v>820-72</v>
      </c>
      <c r="D6426" t="s">
        <v>6398</v>
      </c>
      <c r="E6426" t="b">
        <f>IF(COUNTIF(D6426,"*"&amp;'Keyword Search'!$C$5&amp;"*"),TRUE,FALSE)</f>
        <v>1</v>
      </c>
      <c r="G6426" t="str">
        <f t="shared" si="413"/>
        <v>820-72: Hot Water Generators</v>
      </c>
    </row>
    <row r="6427" spans="1:7" x14ac:dyDescent="0.25">
      <c r="A6427" s="1" t="str">
        <f t="shared" si="411"/>
        <v>820</v>
      </c>
      <c r="B6427" s="1" t="str">
        <f>TEXT(75,"00")</f>
        <v>75</v>
      </c>
      <c r="C6427" s="1" t="str">
        <f t="shared" si="412"/>
        <v>820-75</v>
      </c>
      <c r="D6427" t="s">
        <v>6399</v>
      </c>
      <c r="E6427" t="b">
        <f>IF(COUNTIF(D6427,"*"&amp;'Keyword Search'!$C$5&amp;"*"),TRUE,FALSE)</f>
        <v>1</v>
      </c>
      <c r="G6427" t="str">
        <f t="shared" si="413"/>
        <v>820-75: Oil Coolers</v>
      </c>
    </row>
    <row r="6428" spans="1:7" x14ac:dyDescent="0.25">
      <c r="A6428" s="1" t="str">
        <f t="shared" si="411"/>
        <v>820</v>
      </c>
      <c r="B6428" s="1" t="str">
        <f>TEXT(76,"00")</f>
        <v>76</v>
      </c>
      <c r="C6428" s="1" t="str">
        <f t="shared" si="412"/>
        <v>820-76</v>
      </c>
      <c r="D6428" t="s">
        <v>6400</v>
      </c>
      <c r="E6428" t="b">
        <f>IF(COUNTIF(D6428,"*"&amp;'Keyword Search'!$C$5&amp;"*"),TRUE,FALSE)</f>
        <v>1</v>
      </c>
      <c r="G6428" t="str">
        <f t="shared" si="413"/>
        <v>820-76: Oil Purifiers</v>
      </c>
    </row>
    <row r="6429" spans="1:7" x14ac:dyDescent="0.25">
      <c r="A6429" s="1" t="str">
        <f t="shared" si="411"/>
        <v>820</v>
      </c>
      <c r="B6429" s="1" t="str">
        <f>TEXT(78,"00")</f>
        <v>78</v>
      </c>
      <c r="C6429" s="1" t="str">
        <f t="shared" si="412"/>
        <v>820-78</v>
      </c>
      <c r="D6429" t="s">
        <v>6401</v>
      </c>
      <c r="E6429" t="b">
        <f>IF(COUNTIF(D6429,"*"&amp;'Keyword Search'!$C$5&amp;"*"),TRUE,FALSE)</f>
        <v>1</v>
      </c>
      <c r="G6429" t="str">
        <f t="shared" si="413"/>
        <v>820-78: Oxygen Reduction Equipment, Dissolved</v>
      </c>
    </row>
    <row r="6430" spans="1:7" x14ac:dyDescent="0.25">
      <c r="A6430" s="1" t="str">
        <f t="shared" si="411"/>
        <v>820</v>
      </c>
      <c r="B6430" s="1" t="str">
        <f>TEXT(80,"00")</f>
        <v>80</v>
      </c>
      <c r="C6430" s="1" t="str">
        <f t="shared" si="412"/>
        <v>820-80</v>
      </c>
      <c r="D6430" t="s">
        <v>6402</v>
      </c>
      <c r="E6430" t="b">
        <f>IF(COUNTIF(D6430,"*"&amp;'Keyword Search'!$C$5&amp;"*"),TRUE,FALSE)</f>
        <v>1</v>
      </c>
      <c r="G6430" t="str">
        <f t="shared" si="413"/>
        <v>820-80: Pulverizers, Boiler and Power Plant</v>
      </c>
    </row>
    <row r="6431" spans="1:7" x14ac:dyDescent="0.25">
      <c r="A6431" s="1" t="str">
        <f t="shared" si="411"/>
        <v>820</v>
      </c>
      <c r="B6431" s="1" t="str">
        <f>TEXT(81,"00")</f>
        <v>81</v>
      </c>
      <c r="C6431" s="1" t="str">
        <f t="shared" si="412"/>
        <v>820-81</v>
      </c>
      <c r="D6431" t="s">
        <v>6403</v>
      </c>
      <c r="E6431" t="b">
        <f>IF(COUNTIF(D6431,"*"&amp;'Keyword Search'!$C$5&amp;"*"),TRUE,FALSE)</f>
        <v>1</v>
      </c>
      <c r="G6431" t="str">
        <f t="shared" si="413"/>
        <v>820-81: Screens and Strainers, Water Intake, etc.</v>
      </c>
    </row>
    <row r="6432" spans="1:7" x14ac:dyDescent="0.25">
      <c r="A6432" s="1" t="str">
        <f t="shared" si="411"/>
        <v>820</v>
      </c>
      <c r="B6432" s="1" t="str">
        <f>TEXT(84,"00")</f>
        <v>84</v>
      </c>
      <c r="C6432" s="1" t="str">
        <f t="shared" si="412"/>
        <v>820-84</v>
      </c>
      <c r="D6432" t="s">
        <v>6404</v>
      </c>
      <c r="E6432" t="b">
        <f>IF(COUNTIF(D6432,"*"&amp;'Keyword Search'!$C$5&amp;"*"),TRUE,FALSE)</f>
        <v>1</v>
      </c>
      <c r="G6432" t="str">
        <f t="shared" si="413"/>
        <v>820-84: Stacks, Steel</v>
      </c>
    </row>
    <row r="6433" spans="1:7" x14ac:dyDescent="0.25">
      <c r="A6433" s="1" t="str">
        <f t="shared" si="411"/>
        <v>820</v>
      </c>
      <c r="B6433" s="1" t="str">
        <f>TEXT(85,"00")</f>
        <v>85</v>
      </c>
      <c r="C6433" s="1" t="str">
        <f t="shared" si="412"/>
        <v>820-85</v>
      </c>
      <c r="D6433" t="s">
        <v>6405</v>
      </c>
      <c r="E6433" t="b">
        <f>IF(COUNTIF(D6433,"*"&amp;'Keyword Search'!$C$5&amp;"*"),TRUE,FALSE)</f>
        <v>1</v>
      </c>
      <c r="G6433" t="str">
        <f t="shared" si="413"/>
        <v>820-85: Steam Boiler Bottom Blow Alarm</v>
      </c>
    </row>
    <row r="6434" spans="1:7" x14ac:dyDescent="0.25">
      <c r="A6434" s="1" t="str">
        <f t="shared" si="411"/>
        <v>820</v>
      </c>
      <c r="B6434" s="1" t="str">
        <f>TEXT(86,"00")</f>
        <v>86</v>
      </c>
      <c r="C6434" s="1" t="str">
        <f t="shared" si="412"/>
        <v>820-86</v>
      </c>
      <c r="D6434" t="s">
        <v>6406</v>
      </c>
      <c r="E6434" t="b">
        <f>IF(COUNTIF(D6434,"*"&amp;'Keyword Search'!$C$5&amp;"*"),TRUE,FALSE)</f>
        <v>1</v>
      </c>
      <c r="G6434" t="str">
        <f t="shared" si="413"/>
        <v>820-86: Steam Flow Transmitters</v>
      </c>
    </row>
    <row r="6435" spans="1:7" x14ac:dyDescent="0.25">
      <c r="A6435" s="1" t="str">
        <f t="shared" si="411"/>
        <v>820</v>
      </c>
      <c r="B6435" s="1" t="str">
        <f>TEXT(88,"00")</f>
        <v>88</v>
      </c>
      <c r="C6435" s="1" t="str">
        <f t="shared" si="412"/>
        <v>820-88</v>
      </c>
      <c r="D6435" t="s">
        <v>6407</v>
      </c>
      <c r="E6435" t="b">
        <f>IF(COUNTIF(D6435,"*"&amp;'Keyword Search'!$C$5&amp;"*"),TRUE,FALSE)</f>
        <v>1</v>
      </c>
      <c r="G6435" t="str">
        <f t="shared" si="413"/>
        <v>820-88: Tube Cleaners and Tube Expanders</v>
      </c>
    </row>
    <row r="6436" spans="1:7" x14ac:dyDescent="0.25">
      <c r="A6436" s="1" t="str">
        <f t="shared" si="411"/>
        <v>820</v>
      </c>
      <c r="B6436" s="1" t="str">
        <f>TEXT(91,"00")</f>
        <v>91</v>
      </c>
      <c r="C6436" s="1" t="str">
        <f t="shared" si="412"/>
        <v>820-91</v>
      </c>
      <c r="D6436" t="s">
        <v>6408</v>
      </c>
      <c r="E6436" t="b">
        <f>IF(COUNTIF(D6436,"*"&amp;'Keyword Search'!$C$5&amp;"*"),TRUE,FALSE)</f>
        <v>1</v>
      </c>
      <c r="G6436" t="str">
        <f t="shared" si="413"/>
        <v>820-91: Turbines, Gas Driven</v>
      </c>
    </row>
    <row r="6437" spans="1:7" x14ac:dyDescent="0.25">
      <c r="A6437" s="1" t="str">
        <f t="shared" si="411"/>
        <v>820</v>
      </c>
      <c r="B6437" s="1" t="str">
        <f>TEXT(92,"00")</f>
        <v>92</v>
      </c>
      <c r="C6437" s="1" t="str">
        <f t="shared" si="412"/>
        <v>820-92</v>
      </c>
      <c r="D6437" t="s">
        <v>6409</v>
      </c>
      <c r="E6437" t="b">
        <f>IF(COUNTIF(D6437,"*"&amp;'Keyword Search'!$C$5&amp;"*"),TRUE,FALSE)</f>
        <v>1</v>
      </c>
      <c r="G6437" t="str">
        <f t="shared" si="413"/>
        <v>820-92: Turbines, Steam Driven</v>
      </c>
    </row>
    <row r="6438" spans="1:7" x14ac:dyDescent="0.25">
      <c r="A6438" s="1" t="str">
        <f t="shared" si="411"/>
        <v>820</v>
      </c>
      <c r="B6438" s="1" t="str">
        <f>TEXT(93,"00")</f>
        <v>93</v>
      </c>
      <c r="C6438" s="1" t="str">
        <f t="shared" si="412"/>
        <v>820-93</v>
      </c>
      <c r="D6438" t="s">
        <v>6410</v>
      </c>
      <c r="E6438" t="b">
        <f>IF(COUNTIF(D6438,"*"&amp;'Keyword Search'!$C$5&amp;"*"),TRUE,FALSE)</f>
        <v>1</v>
      </c>
      <c r="G6438" t="str">
        <f t="shared" si="413"/>
        <v>820-93: Turbines, Water, Hydraulic, Including Pats and Accessories</v>
      </c>
    </row>
    <row r="6439" spans="1:7" x14ac:dyDescent="0.25">
      <c r="A6439" s="1" t="str">
        <f t="shared" si="411"/>
        <v>820</v>
      </c>
      <c r="B6439" s="1" t="str">
        <f>TEXT(95,"00")</f>
        <v>95</v>
      </c>
      <c r="C6439" s="1" t="str">
        <f t="shared" si="412"/>
        <v>820-95</v>
      </c>
      <c r="D6439" t="s">
        <v>6411</v>
      </c>
      <c r="E6439" t="b">
        <f>IF(COUNTIF(D6439,"*"&amp;'Keyword Search'!$C$5&amp;"*"),TRUE,FALSE)</f>
        <v>1</v>
      </c>
      <c r="G6439" t="str">
        <f t="shared" si="413"/>
        <v>820-95: Valves, Spherical</v>
      </c>
    </row>
    <row r="6440" spans="1:7" x14ac:dyDescent="0.25">
      <c r="A6440" s="1" t="str">
        <f t="shared" si="411"/>
        <v>820</v>
      </c>
      <c r="B6440" s="1" t="str">
        <f>TEXT(96,"00")</f>
        <v>96</v>
      </c>
      <c r="C6440" s="1" t="str">
        <f t="shared" si="412"/>
        <v>820-96</v>
      </c>
      <c r="D6440" t="s">
        <v>6412</v>
      </c>
      <c r="E6440" t="b">
        <f>IF(COUNTIF(D6440,"*"&amp;'Keyword Search'!$C$5&amp;"*"),TRUE,FALSE)</f>
        <v>1</v>
      </c>
      <c r="G6440" t="str">
        <f t="shared" si="413"/>
        <v>820-96: Recycled Steam and Hot Water Boilers and Heating Equipment</v>
      </c>
    </row>
    <row r="6441" spans="1:7" x14ac:dyDescent="0.25">
      <c r="A6441" s="5" t="str">
        <f t="shared" ref="A6441:A6478" si="414">TEXT(825,"000")</f>
        <v>825</v>
      </c>
      <c r="B6441" s="5" t="str">
        <f>TEXT(0,"00")</f>
        <v>00</v>
      </c>
      <c r="C6441" s="1"/>
      <c r="D6441" s="2" t="s">
        <v>6413</v>
      </c>
    </row>
    <row r="6442" spans="1:7" x14ac:dyDescent="0.25">
      <c r="A6442" s="1" t="str">
        <f t="shared" si="414"/>
        <v>825</v>
      </c>
      <c r="B6442" s="1" t="str">
        <f>TEXT(3,"00")</f>
        <v>03</v>
      </c>
      <c r="C6442" s="1" t="str">
        <f t="shared" si="412"/>
        <v>825-03</v>
      </c>
      <c r="D6442" t="s">
        <v>6414</v>
      </c>
      <c r="E6442" t="b">
        <f>IF(COUNTIF(D6442,"*"&amp;'Keyword Search'!$C$5&amp;"*"),TRUE,FALSE)</f>
        <v>1</v>
      </c>
      <c r="G6442" t="str">
        <f t="shared" si="413"/>
        <v>825-03: Animal Dips and Sprays</v>
      </c>
    </row>
    <row r="6443" spans="1:7" x14ac:dyDescent="0.25">
      <c r="A6443" s="1" t="str">
        <f t="shared" si="414"/>
        <v>825</v>
      </c>
      <c r="B6443" s="1" t="str">
        <f>TEXT(5,"00")</f>
        <v>05</v>
      </c>
      <c r="C6443" s="1" t="str">
        <f t="shared" si="412"/>
        <v>825-05</v>
      </c>
      <c r="D6443" t="s">
        <v>6415</v>
      </c>
      <c r="E6443" t="b">
        <f>IF(COUNTIF(D6443,"*"&amp;'Keyword Search'!$C$5&amp;"*"),TRUE,FALSE)</f>
        <v>1</v>
      </c>
      <c r="G6443" t="str">
        <f t="shared" si="413"/>
        <v>825-05: Back Scratchers and Oilers</v>
      </c>
    </row>
    <row r="6444" spans="1:7" x14ac:dyDescent="0.25">
      <c r="A6444" s="1" t="str">
        <f t="shared" si="414"/>
        <v>825</v>
      </c>
      <c r="B6444" s="1" t="str">
        <f>TEXT(6,"00")</f>
        <v>06</v>
      </c>
      <c r="C6444" s="1" t="str">
        <f t="shared" si="412"/>
        <v>825-06</v>
      </c>
      <c r="D6444" t="s">
        <v>6416</v>
      </c>
      <c r="E6444" t="b">
        <f>IF(COUNTIF(D6444,"*"&amp;'Keyword Search'!$C$5&amp;"*"),TRUE,FALSE)</f>
        <v>1</v>
      </c>
      <c r="G6444" t="str">
        <f t="shared" si="413"/>
        <v>825-06: Bee Keeping Equipment and Supplies, Agriculture</v>
      </c>
    </row>
    <row r="6445" spans="1:7" x14ac:dyDescent="0.25">
      <c r="A6445" s="1" t="str">
        <f t="shared" si="414"/>
        <v>825</v>
      </c>
      <c r="B6445" s="1" t="str">
        <f>TEXT(8,"00")</f>
        <v>08</v>
      </c>
      <c r="C6445" s="1" t="str">
        <f t="shared" si="412"/>
        <v>825-08</v>
      </c>
      <c r="D6445" t="s">
        <v>6417</v>
      </c>
      <c r="E6445" t="b">
        <f>IF(COUNTIF(D6445,"*"&amp;'Keyword Search'!$C$5&amp;"*"),TRUE,FALSE)</f>
        <v>1</v>
      </c>
      <c r="G6445" t="str">
        <f t="shared" si="413"/>
        <v>825-08: Blankets, Livestock</v>
      </c>
    </row>
    <row r="6446" spans="1:7" x14ac:dyDescent="0.25">
      <c r="A6446" s="1" t="str">
        <f t="shared" si="414"/>
        <v>825</v>
      </c>
      <c r="B6446" s="1" t="str">
        <f>TEXT(9,"00")</f>
        <v>09</v>
      </c>
      <c r="C6446" s="1" t="str">
        <f t="shared" si="412"/>
        <v>825-09</v>
      </c>
      <c r="D6446" t="s">
        <v>6418</v>
      </c>
      <c r="E6446" t="b">
        <f>IF(COUNTIF(D6446,"*"&amp;'Keyword Search'!$C$5&amp;"*"),TRUE,FALSE)</f>
        <v>1</v>
      </c>
      <c r="G6446" t="str">
        <f t="shared" si="413"/>
        <v>825-09: Boots, Hoof, Animal</v>
      </c>
    </row>
    <row r="6447" spans="1:7" x14ac:dyDescent="0.25">
      <c r="A6447" s="1" t="str">
        <f t="shared" si="414"/>
        <v>825</v>
      </c>
      <c r="B6447" s="1" t="str">
        <f>TEXT(11,"00")</f>
        <v>11</v>
      </c>
      <c r="C6447" s="1" t="str">
        <f t="shared" si="412"/>
        <v>825-11</v>
      </c>
      <c r="D6447" t="s">
        <v>6419</v>
      </c>
      <c r="E6447" t="b">
        <f>IF(COUNTIF(D6447,"*"&amp;'Keyword Search'!$C$5&amp;"*"),TRUE,FALSE)</f>
        <v>1</v>
      </c>
      <c r="G6447" t="str">
        <f t="shared" si="413"/>
        <v>825-11: Branding Crayons, Paints, Paint Pellets, Pistols, etc.</v>
      </c>
    </row>
    <row r="6448" spans="1:7" x14ac:dyDescent="0.25">
      <c r="A6448" s="1" t="str">
        <f t="shared" si="414"/>
        <v>825</v>
      </c>
      <c r="B6448" s="1" t="str">
        <f>TEXT(13,"00")</f>
        <v>13</v>
      </c>
      <c r="C6448" s="1" t="str">
        <f t="shared" si="412"/>
        <v>825-13</v>
      </c>
      <c r="D6448" t="s">
        <v>6420</v>
      </c>
      <c r="E6448" t="b">
        <f>IF(COUNTIF(D6448,"*"&amp;'Keyword Search'!$C$5&amp;"*"),TRUE,FALSE)</f>
        <v>1</v>
      </c>
      <c r="G6448" t="str">
        <f t="shared" si="413"/>
        <v>825-13: Branding Irons</v>
      </c>
    </row>
    <row r="6449" spans="1:7" x14ac:dyDescent="0.25">
      <c r="A6449" s="1" t="str">
        <f t="shared" si="414"/>
        <v>825</v>
      </c>
      <c r="B6449" s="1" t="str">
        <f>TEXT(14,"00")</f>
        <v>14</v>
      </c>
      <c r="C6449" s="1" t="str">
        <f t="shared" si="412"/>
        <v>825-14</v>
      </c>
      <c r="D6449" t="s">
        <v>6421</v>
      </c>
      <c r="E6449" t="b">
        <f>IF(COUNTIF(D6449,"*"&amp;'Keyword Search'!$C$5&amp;"*"),TRUE,FALSE)</f>
        <v>1</v>
      </c>
      <c r="G6449" t="str">
        <f t="shared" si="413"/>
        <v>825-14: Calf Pullers, Obstetrical</v>
      </c>
    </row>
    <row r="6450" spans="1:7" x14ac:dyDescent="0.25">
      <c r="A6450" s="1" t="str">
        <f t="shared" si="414"/>
        <v>825</v>
      </c>
      <c r="B6450" s="1" t="str">
        <f>TEXT(16,"00")</f>
        <v>16</v>
      </c>
      <c r="C6450" s="1" t="str">
        <f t="shared" si="412"/>
        <v>825-16</v>
      </c>
      <c r="D6450" t="s">
        <v>6422</v>
      </c>
      <c r="E6450" t="b">
        <f>IF(COUNTIF(D6450,"*"&amp;'Keyword Search'!$C$5&amp;"*"),TRUE,FALSE)</f>
        <v>1</v>
      </c>
      <c r="G6450" t="str">
        <f t="shared" si="413"/>
        <v>825-16: Castrators</v>
      </c>
    </row>
    <row r="6451" spans="1:7" x14ac:dyDescent="0.25">
      <c r="A6451" s="1" t="str">
        <f t="shared" si="414"/>
        <v>825</v>
      </c>
      <c r="B6451" s="1" t="str">
        <f>TEXT(19,"00")</f>
        <v>19</v>
      </c>
      <c r="C6451" s="1" t="str">
        <f t="shared" si="412"/>
        <v>825-19</v>
      </c>
      <c r="D6451" t="s">
        <v>6423</v>
      </c>
      <c r="E6451" t="b">
        <f>IF(COUNTIF(D6451,"*"&amp;'Keyword Search'!$C$5&amp;"*"),TRUE,FALSE)</f>
        <v>1</v>
      </c>
      <c r="G6451" t="str">
        <f t="shared" si="413"/>
        <v>825-19: Chains, Halters, Leaders, Nose Rings, Straps, Bits, etc.</v>
      </c>
    </row>
    <row r="6452" spans="1:7" x14ac:dyDescent="0.25">
      <c r="A6452" s="1" t="str">
        <f t="shared" si="414"/>
        <v>825</v>
      </c>
      <c r="B6452" s="1" t="str">
        <f>TEXT(20,"00")</f>
        <v>20</v>
      </c>
      <c r="C6452" s="1" t="str">
        <f t="shared" si="412"/>
        <v>825-20</v>
      </c>
      <c r="D6452" t="s">
        <v>6424</v>
      </c>
      <c r="E6452" t="b">
        <f>IF(COUNTIF(D6452,"*"&amp;'Keyword Search'!$C$5&amp;"*"),TRUE,FALSE)</f>
        <v>1</v>
      </c>
      <c r="G6452" t="str">
        <f t="shared" si="413"/>
        <v>825-20: Chin-Ball Marking Devices</v>
      </c>
    </row>
    <row r="6453" spans="1:7" x14ac:dyDescent="0.25">
      <c r="A6453" s="1" t="str">
        <f t="shared" si="414"/>
        <v>825</v>
      </c>
      <c r="B6453" s="1" t="str">
        <f>TEXT(22,"00")</f>
        <v>22</v>
      </c>
      <c r="C6453" s="1" t="str">
        <f t="shared" si="412"/>
        <v>825-22</v>
      </c>
      <c r="D6453" t="s">
        <v>6425</v>
      </c>
      <c r="E6453" t="b">
        <f>IF(COUNTIF(D6453,"*"&amp;'Keyword Search'!$C$5&amp;"*"),TRUE,FALSE)</f>
        <v>1</v>
      </c>
      <c r="G6453" t="str">
        <f t="shared" si="413"/>
        <v>825-22: Chutes, Corrals, Livestock Holding Pens, etc.</v>
      </c>
    </row>
    <row r="6454" spans="1:7" x14ac:dyDescent="0.25">
      <c r="A6454" s="1" t="str">
        <f t="shared" si="414"/>
        <v>825</v>
      </c>
      <c r="B6454" s="1" t="str">
        <f>TEXT(25,"00")</f>
        <v>25</v>
      </c>
      <c r="C6454" s="1" t="str">
        <f t="shared" si="412"/>
        <v>825-25</v>
      </c>
      <c r="D6454" t="s">
        <v>6426</v>
      </c>
      <c r="E6454" t="b">
        <f>IF(COUNTIF(D6454,"*"&amp;'Keyword Search'!$C$5&amp;"*"),TRUE,FALSE)</f>
        <v>1</v>
      </c>
      <c r="G6454" t="str">
        <f t="shared" si="413"/>
        <v>825-25: Dehorners</v>
      </c>
    </row>
    <row r="6455" spans="1:7" x14ac:dyDescent="0.25">
      <c r="A6455" s="1" t="str">
        <f t="shared" si="414"/>
        <v>825</v>
      </c>
      <c r="B6455" s="1" t="str">
        <f>TEXT(26,"00")</f>
        <v>26</v>
      </c>
      <c r="C6455" s="1" t="str">
        <f t="shared" si="412"/>
        <v>825-26</v>
      </c>
      <c r="D6455" t="s">
        <v>6427</v>
      </c>
      <c r="E6455" t="b">
        <f>IF(COUNTIF(D6455,"*"&amp;'Keyword Search'!$C$5&amp;"*"),TRUE,FALSE)</f>
        <v>1</v>
      </c>
      <c r="G6455" t="str">
        <f t="shared" si="413"/>
        <v>825-26: Disinfectants, Animal Pens, Creosote, etc.</v>
      </c>
    </row>
    <row r="6456" spans="1:7" x14ac:dyDescent="0.25">
      <c r="A6456" s="1" t="str">
        <f t="shared" si="414"/>
        <v>825</v>
      </c>
      <c r="B6456" s="1" t="str">
        <f>TEXT(29,"00")</f>
        <v>29</v>
      </c>
      <c r="C6456" s="1" t="str">
        <f t="shared" si="412"/>
        <v>825-29</v>
      </c>
      <c r="D6456" t="s">
        <v>6428</v>
      </c>
      <c r="E6456" t="b">
        <f>IF(COUNTIF(D6456,"*"&amp;'Keyword Search'!$C$5&amp;"*"),TRUE,FALSE)</f>
        <v>1</v>
      </c>
      <c r="G6456" t="str">
        <f t="shared" si="413"/>
        <v>825-29: Drench Guns</v>
      </c>
    </row>
    <row r="6457" spans="1:7" x14ac:dyDescent="0.25">
      <c r="A6457" s="1" t="str">
        <f t="shared" si="414"/>
        <v>825</v>
      </c>
      <c r="B6457" s="1" t="str">
        <f>TEXT(31,"00")</f>
        <v>31</v>
      </c>
      <c r="C6457" s="1" t="str">
        <f t="shared" si="412"/>
        <v>825-31</v>
      </c>
      <c r="D6457" t="s">
        <v>6429</v>
      </c>
      <c r="E6457" t="b">
        <f>IF(COUNTIF(D6457,"*"&amp;'Keyword Search'!$C$5&amp;"*"),TRUE,FALSE)</f>
        <v>1</v>
      </c>
      <c r="G6457" t="str">
        <f t="shared" si="413"/>
        <v>825-31: Farrowing Stalls</v>
      </c>
    </row>
    <row r="6458" spans="1:7" x14ac:dyDescent="0.25">
      <c r="A6458" s="1" t="str">
        <f t="shared" si="414"/>
        <v>825</v>
      </c>
      <c r="B6458" s="1" t="str">
        <f>TEXT(34,"00")</f>
        <v>34</v>
      </c>
      <c r="C6458" s="1" t="str">
        <f t="shared" si="412"/>
        <v>825-34</v>
      </c>
      <c r="D6458" t="s">
        <v>6430</v>
      </c>
      <c r="E6458" t="b">
        <f>IF(COUNTIF(D6458,"*"&amp;'Keyword Search'!$C$5&amp;"*"),TRUE,FALSE)</f>
        <v>1</v>
      </c>
      <c r="G6458" t="str">
        <f t="shared" si="413"/>
        <v>825-34: Feeders, All Kinds, Except Troughs</v>
      </c>
    </row>
    <row r="6459" spans="1:7" x14ac:dyDescent="0.25">
      <c r="A6459" s="1" t="str">
        <f t="shared" si="414"/>
        <v>825</v>
      </c>
      <c r="B6459" s="1" t="str">
        <f>TEXT(36,"00")</f>
        <v>36</v>
      </c>
      <c r="C6459" s="1" t="str">
        <f t="shared" si="412"/>
        <v>825-36</v>
      </c>
      <c r="D6459" t="s">
        <v>6431</v>
      </c>
      <c r="E6459" t="b">
        <f>IF(COUNTIF(D6459,"*"&amp;'Keyword Search'!$C$5&amp;"*"),TRUE,FALSE)</f>
        <v>1</v>
      </c>
      <c r="G6459" t="str">
        <f t="shared" si="413"/>
        <v>825-36: Feeder Troughs, Dishes, etc.</v>
      </c>
    </row>
    <row r="6460" spans="1:7" x14ac:dyDescent="0.25">
      <c r="A6460" s="1" t="str">
        <f t="shared" si="414"/>
        <v>825</v>
      </c>
      <c r="B6460" s="1" t="str">
        <f>TEXT(37,"00")</f>
        <v>37</v>
      </c>
      <c r="C6460" s="1" t="str">
        <f t="shared" si="412"/>
        <v>825-37</v>
      </c>
      <c r="D6460" t="s">
        <v>6432</v>
      </c>
      <c r="E6460" t="b">
        <f>IF(COUNTIF(D6460,"*"&amp;'Keyword Search'!$C$5&amp;"*"),TRUE,FALSE)</f>
        <v>1</v>
      </c>
      <c r="G6460" t="str">
        <f t="shared" si="413"/>
        <v>825-37: Feedlots</v>
      </c>
    </row>
    <row r="6461" spans="1:7" x14ac:dyDescent="0.25">
      <c r="A6461" s="1" t="str">
        <f t="shared" si="414"/>
        <v>825</v>
      </c>
      <c r="B6461" s="1" t="str">
        <f>TEXT(39,"00")</f>
        <v>39</v>
      </c>
      <c r="C6461" s="1" t="str">
        <f t="shared" si="412"/>
        <v>825-39</v>
      </c>
      <c r="D6461" t="s">
        <v>6433</v>
      </c>
      <c r="E6461" t="b">
        <f>IF(COUNTIF(D6461,"*"&amp;'Keyword Search'!$C$5&amp;"*"),TRUE,FALSE)</f>
        <v>1</v>
      </c>
      <c r="G6461" t="str">
        <f t="shared" si="413"/>
        <v>825-39: Grooming Equipment and Supplies: Brushes, Clippers, Currycombs, Docking Supplies, Nippers, Trimmers, etc.</v>
      </c>
    </row>
    <row r="6462" spans="1:7" x14ac:dyDescent="0.25">
      <c r="A6462" s="1" t="str">
        <f t="shared" si="414"/>
        <v>825</v>
      </c>
      <c r="B6462" s="1" t="str">
        <f>TEXT(42,"00")</f>
        <v>42</v>
      </c>
      <c r="C6462" s="1" t="str">
        <f t="shared" si="412"/>
        <v>825-42</v>
      </c>
      <c r="D6462" t="s">
        <v>6434</v>
      </c>
      <c r="E6462" t="b">
        <f>IF(COUNTIF(D6462,"*"&amp;'Keyword Search'!$C$5&amp;"*"),TRUE,FALSE)</f>
        <v>1</v>
      </c>
      <c r="G6462" t="str">
        <f t="shared" si="413"/>
        <v>825-42: Harness, Ewe Marking</v>
      </c>
    </row>
    <row r="6463" spans="1:7" x14ac:dyDescent="0.25">
      <c r="A6463" s="1" t="str">
        <f t="shared" si="414"/>
        <v>825</v>
      </c>
      <c r="B6463" s="1" t="str">
        <f>TEXT(45,"00")</f>
        <v>45</v>
      </c>
      <c r="C6463" s="1" t="str">
        <f t="shared" si="412"/>
        <v>825-45</v>
      </c>
      <c r="D6463" t="s">
        <v>6435</v>
      </c>
      <c r="E6463" t="b">
        <f>IF(COUNTIF(D6463,"*"&amp;'Keyword Search'!$C$5&amp;"*"),TRUE,FALSE)</f>
        <v>1</v>
      </c>
      <c r="G6463" t="str">
        <f t="shared" si="413"/>
        <v>825-45: Hog Holders</v>
      </c>
    </row>
    <row r="6464" spans="1:7" x14ac:dyDescent="0.25">
      <c r="A6464" s="1" t="str">
        <f t="shared" si="414"/>
        <v>825</v>
      </c>
      <c r="B6464" s="1" t="str">
        <f>TEXT(48,"00")</f>
        <v>48</v>
      </c>
      <c r="C6464" s="1" t="str">
        <f t="shared" si="412"/>
        <v>825-48</v>
      </c>
      <c r="D6464" t="s">
        <v>6436</v>
      </c>
      <c r="E6464" t="b">
        <f>IF(COUNTIF(D6464,"*"&amp;'Keyword Search'!$C$5&amp;"*"),TRUE,FALSE)</f>
        <v>1</v>
      </c>
      <c r="G6464" t="str">
        <f t="shared" si="413"/>
        <v>825-48: Hog Ringer Pliers and Rings</v>
      </c>
    </row>
    <row r="6465" spans="1:7" x14ac:dyDescent="0.25">
      <c r="A6465" s="1" t="str">
        <f t="shared" si="414"/>
        <v>825</v>
      </c>
      <c r="B6465" s="1" t="str">
        <f>TEXT(51,"00")</f>
        <v>51</v>
      </c>
      <c r="C6465" s="1" t="str">
        <f t="shared" si="412"/>
        <v>825-51</v>
      </c>
      <c r="D6465" t="s">
        <v>6437</v>
      </c>
      <c r="E6465" t="b">
        <f>IF(COUNTIF(D6465,"*"&amp;'Keyword Search'!$C$5&amp;"*"),TRUE,FALSE)</f>
        <v>1</v>
      </c>
      <c r="G6465" t="str">
        <f t="shared" si="413"/>
        <v>825-51: Horn Trainers and Weights</v>
      </c>
    </row>
    <row r="6466" spans="1:7" x14ac:dyDescent="0.25">
      <c r="A6466" s="1" t="str">
        <f t="shared" si="414"/>
        <v>825</v>
      </c>
      <c r="B6466" s="1" t="str">
        <f>TEXT(54,"00")</f>
        <v>54</v>
      </c>
      <c r="C6466" s="1" t="str">
        <f t="shared" si="412"/>
        <v>825-54</v>
      </c>
      <c r="D6466" t="s">
        <v>6438</v>
      </c>
      <c r="E6466" t="b">
        <f>IF(COUNTIF(D6466,"*"&amp;'Keyword Search'!$C$5&amp;"*"),TRUE,FALSE)</f>
        <v>1</v>
      </c>
      <c r="G6466" t="str">
        <f t="shared" si="413"/>
        <v>825-54: Immobilizers and Accessories: Guns, Loads, Syringes, etc.</v>
      </c>
    </row>
    <row r="6467" spans="1:7" x14ac:dyDescent="0.25">
      <c r="A6467" s="1" t="str">
        <f t="shared" si="414"/>
        <v>825</v>
      </c>
      <c r="B6467" s="1" t="str">
        <f>TEXT(58,"00")</f>
        <v>58</v>
      </c>
      <c r="C6467" s="1" t="str">
        <f t="shared" ref="C6467:C6530" si="415">CONCATENATE(A6467,"-",B6467)</f>
        <v>825-58</v>
      </c>
      <c r="D6467" t="s">
        <v>6439</v>
      </c>
      <c r="E6467" t="b">
        <f>IF(COUNTIF(D6467,"*"&amp;'Keyword Search'!$C$5&amp;"*"),TRUE,FALSE)</f>
        <v>1</v>
      </c>
      <c r="G6467" t="str">
        <f t="shared" si="413"/>
        <v>825-58: Lariats</v>
      </c>
    </row>
    <row r="6468" spans="1:7" x14ac:dyDescent="0.25">
      <c r="A6468" s="1" t="str">
        <f t="shared" si="414"/>
        <v>825</v>
      </c>
      <c r="B6468" s="1" t="str">
        <f>TEXT(62,"00")</f>
        <v>62</v>
      </c>
      <c r="C6468" s="1" t="str">
        <f t="shared" si="415"/>
        <v>825-62</v>
      </c>
      <c r="D6468" t="s">
        <v>6440</v>
      </c>
      <c r="E6468" t="b">
        <f>IF(COUNTIF(D6468,"*"&amp;'Keyword Search'!$C$5&amp;"*"),TRUE,FALSE)</f>
        <v>1</v>
      </c>
      <c r="G6468" t="str">
        <f t="shared" ref="G6468:G6531" si="416">CONCATENATE(C6468,": ",D6468)</f>
        <v>825-62: Nipple Pails</v>
      </c>
    </row>
    <row r="6469" spans="1:7" x14ac:dyDescent="0.25">
      <c r="A6469" s="1" t="str">
        <f t="shared" si="414"/>
        <v>825</v>
      </c>
      <c r="B6469" s="1" t="str">
        <f>TEXT(65,"00")</f>
        <v>65</v>
      </c>
      <c r="C6469" s="1" t="str">
        <f t="shared" si="415"/>
        <v>825-65</v>
      </c>
      <c r="D6469" t="s">
        <v>6441</v>
      </c>
      <c r="E6469" t="b">
        <f>IF(COUNTIF(D6469,"*"&amp;'Keyword Search'!$C$5&amp;"*"),TRUE,FALSE)</f>
        <v>1</v>
      </c>
      <c r="G6469" t="str">
        <f t="shared" si="416"/>
        <v>825-65: Prodders, Shock Type</v>
      </c>
    </row>
    <row r="6470" spans="1:7" x14ac:dyDescent="0.25">
      <c r="A6470" s="1" t="str">
        <f t="shared" si="414"/>
        <v>825</v>
      </c>
      <c r="B6470" s="1" t="str">
        <f>TEXT(69,"00")</f>
        <v>69</v>
      </c>
      <c r="C6470" s="1" t="str">
        <f t="shared" si="415"/>
        <v>825-69</v>
      </c>
      <c r="D6470" t="s">
        <v>6442</v>
      </c>
      <c r="E6470" t="b">
        <f>IF(COUNTIF(D6470,"*"&amp;'Keyword Search'!$C$5&amp;"*"),TRUE,FALSE)</f>
        <v>1</v>
      </c>
      <c r="G6470" t="str">
        <f t="shared" si="416"/>
        <v>825-69: Recycled Stockman Equipment and Supplies</v>
      </c>
    </row>
    <row r="6471" spans="1:7" x14ac:dyDescent="0.25">
      <c r="A6471" s="1" t="str">
        <f t="shared" si="414"/>
        <v>825</v>
      </c>
      <c r="B6471" s="1" t="str">
        <f>TEXT(72,"00")</f>
        <v>72</v>
      </c>
      <c r="C6471" s="1" t="str">
        <f t="shared" si="415"/>
        <v>825-72</v>
      </c>
      <c r="D6471" t="s">
        <v>6443</v>
      </c>
      <c r="E6471" t="b">
        <f>IF(COUNTIF(D6471,"*"&amp;'Keyword Search'!$C$5&amp;"*"),TRUE,FALSE)</f>
        <v>1</v>
      </c>
      <c r="G6471" t="str">
        <f t="shared" si="416"/>
        <v>825-72: Shearing Equipment</v>
      </c>
    </row>
    <row r="6472" spans="1:7" x14ac:dyDescent="0.25">
      <c r="A6472" s="1" t="str">
        <f t="shared" si="414"/>
        <v>825</v>
      </c>
      <c r="B6472" s="1" t="str">
        <f>TEXT(75,"00")</f>
        <v>75</v>
      </c>
      <c r="C6472" s="1" t="str">
        <f t="shared" si="415"/>
        <v>825-75</v>
      </c>
      <c r="D6472" t="s">
        <v>6444</v>
      </c>
      <c r="E6472" t="b">
        <f>IF(COUNTIF(D6472,"*"&amp;'Keyword Search'!$C$5&amp;"*"),TRUE,FALSE)</f>
        <v>1</v>
      </c>
      <c r="G6472" t="str">
        <f t="shared" si="416"/>
        <v>825-75: Slappers and Whips</v>
      </c>
    </row>
    <row r="6473" spans="1:7" x14ac:dyDescent="0.25">
      <c r="A6473" s="1" t="str">
        <f t="shared" si="414"/>
        <v>825</v>
      </c>
      <c r="B6473" s="1" t="str">
        <f>TEXT(76,"00")</f>
        <v>76</v>
      </c>
      <c r="C6473" s="1" t="str">
        <f t="shared" si="415"/>
        <v>825-76</v>
      </c>
      <c r="D6473" t="s">
        <v>6445</v>
      </c>
      <c r="E6473" t="b">
        <f>IF(COUNTIF(D6473,"*"&amp;'Keyword Search'!$C$5&amp;"*"),TRUE,FALSE)</f>
        <v>1</v>
      </c>
      <c r="G6473" t="str">
        <f t="shared" si="416"/>
        <v>825-76: Stockman Equipment and Supplies, (Not Otherwise Classified)</v>
      </c>
    </row>
    <row r="6474" spans="1:7" x14ac:dyDescent="0.25">
      <c r="A6474" s="1" t="str">
        <f t="shared" si="414"/>
        <v>825</v>
      </c>
      <c r="B6474" s="1" t="str">
        <f>TEXT(78,"00")</f>
        <v>78</v>
      </c>
      <c r="C6474" s="1" t="str">
        <f t="shared" si="415"/>
        <v>825-78</v>
      </c>
      <c r="D6474" t="s">
        <v>6446</v>
      </c>
      <c r="E6474" t="b">
        <f>IF(COUNTIF(D6474,"*"&amp;'Keyword Search'!$C$5&amp;"*"),TRUE,FALSE)</f>
        <v>1</v>
      </c>
      <c r="G6474" t="str">
        <f t="shared" si="416"/>
        <v>825-78: Tags, Ear, Neck, etc., Tagging Accessories, Chains, Fasteners, Pliers, etc.</v>
      </c>
    </row>
    <row r="6475" spans="1:7" x14ac:dyDescent="0.25">
      <c r="A6475" s="1" t="str">
        <f t="shared" si="414"/>
        <v>825</v>
      </c>
      <c r="B6475" s="1" t="str">
        <f>TEXT(81,"00")</f>
        <v>81</v>
      </c>
      <c r="C6475" s="1" t="str">
        <f t="shared" si="415"/>
        <v>825-81</v>
      </c>
      <c r="D6475" t="s">
        <v>6447</v>
      </c>
      <c r="E6475" t="b">
        <f>IF(COUNTIF(D6475,"*"&amp;'Keyword Search'!$C$5&amp;"*"),TRUE,FALSE)</f>
        <v>1</v>
      </c>
      <c r="G6475" t="str">
        <f t="shared" si="416"/>
        <v>825-81: Tattooing Equipment and Inks</v>
      </c>
    </row>
    <row r="6476" spans="1:7" x14ac:dyDescent="0.25">
      <c r="A6476" s="1" t="str">
        <f t="shared" si="414"/>
        <v>825</v>
      </c>
      <c r="B6476" s="1" t="str">
        <f>TEXT(85,"00")</f>
        <v>85</v>
      </c>
      <c r="C6476" s="1" t="str">
        <f t="shared" si="415"/>
        <v>825-85</v>
      </c>
      <c r="D6476" t="s">
        <v>6448</v>
      </c>
      <c r="E6476" t="b">
        <f>IF(COUNTIF(D6476,"*"&amp;'Keyword Search'!$C$5&amp;"*"),TRUE,FALSE)</f>
        <v>1</v>
      </c>
      <c r="G6476" t="str">
        <f t="shared" si="416"/>
        <v>825-85: Vacuum Cleaners, Cattle</v>
      </c>
    </row>
    <row r="6477" spans="1:7" x14ac:dyDescent="0.25">
      <c r="A6477" s="1" t="str">
        <f t="shared" si="414"/>
        <v>825</v>
      </c>
      <c r="B6477" s="1" t="str">
        <f>TEXT(90,"00")</f>
        <v>90</v>
      </c>
      <c r="C6477" s="1" t="str">
        <f t="shared" si="415"/>
        <v>825-90</v>
      </c>
      <c r="D6477" t="s">
        <v>6449</v>
      </c>
      <c r="E6477" t="b">
        <f>IF(COUNTIF(D6477,"*"&amp;'Keyword Search'!$C$5&amp;"*"),TRUE,FALSE)</f>
        <v>1</v>
      </c>
      <c r="G6477" t="str">
        <f t="shared" si="416"/>
        <v>825-90: Waterers, Except Concrete Troughs</v>
      </c>
    </row>
    <row r="6478" spans="1:7" x14ac:dyDescent="0.25">
      <c r="A6478" s="1" t="str">
        <f t="shared" si="414"/>
        <v>825</v>
      </c>
      <c r="B6478" s="1" t="str">
        <f>TEXT(93,"00")</f>
        <v>93</v>
      </c>
      <c r="C6478" s="1" t="str">
        <f t="shared" si="415"/>
        <v>825-93</v>
      </c>
      <c r="D6478" t="s">
        <v>6450</v>
      </c>
      <c r="E6478" t="b">
        <f>IF(COUNTIF(D6478,"*"&amp;'Keyword Search'!$C$5&amp;"*"),TRUE,FALSE)</f>
        <v>1</v>
      </c>
      <c r="G6478" t="str">
        <f t="shared" si="416"/>
        <v>825-93: Weaners</v>
      </c>
    </row>
    <row r="6479" spans="1:7" x14ac:dyDescent="0.25">
      <c r="A6479" s="5" t="str">
        <f t="shared" ref="A6479:A6521" si="417">TEXT(830,"000")</f>
        <v>830</v>
      </c>
      <c r="B6479" s="5" t="str">
        <f>TEXT(0,"00")</f>
        <v>00</v>
      </c>
      <c r="C6479" s="1"/>
      <c r="D6479" s="2" t="s">
        <v>6451</v>
      </c>
    </row>
    <row r="6480" spans="1:7" x14ac:dyDescent="0.25">
      <c r="A6480" s="1" t="str">
        <f t="shared" si="417"/>
        <v>830</v>
      </c>
      <c r="B6480" s="1" t="str">
        <f>TEXT(4,"00")</f>
        <v>04</v>
      </c>
      <c r="C6480" s="1" t="str">
        <f t="shared" si="415"/>
        <v>830-04</v>
      </c>
      <c r="D6480" t="s">
        <v>6452</v>
      </c>
      <c r="E6480" t="b">
        <f>IF(COUNTIF(D6480,"*"&amp;'Keyword Search'!$C$5&amp;"*"),TRUE,FALSE)</f>
        <v>1</v>
      </c>
      <c r="G6480" t="str">
        <f t="shared" si="416"/>
        <v>830-04: Aluminum Tanks, All Kinds</v>
      </c>
    </row>
    <row r="6481" spans="1:7" x14ac:dyDescent="0.25">
      <c r="A6481" s="1" t="str">
        <f t="shared" si="417"/>
        <v>830</v>
      </c>
      <c r="B6481" s="1" t="str">
        <f>TEXT(10,"00")</f>
        <v>10</v>
      </c>
      <c r="C6481" s="1" t="str">
        <f t="shared" si="415"/>
        <v>830-10</v>
      </c>
      <c r="D6481" t="s">
        <v>6453</v>
      </c>
      <c r="E6481" t="b">
        <f>IF(COUNTIF(D6481,"*"&amp;'Keyword Search'!$C$5&amp;"*"),TRUE,FALSE)</f>
        <v>1</v>
      </c>
      <c r="G6481" t="str">
        <f t="shared" si="416"/>
        <v>830-10: Brass Tanks, All Kinds</v>
      </c>
    </row>
    <row r="6482" spans="1:7" x14ac:dyDescent="0.25">
      <c r="A6482" s="1" t="str">
        <f t="shared" si="417"/>
        <v>830</v>
      </c>
      <c r="B6482" s="1" t="str">
        <f>TEXT(13,"00")</f>
        <v>13</v>
      </c>
      <c r="C6482" s="1" t="str">
        <f t="shared" si="415"/>
        <v>830-13</v>
      </c>
      <c r="D6482" t="s">
        <v>6454</v>
      </c>
      <c r="E6482" t="b">
        <f>IF(COUNTIF(D6482,"*"&amp;'Keyword Search'!$C$5&amp;"*"),TRUE,FALSE)</f>
        <v>1</v>
      </c>
      <c r="G6482" t="str">
        <f t="shared" si="416"/>
        <v>830-13: Butane and Propane Tanks, Surface and Underground</v>
      </c>
    </row>
    <row r="6483" spans="1:7" x14ac:dyDescent="0.25">
      <c r="A6483" s="1" t="str">
        <f t="shared" si="417"/>
        <v>830</v>
      </c>
      <c r="B6483" s="1" t="str">
        <f>TEXT(16,"00")</f>
        <v>16</v>
      </c>
      <c r="C6483" s="1" t="str">
        <f t="shared" si="415"/>
        <v>830-16</v>
      </c>
      <c r="D6483" t="s">
        <v>6455</v>
      </c>
      <c r="E6483" t="b">
        <f>IF(COUNTIF(D6483,"*"&amp;'Keyword Search'!$C$5&amp;"*"),TRUE,FALSE)</f>
        <v>1</v>
      </c>
      <c r="G6483" t="str">
        <f t="shared" si="416"/>
        <v>830-16: Butane and Propane Tanks, Transport Truck Type</v>
      </c>
    </row>
    <row r="6484" spans="1:7" x14ac:dyDescent="0.25">
      <c r="A6484" s="1" t="str">
        <f t="shared" si="417"/>
        <v>830</v>
      </c>
      <c r="B6484" s="1" t="str">
        <f>TEXT(18,"00")</f>
        <v>18</v>
      </c>
      <c r="C6484" s="1" t="str">
        <f t="shared" si="415"/>
        <v>830-18</v>
      </c>
      <c r="D6484" t="s">
        <v>6456</v>
      </c>
      <c r="E6484" t="b">
        <f>IF(COUNTIF(D6484,"*"&amp;'Keyword Search'!$C$5&amp;"*"),TRUE,FALSE)</f>
        <v>1</v>
      </c>
      <c r="G6484" t="str">
        <f t="shared" si="416"/>
        <v>830-18: Calibrating Tanks</v>
      </c>
    </row>
    <row r="6485" spans="1:7" x14ac:dyDescent="0.25">
      <c r="A6485" s="1" t="str">
        <f t="shared" si="417"/>
        <v>830</v>
      </c>
      <c r="B6485" s="1" t="str">
        <f>TEXT(19,"00")</f>
        <v>19</v>
      </c>
      <c r="C6485" s="1" t="str">
        <f t="shared" si="415"/>
        <v>830-19</v>
      </c>
      <c r="D6485" t="s">
        <v>6457</v>
      </c>
      <c r="E6485" t="b">
        <f>IF(COUNTIF(D6485,"*"&amp;'Keyword Search'!$C$5&amp;"*"),TRUE,FALSE)</f>
        <v>1</v>
      </c>
      <c r="G6485" t="str">
        <f t="shared" si="416"/>
        <v>830-19: Cast Iron Tanks, All Kinds</v>
      </c>
    </row>
    <row r="6486" spans="1:7" x14ac:dyDescent="0.25">
      <c r="A6486" s="1" t="str">
        <f t="shared" si="417"/>
        <v>830</v>
      </c>
      <c r="B6486" s="1" t="str">
        <f>TEXT(22,"00")</f>
        <v>22</v>
      </c>
      <c r="C6486" s="1" t="str">
        <f t="shared" si="415"/>
        <v>830-22</v>
      </c>
      <c r="D6486" t="s">
        <v>6458</v>
      </c>
      <c r="E6486" t="b">
        <f>IF(COUNTIF(D6486,"*"&amp;'Keyword Search'!$C$5&amp;"*"),TRUE,FALSE)</f>
        <v>1</v>
      </c>
      <c r="G6486" t="str">
        <f t="shared" si="416"/>
        <v>830-22: Cement Lined Tanks</v>
      </c>
    </row>
    <row r="6487" spans="1:7" x14ac:dyDescent="0.25">
      <c r="A6487" s="1" t="str">
        <f t="shared" si="417"/>
        <v>830</v>
      </c>
      <c r="B6487" s="1" t="str">
        <f>TEXT(23,"00")</f>
        <v>23</v>
      </c>
      <c r="C6487" s="1" t="str">
        <f t="shared" si="415"/>
        <v>830-23</v>
      </c>
      <c r="D6487" t="s">
        <v>6459</v>
      </c>
      <c r="E6487" t="b">
        <f>IF(COUNTIF(D6487,"*"&amp;'Keyword Search'!$C$5&amp;"*"),TRUE,FALSE)</f>
        <v>1</v>
      </c>
      <c r="G6487" t="str">
        <f t="shared" si="416"/>
        <v>830-23: Cisterns and Parts, Fire</v>
      </c>
    </row>
    <row r="6488" spans="1:7" x14ac:dyDescent="0.25">
      <c r="A6488" s="1" t="str">
        <f t="shared" si="417"/>
        <v>830</v>
      </c>
      <c r="B6488" s="1" t="str">
        <f>TEXT(24,"00")</f>
        <v>24</v>
      </c>
      <c r="C6488" s="1" t="str">
        <f t="shared" si="415"/>
        <v>830-24</v>
      </c>
      <c r="D6488" t="s">
        <v>6460</v>
      </c>
      <c r="E6488" t="b">
        <f>IF(COUNTIF(D6488,"*"&amp;'Keyword Search'!$C$5&amp;"*"),TRUE,FALSE)</f>
        <v>1</v>
      </c>
      <c r="G6488" t="str">
        <f t="shared" si="416"/>
        <v>830-24: Collapsible Tank for Petroleum Spills</v>
      </c>
    </row>
    <row r="6489" spans="1:7" x14ac:dyDescent="0.25">
      <c r="A6489" s="1" t="str">
        <f t="shared" si="417"/>
        <v>830</v>
      </c>
      <c r="B6489" s="1" t="str">
        <f>TEXT(25,"00")</f>
        <v>25</v>
      </c>
      <c r="C6489" s="1" t="str">
        <f t="shared" si="415"/>
        <v>830-25</v>
      </c>
      <c r="D6489" t="s">
        <v>6461</v>
      </c>
      <c r="E6489" t="b">
        <f>IF(COUNTIF(D6489,"*"&amp;'Keyword Search'!$C$5&amp;"*"),TRUE,FALSE)</f>
        <v>1</v>
      </c>
      <c r="G6489" t="str">
        <f t="shared" si="416"/>
        <v>830-25: Copper Lined Tanks</v>
      </c>
    </row>
    <row r="6490" spans="1:7" x14ac:dyDescent="0.25">
      <c r="A6490" s="1" t="str">
        <f t="shared" si="417"/>
        <v>830</v>
      </c>
      <c r="B6490" s="1" t="str">
        <f>TEXT(26,"00")</f>
        <v>26</v>
      </c>
      <c r="C6490" s="1" t="str">
        <f t="shared" si="415"/>
        <v>830-26</v>
      </c>
      <c r="D6490" t="s">
        <v>6462</v>
      </c>
      <c r="E6490" t="b">
        <f>IF(COUNTIF(D6490,"*"&amp;'Keyword Search'!$C$5&amp;"*"),TRUE,FALSE)</f>
        <v>1</v>
      </c>
      <c r="G6490" t="str">
        <f t="shared" si="416"/>
        <v>830-26: Dip Tanks</v>
      </c>
    </row>
    <row r="6491" spans="1:7" x14ac:dyDescent="0.25">
      <c r="A6491" s="1" t="str">
        <f t="shared" si="417"/>
        <v>830</v>
      </c>
      <c r="B6491" s="1" t="str">
        <f>TEXT(27,"00")</f>
        <v>27</v>
      </c>
      <c r="C6491" s="1" t="str">
        <f t="shared" si="415"/>
        <v>830-27</v>
      </c>
      <c r="D6491" t="s">
        <v>6463</v>
      </c>
      <c r="E6491" t="b">
        <f>IF(COUNTIF(D6491,"*"&amp;'Keyword Search'!$C$5&amp;"*"),TRUE,FALSE)</f>
        <v>1</v>
      </c>
      <c r="G6491" t="str">
        <f t="shared" si="416"/>
        <v>830-27: Expansion Tanks</v>
      </c>
    </row>
    <row r="6492" spans="1:7" x14ac:dyDescent="0.25">
      <c r="A6492" s="1" t="str">
        <f t="shared" si="417"/>
        <v>830</v>
      </c>
      <c r="B6492" s="1" t="str">
        <f>TEXT(28,"00")</f>
        <v>28</v>
      </c>
      <c r="C6492" s="1" t="str">
        <f t="shared" si="415"/>
        <v>830-28</v>
      </c>
      <c r="D6492" t="s">
        <v>6464</v>
      </c>
      <c r="E6492" t="b">
        <f>IF(COUNTIF(D6492,"*"&amp;'Keyword Search'!$C$5&amp;"*"),TRUE,FALSE)</f>
        <v>1</v>
      </c>
      <c r="G6492" t="str">
        <f t="shared" si="416"/>
        <v>830-28: Fiberglass Lined Tanks</v>
      </c>
    </row>
    <row r="6493" spans="1:7" x14ac:dyDescent="0.25">
      <c r="A6493" s="1" t="str">
        <f t="shared" si="417"/>
        <v>830</v>
      </c>
      <c r="B6493" s="1" t="str">
        <f>TEXT(31,"00")</f>
        <v>31</v>
      </c>
      <c r="C6493" s="1" t="str">
        <f t="shared" si="415"/>
        <v>830-31</v>
      </c>
      <c r="D6493" t="s">
        <v>6465</v>
      </c>
      <c r="E6493" t="b">
        <f>IF(COUNTIF(D6493,"*"&amp;'Keyword Search'!$C$5&amp;"*"),TRUE,FALSE)</f>
        <v>1</v>
      </c>
      <c r="G6493" t="str">
        <f t="shared" si="416"/>
        <v>830-31: Fiberglass Tanks, Gasoline, Including Underground Type</v>
      </c>
    </row>
    <row r="6494" spans="1:7" x14ac:dyDescent="0.25">
      <c r="A6494" s="1" t="str">
        <f t="shared" si="417"/>
        <v>830</v>
      </c>
      <c r="B6494" s="1" t="str">
        <f>TEXT(32,"00")</f>
        <v>32</v>
      </c>
      <c r="C6494" s="1" t="str">
        <f t="shared" si="415"/>
        <v>830-32</v>
      </c>
      <c r="D6494" t="s">
        <v>6466</v>
      </c>
      <c r="E6494" t="b">
        <f>IF(COUNTIF(D6494,"*"&amp;'Keyword Search'!$C$5&amp;"*"),TRUE,FALSE)</f>
        <v>1</v>
      </c>
      <c r="G6494" t="str">
        <f t="shared" si="416"/>
        <v>830-32: Fiberglass Tanks, Other Than for Gasoline</v>
      </c>
    </row>
    <row r="6495" spans="1:7" x14ac:dyDescent="0.25">
      <c r="A6495" s="1" t="str">
        <f t="shared" si="417"/>
        <v>830</v>
      </c>
      <c r="B6495" s="1" t="str">
        <f>TEXT(33,"00")</f>
        <v>33</v>
      </c>
      <c r="C6495" s="1" t="str">
        <f t="shared" si="415"/>
        <v>830-33</v>
      </c>
      <c r="D6495" t="s">
        <v>6467</v>
      </c>
      <c r="E6495" t="b">
        <f>IF(COUNTIF(D6495,"*"&amp;'Keyword Search'!$C$5&amp;"*"),TRUE,FALSE)</f>
        <v>1</v>
      </c>
      <c r="G6495" t="str">
        <f t="shared" si="416"/>
        <v>830-33: Filters, Storage Tank</v>
      </c>
    </row>
    <row r="6496" spans="1:7" x14ac:dyDescent="0.25">
      <c r="A6496" s="1" t="str">
        <f t="shared" si="417"/>
        <v>830</v>
      </c>
      <c r="B6496" s="1" t="str">
        <f>TEXT(34,"00")</f>
        <v>34</v>
      </c>
      <c r="C6496" s="1" t="str">
        <f t="shared" si="415"/>
        <v>830-34</v>
      </c>
      <c r="D6496" t="s">
        <v>6468</v>
      </c>
      <c r="E6496" t="b">
        <f>IF(COUNTIF(D6496,"*"&amp;'Keyword Search'!$C$5&amp;"*"),TRUE,FALSE)</f>
        <v>1</v>
      </c>
      <c r="G6496" t="str">
        <f t="shared" si="416"/>
        <v>830-34: Galvanized Sheet Iron and Steel Tanks</v>
      </c>
    </row>
    <row r="6497" spans="1:7" x14ac:dyDescent="0.25">
      <c r="A6497" s="1" t="str">
        <f t="shared" si="417"/>
        <v>830</v>
      </c>
      <c r="B6497" s="1" t="str">
        <f>TEXT(37,"00")</f>
        <v>37</v>
      </c>
      <c r="C6497" s="1" t="str">
        <f t="shared" si="415"/>
        <v>830-37</v>
      </c>
      <c r="D6497" t="s">
        <v>6469</v>
      </c>
      <c r="E6497" t="b">
        <f>IF(COUNTIF(D6497,"*"&amp;'Keyword Search'!$C$5&amp;"*"),TRUE,FALSE)</f>
        <v>1</v>
      </c>
      <c r="G6497" t="str">
        <f t="shared" si="416"/>
        <v>830-37: Glass Lined Tanks</v>
      </c>
    </row>
    <row r="6498" spans="1:7" x14ac:dyDescent="0.25">
      <c r="A6498" s="1" t="str">
        <f t="shared" si="417"/>
        <v>830</v>
      </c>
      <c r="B6498" s="1" t="str">
        <f>TEXT(40,"00")</f>
        <v>40</v>
      </c>
      <c r="C6498" s="1" t="str">
        <f t="shared" si="415"/>
        <v>830-40</v>
      </c>
      <c r="D6498" t="s">
        <v>6470</v>
      </c>
      <c r="E6498" t="b">
        <f>IF(COUNTIF(D6498,"*"&amp;'Keyword Search'!$C$5&amp;"*"),TRUE,FALSE)</f>
        <v>1</v>
      </c>
      <c r="G6498" t="str">
        <f t="shared" si="416"/>
        <v>830-40: Lead Lined Tanks</v>
      </c>
    </row>
    <row r="6499" spans="1:7" x14ac:dyDescent="0.25">
      <c r="A6499" s="1" t="str">
        <f t="shared" si="417"/>
        <v>830</v>
      </c>
      <c r="B6499" s="1" t="str">
        <f>TEXT(41,"00")</f>
        <v>41</v>
      </c>
      <c r="C6499" s="1" t="str">
        <f t="shared" si="415"/>
        <v>830-41</v>
      </c>
      <c r="D6499" t="s">
        <v>6471</v>
      </c>
      <c r="E6499" t="b">
        <f>IF(COUNTIF(D6499,"*"&amp;'Keyword Search'!$C$5&amp;"*"),TRUE,FALSE)</f>
        <v>1</v>
      </c>
      <c r="G6499" t="str">
        <f t="shared" si="416"/>
        <v>830-41: Leak Detection and Vapor Monitoring Equipment</v>
      </c>
    </row>
    <row r="6500" spans="1:7" x14ac:dyDescent="0.25">
      <c r="A6500" s="1" t="str">
        <f t="shared" si="417"/>
        <v>830</v>
      </c>
      <c r="B6500" s="1" t="str">
        <f>TEXT(42,"00")</f>
        <v>42</v>
      </c>
      <c r="C6500" s="1" t="str">
        <f t="shared" si="415"/>
        <v>830-42</v>
      </c>
      <c r="D6500" t="s">
        <v>6472</v>
      </c>
      <c r="E6500" t="b">
        <f>IF(COUNTIF(D6500,"*"&amp;'Keyword Search'!$C$5&amp;"*"),TRUE,FALSE)</f>
        <v>1</v>
      </c>
      <c r="G6500" t="str">
        <f t="shared" si="416"/>
        <v>830-42: Plastic and PVC Tanks</v>
      </c>
    </row>
    <row r="6501" spans="1:7" x14ac:dyDescent="0.25">
      <c r="A6501" s="1" t="str">
        <f t="shared" si="417"/>
        <v>830</v>
      </c>
      <c r="B6501" s="1" t="str">
        <f>TEXT(43,"00")</f>
        <v>43</v>
      </c>
      <c r="C6501" s="1" t="str">
        <f t="shared" si="415"/>
        <v>830-43</v>
      </c>
      <c r="D6501" t="s">
        <v>6473</v>
      </c>
      <c r="E6501" t="b">
        <f>IF(COUNTIF(D6501,"*"&amp;'Keyword Search'!$C$5&amp;"*"),TRUE,FALSE)</f>
        <v>1</v>
      </c>
      <c r="G6501" t="str">
        <f t="shared" si="416"/>
        <v>830-43: Plastic Lined Tanks</v>
      </c>
    </row>
    <row r="6502" spans="1:7" x14ac:dyDescent="0.25">
      <c r="A6502" s="1" t="str">
        <f t="shared" si="417"/>
        <v>830</v>
      </c>
      <c r="B6502" s="1" t="str">
        <f>TEXT(44,"00")</f>
        <v>44</v>
      </c>
      <c r="C6502" s="1" t="str">
        <f t="shared" si="415"/>
        <v>830-44</v>
      </c>
      <c r="D6502" t="s">
        <v>6474</v>
      </c>
      <c r="E6502" t="b">
        <f>IF(COUNTIF(D6502,"*"&amp;'Keyword Search'!$C$5&amp;"*"),TRUE,FALSE)</f>
        <v>1</v>
      </c>
      <c r="G6502" t="str">
        <f t="shared" si="416"/>
        <v>830-44: Polyethylene Tanks</v>
      </c>
    </row>
    <row r="6503" spans="1:7" x14ac:dyDescent="0.25">
      <c r="A6503" s="1" t="str">
        <f t="shared" si="417"/>
        <v>830</v>
      </c>
      <c r="B6503" s="1" t="str">
        <f>TEXT(45,"00")</f>
        <v>45</v>
      </c>
      <c r="C6503" s="1" t="str">
        <f t="shared" si="415"/>
        <v>830-45</v>
      </c>
      <c r="D6503" t="s">
        <v>6475</v>
      </c>
      <c r="E6503" t="b">
        <f>IF(COUNTIF(D6503,"*"&amp;'Keyword Search'!$C$5&amp;"*"),TRUE,FALSE)</f>
        <v>1</v>
      </c>
      <c r="G6503" t="str">
        <f t="shared" si="416"/>
        <v>830-45: Processing Tanks</v>
      </c>
    </row>
    <row r="6504" spans="1:7" x14ac:dyDescent="0.25">
      <c r="A6504" s="1" t="str">
        <f t="shared" si="417"/>
        <v>830</v>
      </c>
      <c r="B6504" s="1" t="str">
        <f>TEXT(46,"00")</f>
        <v>46</v>
      </c>
      <c r="C6504" s="1" t="str">
        <f t="shared" si="415"/>
        <v>830-46</v>
      </c>
      <c r="D6504" t="s">
        <v>6476</v>
      </c>
      <c r="E6504" t="b">
        <f>IF(COUNTIF(D6504,"*"&amp;'Keyword Search'!$C$5&amp;"*"),TRUE,FALSE)</f>
        <v>1</v>
      </c>
      <c r="G6504" t="str">
        <f t="shared" si="416"/>
        <v>830-46: Stainless Steel Tanks, Pressure Type</v>
      </c>
    </row>
    <row r="6505" spans="1:7" x14ac:dyDescent="0.25">
      <c r="A6505" s="1" t="str">
        <f t="shared" si="417"/>
        <v>830</v>
      </c>
      <c r="B6505" s="1" t="str">
        <f>TEXT(47,"00")</f>
        <v>47</v>
      </c>
      <c r="C6505" s="1" t="str">
        <f t="shared" si="415"/>
        <v>830-47</v>
      </c>
      <c r="D6505" t="s">
        <v>6477</v>
      </c>
      <c r="E6505" t="b">
        <f>IF(COUNTIF(D6505,"*"&amp;'Keyword Search'!$C$5&amp;"*"),TRUE,FALSE)</f>
        <v>1</v>
      </c>
      <c r="G6505" t="str">
        <f t="shared" si="416"/>
        <v>830-47: Stainless Steel Tanks, Holding, Milk</v>
      </c>
    </row>
    <row r="6506" spans="1:7" x14ac:dyDescent="0.25">
      <c r="A6506" s="1" t="str">
        <f t="shared" si="417"/>
        <v>830</v>
      </c>
      <c r="B6506" s="1" t="str">
        <f>TEXT(49,"00")</f>
        <v>49</v>
      </c>
      <c r="C6506" s="1" t="str">
        <f t="shared" si="415"/>
        <v>830-49</v>
      </c>
      <c r="D6506" t="s">
        <v>6478</v>
      </c>
      <c r="E6506" t="b">
        <f>IF(COUNTIF(D6506,"*"&amp;'Keyword Search'!$C$5&amp;"*"),TRUE,FALSE)</f>
        <v>1</v>
      </c>
      <c r="G6506" t="str">
        <f t="shared" si="416"/>
        <v>830-49: Stainless Steel Tanks, Transport Truck Type, Chemicals, Milk, etc.</v>
      </c>
    </row>
    <row r="6507" spans="1:7" x14ac:dyDescent="0.25">
      <c r="A6507" s="1" t="str">
        <f t="shared" si="417"/>
        <v>830</v>
      </c>
      <c r="B6507" s="1" t="str">
        <f>TEXT(52,"00")</f>
        <v>52</v>
      </c>
      <c r="C6507" s="1" t="str">
        <f t="shared" si="415"/>
        <v>830-52</v>
      </c>
      <c r="D6507" t="s">
        <v>6479</v>
      </c>
      <c r="E6507" t="b">
        <f>IF(COUNTIF(D6507,"*"&amp;'Keyword Search'!$C$5&amp;"*"),TRUE,FALSE)</f>
        <v>1</v>
      </c>
      <c r="G6507" t="str">
        <f t="shared" si="416"/>
        <v>830-52: Stainless Steel Tanks: Mixing, Pickling, and Processing Types, Chemicals, Foods, Paints, Soaps, etc.</v>
      </c>
    </row>
    <row r="6508" spans="1:7" x14ac:dyDescent="0.25">
      <c r="A6508" s="1" t="str">
        <f t="shared" si="417"/>
        <v>830</v>
      </c>
      <c r="B6508" s="1" t="str">
        <f>TEXT(54,"00")</f>
        <v>54</v>
      </c>
      <c r="C6508" s="1" t="str">
        <f t="shared" si="415"/>
        <v>830-54</v>
      </c>
      <c r="D6508" t="s">
        <v>6480</v>
      </c>
      <c r="E6508" t="b">
        <f>IF(COUNTIF(D6508,"*"&amp;'Keyword Search'!$C$5&amp;"*"),TRUE,FALSE)</f>
        <v>1</v>
      </c>
      <c r="G6508" t="str">
        <f t="shared" si="416"/>
        <v>830-54: Steel Tanks, For Chemical Storage</v>
      </c>
    </row>
    <row r="6509" spans="1:7" x14ac:dyDescent="0.25">
      <c r="A6509" s="1" t="str">
        <f t="shared" si="417"/>
        <v>830</v>
      </c>
      <c r="B6509" s="1" t="str">
        <f>TEXT(55,"00")</f>
        <v>55</v>
      </c>
      <c r="C6509" s="1" t="str">
        <f t="shared" si="415"/>
        <v>830-55</v>
      </c>
      <c r="D6509" t="s">
        <v>6481</v>
      </c>
      <c r="E6509" t="b">
        <f>IF(COUNTIF(D6509,"*"&amp;'Keyword Search'!$C$5&amp;"*"),TRUE,FALSE)</f>
        <v>1</v>
      </c>
      <c r="G6509" t="str">
        <f t="shared" si="416"/>
        <v>830-55: Steel Tanks, Overhead Type: Diesel Fuel, Gasoline, Kerosene, etc.</v>
      </c>
    </row>
    <row r="6510" spans="1:7" x14ac:dyDescent="0.25">
      <c r="A6510" s="1" t="str">
        <f t="shared" si="417"/>
        <v>830</v>
      </c>
      <c r="B6510" s="1" t="str">
        <f>TEXT(58,"00")</f>
        <v>58</v>
      </c>
      <c r="C6510" s="1" t="str">
        <f t="shared" si="415"/>
        <v>830-58</v>
      </c>
      <c r="D6510" t="s">
        <v>6482</v>
      </c>
      <c r="E6510" t="b">
        <f>IF(COUNTIF(D6510,"*"&amp;'Keyword Search'!$C$5&amp;"*"),TRUE,FALSE)</f>
        <v>1</v>
      </c>
      <c r="G6510" t="str">
        <f t="shared" si="416"/>
        <v>830-58: Steel Tanks, Portable Type: Diesel Fuel, Gasoline, Kerosene, Liquid Fertilizers, Water, etc.</v>
      </c>
    </row>
    <row r="6511" spans="1:7" x14ac:dyDescent="0.25">
      <c r="A6511" s="1" t="str">
        <f t="shared" si="417"/>
        <v>830</v>
      </c>
      <c r="B6511" s="1" t="str">
        <f>TEXT(61,"00")</f>
        <v>61</v>
      </c>
      <c r="C6511" s="1" t="str">
        <f t="shared" si="415"/>
        <v>830-61</v>
      </c>
      <c r="D6511" t="s">
        <v>6483</v>
      </c>
      <c r="E6511" t="b">
        <f>IF(COUNTIF(D6511,"*"&amp;'Keyword Search'!$C$5&amp;"*"),TRUE,FALSE)</f>
        <v>1</v>
      </c>
      <c r="G6511" t="str">
        <f t="shared" si="416"/>
        <v>830-61: Steel Tanks, Pressure Type: Air, Gas, Water, etc.</v>
      </c>
    </row>
    <row r="6512" spans="1:7" x14ac:dyDescent="0.25">
      <c r="A6512" s="1" t="str">
        <f t="shared" si="417"/>
        <v>830</v>
      </c>
      <c r="B6512" s="1" t="str">
        <f>TEXT(64,"00")</f>
        <v>64</v>
      </c>
      <c r="C6512" s="1" t="str">
        <f t="shared" si="415"/>
        <v>830-64</v>
      </c>
      <c r="D6512" t="s">
        <v>6484</v>
      </c>
      <c r="E6512" t="b">
        <f>IF(COUNTIF(D6512,"*"&amp;'Keyword Search'!$C$5&amp;"*"),TRUE,FALSE)</f>
        <v>1</v>
      </c>
      <c r="G6512" t="str">
        <f t="shared" si="416"/>
        <v>830-64: Steel Tanks, Surface Storage Type: Asphalt, Emulsions, Road Oil, Water, etc.</v>
      </c>
    </row>
    <row r="6513" spans="1:7" x14ac:dyDescent="0.25">
      <c r="A6513" s="1" t="str">
        <f t="shared" si="417"/>
        <v>830</v>
      </c>
      <c r="B6513" s="1" t="str">
        <f>TEXT(67,"00")</f>
        <v>67</v>
      </c>
      <c r="C6513" s="1" t="str">
        <f t="shared" si="415"/>
        <v>830-67</v>
      </c>
      <c r="D6513" t="s">
        <v>6485</v>
      </c>
      <c r="E6513" t="b">
        <f>IF(COUNTIF(D6513,"*"&amp;'Keyword Search'!$C$5&amp;"*"),TRUE,FALSE)</f>
        <v>1</v>
      </c>
      <c r="G6513" t="str">
        <f t="shared" si="416"/>
        <v>830-67: Steel Tanks, Transport Truck Type: Asphalt, Gasoline, Oil, Water, etc.</v>
      </c>
    </row>
    <row r="6514" spans="1:7" x14ac:dyDescent="0.25">
      <c r="A6514" s="1" t="str">
        <f t="shared" si="417"/>
        <v>830</v>
      </c>
      <c r="B6514" s="1" t="str">
        <f>TEXT(69,"00")</f>
        <v>69</v>
      </c>
      <c r="C6514" s="1" t="str">
        <f t="shared" si="415"/>
        <v>830-69</v>
      </c>
      <c r="D6514" t="s">
        <v>6486</v>
      </c>
      <c r="E6514" t="b">
        <f>IF(COUNTIF(D6514,"*"&amp;'Keyword Search'!$C$5&amp;"*"),TRUE,FALSE)</f>
        <v>1</v>
      </c>
      <c r="G6514" t="str">
        <f t="shared" si="416"/>
        <v>830-69: Steel Tanks, Storage Type: Fuel, Gasoline, and Wetted Salt</v>
      </c>
    </row>
    <row r="6515" spans="1:7" x14ac:dyDescent="0.25">
      <c r="A6515" s="1" t="str">
        <f t="shared" si="417"/>
        <v>830</v>
      </c>
      <c r="B6515" s="1" t="str">
        <f>TEXT(70,"00")</f>
        <v>70</v>
      </c>
      <c r="C6515" s="1" t="str">
        <f t="shared" si="415"/>
        <v>830-70</v>
      </c>
      <c r="D6515" t="s">
        <v>6487</v>
      </c>
      <c r="E6515" t="b">
        <f>IF(COUNTIF(D6515,"*"&amp;'Keyword Search'!$C$5&amp;"*"),TRUE,FALSE)</f>
        <v>1</v>
      </c>
      <c r="G6515" t="str">
        <f t="shared" si="416"/>
        <v>830-70: Steel Tanks, Surface and Underground Type: Gasoline, Kerosene, etc.</v>
      </c>
    </row>
    <row r="6516" spans="1:7" x14ac:dyDescent="0.25">
      <c r="A6516" s="1" t="str">
        <f t="shared" si="417"/>
        <v>830</v>
      </c>
      <c r="B6516" s="1" t="str">
        <f>TEXT(73,"00")</f>
        <v>73</v>
      </c>
      <c r="C6516" s="1" t="str">
        <f t="shared" si="415"/>
        <v>830-73</v>
      </c>
      <c r="D6516" t="s">
        <v>6488</v>
      </c>
      <c r="E6516" t="b">
        <f>IF(COUNTIF(D6516,"*"&amp;'Keyword Search'!$C$5&amp;"*"),TRUE,FALSE)</f>
        <v>1</v>
      </c>
      <c r="G6516" t="str">
        <f t="shared" si="416"/>
        <v>830-73: Steel Tanks, Water Works Type, Elevated and Tower</v>
      </c>
    </row>
    <row r="6517" spans="1:7" x14ac:dyDescent="0.25">
      <c r="A6517" s="1" t="str">
        <f t="shared" si="417"/>
        <v>830</v>
      </c>
      <c r="B6517" s="1" t="str">
        <f>TEXT(77,"00")</f>
        <v>77</v>
      </c>
      <c r="C6517" s="1" t="str">
        <f t="shared" si="415"/>
        <v>830-77</v>
      </c>
      <c r="D6517" t="s">
        <v>6489</v>
      </c>
      <c r="E6517" t="b">
        <f>IF(COUNTIF(D6517,"*"&amp;'Keyword Search'!$C$5&amp;"*"),TRUE,FALSE)</f>
        <v>1</v>
      </c>
      <c r="G6517" t="str">
        <f t="shared" si="416"/>
        <v>830-77: Tank Packing Material</v>
      </c>
    </row>
    <row r="6518" spans="1:7" x14ac:dyDescent="0.25">
      <c r="A6518" s="1" t="str">
        <f t="shared" si="417"/>
        <v>830</v>
      </c>
      <c r="B6518" s="1" t="str">
        <f>TEXT(78,"00")</f>
        <v>78</v>
      </c>
      <c r="C6518" s="1" t="str">
        <f t="shared" si="415"/>
        <v>830-78</v>
      </c>
      <c r="D6518" t="s">
        <v>6490</v>
      </c>
      <c r="E6518" t="b">
        <f>IF(COUNTIF(D6518,"*"&amp;'Keyword Search'!$C$5&amp;"*"),TRUE,FALSE)</f>
        <v>1</v>
      </c>
      <c r="G6518" t="str">
        <f t="shared" si="416"/>
        <v>830-78: Tank Ends, Heads, Metal</v>
      </c>
    </row>
    <row r="6519" spans="1:7" x14ac:dyDescent="0.25">
      <c r="A6519" s="1" t="str">
        <f t="shared" si="417"/>
        <v>830</v>
      </c>
      <c r="B6519" s="1" t="str">
        <f>TEXT(79,"00")</f>
        <v>79</v>
      </c>
      <c r="C6519" s="1" t="str">
        <f t="shared" si="415"/>
        <v>830-79</v>
      </c>
      <c r="D6519" t="s">
        <v>6491</v>
      </c>
      <c r="E6519" t="b">
        <f>IF(COUNTIF(D6519,"*"&amp;'Keyword Search'!$C$5&amp;"*"),TRUE,FALSE)</f>
        <v>1</v>
      </c>
      <c r="G6519" t="str">
        <f t="shared" si="416"/>
        <v>830-79: Tanks and Cylinders (Not Otherwise Classified)</v>
      </c>
    </row>
    <row r="6520" spans="1:7" x14ac:dyDescent="0.25">
      <c r="A6520" s="1" t="str">
        <f t="shared" si="417"/>
        <v>830</v>
      </c>
      <c r="B6520" s="1" t="str">
        <f>TEXT(80,"00")</f>
        <v>80</v>
      </c>
      <c r="C6520" s="1" t="str">
        <f t="shared" si="415"/>
        <v>830-80</v>
      </c>
      <c r="D6520" t="s">
        <v>6492</v>
      </c>
      <c r="E6520" t="b">
        <f>IF(COUNTIF(D6520,"*"&amp;'Keyword Search'!$C$5&amp;"*"),TRUE,FALSE)</f>
        <v>1</v>
      </c>
      <c r="G6520" t="str">
        <f t="shared" si="416"/>
        <v>830-80: Wooden Tanks, All Kinds</v>
      </c>
    </row>
    <row r="6521" spans="1:7" x14ac:dyDescent="0.25">
      <c r="A6521" s="1" t="str">
        <f t="shared" si="417"/>
        <v>830</v>
      </c>
      <c r="B6521" s="1" t="str">
        <f>TEXT(95,"00")</f>
        <v>95</v>
      </c>
      <c r="C6521" s="1" t="str">
        <f t="shared" si="415"/>
        <v>830-95</v>
      </c>
      <c r="D6521" t="s">
        <v>6493</v>
      </c>
      <c r="E6521" t="b">
        <f>IF(COUNTIF(D6521,"*"&amp;'Keyword Search'!$C$5&amp;"*"),TRUE,FALSE)</f>
        <v>1</v>
      </c>
      <c r="G6521" t="str">
        <f t="shared" si="416"/>
        <v>830-95: Recycled Tanks, Accessories and Supplies</v>
      </c>
    </row>
    <row r="6522" spans="1:7" x14ac:dyDescent="0.25">
      <c r="A6522" s="5" t="str">
        <f t="shared" ref="A6522:A6556" si="418">TEXT(832,"000")</f>
        <v>832</v>
      </c>
      <c r="B6522" s="5" t="str">
        <f>TEXT(0,"00")</f>
        <v>00</v>
      </c>
      <c r="C6522" s="1"/>
      <c r="D6522" s="2" t="s">
        <v>6494</v>
      </c>
    </row>
    <row r="6523" spans="1:7" x14ac:dyDescent="0.25">
      <c r="A6523" s="1" t="str">
        <f t="shared" si="418"/>
        <v>832</v>
      </c>
      <c r="B6523" s="1" t="str">
        <f>TEXT(2,"00")</f>
        <v>02</v>
      </c>
      <c r="C6523" s="1" t="str">
        <f t="shared" si="415"/>
        <v>832-02</v>
      </c>
      <c r="D6523" t="s">
        <v>6495</v>
      </c>
      <c r="E6523" t="b">
        <f>IF(COUNTIF(D6523,"*"&amp;'Keyword Search'!$C$5&amp;"*"),TRUE,FALSE)</f>
        <v>1</v>
      </c>
      <c r="G6523" t="str">
        <f t="shared" si="416"/>
        <v>832-02: Tape, Anti-Seizing</v>
      </c>
    </row>
    <row r="6524" spans="1:7" x14ac:dyDescent="0.25">
      <c r="A6524" s="1" t="str">
        <f t="shared" si="418"/>
        <v>832</v>
      </c>
      <c r="B6524" s="1" t="str">
        <f>TEXT(3,"00")</f>
        <v>03</v>
      </c>
      <c r="C6524" s="1" t="str">
        <f t="shared" si="415"/>
        <v>832-03</v>
      </c>
      <c r="D6524" t="s">
        <v>6496</v>
      </c>
      <c r="E6524" t="b">
        <f>IF(COUNTIF(D6524,"*"&amp;'Keyword Search'!$C$5&amp;"*"),TRUE,FALSE)</f>
        <v>1</v>
      </c>
      <c r="G6524" t="str">
        <f t="shared" si="416"/>
        <v>832-03: Tape, Anti-Skid</v>
      </c>
    </row>
    <row r="6525" spans="1:7" x14ac:dyDescent="0.25">
      <c r="A6525" s="1" t="str">
        <f t="shared" si="418"/>
        <v>832</v>
      </c>
      <c r="B6525" s="1" t="str">
        <f>TEXT(4,"00")</f>
        <v>04</v>
      </c>
      <c r="C6525" s="1" t="str">
        <f t="shared" si="415"/>
        <v>832-04</v>
      </c>
      <c r="D6525" t="s">
        <v>6497</v>
      </c>
      <c r="E6525" t="b">
        <f>IF(COUNTIF(D6525,"*"&amp;'Keyword Search'!$C$5&amp;"*"),TRUE,FALSE)</f>
        <v>1</v>
      </c>
      <c r="G6525" t="str">
        <f t="shared" si="416"/>
        <v>832-04: Tape, Athletic</v>
      </c>
    </row>
    <row r="6526" spans="1:7" x14ac:dyDescent="0.25">
      <c r="A6526" s="1" t="str">
        <f t="shared" si="418"/>
        <v>832</v>
      </c>
      <c r="B6526" s="1" t="str">
        <f>TEXT(5,"00")</f>
        <v>05</v>
      </c>
      <c r="C6526" s="1" t="str">
        <f t="shared" si="415"/>
        <v>832-05</v>
      </c>
      <c r="D6526" t="s">
        <v>6498</v>
      </c>
      <c r="E6526" t="b">
        <f>IF(COUNTIF(D6526,"*"&amp;'Keyword Search'!$C$5&amp;"*"),TRUE,FALSE)</f>
        <v>1</v>
      </c>
      <c r="G6526" t="str">
        <f t="shared" si="416"/>
        <v>832-05: Tape, Automotive Type</v>
      </c>
    </row>
    <row r="6527" spans="1:7" x14ac:dyDescent="0.25">
      <c r="A6527" s="1" t="str">
        <f t="shared" si="418"/>
        <v>832</v>
      </c>
      <c r="B6527" s="1" t="str">
        <f>TEXT(10,"00")</f>
        <v>10</v>
      </c>
      <c r="C6527" s="1" t="str">
        <f t="shared" si="415"/>
        <v>832-10</v>
      </c>
      <c r="D6527" t="s">
        <v>6499</v>
      </c>
      <c r="E6527" t="b">
        <f>IF(COUNTIF(D6527,"*"&amp;'Keyword Search'!$C$5&amp;"*"),TRUE,FALSE)</f>
        <v>1</v>
      </c>
      <c r="G6527" t="str">
        <f t="shared" si="416"/>
        <v>832-10: Tape, Barrier, Including  Cautionary and Crime Scene Tape</v>
      </c>
    </row>
    <row r="6528" spans="1:7" x14ac:dyDescent="0.25">
      <c r="A6528" s="1" t="str">
        <f t="shared" si="418"/>
        <v>832</v>
      </c>
      <c r="B6528" s="1" t="str">
        <f>TEXT(20,"00")</f>
        <v>20</v>
      </c>
      <c r="C6528" s="1" t="str">
        <f t="shared" si="415"/>
        <v>832-20</v>
      </c>
      <c r="D6528" t="s">
        <v>6500</v>
      </c>
      <c r="E6528" t="b">
        <f>IF(COUNTIF(D6528,"*"&amp;'Keyword Search'!$C$5&amp;"*"),TRUE,FALSE)</f>
        <v>1</v>
      </c>
      <c r="G6528" t="str">
        <f t="shared" si="416"/>
        <v>832-20: Tape, Cellulose: Drafting, Labeling, Magnetic, etc.</v>
      </c>
    </row>
    <row r="6529" spans="1:7" x14ac:dyDescent="0.25">
      <c r="A6529" s="1" t="str">
        <f t="shared" si="418"/>
        <v>832</v>
      </c>
      <c r="B6529" s="1" t="str">
        <f>TEXT(22,"00")</f>
        <v>22</v>
      </c>
      <c r="C6529" s="1" t="str">
        <f t="shared" si="415"/>
        <v>832-22</v>
      </c>
      <c r="D6529" t="s">
        <v>6501</v>
      </c>
      <c r="E6529" t="b">
        <f>IF(COUNTIF(D6529,"*"&amp;'Keyword Search'!$C$5&amp;"*"),TRUE,FALSE)</f>
        <v>1</v>
      </c>
      <c r="G6529" t="str">
        <f t="shared" si="416"/>
        <v>832-22: Tape, Cloth, Mending</v>
      </c>
    </row>
    <row r="6530" spans="1:7" x14ac:dyDescent="0.25">
      <c r="A6530" s="1" t="str">
        <f t="shared" si="418"/>
        <v>832</v>
      </c>
      <c r="B6530" s="1" t="str">
        <f>TEXT(23,"00")</f>
        <v>23</v>
      </c>
      <c r="C6530" s="1" t="str">
        <f t="shared" si="415"/>
        <v>832-23</v>
      </c>
      <c r="D6530" t="s">
        <v>6502</v>
      </c>
      <c r="E6530" t="b">
        <f>IF(COUNTIF(D6530,"*"&amp;'Keyword Search'!$C$5&amp;"*"),TRUE,FALSE)</f>
        <v>1</v>
      </c>
      <c r="G6530" t="str">
        <f t="shared" si="416"/>
        <v>832-23: Tape, Detectable Marking</v>
      </c>
    </row>
    <row r="6531" spans="1:7" x14ac:dyDescent="0.25">
      <c r="A6531" s="1" t="str">
        <f t="shared" si="418"/>
        <v>832</v>
      </c>
      <c r="B6531" s="1" t="str">
        <f>TEXT(24,"00")</f>
        <v>24</v>
      </c>
      <c r="C6531" s="1" t="str">
        <f t="shared" ref="C6531:C6594" si="419">CONCATENATE(A6531,"-",B6531)</f>
        <v>832-24</v>
      </c>
      <c r="D6531" t="s">
        <v>6503</v>
      </c>
      <c r="E6531" t="b">
        <f>IF(COUNTIF(D6531,"*"&amp;'Keyword Search'!$C$5&amp;"*"),TRUE,FALSE)</f>
        <v>1</v>
      </c>
      <c r="G6531" t="str">
        <f t="shared" si="416"/>
        <v>832-24: Tape, Duct, Adhesive Type</v>
      </c>
    </row>
    <row r="6532" spans="1:7" x14ac:dyDescent="0.25">
      <c r="A6532" s="1" t="str">
        <f t="shared" si="418"/>
        <v>832</v>
      </c>
      <c r="B6532" s="1" t="str">
        <f>TEXT(26,"00")</f>
        <v>26</v>
      </c>
      <c r="C6532" s="1" t="str">
        <f t="shared" si="419"/>
        <v>832-26</v>
      </c>
      <c r="D6532" t="s">
        <v>6504</v>
      </c>
      <c r="E6532" t="b">
        <f>IF(COUNTIF(D6532,"*"&amp;'Keyword Search'!$C$5&amp;"*"),TRUE,FALSE)</f>
        <v>1</v>
      </c>
      <c r="G6532" t="str">
        <f t="shared" ref="G6532:G6595" si="420">CONCATENATE(C6532,": ",D6532)</f>
        <v>832-26: Tape, Electrical</v>
      </c>
    </row>
    <row r="6533" spans="1:7" x14ac:dyDescent="0.25">
      <c r="A6533" s="1" t="str">
        <f t="shared" si="418"/>
        <v>832</v>
      </c>
      <c r="B6533" s="1" t="str">
        <f>TEXT(27,"00")</f>
        <v>27</v>
      </c>
      <c r="C6533" s="1" t="str">
        <f t="shared" si="419"/>
        <v>832-27</v>
      </c>
      <c r="D6533" t="s">
        <v>6505</v>
      </c>
      <c r="E6533" t="b">
        <f>IF(COUNTIF(D6533,"*"&amp;'Keyword Search'!$C$5&amp;"*"),TRUE,FALSE)</f>
        <v>1</v>
      </c>
      <c r="G6533" t="str">
        <f t="shared" si="420"/>
        <v>832-27: Tape, Epoxy</v>
      </c>
    </row>
    <row r="6534" spans="1:7" x14ac:dyDescent="0.25">
      <c r="A6534" s="1" t="str">
        <f t="shared" si="418"/>
        <v>832</v>
      </c>
      <c r="B6534" s="1" t="str">
        <f>TEXT(28,"00")</f>
        <v>28</v>
      </c>
      <c r="C6534" s="1" t="str">
        <f t="shared" si="419"/>
        <v>832-28</v>
      </c>
      <c r="D6534" t="s">
        <v>6506</v>
      </c>
      <c r="E6534" t="b">
        <f>IF(COUNTIF(D6534,"*"&amp;'Keyword Search'!$C$5&amp;"*"),TRUE,FALSE)</f>
        <v>1</v>
      </c>
      <c r="G6534" t="str">
        <f t="shared" si="420"/>
        <v>832-28: Tape, Filament</v>
      </c>
    </row>
    <row r="6535" spans="1:7" x14ac:dyDescent="0.25">
      <c r="A6535" s="1" t="str">
        <f t="shared" si="418"/>
        <v>832</v>
      </c>
      <c r="B6535" s="1" t="str">
        <f>TEXT(29,"00")</f>
        <v>29</v>
      </c>
      <c r="C6535" s="1" t="str">
        <f t="shared" si="419"/>
        <v>832-29</v>
      </c>
      <c r="D6535" t="s">
        <v>6507</v>
      </c>
      <c r="E6535" t="b">
        <f>IF(COUNTIF(D6535,"*"&amp;'Keyword Search'!$C$5&amp;"*"),TRUE,FALSE)</f>
        <v>1</v>
      </c>
      <c r="G6535" t="str">
        <f t="shared" si="420"/>
        <v>832-29: Tape, Glass Setting</v>
      </c>
    </row>
    <row r="6536" spans="1:7" x14ac:dyDescent="0.25">
      <c r="A6536" s="1" t="str">
        <f t="shared" si="418"/>
        <v>832</v>
      </c>
      <c r="B6536" s="1" t="str">
        <f>TEXT(30,"00")</f>
        <v>30</v>
      </c>
      <c r="C6536" s="1" t="str">
        <f t="shared" si="419"/>
        <v>832-30</v>
      </c>
      <c r="D6536" t="s">
        <v>6508</v>
      </c>
      <c r="E6536" t="b">
        <f>IF(COUNTIF(D6536,"*"&amp;'Keyword Search'!$C$5&amp;"*"),TRUE,FALSE)</f>
        <v>1</v>
      </c>
      <c r="G6536" t="str">
        <f t="shared" si="420"/>
        <v>832-30: Tape, Freezer or Freeze Protection</v>
      </c>
    </row>
    <row r="6537" spans="1:7" x14ac:dyDescent="0.25">
      <c r="A6537" s="1" t="str">
        <f t="shared" si="418"/>
        <v>832</v>
      </c>
      <c r="B6537" s="1" t="str">
        <f>TEXT(32,"00")</f>
        <v>32</v>
      </c>
      <c r="C6537" s="1" t="str">
        <f t="shared" si="419"/>
        <v>832-32</v>
      </c>
      <c r="D6537" t="s">
        <v>6509</v>
      </c>
      <c r="E6537" t="b">
        <f>IF(COUNTIF(D6537,"*"&amp;'Keyword Search'!$C$5&amp;"*"),TRUE,FALSE)</f>
        <v>1</v>
      </c>
      <c r="G6537" t="str">
        <f t="shared" si="420"/>
        <v>832-32: Tape, Gummed Kraft and Reinforced Paper</v>
      </c>
    </row>
    <row r="6538" spans="1:7" x14ac:dyDescent="0.25">
      <c r="A6538" s="1" t="str">
        <f t="shared" si="418"/>
        <v>832</v>
      </c>
      <c r="B6538" s="1" t="str">
        <f>TEXT(36,"00")</f>
        <v>36</v>
      </c>
      <c r="C6538" s="1" t="str">
        <f t="shared" si="419"/>
        <v>832-36</v>
      </c>
      <c r="D6538" t="s">
        <v>6510</v>
      </c>
      <c r="E6538" t="b">
        <f>IF(COUNTIF(D6538,"*"&amp;'Keyword Search'!$C$5&amp;"*"),TRUE,FALSE)</f>
        <v>1</v>
      </c>
      <c r="G6538" t="str">
        <f t="shared" si="420"/>
        <v>832-36: Tape, Insulating, All Types, Except Electrical</v>
      </c>
    </row>
    <row r="6539" spans="1:7" x14ac:dyDescent="0.25">
      <c r="A6539" s="1" t="str">
        <f t="shared" si="418"/>
        <v>832</v>
      </c>
      <c r="B6539" s="1" t="str">
        <f>TEXT(40,"00")</f>
        <v>40</v>
      </c>
      <c r="C6539" s="1" t="str">
        <f t="shared" si="419"/>
        <v>832-40</v>
      </c>
      <c r="D6539" t="s">
        <v>6511</v>
      </c>
      <c r="E6539" t="b">
        <f>IF(COUNTIF(D6539,"*"&amp;'Keyword Search'!$C$5&amp;"*"),TRUE,FALSE)</f>
        <v>1</v>
      </c>
      <c r="G6539" t="str">
        <f t="shared" si="420"/>
        <v>832-40: Tape, Insulating, Electrical</v>
      </c>
    </row>
    <row r="6540" spans="1:7" x14ac:dyDescent="0.25">
      <c r="A6540" s="1" t="str">
        <f t="shared" si="418"/>
        <v>832</v>
      </c>
      <c r="B6540" s="1" t="str">
        <f>TEXT(44,"00")</f>
        <v>44</v>
      </c>
      <c r="C6540" s="1" t="str">
        <f t="shared" si="419"/>
        <v>832-44</v>
      </c>
      <c r="D6540" t="s">
        <v>6512</v>
      </c>
      <c r="E6540" t="b">
        <f>IF(COUNTIF(D6540,"*"&amp;'Keyword Search'!$C$5&amp;"*"),TRUE,FALSE)</f>
        <v>1</v>
      </c>
      <c r="G6540" t="str">
        <f t="shared" si="420"/>
        <v>832-44: Tape, Labeling, Library Type</v>
      </c>
    </row>
    <row r="6541" spans="1:7" x14ac:dyDescent="0.25">
      <c r="A6541" s="1" t="str">
        <f t="shared" si="418"/>
        <v>832</v>
      </c>
      <c r="B6541" s="1" t="str">
        <f>TEXT(48,"00")</f>
        <v>48</v>
      </c>
      <c r="C6541" s="1" t="str">
        <f t="shared" si="419"/>
        <v>832-48</v>
      </c>
      <c r="D6541" t="s">
        <v>6513</v>
      </c>
      <c r="E6541" t="b">
        <f>IF(COUNTIF(D6541,"*"&amp;'Keyword Search'!$C$5&amp;"*"),TRUE,FALSE)</f>
        <v>1</v>
      </c>
      <c r="G6541" t="str">
        <f t="shared" si="420"/>
        <v>832-48: Tape, Marking, Reflective Adhesive-Backed (See 550-72 for Pavement Marking Tape)</v>
      </c>
    </row>
    <row r="6542" spans="1:7" x14ac:dyDescent="0.25">
      <c r="A6542" s="1" t="str">
        <f t="shared" si="418"/>
        <v>832</v>
      </c>
      <c r="B6542" s="1" t="str">
        <f>TEXT(52,"00")</f>
        <v>52</v>
      </c>
      <c r="C6542" s="1" t="str">
        <f t="shared" si="419"/>
        <v>832-52</v>
      </c>
      <c r="D6542" t="s">
        <v>6514</v>
      </c>
      <c r="E6542" t="b">
        <f>IF(COUNTIF(D6542,"*"&amp;'Keyword Search'!$C$5&amp;"*"),TRUE,FALSE)</f>
        <v>1</v>
      </c>
      <c r="G6542" t="str">
        <f t="shared" si="420"/>
        <v>832-52: Tape, Masking</v>
      </c>
    </row>
    <row r="6543" spans="1:7" x14ac:dyDescent="0.25">
      <c r="A6543" s="1" t="str">
        <f t="shared" si="418"/>
        <v>832</v>
      </c>
      <c r="B6543" s="1" t="str">
        <f>TEXT(54,"00")</f>
        <v>54</v>
      </c>
      <c r="C6543" s="1" t="str">
        <f t="shared" si="419"/>
        <v>832-54</v>
      </c>
      <c r="D6543" t="s">
        <v>6515</v>
      </c>
      <c r="E6543" t="b">
        <f>IF(COUNTIF(D6543,"*"&amp;'Keyword Search'!$C$5&amp;"*"),TRUE,FALSE)</f>
        <v>1</v>
      </c>
      <c r="G6543" t="str">
        <f t="shared" si="420"/>
        <v>832-54: Tape, Metal Repair</v>
      </c>
    </row>
    <row r="6544" spans="1:7" x14ac:dyDescent="0.25">
      <c r="A6544" s="1" t="str">
        <f t="shared" si="418"/>
        <v>832</v>
      </c>
      <c r="B6544" s="1" t="str">
        <f>TEXT(55,"00")</f>
        <v>55</v>
      </c>
      <c r="C6544" s="1" t="str">
        <f t="shared" si="419"/>
        <v>832-55</v>
      </c>
      <c r="D6544" t="s">
        <v>6516</v>
      </c>
      <c r="E6544" t="b">
        <f>IF(COUNTIF(D6544,"*"&amp;'Keyword Search'!$C$5&amp;"*"),TRUE,FALSE)</f>
        <v>1</v>
      </c>
      <c r="G6544" t="str">
        <f t="shared" si="420"/>
        <v>832-55: Tape (Not Otherwise Classified)</v>
      </c>
    </row>
    <row r="6545" spans="1:7" x14ac:dyDescent="0.25">
      <c r="A6545" s="1" t="str">
        <f t="shared" si="418"/>
        <v>832</v>
      </c>
      <c r="B6545" s="1" t="str">
        <f>TEXT(56,"00")</f>
        <v>56</v>
      </c>
      <c r="C6545" s="1" t="str">
        <f t="shared" si="419"/>
        <v>832-56</v>
      </c>
      <c r="D6545" t="s">
        <v>6517</v>
      </c>
      <c r="E6545" t="b">
        <f>IF(COUNTIF(D6545,"*"&amp;'Keyword Search'!$C$5&amp;"*"),TRUE,FALSE)</f>
        <v>1</v>
      </c>
      <c r="G6545" t="str">
        <f t="shared" si="420"/>
        <v>832-56: Tape, Nuclear Radiation</v>
      </c>
    </row>
    <row r="6546" spans="1:7" x14ac:dyDescent="0.25">
      <c r="A6546" s="1" t="str">
        <f t="shared" si="418"/>
        <v>832</v>
      </c>
      <c r="B6546" s="1" t="str">
        <f>TEXT(60,"00")</f>
        <v>60</v>
      </c>
      <c r="C6546" s="1" t="str">
        <f t="shared" si="419"/>
        <v>832-60</v>
      </c>
      <c r="D6546" t="s">
        <v>6518</v>
      </c>
      <c r="E6546" t="b">
        <f>IF(COUNTIF(D6546,"*"&amp;'Keyword Search'!$C$5&amp;"*"),TRUE,FALSE)</f>
        <v>1</v>
      </c>
      <c r="G6546" t="str">
        <f t="shared" si="420"/>
        <v>832-60: Tape, Nylon</v>
      </c>
    </row>
    <row r="6547" spans="1:7" x14ac:dyDescent="0.25">
      <c r="A6547" s="1" t="str">
        <f t="shared" si="418"/>
        <v>832</v>
      </c>
      <c r="B6547" s="1" t="str">
        <f>TEXT(62,"00")</f>
        <v>62</v>
      </c>
      <c r="C6547" s="1" t="str">
        <f t="shared" si="419"/>
        <v>832-62</v>
      </c>
      <c r="D6547" t="s">
        <v>6519</v>
      </c>
      <c r="E6547" t="b">
        <f>IF(COUNTIF(D6547,"*"&amp;'Keyword Search'!$C$5&amp;"*"),TRUE,FALSE)</f>
        <v>1</v>
      </c>
      <c r="G6547" t="str">
        <f t="shared" si="420"/>
        <v>832-62: Tape, Pipe Banding</v>
      </c>
    </row>
    <row r="6548" spans="1:7" x14ac:dyDescent="0.25">
      <c r="A6548" s="1" t="str">
        <f t="shared" si="418"/>
        <v>832</v>
      </c>
      <c r="B6548" s="1" t="str">
        <f>TEXT(63,"00")</f>
        <v>63</v>
      </c>
      <c r="C6548" s="1" t="str">
        <f t="shared" si="419"/>
        <v>832-63</v>
      </c>
      <c r="D6548" t="s">
        <v>6520</v>
      </c>
      <c r="E6548" t="b">
        <f>IF(COUNTIF(D6548,"*"&amp;'Keyword Search'!$C$5&amp;"*"),TRUE,FALSE)</f>
        <v>1</v>
      </c>
      <c r="G6548" t="str">
        <f t="shared" si="420"/>
        <v>832-63: Tape, Polypropylene</v>
      </c>
    </row>
    <row r="6549" spans="1:7" x14ac:dyDescent="0.25">
      <c r="A6549" s="1" t="str">
        <f t="shared" si="418"/>
        <v>832</v>
      </c>
      <c r="B6549" s="1" t="str">
        <f>TEXT(64,"00")</f>
        <v>64</v>
      </c>
      <c r="C6549" s="1" t="str">
        <f t="shared" si="419"/>
        <v>832-64</v>
      </c>
      <c r="D6549" t="s">
        <v>6521</v>
      </c>
      <c r="E6549" t="b">
        <f>IF(COUNTIF(D6549,"*"&amp;'Keyword Search'!$C$5&amp;"*"),TRUE,FALSE)</f>
        <v>1</v>
      </c>
      <c r="G6549" t="str">
        <f t="shared" si="420"/>
        <v>832-64: Tape, Roofing: Rubber, etc.</v>
      </c>
    </row>
    <row r="6550" spans="1:7" x14ac:dyDescent="0.25">
      <c r="A6550" s="1" t="str">
        <f t="shared" si="418"/>
        <v>832</v>
      </c>
      <c r="B6550" s="1" t="str">
        <f>TEXT(68,"00")</f>
        <v>68</v>
      </c>
      <c r="C6550" s="1" t="str">
        <f t="shared" si="419"/>
        <v>832-68</v>
      </c>
      <c r="D6550" t="s">
        <v>6522</v>
      </c>
      <c r="E6550" t="b">
        <f>IF(COUNTIF(D6550,"*"&amp;'Keyword Search'!$C$5&amp;"*"),TRUE,FALSE)</f>
        <v>1</v>
      </c>
      <c r="G6550" t="str">
        <f t="shared" si="420"/>
        <v>832-68: Tape, Sheetrock</v>
      </c>
    </row>
    <row r="6551" spans="1:7" x14ac:dyDescent="0.25">
      <c r="A6551" s="1" t="str">
        <f t="shared" si="418"/>
        <v>832</v>
      </c>
      <c r="B6551" s="1" t="str">
        <f>TEXT(69,"00")</f>
        <v>69</v>
      </c>
      <c r="C6551" s="1" t="str">
        <f t="shared" si="419"/>
        <v>832-69</v>
      </c>
      <c r="D6551" t="s">
        <v>6523</v>
      </c>
      <c r="E6551" t="b">
        <f>IF(COUNTIF(D6551,"*"&amp;'Keyword Search'!$C$5&amp;"*"),TRUE,FALSE)</f>
        <v>1</v>
      </c>
      <c r="G6551" t="str">
        <f t="shared" si="420"/>
        <v>832-69: Tape, Sign</v>
      </c>
    </row>
    <row r="6552" spans="1:7" x14ac:dyDescent="0.25">
      <c r="A6552" s="1" t="str">
        <f t="shared" si="418"/>
        <v>832</v>
      </c>
      <c r="B6552" s="1" t="str">
        <f>TEXT(72,"00")</f>
        <v>72</v>
      </c>
      <c r="C6552" s="1" t="str">
        <f t="shared" si="419"/>
        <v>832-72</v>
      </c>
      <c r="D6552" t="s">
        <v>6524</v>
      </c>
      <c r="E6552" t="b">
        <f>IF(COUNTIF(D6552,"*"&amp;'Keyword Search'!$C$5&amp;"*"),TRUE,FALSE)</f>
        <v>1</v>
      </c>
      <c r="G6552" t="str">
        <f t="shared" si="420"/>
        <v>832-72: Tape, Thread, Teflon</v>
      </c>
    </row>
    <row r="6553" spans="1:7" x14ac:dyDescent="0.25">
      <c r="A6553" s="1" t="str">
        <f t="shared" si="418"/>
        <v>832</v>
      </c>
      <c r="B6553" s="1" t="str">
        <f>TEXT(74,"00")</f>
        <v>74</v>
      </c>
      <c r="C6553" s="1" t="str">
        <f t="shared" si="419"/>
        <v>832-74</v>
      </c>
      <c r="D6553" t="s">
        <v>6525</v>
      </c>
      <c r="E6553" t="b">
        <f>IF(COUNTIF(D6553,"*"&amp;'Keyword Search'!$C$5&amp;"*"),TRUE,FALSE)</f>
        <v>1</v>
      </c>
      <c r="G6553" t="str">
        <f t="shared" si="420"/>
        <v>832-74: Tape, Vinyl</v>
      </c>
    </row>
    <row r="6554" spans="1:7" x14ac:dyDescent="0.25">
      <c r="A6554" s="1" t="str">
        <f t="shared" si="418"/>
        <v>832</v>
      </c>
      <c r="B6554" s="1" t="str">
        <f>TEXT(75,"00")</f>
        <v>75</v>
      </c>
      <c r="C6554" s="1" t="str">
        <f t="shared" si="419"/>
        <v>832-75</v>
      </c>
      <c r="D6554" t="s">
        <v>6526</v>
      </c>
      <c r="E6554" t="b">
        <f>IF(COUNTIF(D6554,"*"&amp;'Keyword Search'!$C$5&amp;"*"),TRUE,FALSE)</f>
        <v>1</v>
      </c>
      <c r="G6554" t="str">
        <f t="shared" si="420"/>
        <v>832-75: Tape, Wire and Cable Marking and Accessories</v>
      </c>
    </row>
    <row r="6555" spans="1:7" x14ac:dyDescent="0.25">
      <c r="A6555" s="1" t="str">
        <f t="shared" si="418"/>
        <v>832</v>
      </c>
      <c r="B6555" s="1" t="str">
        <f>TEXT(76,"00")</f>
        <v>76</v>
      </c>
      <c r="C6555" s="1" t="str">
        <f t="shared" si="419"/>
        <v>832-76</v>
      </c>
      <c r="D6555" t="s">
        <v>6527</v>
      </c>
      <c r="E6555" t="b">
        <f>IF(COUNTIF(D6555,"*"&amp;'Keyword Search'!$C$5&amp;"*"),TRUE,FALSE)</f>
        <v>1</v>
      </c>
      <c r="G6555" t="str">
        <f t="shared" si="420"/>
        <v>832-76: Tape, Wood, All Kinds</v>
      </c>
    </row>
    <row r="6556" spans="1:7" x14ac:dyDescent="0.25">
      <c r="A6556" s="1" t="str">
        <f t="shared" si="418"/>
        <v>832</v>
      </c>
      <c r="B6556" s="1" t="str">
        <f>TEXT(95,"00")</f>
        <v>95</v>
      </c>
      <c r="C6556" s="1" t="str">
        <f t="shared" si="419"/>
        <v>832-95</v>
      </c>
      <c r="D6556" t="s">
        <v>6528</v>
      </c>
      <c r="E6556" t="b">
        <f>IF(COUNTIF(D6556,"*"&amp;'Keyword Search'!$C$5&amp;"*"),TRUE,FALSE)</f>
        <v>1</v>
      </c>
      <c r="G6556" t="str">
        <f t="shared" si="420"/>
        <v>832-95: Recycled Tape</v>
      </c>
    </row>
    <row r="6557" spans="1:7" x14ac:dyDescent="0.25">
      <c r="A6557" s="5" t="str">
        <f t="shared" ref="A6557:A6580" si="421">TEXT(838,"000")</f>
        <v>838</v>
      </c>
      <c r="B6557" s="5" t="str">
        <f>TEXT(0,"00")</f>
        <v>00</v>
      </c>
      <c r="C6557" s="1"/>
      <c r="D6557" s="2" t="s">
        <v>6529</v>
      </c>
    </row>
    <row r="6558" spans="1:7" x14ac:dyDescent="0.25">
      <c r="A6558" s="1" t="str">
        <f t="shared" si="421"/>
        <v>838</v>
      </c>
      <c r="B6558" s="1" t="str">
        <f>TEXT(23,"00")</f>
        <v>23</v>
      </c>
      <c r="C6558" s="1" t="str">
        <f t="shared" si="419"/>
        <v>838-23</v>
      </c>
      <c r="D6558" t="s">
        <v>6530</v>
      </c>
      <c r="E6558" t="b">
        <f>IF(COUNTIF(D6558,"*"&amp;'Keyword Search'!$C$5&amp;"*"),TRUE,FALSE)</f>
        <v>1</v>
      </c>
      <c r="G6558" t="str">
        <f t="shared" si="420"/>
        <v>838-23: *Batteries, Communication, Radio, Telephone, etc.</v>
      </c>
    </row>
    <row r="6559" spans="1:7" x14ac:dyDescent="0.25">
      <c r="A6559" s="1" t="str">
        <f t="shared" si="421"/>
        <v>838</v>
      </c>
      <c r="B6559" s="1" t="str">
        <f>TEXT(26,"00")</f>
        <v>26</v>
      </c>
      <c r="C6559" s="1" t="str">
        <f t="shared" si="419"/>
        <v>838-26</v>
      </c>
      <c r="D6559" t="s">
        <v>6531</v>
      </c>
      <c r="E6559" t="b">
        <f>IF(COUNTIF(D6559,"*"&amp;'Keyword Search'!$C$5&amp;"*"),TRUE,FALSE)</f>
        <v>1</v>
      </c>
      <c r="G6559" t="str">
        <f t="shared" si="420"/>
        <v>838-26: *Cabinets for Data, Frames, Runway, Cable Management, Raceway, Wire Mesh or Basket Tray, Interduct, Telecom Closets</v>
      </c>
    </row>
    <row r="6560" spans="1:7" x14ac:dyDescent="0.25">
      <c r="A6560" s="1" t="str">
        <f t="shared" si="421"/>
        <v>838</v>
      </c>
      <c r="B6560" s="1" t="str">
        <f>TEXT(28,"00")</f>
        <v>28</v>
      </c>
      <c r="C6560" s="1" t="str">
        <f t="shared" si="419"/>
        <v>838-28</v>
      </c>
      <c r="D6560" t="s">
        <v>6532</v>
      </c>
      <c r="E6560" t="b">
        <f>IF(COUNTIF(D6560,"*"&amp;'Keyword Search'!$C$5&amp;"*"),TRUE,FALSE)</f>
        <v>1</v>
      </c>
      <c r="G6560" t="str">
        <f t="shared" si="420"/>
        <v>838-28: *Cable, Copper, Cat. 5E 6, 6E, 7, 8  etc., Including Interconnecting Components and Accessories (See Class 280 for Other Communications Cable)</v>
      </c>
    </row>
    <row r="6561" spans="1:7" x14ac:dyDescent="0.25">
      <c r="A6561" s="1" t="str">
        <f t="shared" si="421"/>
        <v>838</v>
      </c>
      <c r="B6561" s="1" t="str">
        <f>TEXT(29,"00")</f>
        <v>29</v>
      </c>
      <c r="C6561" s="1" t="str">
        <f t="shared" si="419"/>
        <v>838-29</v>
      </c>
      <c r="D6561" t="s">
        <v>6533</v>
      </c>
      <c r="E6561" t="b">
        <f>IF(COUNTIF(D6561,"*"&amp;'Keyword Search'!$C$5&amp;"*"),TRUE,FALSE)</f>
        <v>1</v>
      </c>
      <c r="G6561" t="str">
        <f t="shared" si="420"/>
        <v>838-29: *Cable, Fiber Optic w/Interconnecting Components and Accessories (See Class 280 for Other Communications Cable)</v>
      </c>
    </row>
    <row r="6562" spans="1:7" x14ac:dyDescent="0.25">
      <c r="A6562" s="1" t="str">
        <f t="shared" si="421"/>
        <v>838</v>
      </c>
      <c r="B6562" s="1" t="str">
        <f>TEXT(32,"00")</f>
        <v>32</v>
      </c>
      <c r="C6562" s="1" t="str">
        <f t="shared" si="419"/>
        <v>838-32</v>
      </c>
      <c r="D6562" t="s">
        <v>6534</v>
      </c>
      <c r="E6562" t="b">
        <f>IF(COUNTIF(D6562,"*"&amp;'Keyword Search'!$C$5&amp;"*"),TRUE,FALSE)</f>
        <v>1</v>
      </c>
      <c r="G6562" t="str">
        <f t="shared" si="420"/>
        <v>838-32: *Communication Devices, Multi-Function, Blackberries, Palm Pilots, PDAs, etc.</v>
      </c>
    </row>
    <row r="6563" spans="1:7" x14ac:dyDescent="0.25">
      <c r="A6563" s="1" t="str">
        <f t="shared" si="421"/>
        <v>838</v>
      </c>
      <c r="B6563" s="1" t="str">
        <f>TEXT(33,"00")</f>
        <v>33</v>
      </c>
      <c r="C6563" s="1" t="str">
        <f t="shared" si="419"/>
        <v>838-33</v>
      </c>
      <c r="D6563" t="s">
        <v>6535</v>
      </c>
      <c r="E6563" t="b">
        <f>IF(COUNTIF(D6563,"*"&amp;'Keyword Search'!$C$5&amp;"*"),TRUE,FALSE)</f>
        <v>1</v>
      </c>
      <c r="G6563" t="str">
        <f t="shared" si="420"/>
        <v>838-33: *Communications: Networking, Linking, Fiber Modems, Power Over Ethernet, Wireless</v>
      </c>
    </row>
    <row r="6564" spans="1:7" x14ac:dyDescent="0.25">
      <c r="A6564" s="1" t="str">
        <f t="shared" si="421"/>
        <v>838</v>
      </c>
      <c r="B6564" s="1" t="str">
        <f>TEXT(34,"00")</f>
        <v>34</v>
      </c>
      <c r="C6564" s="1" t="str">
        <f t="shared" si="419"/>
        <v>838-34</v>
      </c>
      <c r="D6564" t="s">
        <v>6536</v>
      </c>
      <c r="E6564" t="b">
        <f>IF(COUNTIF(D6564,"*"&amp;'Keyword Search'!$C$5&amp;"*"),TRUE,FALSE)</f>
        <v>1</v>
      </c>
      <c r="G6564" t="str">
        <f t="shared" si="420"/>
        <v>838-34: *Communication Security Systems</v>
      </c>
    </row>
    <row r="6565" spans="1:7" x14ac:dyDescent="0.25">
      <c r="A6565" s="1" t="str">
        <f t="shared" si="421"/>
        <v>838</v>
      </c>
      <c r="B6565" s="1" t="str">
        <f>TEXT(35,"00")</f>
        <v>35</v>
      </c>
      <c r="C6565" s="1" t="str">
        <f t="shared" si="419"/>
        <v>838-35</v>
      </c>
      <c r="D6565" t="s">
        <v>6537</v>
      </c>
      <c r="E6565" t="b">
        <f>IF(COUNTIF(D6565,"*"&amp;'Keyword Search'!$C$5&amp;"*"),TRUE,FALSE)</f>
        <v>1</v>
      </c>
      <c r="G6565" t="str">
        <f t="shared" si="420"/>
        <v>838-35: *Communication Systems, Integrated, Including Telephone, Clock, Intercom, etc.</v>
      </c>
    </row>
    <row r="6566" spans="1:7" x14ac:dyDescent="0.25">
      <c r="A6566" s="1" t="str">
        <f t="shared" si="421"/>
        <v>838</v>
      </c>
      <c r="B6566" s="1" t="str">
        <f>TEXT(39,"00")</f>
        <v>39</v>
      </c>
      <c r="C6566" s="1" t="str">
        <f t="shared" si="419"/>
        <v>838-39</v>
      </c>
      <c r="D6566" t="s">
        <v>6538</v>
      </c>
      <c r="E6566" t="b">
        <f>IF(COUNTIF(D6566,"*"&amp;'Keyword Search'!$C$5&amp;"*"),TRUE,FALSE)</f>
        <v>1</v>
      </c>
      <c r="G6566" t="str">
        <f t="shared" si="420"/>
        <v>838-39: *Consoles and Racks, Security</v>
      </c>
    </row>
    <row r="6567" spans="1:7" x14ac:dyDescent="0.25">
      <c r="A6567" s="1" t="str">
        <f t="shared" si="421"/>
        <v>838</v>
      </c>
      <c r="B6567" s="1" t="str">
        <f>TEXT(40,"00")</f>
        <v>40</v>
      </c>
      <c r="C6567" s="1" t="str">
        <f t="shared" si="419"/>
        <v>838-40</v>
      </c>
      <c r="D6567" t="s">
        <v>6539</v>
      </c>
      <c r="E6567" t="b">
        <f>IF(COUNTIF(D6567,"*"&amp;'Keyword Search'!$C$5&amp;"*"),TRUE,FALSE)</f>
        <v>1</v>
      </c>
      <c r="G6567" t="str">
        <f t="shared" si="420"/>
        <v>838-40: *Controllers, Wireless Devices, Wireless Access Points, Modems, Infrared Access Points, Antenna for WAPs, Infrared/Radio Frequency</v>
      </c>
    </row>
    <row r="6568" spans="1:7" x14ac:dyDescent="0.25">
      <c r="A6568" s="1" t="str">
        <f t="shared" si="421"/>
        <v>838</v>
      </c>
      <c r="B6568" s="1" t="str">
        <f>TEXT(45,"00")</f>
        <v>45</v>
      </c>
      <c r="C6568" s="1" t="str">
        <f t="shared" si="419"/>
        <v>838-45</v>
      </c>
      <c r="D6568" t="s">
        <v>6540</v>
      </c>
      <c r="E6568" t="b">
        <f>IF(COUNTIF(D6568,"*"&amp;'Keyword Search'!$C$5&amp;"*"),TRUE,FALSE)</f>
        <v>1</v>
      </c>
      <c r="G6568" t="str">
        <f t="shared" si="420"/>
        <v>838-45: *Emergency Radio/Telephone Systems, 411, 911 etc., Dispatch</v>
      </c>
    </row>
    <row r="6569" spans="1:7" x14ac:dyDescent="0.25">
      <c r="A6569" s="1" t="str">
        <f t="shared" si="421"/>
        <v>838</v>
      </c>
      <c r="B6569" s="1" t="str">
        <f>TEXT(46,"00")</f>
        <v>46</v>
      </c>
      <c r="C6569" s="1" t="str">
        <f t="shared" si="419"/>
        <v>838-46</v>
      </c>
      <c r="D6569" t="s">
        <v>6541</v>
      </c>
      <c r="E6569" t="b">
        <f>IF(COUNTIF(D6569,"*"&amp;'Keyword Search'!$C$5&amp;"*"),TRUE,FALSE)</f>
        <v>1</v>
      </c>
      <c r="G6569" t="str">
        <f t="shared" si="420"/>
        <v>838-46: Emergency Simultaneous Communication Systems (Voice, E-mail, Text)</v>
      </c>
    </row>
    <row r="6570" spans="1:7" x14ac:dyDescent="0.25">
      <c r="A6570" s="1" t="str">
        <f t="shared" si="421"/>
        <v>838</v>
      </c>
      <c r="B6570" s="1" t="str">
        <f>TEXT(47,"00")</f>
        <v>47</v>
      </c>
      <c r="C6570" s="1" t="str">
        <f t="shared" si="419"/>
        <v>838-47</v>
      </c>
      <c r="D6570" t="s">
        <v>6542</v>
      </c>
      <c r="E6570" t="b">
        <f>IF(COUNTIF(D6570,"*"&amp;'Keyword Search'!$C$5&amp;"*"),TRUE,FALSE)</f>
        <v>1</v>
      </c>
      <c r="G6570" t="str">
        <f t="shared" si="420"/>
        <v>838-47: *Emulators, Telecommunication</v>
      </c>
    </row>
    <row r="6571" spans="1:7" x14ac:dyDescent="0.25">
      <c r="A6571" s="1" t="str">
        <f t="shared" si="421"/>
        <v>838</v>
      </c>
      <c r="B6571" s="1" t="str">
        <f>TEXT(68,"00")</f>
        <v>68</v>
      </c>
      <c r="C6571" s="1" t="str">
        <f t="shared" si="419"/>
        <v>838-68</v>
      </c>
      <c r="D6571" t="s">
        <v>6543</v>
      </c>
      <c r="E6571" t="b">
        <f>IF(COUNTIF(D6571,"*"&amp;'Keyword Search'!$C$5&amp;"*"),TRUE,FALSE)</f>
        <v>1</v>
      </c>
      <c r="G6571" t="str">
        <f t="shared" si="420"/>
        <v>838-68: *Recycled Telecommunication Equipment and Accessories</v>
      </c>
    </row>
    <row r="6572" spans="1:7" x14ac:dyDescent="0.25">
      <c r="A6572" s="1" t="str">
        <f t="shared" si="421"/>
        <v>838</v>
      </c>
      <c r="B6572" s="1" t="str">
        <f>TEXT(81,"00")</f>
        <v>81</v>
      </c>
      <c r="C6572" s="1" t="str">
        <f t="shared" si="419"/>
        <v>838-81</v>
      </c>
      <c r="D6572" t="s">
        <v>6544</v>
      </c>
      <c r="E6572" t="b">
        <f>IF(COUNTIF(D6572,"*"&amp;'Keyword Search'!$C$5&amp;"*"),TRUE,FALSE)</f>
        <v>1</v>
      </c>
      <c r="G6572" t="str">
        <f t="shared" si="420"/>
        <v>838-81: *Telecommunication Equipment, Via Satellite, for Emergency Vehicles , Including Radio Terminal Display</v>
      </c>
    </row>
    <row r="6573" spans="1:7" x14ac:dyDescent="0.25">
      <c r="A6573" s="1" t="str">
        <f t="shared" si="421"/>
        <v>838</v>
      </c>
      <c r="B6573" s="1" t="str">
        <f>TEXT(83,"00")</f>
        <v>83</v>
      </c>
      <c r="C6573" s="1" t="str">
        <f t="shared" si="419"/>
        <v>838-83</v>
      </c>
      <c r="D6573" t="s">
        <v>6545</v>
      </c>
      <c r="E6573" t="b">
        <f>IF(COUNTIF(D6573,"*"&amp;'Keyword Search'!$C$5&amp;"*"),TRUE,FALSE)</f>
        <v>1</v>
      </c>
      <c r="G6573" t="str">
        <f t="shared" si="420"/>
        <v>838-83: *Telecommunication, Internet Protocol, Network Monitoring, Surveillance, Intrusion Detection Systems and Networking Products</v>
      </c>
    </row>
    <row r="6574" spans="1:7" x14ac:dyDescent="0.25">
      <c r="A6574" s="1" t="str">
        <f t="shared" si="421"/>
        <v>838</v>
      </c>
      <c r="B6574" s="1" t="str">
        <f>TEXT(85,"00")</f>
        <v>85</v>
      </c>
      <c r="C6574" s="1" t="str">
        <f t="shared" si="419"/>
        <v>838-85</v>
      </c>
      <c r="D6574" t="s">
        <v>6546</v>
      </c>
      <c r="E6574" t="b">
        <f>IF(COUNTIF(D6574,"*"&amp;'Keyword Search'!$C$5&amp;"*"),TRUE,FALSE)</f>
        <v>1</v>
      </c>
      <c r="G6574" t="str">
        <f t="shared" si="420"/>
        <v>838-85: *Telecommunication Parts and Accessories (Not Otherwise Classified)</v>
      </c>
    </row>
    <row r="6575" spans="1:7" x14ac:dyDescent="0.25">
      <c r="A6575" s="1" t="str">
        <f t="shared" si="421"/>
        <v>838</v>
      </c>
      <c r="B6575" s="1" t="str">
        <f>TEXT(86,"00")</f>
        <v>86</v>
      </c>
      <c r="C6575" s="1" t="str">
        <f t="shared" si="419"/>
        <v>838-86</v>
      </c>
      <c r="D6575" t="s">
        <v>6547</v>
      </c>
      <c r="E6575" t="b">
        <f>IF(COUNTIF(D6575,"*"&amp;'Keyword Search'!$C$5&amp;"*"),TRUE,FALSE)</f>
        <v>1</v>
      </c>
      <c r="G6575" t="str">
        <f t="shared" si="420"/>
        <v>838-86: *Telecommunicators for the Hearing and Speech Impaired</v>
      </c>
    </row>
    <row r="6576" spans="1:7" x14ac:dyDescent="0.25">
      <c r="A6576" s="1" t="str">
        <f t="shared" si="421"/>
        <v>838</v>
      </c>
      <c r="B6576" s="1" t="str">
        <f>TEXT(87,"00")</f>
        <v>87</v>
      </c>
      <c r="C6576" s="1" t="str">
        <f t="shared" si="419"/>
        <v>838-87</v>
      </c>
      <c r="D6576" t="s">
        <v>6548</v>
      </c>
      <c r="E6576" t="b">
        <f>IF(COUNTIF(D6576,"*"&amp;'Keyword Search'!$C$5&amp;"*"),TRUE,FALSE)</f>
        <v>1</v>
      </c>
      <c r="G6576" t="str">
        <f t="shared" si="420"/>
        <v>838-87: *Telemedical Equipment</v>
      </c>
    </row>
    <row r="6577" spans="1:7" x14ac:dyDescent="0.25">
      <c r="A6577" s="1" t="str">
        <f t="shared" si="421"/>
        <v>838</v>
      </c>
      <c r="B6577" s="1" t="str">
        <f>TEXT(88,"00")</f>
        <v>88</v>
      </c>
      <c r="C6577" s="1" t="str">
        <f t="shared" si="419"/>
        <v>838-88</v>
      </c>
      <c r="D6577" t="s">
        <v>6549</v>
      </c>
      <c r="E6577" t="b">
        <f>IF(COUNTIF(D6577,"*"&amp;'Keyword Search'!$C$5&amp;"*"),TRUE,FALSE)</f>
        <v>1</v>
      </c>
      <c r="G6577" t="str">
        <f t="shared" si="420"/>
        <v>838-88: *Telemetry Equipment</v>
      </c>
    </row>
    <row r="6578" spans="1:7" x14ac:dyDescent="0.25">
      <c r="A6578" s="1" t="str">
        <f t="shared" si="421"/>
        <v>838</v>
      </c>
      <c r="B6578" s="1" t="str">
        <f>TEXT(90,"00")</f>
        <v>90</v>
      </c>
      <c r="C6578" s="1" t="str">
        <f t="shared" si="419"/>
        <v>838-90</v>
      </c>
      <c r="D6578" t="s">
        <v>6550</v>
      </c>
      <c r="E6578" t="b">
        <f>IF(COUNTIF(D6578,"*"&amp;'Keyword Search'!$C$5&amp;"*"),TRUE,FALSE)</f>
        <v>1</v>
      </c>
      <c r="G6578" t="str">
        <f t="shared" si="420"/>
        <v>838-90: *Tools and Supplies for Copper and Fiber Optic Wiring Systems</v>
      </c>
    </row>
    <row r="6579" spans="1:7" x14ac:dyDescent="0.25">
      <c r="A6579" s="1" t="str">
        <f t="shared" si="421"/>
        <v>838</v>
      </c>
      <c r="B6579" s="1" t="str">
        <f>TEXT(91,"00")</f>
        <v>91</v>
      </c>
      <c r="C6579" s="1" t="str">
        <f t="shared" si="419"/>
        <v>838-91</v>
      </c>
      <c r="D6579" t="s">
        <v>6551</v>
      </c>
      <c r="E6579" t="b">
        <f>IF(COUNTIF(D6579,"*"&amp;'Keyword Search'!$C$5&amp;"*"),TRUE,FALSE)</f>
        <v>1</v>
      </c>
      <c r="G6579" t="str">
        <f t="shared" si="420"/>
        <v>838-91: *Translation Equipment, Networked, Portable, Mobile</v>
      </c>
    </row>
    <row r="6580" spans="1:7" x14ac:dyDescent="0.25">
      <c r="A6580" s="1" t="str">
        <f t="shared" si="421"/>
        <v>838</v>
      </c>
      <c r="B6580" s="1" t="str">
        <f>TEXT(96,"00")</f>
        <v>96</v>
      </c>
      <c r="C6580" s="1" t="str">
        <f t="shared" si="419"/>
        <v>838-96</v>
      </c>
      <c r="D6580" t="s">
        <v>6552</v>
      </c>
      <c r="E6580" t="b">
        <f>IF(COUNTIF(D6580,"*"&amp;'Keyword Search'!$C$5&amp;"*"),TRUE,FALSE)</f>
        <v>1</v>
      </c>
      <c r="G6580" t="str">
        <f t="shared" si="420"/>
        <v>838-96: *Wire and Cable, Telecommunication (Not Otherwise Classified)</v>
      </c>
    </row>
    <row r="6581" spans="1:7" x14ac:dyDescent="0.25">
      <c r="A6581" s="5" t="str">
        <f t="shared" ref="A6581:A6603" si="422">TEXT(839,"000")</f>
        <v>839</v>
      </c>
      <c r="B6581" s="5" t="str">
        <f>TEXT(0,"00")</f>
        <v>00</v>
      </c>
      <c r="C6581" s="1"/>
      <c r="D6581" s="2" t="s">
        <v>6553</v>
      </c>
    </row>
    <row r="6582" spans="1:7" x14ac:dyDescent="0.25">
      <c r="A6582" s="1" t="str">
        <f t="shared" si="422"/>
        <v>839</v>
      </c>
      <c r="B6582" s="1" t="str">
        <f>TEXT(12,"00")</f>
        <v>12</v>
      </c>
      <c r="C6582" s="1" t="str">
        <f t="shared" si="419"/>
        <v>839-12</v>
      </c>
      <c r="D6582" t="s">
        <v>6554</v>
      </c>
      <c r="E6582" t="b">
        <f>IF(COUNTIF(D6582,"*"&amp;'Keyword Search'!$C$5&amp;"*"),TRUE,FALSE)</f>
        <v>1</v>
      </c>
      <c r="G6582" t="str">
        <f t="shared" si="420"/>
        <v>839-12: *Accessories, Telephone (Not Otherwise Classified)</v>
      </c>
    </row>
    <row r="6583" spans="1:7" x14ac:dyDescent="0.25">
      <c r="A6583" s="1" t="str">
        <f t="shared" si="422"/>
        <v>839</v>
      </c>
      <c r="B6583" s="1" t="str">
        <f>TEXT(31,"00")</f>
        <v>31</v>
      </c>
      <c r="C6583" s="1" t="str">
        <f t="shared" si="419"/>
        <v>839-31</v>
      </c>
      <c r="D6583" t="s">
        <v>6555</v>
      </c>
      <c r="E6583" t="b">
        <f>IF(COUNTIF(D6583,"*"&amp;'Keyword Search'!$C$5&amp;"*"),TRUE,FALSE)</f>
        <v>1</v>
      </c>
      <c r="G6583" t="str">
        <f t="shared" si="420"/>
        <v>839-31: *Call Answering Telephone System, High Volume</v>
      </c>
    </row>
    <row r="6584" spans="1:7" x14ac:dyDescent="0.25">
      <c r="A6584" s="1" t="str">
        <f t="shared" si="422"/>
        <v>839</v>
      </c>
      <c r="B6584" s="1" t="str">
        <f>TEXT(32,"00")</f>
        <v>32</v>
      </c>
      <c r="C6584" s="1" t="str">
        <f t="shared" si="419"/>
        <v>839-32</v>
      </c>
      <c r="D6584" t="s">
        <v>6556</v>
      </c>
      <c r="E6584" t="b">
        <f>IF(COUNTIF(D6584,"*"&amp;'Keyword Search'!$C$5&amp;"*"),TRUE,FALSE)</f>
        <v>1</v>
      </c>
      <c r="G6584" t="str">
        <f t="shared" si="420"/>
        <v>839-32: *Call Answering Telephone Systems, Low Volume</v>
      </c>
    </row>
    <row r="6585" spans="1:7" x14ac:dyDescent="0.25">
      <c r="A6585" s="1" t="str">
        <f t="shared" si="422"/>
        <v>839</v>
      </c>
      <c r="B6585" s="1" t="str">
        <f>TEXT(35,"00")</f>
        <v>35</v>
      </c>
      <c r="C6585" s="1" t="str">
        <f t="shared" si="419"/>
        <v>839-35</v>
      </c>
      <c r="D6585" t="s">
        <v>6557</v>
      </c>
      <c r="E6585" t="b">
        <f>IF(COUNTIF(D6585,"*"&amp;'Keyword Search'!$C$5&amp;"*"),TRUE,FALSE)</f>
        <v>1</v>
      </c>
      <c r="G6585" t="str">
        <f t="shared" si="420"/>
        <v>839-35: *Cellular Telephones, All Types</v>
      </c>
    </row>
    <row r="6586" spans="1:7" x14ac:dyDescent="0.25">
      <c r="A6586" s="1" t="str">
        <f t="shared" si="422"/>
        <v>839</v>
      </c>
      <c r="B6586" s="1" t="str">
        <f>TEXT(40,"00")</f>
        <v>40</v>
      </c>
      <c r="C6586" s="1" t="str">
        <f t="shared" si="419"/>
        <v>839-40</v>
      </c>
      <c r="D6586" t="s">
        <v>6558</v>
      </c>
      <c r="E6586" t="b">
        <f>IF(COUNTIF(D6586,"*"&amp;'Keyword Search'!$C$5&amp;"*"),TRUE,FALSE)</f>
        <v>1</v>
      </c>
      <c r="G6586" t="str">
        <f t="shared" si="420"/>
        <v>839-40: *Digital Subscriber Loop (DSL) Equipment</v>
      </c>
    </row>
    <row r="6587" spans="1:7" x14ac:dyDescent="0.25">
      <c r="A6587" s="1" t="str">
        <f t="shared" si="422"/>
        <v>839</v>
      </c>
      <c r="B6587" s="1" t="str">
        <f>TEXT(51,"00")</f>
        <v>51</v>
      </c>
      <c r="C6587" s="1" t="str">
        <f t="shared" si="419"/>
        <v>839-51</v>
      </c>
      <c r="D6587" t="s">
        <v>6559</v>
      </c>
      <c r="E6587" t="b">
        <f>IF(COUNTIF(D6587,"*"&amp;'Keyword Search'!$C$5&amp;"*"),TRUE,FALSE)</f>
        <v>1</v>
      </c>
      <c r="G6587" t="str">
        <f t="shared" si="420"/>
        <v>839-51: *Microwave Equipment (See Class 045 for Household Ovens)</v>
      </c>
    </row>
    <row r="6588" spans="1:7" x14ac:dyDescent="0.25">
      <c r="A6588" s="1" t="str">
        <f t="shared" si="422"/>
        <v>839</v>
      </c>
      <c r="B6588" s="1" t="str">
        <f>TEXT(54,"00")</f>
        <v>54</v>
      </c>
      <c r="C6588" s="1" t="str">
        <f t="shared" si="419"/>
        <v>839-54</v>
      </c>
      <c r="D6588" t="s">
        <v>6560</v>
      </c>
      <c r="E6588" t="b">
        <f>IF(COUNTIF(D6588,"*"&amp;'Keyword Search'!$C$5&amp;"*"),TRUE,FALSE)</f>
        <v>1</v>
      </c>
      <c r="G6588" t="str">
        <f t="shared" si="420"/>
        <v>839-54: *Nurse Call Systems</v>
      </c>
    </row>
    <row r="6589" spans="1:7" x14ac:dyDescent="0.25">
      <c r="A6589" s="1" t="str">
        <f t="shared" si="422"/>
        <v>839</v>
      </c>
      <c r="B6589" s="1" t="str">
        <f>TEXT(57,"00")</f>
        <v>57</v>
      </c>
      <c r="C6589" s="1" t="str">
        <f t="shared" si="419"/>
        <v>839-57</v>
      </c>
      <c r="D6589" t="s">
        <v>6561</v>
      </c>
      <c r="E6589" t="b">
        <f>IF(COUNTIF(D6589,"*"&amp;'Keyword Search'!$C$5&amp;"*"),TRUE,FALSE)</f>
        <v>1</v>
      </c>
      <c r="G6589" t="str">
        <f t="shared" si="420"/>
        <v>839-57: *Pay Telephones</v>
      </c>
    </row>
    <row r="6590" spans="1:7" x14ac:dyDescent="0.25">
      <c r="A6590" s="1" t="str">
        <f t="shared" si="422"/>
        <v>839</v>
      </c>
      <c r="B6590" s="1" t="str">
        <f>TEXT(60,"00")</f>
        <v>60</v>
      </c>
      <c r="C6590" s="1" t="str">
        <f t="shared" si="419"/>
        <v>839-60</v>
      </c>
      <c r="D6590" t="s">
        <v>6562</v>
      </c>
      <c r="E6590" t="b">
        <f>IF(COUNTIF(D6590,"*"&amp;'Keyword Search'!$C$5&amp;"*"),TRUE,FALSE)</f>
        <v>1</v>
      </c>
      <c r="G6590" t="str">
        <f t="shared" si="420"/>
        <v>839-60: *Poles, High Voltage Transmission</v>
      </c>
    </row>
    <row r="6591" spans="1:7" x14ac:dyDescent="0.25">
      <c r="A6591" s="1" t="str">
        <f t="shared" si="422"/>
        <v>839</v>
      </c>
      <c r="B6591" s="1" t="str">
        <f>TEXT(61,"00")</f>
        <v>61</v>
      </c>
      <c r="C6591" s="1" t="str">
        <f t="shared" si="419"/>
        <v>839-61</v>
      </c>
      <c r="D6591" t="s">
        <v>6563</v>
      </c>
      <c r="E6591" t="b">
        <f>IF(COUNTIF(D6591,"*"&amp;'Keyword Search'!$C$5&amp;"*"),TRUE,FALSE)</f>
        <v>1</v>
      </c>
      <c r="G6591" t="str">
        <f t="shared" si="420"/>
        <v>839-61: *Poles, Telephone and Utility, All Kinds</v>
      </c>
    </row>
    <row r="6592" spans="1:7" x14ac:dyDescent="0.25">
      <c r="A6592" s="1" t="str">
        <f t="shared" si="422"/>
        <v>839</v>
      </c>
      <c r="B6592" s="1" t="str">
        <f>TEXT(63,"00")</f>
        <v>63</v>
      </c>
      <c r="C6592" s="1" t="str">
        <f t="shared" si="419"/>
        <v>839-63</v>
      </c>
      <c r="D6592" t="s">
        <v>6564</v>
      </c>
      <c r="E6592" t="b">
        <f>IF(COUNTIF(D6592,"*"&amp;'Keyword Search'!$C$5&amp;"*"),TRUE,FALSE)</f>
        <v>1</v>
      </c>
      <c r="G6592" t="str">
        <f t="shared" si="420"/>
        <v>839-63: *Radio Telephones, Vehicle, Marine, etc.</v>
      </c>
    </row>
    <row r="6593" spans="1:7" x14ac:dyDescent="0.25">
      <c r="A6593" s="1" t="str">
        <f t="shared" si="422"/>
        <v>839</v>
      </c>
      <c r="B6593" s="1" t="str">
        <f>TEXT(67,"00")</f>
        <v>67</v>
      </c>
      <c r="C6593" s="1" t="str">
        <f t="shared" si="419"/>
        <v>839-67</v>
      </c>
      <c r="D6593" t="s">
        <v>6565</v>
      </c>
      <c r="E6593" t="b">
        <f>IF(COUNTIF(D6593,"*"&amp;'Keyword Search'!$C$5&amp;"*"),TRUE,FALSE)</f>
        <v>1</v>
      </c>
      <c r="G6593" t="str">
        <f t="shared" si="420"/>
        <v>839-67: *Recycled Telephone Equipment and Accessories</v>
      </c>
    </row>
    <row r="6594" spans="1:7" x14ac:dyDescent="0.25">
      <c r="A6594" s="1" t="str">
        <f t="shared" si="422"/>
        <v>839</v>
      </c>
      <c r="B6594" s="1" t="str">
        <f>TEXT(74,"00")</f>
        <v>74</v>
      </c>
      <c r="C6594" s="1" t="str">
        <f t="shared" si="419"/>
        <v>839-74</v>
      </c>
      <c r="D6594" t="s">
        <v>6566</v>
      </c>
      <c r="E6594" t="b">
        <f>IF(COUNTIF(D6594,"*"&amp;'Keyword Search'!$C$5&amp;"*"),TRUE,FALSE)</f>
        <v>1</v>
      </c>
      <c r="G6594" t="str">
        <f t="shared" si="420"/>
        <v>839-74: *Satellite Telephones</v>
      </c>
    </row>
    <row r="6595" spans="1:7" x14ac:dyDescent="0.25">
      <c r="A6595" s="1" t="str">
        <f t="shared" si="422"/>
        <v>839</v>
      </c>
      <c r="B6595" s="1" t="str">
        <f>TEXT(77,"00")</f>
        <v>77</v>
      </c>
      <c r="C6595" s="1" t="str">
        <f t="shared" ref="C6595:C6658" si="423">CONCATENATE(A6595,"-",B6595)</f>
        <v>839-77</v>
      </c>
      <c r="D6595" t="s">
        <v>6567</v>
      </c>
      <c r="E6595" t="b">
        <f>IF(COUNTIF(D6595,"*"&amp;'Keyword Search'!$C$5&amp;"*"),TRUE,FALSE)</f>
        <v>1</v>
      </c>
      <c r="G6595" t="str">
        <f t="shared" si="420"/>
        <v>839-77: *Switchboards, Telephone</v>
      </c>
    </row>
    <row r="6596" spans="1:7" x14ac:dyDescent="0.25">
      <c r="A6596" s="1" t="str">
        <f t="shared" si="422"/>
        <v>839</v>
      </c>
      <c r="B6596" s="1" t="str">
        <f>TEXT(80,"00")</f>
        <v>80</v>
      </c>
      <c r="C6596" s="1" t="str">
        <f t="shared" si="423"/>
        <v>839-80</v>
      </c>
      <c r="D6596" t="s">
        <v>6568</v>
      </c>
      <c r="E6596" t="b">
        <f>IF(COUNTIF(D6596,"*"&amp;'Keyword Search'!$C$5&amp;"*"),TRUE,FALSE)</f>
        <v>1</v>
      </c>
      <c r="G6596" t="str">
        <f t="shared" ref="G6596:G6659" si="424">CONCATENATE(C6596,": ",D6596)</f>
        <v>839-80: *Telecommunicators and/or Display Terminals for the Hearing and Handicapped</v>
      </c>
    </row>
    <row r="6597" spans="1:7" x14ac:dyDescent="0.25">
      <c r="A6597" s="1" t="str">
        <f t="shared" si="422"/>
        <v>839</v>
      </c>
      <c r="B6597" s="1" t="str">
        <f>TEXT(83,"00")</f>
        <v>83</v>
      </c>
      <c r="C6597" s="1" t="str">
        <f t="shared" si="423"/>
        <v>839-83</v>
      </c>
      <c r="D6597" t="s">
        <v>6569</v>
      </c>
      <c r="E6597" t="b">
        <f>IF(COUNTIF(D6597,"*"&amp;'Keyword Search'!$C$5&amp;"*"),TRUE,FALSE)</f>
        <v>1</v>
      </c>
      <c r="G6597" t="str">
        <f t="shared" si="424"/>
        <v>839-83: *Telephone Cards</v>
      </c>
    </row>
    <row r="6598" spans="1:7" x14ac:dyDescent="0.25">
      <c r="A6598" s="1" t="str">
        <f t="shared" si="422"/>
        <v>839</v>
      </c>
      <c r="B6598" s="1" t="str">
        <f>TEXT(84,"00")</f>
        <v>84</v>
      </c>
      <c r="C6598" s="1" t="str">
        <f t="shared" si="423"/>
        <v>839-84</v>
      </c>
      <c r="D6598" t="s">
        <v>6570</v>
      </c>
      <c r="E6598" t="b">
        <f>IF(COUNTIF(D6598,"*"&amp;'Keyword Search'!$C$5&amp;"*"),TRUE,FALSE)</f>
        <v>1</v>
      </c>
      <c r="G6598" t="str">
        <f t="shared" si="424"/>
        <v>839-84: *Telephone Dialing and Answering Apparatus</v>
      </c>
    </row>
    <row r="6599" spans="1:7" x14ac:dyDescent="0.25">
      <c r="A6599" s="1" t="str">
        <f t="shared" si="422"/>
        <v>839</v>
      </c>
      <c r="B6599" s="1" t="str">
        <f>TEXT(85,"00")</f>
        <v>85</v>
      </c>
      <c r="C6599" s="1" t="str">
        <f t="shared" si="423"/>
        <v>839-85</v>
      </c>
      <c r="D6599" t="s">
        <v>6571</v>
      </c>
      <c r="E6599" t="b">
        <f>IF(COUNTIF(D6599,"*"&amp;'Keyword Search'!$C$5&amp;"*"),TRUE,FALSE)</f>
        <v>1</v>
      </c>
      <c r="G6599" t="str">
        <f t="shared" si="424"/>
        <v>839-85: *Telephone Equipment Parts and Accessories (Not Otherwise Classified)</v>
      </c>
    </row>
    <row r="6600" spans="1:7" x14ac:dyDescent="0.25">
      <c r="A6600" s="1" t="str">
        <f t="shared" si="422"/>
        <v>839</v>
      </c>
      <c r="B6600" s="1" t="str">
        <f>TEXT(86,"00")</f>
        <v>86</v>
      </c>
      <c r="C6600" s="1" t="str">
        <f t="shared" si="423"/>
        <v>839-86</v>
      </c>
      <c r="D6600" t="s">
        <v>6572</v>
      </c>
      <c r="E6600" t="b">
        <f>IF(COUNTIF(D6600,"*"&amp;'Keyword Search'!$C$5&amp;"*"),TRUE,FALSE)</f>
        <v>1</v>
      </c>
      <c r="G6600" t="str">
        <f t="shared" si="424"/>
        <v>839-86: *Telephones, Correctional Facilities</v>
      </c>
    </row>
    <row r="6601" spans="1:7" x14ac:dyDescent="0.25">
      <c r="A6601" s="1" t="str">
        <f t="shared" si="422"/>
        <v>839</v>
      </c>
      <c r="B6601" s="1" t="str">
        <f>TEXT(87,"00")</f>
        <v>87</v>
      </c>
      <c r="C6601" s="1" t="str">
        <f t="shared" si="423"/>
        <v>839-87</v>
      </c>
      <c r="D6601" t="s">
        <v>6573</v>
      </c>
      <c r="E6601" t="b">
        <f>IF(COUNTIF(D6601,"*"&amp;'Keyword Search'!$C$5&amp;"*"),TRUE,FALSE)</f>
        <v>1</v>
      </c>
      <c r="G6601" t="str">
        <f t="shared" si="424"/>
        <v>839-87: *Telephone Systems, 2-60 Stations</v>
      </c>
    </row>
    <row r="6602" spans="1:7" x14ac:dyDescent="0.25">
      <c r="A6602" s="1" t="str">
        <f t="shared" si="422"/>
        <v>839</v>
      </c>
      <c r="B6602" s="1" t="str">
        <f>TEXT(88,"00")</f>
        <v>88</v>
      </c>
      <c r="C6602" s="1" t="str">
        <f t="shared" si="423"/>
        <v>839-88</v>
      </c>
      <c r="D6602" t="s">
        <v>6574</v>
      </c>
      <c r="E6602" t="b">
        <f>IF(COUNTIF(D6602,"*"&amp;'Keyword Search'!$C$5&amp;"*"),TRUE,FALSE)</f>
        <v>1</v>
      </c>
      <c r="G6602" t="str">
        <f t="shared" si="424"/>
        <v>839-88: *Telephone System, Over 60 Stations</v>
      </c>
    </row>
    <row r="6603" spans="1:7" x14ac:dyDescent="0.25">
      <c r="A6603" s="1" t="str">
        <f t="shared" si="422"/>
        <v>839</v>
      </c>
      <c r="B6603" s="1" t="str">
        <f>TEXT(92,"00")</f>
        <v>92</v>
      </c>
      <c r="C6603" s="1" t="str">
        <f t="shared" si="423"/>
        <v>839-92</v>
      </c>
      <c r="D6603" t="s">
        <v>6575</v>
      </c>
      <c r="E6603" t="b">
        <f>IF(COUNTIF(D6603,"*"&amp;'Keyword Search'!$C$5&amp;"*"),TRUE,FALSE)</f>
        <v>1</v>
      </c>
      <c r="G6603" t="str">
        <f t="shared" si="424"/>
        <v>839-92: *Videophone Devices, Equipment and Accessories</v>
      </c>
    </row>
    <row r="6604" spans="1:7" x14ac:dyDescent="0.25">
      <c r="A6604" s="5" t="str">
        <f t="shared" ref="A6604:A6642" si="425">TEXT(840,"000")</f>
        <v>840</v>
      </c>
      <c r="B6604" s="5" t="str">
        <f>TEXT(0,"00")</f>
        <v>00</v>
      </c>
      <c r="C6604" s="1"/>
      <c r="D6604" s="2" t="s">
        <v>6576</v>
      </c>
    </row>
    <row r="6605" spans="1:7" x14ac:dyDescent="0.25">
      <c r="A6605" s="1" t="str">
        <f t="shared" si="425"/>
        <v>840</v>
      </c>
      <c r="B6605" s="1" t="str">
        <f>TEXT(10,"00")</f>
        <v>10</v>
      </c>
      <c r="C6605" s="1" t="str">
        <f t="shared" si="423"/>
        <v>840-10</v>
      </c>
      <c r="D6605" t="s">
        <v>6577</v>
      </c>
      <c r="E6605" t="b">
        <f>IF(COUNTIF(D6605,"*"&amp;'Keyword Search'!$C$5&amp;"*"),TRUE,FALSE)</f>
        <v>1</v>
      </c>
      <c r="G6605" t="str">
        <f t="shared" si="424"/>
        <v>840-10: Antennas and Accessories: Amplifiers, Brackets, Masts, Mounts, Rotators, Standoffs, etc., Television Only</v>
      </c>
    </row>
    <row r="6606" spans="1:7" x14ac:dyDescent="0.25">
      <c r="A6606" s="1" t="str">
        <f t="shared" si="425"/>
        <v>840</v>
      </c>
      <c r="B6606" s="1" t="str">
        <f>TEXT(14,"00")</f>
        <v>14</v>
      </c>
      <c r="C6606" s="1" t="str">
        <f t="shared" si="423"/>
        <v>840-14</v>
      </c>
      <c r="D6606" t="s">
        <v>6578</v>
      </c>
      <c r="E6606" t="b">
        <f>IF(COUNTIF(D6606,"*"&amp;'Keyword Search'!$C$5&amp;"*"),TRUE,FALSE)</f>
        <v>1</v>
      </c>
      <c r="G6606" t="str">
        <f t="shared" si="424"/>
        <v>840-14: *Audio Equipment and Accessories, Television, Microphones, Mixers, and Amplifiers</v>
      </c>
    </row>
    <row r="6607" spans="1:7" x14ac:dyDescent="0.25">
      <c r="A6607" s="1" t="str">
        <f t="shared" si="425"/>
        <v>840</v>
      </c>
      <c r="B6607" s="1" t="str">
        <f>TEXT(20,"00")</f>
        <v>20</v>
      </c>
      <c r="C6607" s="1" t="str">
        <f t="shared" si="423"/>
        <v>840-20</v>
      </c>
      <c r="D6607" t="s">
        <v>6579</v>
      </c>
      <c r="E6607" t="b">
        <f>IF(COUNTIF(D6607,"*"&amp;'Keyword Search'!$C$5&amp;"*"),TRUE,FALSE)</f>
        <v>1</v>
      </c>
      <c r="G6607" t="str">
        <f t="shared" si="424"/>
        <v>840-20: *Broadcast Equipment, Television</v>
      </c>
    </row>
    <row r="6608" spans="1:7" x14ac:dyDescent="0.25">
      <c r="A6608" s="1" t="str">
        <f t="shared" si="425"/>
        <v>840</v>
      </c>
      <c r="B6608" s="1" t="str">
        <f>TEXT(21,"00")</f>
        <v>21</v>
      </c>
      <c r="C6608" s="1" t="str">
        <f t="shared" si="423"/>
        <v>840-21</v>
      </c>
      <c r="D6608" t="s">
        <v>6580</v>
      </c>
      <c r="E6608" t="b">
        <f>IF(COUNTIF(D6608,"*"&amp;'Keyword Search'!$C$5&amp;"*"),TRUE,FALSE)</f>
        <v>1</v>
      </c>
      <c r="G6608" t="str">
        <f t="shared" si="424"/>
        <v>840-21: Broadcast Disaster Recovery Equipment</v>
      </c>
    </row>
    <row r="6609" spans="1:7" x14ac:dyDescent="0.25">
      <c r="A6609" s="1" t="str">
        <f t="shared" si="425"/>
        <v>840</v>
      </c>
      <c r="B6609" s="1" t="str">
        <f>TEXT(24,"00")</f>
        <v>24</v>
      </c>
      <c r="C6609" s="1" t="str">
        <f t="shared" si="423"/>
        <v>840-24</v>
      </c>
      <c r="D6609" t="s">
        <v>6581</v>
      </c>
      <c r="E6609" t="b">
        <f>IF(COUNTIF(D6609,"*"&amp;'Keyword Search'!$C$5&amp;"*"),TRUE,FALSE)</f>
        <v>1</v>
      </c>
      <c r="G6609" t="str">
        <f t="shared" si="424"/>
        <v>840-24: *Cable or Community Television Equipment and Hardware</v>
      </c>
    </row>
    <row r="6610" spans="1:7" x14ac:dyDescent="0.25">
      <c r="A6610" s="1" t="str">
        <f t="shared" si="425"/>
        <v>840</v>
      </c>
      <c r="B6610" s="1" t="str">
        <f>TEXT(27,"00")</f>
        <v>27</v>
      </c>
      <c r="C6610" s="1" t="str">
        <f t="shared" si="423"/>
        <v>840-27</v>
      </c>
      <c r="D6610" t="s">
        <v>6582</v>
      </c>
      <c r="E6610" t="b">
        <f>IF(COUNTIF(D6610,"*"&amp;'Keyword Search'!$C$5&amp;"*"),TRUE,FALSE)</f>
        <v>1</v>
      </c>
      <c r="G6610" t="str">
        <f t="shared" si="424"/>
        <v>840-27: Carts and Stands, Television, VCR/DVD Players, Multi-Device</v>
      </c>
    </row>
    <row r="6611" spans="1:7" x14ac:dyDescent="0.25">
      <c r="A6611" s="1" t="str">
        <f t="shared" si="425"/>
        <v>840</v>
      </c>
      <c r="B6611" s="1" t="str">
        <f>TEXT(28,"00")</f>
        <v>28</v>
      </c>
      <c r="C6611" s="1" t="str">
        <f t="shared" si="423"/>
        <v>840-28</v>
      </c>
      <c r="D6611" t="s">
        <v>6583</v>
      </c>
      <c r="E6611" t="b">
        <f>IF(COUNTIF(D6611,"*"&amp;'Keyword Search'!$C$5&amp;"*"),TRUE,FALSE)</f>
        <v>1</v>
      </c>
      <c r="G6611" t="str">
        <f t="shared" si="424"/>
        <v>840-28: Cassette Holders, Video, DVD/DVR/CDR</v>
      </c>
    </row>
    <row r="6612" spans="1:7" x14ac:dyDescent="0.25">
      <c r="A6612" s="1" t="str">
        <f t="shared" si="425"/>
        <v>840</v>
      </c>
      <c r="B6612" s="1" t="str">
        <f>TEXT(30,"00")</f>
        <v>30</v>
      </c>
      <c r="C6612" s="1" t="str">
        <f t="shared" si="423"/>
        <v>840-30</v>
      </c>
      <c r="D6612" t="s">
        <v>6584</v>
      </c>
      <c r="E6612" t="b">
        <f>IF(COUNTIF(D6612,"*"&amp;'Keyword Search'!$C$5&amp;"*"),TRUE,FALSE)</f>
        <v>1</v>
      </c>
      <c r="G6612" t="str">
        <f t="shared" si="424"/>
        <v>840-30: *Digital Video Disk, DVD Television Combinations</v>
      </c>
    </row>
    <row r="6613" spans="1:7" x14ac:dyDescent="0.25">
      <c r="A6613" s="1" t="str">
        <f t="shared" si="425"/>
        <v>840</v>
      </c>
      <c r="B6613" s="1" t="str">
        <f>TEXT(34,"00")</f>
        <v>34</v>
      </c>
      <c r="C6613" s="1" t="str">
        <f t="shared" si="423"/>
        <v>840-34</v>
      </c>
      <c r="D6613" t="s">
        <v>6585</v>
      </c>
      <c r="E6613" t="b">
        <f>IF(COUNTIF(D6613,"*"&amp;'Keyword Search'!$C$5&amp;"*"),TRUE,FALSE)</f>
        <v>1</v>
      </c>
      <c r="G6613" t="str">
        <f t="shared" si="424"/>
        <v>840-34: *Editing, Titling, and Special Effects Systems, Accessories, and Parts</v>
      </c>
    </row>
    <row r="6614" spans="1:7" x14ac:dyDescent="0.25">
      <c r="A6614" s="1" t="str">
        <f t="shared" si="425"/>
        <v>840</v>
      </c>
      <c r="B6614" s="1" t="str">
        <f>TEXT(36,"00")</f>
        <v>36</v>
      </c>
      <c r="C6614" s="1" t="str">
        <f t="shared" si="423"/>
        <v>840-36</v>
      </c>
      <c r="D6614" t="s">
        <v>6586</v>
      </c>
      <c r="E6614" t="b">
        <f>IF(COUNTIF(D6614,"*"&amp;'Keyword Search'!$C$5&amp;"*"),TRUE,FALSE)</f>
        <v>1</v>
      </c>
      <c r="G6614" t="str">
        <f t="shared" si="424"/>
        <v>840-36: *Frequency Measuring Equipment, Television</v>
      </c>
    </row>
    <row r="6615" spans="1:7" x14ac:dyDescent="0.25">
      <c r="A6615" s="1" t="str">
        <f t="shared" si="425"/>
        <v>840</v>
      </c>
      <c r="B6615" s="1" t="str">
        <f>TEXT(38,"00")</f>
        <v>38</v>
      </c>
      <c r="C6615" s="1" t="str">
        <f t="shared" si="423"/>
        <v>840-38</v>
      </c>
      <c r="D6615" t="s">
        <v>6587</v>
      </c>
      <c r="E6615" t="b">
        <f>IF(COUNTIF(D6615,"*"&amp;'Keyword Search'!$C$5&amp;"*"),TRUE,FALSE)</f>
        <v>1</v>
      </c>
      <c r="G6615" t="str">
        <f t="shared" si="424"/>
        <v>840-38: *Monitors, Television</v>
      </c>
    </row>
    <row r="6616" spans="1:7" x14ac:dyDescent="0.25">
      <c r="A6616" s="1" t="str">
        <f t="shared" si="425"/>
        <v>840</v>
      </c>
      <c r="B6616" s="1" t="str">
        <f>TEXT(40,"00")</f>
        <v>40</v>
      </c>
      <c r="C6616" s="1" t="str">
        <f t="shared" si="423"/>
        <v>840-40</v>
      </c>
      <c r="D6616" t="s">
        <v>6588</v>
      </c>
      <c r="E6616" t="b">
        <f>IF(COUNTIF(D6616,"*"&amp;'Keyword Search'!$C$5&amp;"*"),TRUE,FALSE)</f>
        <v>1</v>
      </c>
      <c r="G6616" t="str">
        <f t="shared" si="424"/>
        <v>840-40: Recording Tape, Video; Video Cassettes: Videotape Evaluator/Cleaner</v>
      </c>
    </row>
    <row r="6617" spans="1:7" x14ac:dyDescent="0.25">
      <c r="A6617" s="1" t="str">
        <f t="shared" si="425"/>
        <v>840</v>
      </c>
      <c r="B6617" s="1" t="str">
        <f>TEXT(43,"00")</f>
        <v>43</v>
      </c>
      <c r="C6617" s="1" t="str">
        <f t="shared" si="423"/>
        <v>840-43</v>
      </c>
      <c r="D6617" t="s">
        <v>6589</v>
      </c>
      <c r="E6617" t="b">
        <f>IF(COUNTIF(D6617,"*"&amp;'Keyword Search'!$C$5&amp;"*"),TRUE,FALSE)</f>
        <v>1</v>
      </c>
      <c r="G6617" t="str">
        <f t="shared" si="424"/>
        <v>840-43: Rewinding Equipment, Tape</v>
      </c>
    </row>
    <row r="6618" spans="1:7" x14ac:dyDescent="0.25">
      <c r="A6618" s="1" t="str">
        <f t="shared" si="425"/>
        <v>840</v>
      </c>
      <c r="B6618" s="1" t="str">
        <f>TEXT(45,"00")</f>
        <v>45</v>
      </c>
      <c r="C6618" s="1" t="str">
        <f t="shared" si="423"/>
        <v>840-45</v>
      </c>
      <c r="D6618" t="s">
        <v>6590</v>
      </c>
      <c r="E6618" t="b">
        <f>IF(COUNTIF(D6618,"*"&amp;'Keyword Search'!$C$5&amp;"*"),TRUE,FALSE)</f>
        <v>1</v>
      </c>
      <c r="G6618" t="str">
        <f t="shared" si="424"/>
        <v>840-45: *Satellite Receiver Dish, Video</v>
      </c>
    </row>
    <row r="6619" spans="1:7" x14ac:dyDescent="0.25">
      <c r="A6619" s="1" t="str">
        <f t="shared" si="425"/>
        <v>840</v>
      </c>
      <c r="B6619" s="1" t="str">
        <f>TEXT(50,"00")</f>
        <v>50</v>
      </c>
      <c r="C6619" s="1" t="str">
        <f t="shared" si="423"/>
        <v>840-50</v>
      </c>
      <c r="D6619" t="s">
        <v>6591</v>
      </c>
      <c r="E6619" t="b">
        <f>IF(COUNTIF(D6619,"*"&amp;'Keyword Search'!$C$5&amp;"*"),TRUE,FALSE)</f>
        <v>1</v>
      </c>
      <c r="G6619" t="str">
        <f t="shared" si="424"/>
        <v>840-50: Studio Equipment: Furnishings, Record and Tape Storage Cabinets, Tables, etc.</v>
      </c>
    </row>
    <row r="6620" spans="1:7" x14ac:dyDescent="0.25">
      <c r="A6620" s="1" t="str">
        <f t="shared" si="425"/>
        <v>840</v>
      </c>
      <c r="B6620" s="1" t="str">
        <f>TEXT(55,"00")</f>
        <v>55</v>
      </c>
      <c r="C6620" s="1" t="str">
        <f t="shared" si="423"/>
        <v>840-55</v>
      </c>
      <c r="D6620" t="s">
        <v>6592</v>
      </c>
      <c r="E6620" t="b">
        <f>IF(COUNTIF(D6620,"*"&amp;'Keyword Search'!$C$5&amp;"*"),TRUE,FALSE)</f>
        <v>1</v>
      </c>
      <c r="G6620" t="str">
        <f t="shared" si="424"/>
        <v>840-55: *Switchers, Audio and Video</v>
      </c>
    </row>
    <row r="6621" spans="1:7" x14ac:dyDescent="0.25">
      <c r="A6621" s="1" t="str">
        <f t="shared" si="425"/>
        <v>840</v>
      </c>
      <c r="B6621" s="1" t="str">
        <f>TEXT(56,"00")</f>
        <v>56</v>
      </c>
      <c r="C6621" s="1" t="str">
        <f t="shared" si="423"/>
        <v>840-56</v>
      </c>
      <c r="D6621" t="s">
        <v>6593</v>
      </c>
      <c r="E6621" t="b">
        <f>IF(COUNTIF(D6621,"*"&amp;'Keyword Search'!$C$5&amp;"*"),TRUE,FALSE)</f>
        <v>1</v>
      </c>
      <c r="G6621" t="str">
        <f t="shared" si="424"/>
        <v>840-56: *Teleconference Systems, Audio/Video, Including Video on Demand Systems</v>
      </c>
    </row>
    <row r="6622" spans="1:7" x14ac:dyDescent="0.25">
      <c r="A6622" s="1" t="str">
        <f t="shared" si="425"/>
        <v>840</v>
      </c>
      <c r="B6622" s="1" t="str">
        <f>TEXT(57,"00")</f>
        <v>57</v>
      </c>
      <c r="C6622" s="1" t="str">
        <f t="shared" si="423"/>
        <v>840-57</v>
      </c>
      <c r="D6622" t="s">
        <v>6594</v>
      </c>
      <c r="E6622" t="b">
        <f>IF(COUNTIF(D6622,"*"&amp;'Keyword Search'!$C$5&amp;"*"),TRUE,FALSE)</f>
        <v>1</v>
      </c>
      <c r="G6622" t="str">
        <f t="shared" si="424"/>
        <v>840-57: Teleprompters and Accessories</v>
      </c>
    </row>
    <row r="6623" spans="1:7" x14ac:dyDescent="0.25">
      <c r="A6623" s="1" t="str">
        <f t="shared" si="425"/>
        <v>840</v>
      </c>
      <c r="B6623" s="1" t="str">
        <f>TEXT(58,"00")</f>
        <v>58</v>
      </c>
      <c r="C6623" s="1" t="str">
        <f t="shared" si="423"/>
        <v>840-58</v>
      </c>
      <c r="D6623" t="s">
        <v>6595</v>
      </c>
      <c r="E6623" t="b">
        <f>IF(COUNTIF(D6623,"*"&amp;'Keyword Search'!$C$5&amp;"*"),TRUE,FALSE)</f>
        <v>1</v>
      </c>
      <c r="G6623" t="str">
        <f t="shared" si="424"/>
        <v>840-58: *Television Hardware, Adapters, Brackets, Connectors, and Converters - Analog to Digital, etc.</v>
      </c>
    </row>
    <row r="6624" spans="1:7" x14ac:dyDescent="0.25">
      <c r="A6624" s="1" t="str">
        <f t="shared" si="425"/>
        <v>840</v>
      </c>
      <c r="B6624" s="1" t="str">
        <f>TEXT(59,"00")</f>
        <v>59</v>
      </c>
      <c r="C6624" s="1" t="str">
        <f t="shared" si="423"/>
        <v>840-59</v>
      </c>
      <c r="D6624" t="s">
        <v>6596</v>
      </c>
      <c r="E6624" t="b">
        <f>IF(COUNTIF(D6624,"*"&amp;'Keyword Search'!$C$5&amp;"*"),TRUE,FALSE)</f>
        <v>1</v>
      </c>
      <c r="G6624" t="str">
        <f t="shared" si="424"/>
        <v>840-59: *Television, Interactive Digital LED/LCD HDTV, Integrated with PC</v>
      </c>
    </row>
    <row r="6625" spans="1:7" x14ac:dyDescent="0.25">
      <c r="A6625" s="1" t="str">
        <f t="shared" si="425"/>
        <v>840</v>
      </c>
      <c r="B6625" s="1" t="str">
        <f>TEXT(60,"00")</f>
        <v>60</v>
      </c>
      <c r="C6625" s="1" t="str">
        <f t="shared" si="423"/>
        <v>840-60</v>
      </c>
      <c r="D6625" t="s">
        <v>6597</v>
      </c>
      <c r="E6625" t="b">
        <f>IF(COUNTIF(D6625,"*"&amp;'Keyword Search'!$C$5&amp;"*"),TRUE,FALSE)</f>
        <v>1</v>
      </c>
      <c r="G6625" t="str">
        <f t="shared" si="424"/>
        <v>840-60: Television Receivers and Consoles</v>
      </c>
    </row>
    <row r="6626" spans="1:7" x14ac:dyDescent="0.25">
      <c r="A6626" s="1" t="str">
        <f t="shared" si="425"/>
        <v>840</v>
      </c>
      <c r="B6626" s="1" t="str">
        <f>TEXT(62,"00")</f>
        <v>62</v>
      </c>
      <c r="C6626" s="1" t="str">
        <f t="shared" si="423"/>
        <v>840-62</v>
      </c>
      <c r="D6626" t="s">
        <v>6598</v>
      </c>
      <c r="E6626" t="b">
        <f>IF(COUNTIF(D6626,"*"&amp;'Keyword Search'!$C$5&amp;"*"),TRUE,FALSE)</f>
        <v>1</v>
      </c>
      <c r="G6626" t="str">
        <f t="shared" si="424"/>
        <v>840-62: *Television Receivers, Wide Screen, Projection Type</v>
      </c>
    </row>
    <row r="6627" spans="1:7" x14ac:dyDescent="0.25">
      <c r="A6627" s="1" t="str">
        <f t="shared" si="425"/>
        <v>840</v>
      </c>
      <c r="B6627" s="1" t="str">
        <f>TEXT(64,"00")</f>
        <v>64</v>
      </c>
      <c r="C6627" s="1" t="str">
        <f t="shared" si="423"/>
        <v>840-64</v>
      </c>
      <c r="D6627" t="s">
        <v>6599</v>
      </c>
      <c r="E6627" t="b">
        <f>IF(COUNTIF(D6627,"*"&amp;'Keyword Search'!$C$5&amp;"*"),TRUE,FALSE)</f>
        <v>1</v>
      </c>
      <c r="G6627" t="str">
        <f t="shared" si="424"/>
        <v>840-64: Television Tools, Equipment and Supplies for Analysis, Inspection, Testing, etc.</v>
      </c>
    </row>
    <row r="6628" spans="1:7" x14ac:dyDescent="0.25">
      <c r="A6628" s="1" t="str">
        <f t="shared" si="425"/>
        <v>840</v>
      </c>
      <c r="B6628" s="1" t="str">
        <f>TEXT(65,"00")</f>
        <v>65</v>
      </c>
      <c r="C6628" s="1" t="str">
        <f t="shared" si="423"/>
        <v>840-65</v>
      </c>
      <c r="D6628" t="s">
        <v>6600</v>
      </c>
      <c r="E6628" t="b">
        <f>IF(COUNTIF(D6628,"*"&amp;'Keyword Search'!$C$5&amp;"*"),TRUE,FALSE)</f>
        <v>1</v>
      </c>
      <c r="G6628" t="str">
        <f t="shared" si="424"/>
        <v>840-65: Television Transmitters</v>
      </c>
    </row>
    <row r="6629" spans="1:7" x14ac:dyDescent="0.25">
      <c r="A6629" s="1" t="str">
        <f t="shared" si="425"/>
        <v>840</v>
      </c>
      <c r="B6629" s="1" t="str">
        <f>TEXT(66,"00")</f>
        <v>66</v>
      </c>
      <c r="C6629" s="1" t="str">
        <f t="shared" si="423"/>
        <v>840-66</v>
      </c>
      <c r="D6629" t="s">
        <v>6601</v>
      </c>
      <c r="E6629" t="b">
        <f>IF(COUNTIF(D6629,"*"&amp;'Keyword Search'!$C$5&amp;"*"),TRUE,FALSE)</f>
        <v>1</v>
      </c>
      <c r="G6629" t="str">
        <f t="shared" si="424"/>
        <v>840-66: Television-VCR Combination Sets</v>
      </c>
    </row>
    <row r="6630" spans="1:7" x14ac:dyDescent="0.25">
      <c r="A6630" s="1" t="str">
        <f t="shared" si="425"/>
        <v>840</v>
      </c>
      <c r="B6630" s="1" t="str">
        <f>TEXT(67,"00")</f>
        <v>67</v>
      </c>
      <c r="C6630" s="1" t="str">
        <f t="shared" si="423"/>
        <v>840-67</v>
      </c>
      <c r="D6630" t="s">
        <v>6602</v>
      </c>
      <c r="E6630" t="b">
        <f>IF(COUNTIF(D6630,"*"&amp;'Keyword Search'!$C$5&amp;"*"),TRUE,FALSE)</f>
        <v>1</v>
      </c>
      <c r="G6630" t="str">
        <f t="shared" si="424"/>
        <v>840-67: *Video Camera Recorders, Digital Type</v>
      </c>
    </row>
    <row r="6631" spans="1:7" x14ac:dyDescent="0.25">
      <c r="A6631" s="1" t="str">
        <f t="shared" si="425"/>
        <v>840</v>
      </c>
      <c r="B6631" s="1" t="str">
        <f>TEXT(68,"00")</f>
        <v>68</v>
      </c>
      <c r="C6631" s="1" t="str">
        <f t="shared" si="423"/>
        <v>840-68</v>
      </c>
      <c r="D6631" t="s">
        <v>6603</v>
      </c>
      <c r="E6631" t="b">
        <f>IF(COUNTIF(D6631,"*"&amp;'Keyword Search'!$C$5&amp;"*"),TRUE,FALSE)</f>
        <v>1</v>
      </c>
      <c r="G6631" t="str">
        <f t="shared" si="424"/>
        <v>840-68: *VCR/DVD/Blu-Ray Television Combinations</v>
      </c>
    </row>
    <row r="6632" spans="1:7" x14ac:dyDescent="0.25">
      <c r="A6632" s="1" t="str">
        <f t="shared" si="425"/>
        <v>840</v>
      </c>
      <c r="B6632" s="1" t="str">
        <f>TEXT(69,"00")</f>
        <v>69</v>
      </c>
      <c r="C6632" s="1" t="str">
        <f t="shared" si="423"/>
        <v>840-69</v>
      </c>
      <c r="D6632" t="s">
        <v>6604</v>
      </c>
      <c r="E6632" t="b">
        <f>IF(COUNTIF(D6632,"*"&amp;'Keyword Search'!$C$5&amp;"*"),TRUE,FALSE)</f>
        <v>1</v>
      </c>
      <c r="G6632" t="str">
        <f t="shared" si="424"/>
        <v>840-69: *Video Camera-Recorders, Accessories and Parts, Television Studio Type</v>
      </c>
    </row>
    <row r="6633" spans="1:7" x14ac:dyDescent="0.25">
      <c r="A6633" s="1" t="str">
        <f t="shared" si="425"/>
        <v>840</v>
      </c>
      <c r="B6633" s="1" t="str">
        <f>TEXT(70,"00")</f>
        <v>70</v>
      </c>
      <c r="C6633" s="1" t="str">
        <f t="shared" si="423"/>
        <v>840-70</v>
      </c>
      <c r="D6633" t="s">
        <v>6605</v>
      </c>
      <c r="E6633" t="b">
        <f>IF(COUNTIF(D6633,"*"&amp;'Keyword Search'!$C$5&amp;"*"),TRUE,FALSE)</f>
        <v>1</v>
      </c>
      <c r="G6633" t="str">
        <f t="shared" si="424"/>
        <v>840-70: *Video Camera-Recorders, Accessories and Parts, Portable Type</v>
      </c>
    </row>
    <row r="6634" spans="1:7" x14ac:dyDescent="0.25">
      <c r="A6634" s="1" t="str">
        <f t="shared" si="425"/>
        <v>840</v>
      </c>
      <c r="B6634" s="1" t="str">
        <f>TEXT(71,"00")</f>
        <v>71</v>
      </c>
      <c r="C6634" s="1" t="str">
        <f t="shared" si="423"/>
        <v>840-71</v>
      </c>
      <c r="D6634" t="s">
        <v>6606</v>
      </c>
      <c r="E6634" t="b">
        <f>IF(COUNTIF(D6634,"*"&amp;'Keyword Search'!$C$5&amp;"*"),TRUE,FALSE)</f>
        <v>1</v>
      </c>
      <c r="G6634" t="str">
        <f t="shared" si="424"/>
        <v>840-71: Video Cassette Recorders, VCR, Accessories and Parts, Consumer</v>
      </c>
    </row>
    <row r="6635" spans="1:7" x14ac:dyDescent="0.25">
      <c r="A6635" s="1" t="str">
        <f t="shared" si="425"/>
        <v>840</v>
      </c>
      <c r="B6635" s="1" t="str">
        <f>TEXT(72,"00")</f>
        <v>72</v>
      </c>
      <c r="C6635" s="1" t="str">
        <f t="shared" si="423"/>
        <v>840-72</v>
      </c>
      <c r="D6635" t="s">
        <v>6607</v>
      </c>
      <c r="E6635" t="b">
        <f>IF(COUNTIF(D6635,"*"&amp;'Keyword Search'!$C$5&amp;"*"),TRUE,FALSE)</f>
        <v>1</v>
      </c>
      <c r="G6635" t="str">
        <f t="shared" si="424"/>
        <v>840-72: Video Lighting Units, Portable, and Battery Packs, Accessories, etc.</v>
      </c>
    </row>
    <row r="6636" spans="1:7" x14ac:dyDescent="0.25">
      <c r="A6636" s="1" t="str">
        <f t="shared" si="425"/>
        <v>840</v>
      </c>
      <c r="B6636" s="1" t="str">
        <f>TEXT(74,"00")</f>
        <v>74</v>
      </c>
      <c r="C6636" s="1" t="str">
        <f t="shared" si="423"/>
        <v>840-74</v>
      </c>
      <c r="D6636" t="s">
        <v>6608</v>
      </c>
      <c r="E6636" t="b">
        <f>IF(COUNTIF(D6636,"*"&amp;'Keyword Search'!$C$5&amp;"*"),TRUE,FALSE)</f>
        <v>1</v>
      </c>
      <c r="G6636" t="str">
        <f t="shared" si="424"/>
        <v>840-74: Video Monitors, Demodulators, Signal Processors, etc.; Accessories and Parts</v>
      </c>
    </row>
    <row r="6637" spans="1:7" x14ac:dyDescent="0.25">
      <c r="A6637" s="1" t="str">
        <f t="shared" si="425"/>
        <v>840</v>
      </c>
      <c r="B6637" s="1" t="str">
        <f>TEXT(75,"00")</f>
        <v>75</v>
      </c>
      <c r="C6637" s="1" t="str">
        <f t="shared" si="423"/>
        <v>840-75</v>
      </c>
      <c r="D6637" t="s">
        <v>6609</v>
      </c>
      <c r="E6637" t="b">
        <f>IF(COUNTIF(D6637,"*"&amp;'Keyword Search'!$C$5&amp;"*"),TRUE,FALSE)</f>
        <v>1</v>
      </c>
      <c r="G6637" t="str">
        <f t="shared" si="424"/>
        <v>840-75: Video Players</v>
      </c>
    </row>
    <row r="6638" spans="1:7" x14ac:dyDescent="0.25">
      <c r="A6638" s="1" t="str">
        <f t="shared" si="425"/>
        <v>840</v>
      </c>
      <c r="B6638" s="1" t="str">
        <f>TEXT(76,"00")</f>
        <v>76</v>
      </c>
      <c r="C6638" s="1" t="str">
        <f t="shared" si="423"/>
        <v>840-76</v>
      </c>
      <c r="D6638" t="s">
        <v>6610</v>
      </c>
      <c r="E6638" t="b">
        <f>IF(COUNTIF(D6638,"*"&amp;'Keyword Search'!$C$5&amp;"*"),TRUE,FALSE)</f>
        <v>1</v>
      </c>
      <c r="G6638" t="str">
        <f t="shared" si="424"/>
        <v>840-76: Video Projectors, Accessories and Parts</v>
      </c>
    </row>
    <row r="6639" spans="1:7" x14ac:dyDescent="0.25">
      <c r="A6639" s="1" t="str">
        <f t="shared" si="425"/>
        <v>840</v>
      </c>
      <c r="B6639" s="1" t="str">
        <f>TEXT(82,"00")</f>
        <v>82</v>
      </c>
      <c r="C6639" s="1" t="str">
        <f t="shared" si="423"/>
        <v>840-82</v>
      </c>
      <c r="D6639" t="s">
        <v>6611</v>
      </c>
      <c r="E6639" t="b">
        <f>IF(COUNTIF(D6639,"*"&amp;'Keyword Search'!$C$5&amp;"*"),TRUE,FALSE)</f>
        <v>1</v>
      </c>
      <c r="G6639" t="str">
        <f t="shared" si="424"/>
        <v>840-82: Video/Disk/DVD Players, Recorders and Playback Only Devices; CDI Players, etc.</v>
      </c>
    </row>
    <row r="6640" spans="1:7" x14ac:dyDescent="0.25">
      <c r="A6640" s="1" t="str">
        <f t="shared" si="425"/>
        <v>840</v>
      </c>
      <c r="B6640" s="1" t="str">
        <f>TEXT(84,"00")</f>
        <v>84</v>
      </c>
      <c r="C6640" s="1" t="str">
        <f t="shared" si="423"/>
        <v>840-84</v>
      </c>
      <c r="D6640" t="s">
        <v>6612</v>
      </c>
      <c r="E6640" t="b">
        <f>IF(COUNTIF(D6640,"*"&amp;'Keyword Search'!$C$5&amp;"*"),TRUE,FALSE)</f>
        <v>1</v>
      </c>
      <c r="G6640" t="str">
        <f t="shared" si="424"/>
        <v>840-84: *Video and Audio Systems, Accessories and Parts, Closed Circuit TV, Including Surveillance Type</v>
      </c>
    </row>
    <row r="6641" spans="1:7" x14ac:dyDescent="0.25">
      <c r="A6641" s="1" t="str">
        <f t="shared" si="425"/>
        <v>840</v>
      </c>
      <c r="B6641" s="1" t="str">
        <f>TEXT(86,"00")</f>
        <v>86</v>
      </c>
      <c r="C6641" s="1" t="str">
        <f t="shared" si="423"/>
        <v>840-86</v>
      </c>
      <c r="D6641" t="s">
        <v>6613</v>
      </c>
      <c r="E6641" t="b">
        <f>IF(COUNTIF(D6641,"*"&amp;'Keyword Search'!$C$5&amp;"*"),TRUE,FALSE)</f>
        <v>1</v>
      </c>
      <c r="G6641" t="str">
        <f t="shared" si="424"/>
        <v>840-86: Video Systems, Studio Quality Production</v>
      </c>
    </row>
    <row r="6642" spans="1:7" x14ac:dyDescent="0.25">
      <c r="A6642" s="1" t="str">
        <f t="shared" si="425"/>
        <v>840</v>
      </c>
      <c r="B6642" s="1" t="str">
        <f>TEXT(95,"00")</f>
        <v>95</v>
      </c>
      <c r="C6642" s="1" t="str">
        <f t="shared" si="423"/>
        <v>840-95</v>
      </c>
      <c r="D6642" t="s">
        <v>6614</v>
      </c>
      <c r="E6642" t="b">
        <f>IF(COUNTIF(D6642,"*"&amp;'Keyword Search'!$C$5&amp;"*"),TRUE,FALSE)</f>
        <v>1</v>
      </c>
      <c r="G6642" t="str">
        <f t="shared" si="424"/>
        <v>840-95: Recycled Television Equipment and Accessories</v>
      </c>
    </row>
    <row r="6643" spans="1:7" x14ac:dyDescent="0.25">
      <c r="A6643" s="5" t="str">
        <f t="shared" ref="A6643:A6675" si="426">TEXT(845,"000")</f>
        <v>845</v>
      </c>
      <c r="B6643" s="5" t="str">
        <f>TEXT(0,"00")</f>
        <v>00</v>
      </c>
      <c r="C6643" s="1"/>
      <c r="D6643" s="2" t="s">
        <v>6615</v>
      </c>
    </row>
    <row r="6644" spans="1:7" x14ac:dyDescent="0.25">
      <c r="A6644" s="1" t="str">
        <f t="shared" si="426"/>
        <v>845</v>
      </c>
      <c r="B6644" s="1" t="str">
        <f>TEXT(1,"00")</f>
        <v>01</v>
      </c>
      <c r="C6644" s="1" t="str">
        <f t="shared" si="423"/>
        <v>845-01</v>
      </c>
      <c r="D6644" t="s">
        <v>6616</v>
      </c>
      <c r="E6644" t="b">
        <f>IF(COUNTIF(D6644,"*"&amp;'Keyword Search'!$C$5&amp;"*"),TRUE,FALSE)</f>
        <v>1</v>
      </c>
      <c r="G6644" t="str">
        <f t="shared" si="424"/>
        <v>845-01: *Acoustic Testing Devices</v>
      </c>
    </row>
    <row r="6645" spans="1:7" x14ac:dyDescent="0.25">
      <c r="A6645" s="1" t="str">
        <f t="shared" si="426"/>
        <v>845</v>
      </c>
      <c r="B6645" s="1" t="str">
        <f>TEXT(2,"00")</f>
        <v>02</v>
      </c>
      <c r="C6645" s="1" t="str">
        <f t="shared" si="423"/>
        <v>845-02</v>
      </c>
      <c r="D6645" t="s">
        <v>6617</v>
      </c>
      <c r="E6645" t="b">
        <f>IF(COUNTIF(D6645,"*"&amp;'Keyword Search'!$C$5&amp;"*"),TRUE,FALSE)</f>
        <v>1</v>
      </c>
      <c r="G6645" t="str">
        <f t="shared" si="424"/>
        <v>845-02: Aerodynamic and Aeronautical Testing Equipment Including Wind Tunnels</v>
      </c>
    </row>
    <row r="6646" spans="1:7" x14ac:dyDescent="0.25">
      <c r="A6646" s="1" t="str">
        <f t="shared" si="426"/>
        <v>845</v>
      </c>
      <c r="B6646" s="1" t="str">
        <f>TEXT(4,"00")</f>
        <v>04</v>
      </c>
      <c r="C6646" s="1" t="str">
        <f t="shared" si="423"/>
        <v>845-04</v>
      </c>
      <c r="D6646" t="s">
        <v>6618</v>
      </c>
      <c r="E6646" t="b">
        <f>IF(COUNTIF(D6646,"*"&amp;'Keyword Search'!$C$5&amp;"*"),TRUE,FALSE)</f>
        <v>1</v>
      </c>
      <c r="G6646" t="str">
        <f t="shared" si="424"/>
        <v>845-04: Combustion Efficiency Measurement Equipment</v>
      </c>
    </row>
    <row r="6647" spans="1:7" x14ac:dyDescent="0.25">
      <c r="A6647" s="1" t="str">
        <f t="shared" si="426"/>
        <v>845</v>
      </c>
      <c r="B6647" s="1" t="str">
        <f>TEXT(6,"00")</f>
        <v>06</v>
      </c>
      <c r="C6647" s="1" t="str">
        <f t="shared" si="423"/>
        <v>845-06</v>
      </c>
      <c r="D6647" t="s">
        <v>6619</v>
      </c>
      <c r="E6647" t="b">
        <f>IF(COUNTIF(D6647,"*"&amp;'Keyword Search'!$C$5&amp;"*"),TRUE,FALSE)</f>
        <v>1</v>
      </c>
      <c r="G6647" t="str">
        <f t="shared" si="424"/>
        <v>845-06: Concrete Testing Equipment</v>
      </c>
    </row>
    <row r="6648" spans="1:7" x14ac:dyDescent="0.25">
      <c r="A6648" s="1" t="str">
        <f t="shared" si="426"/>
        <v>845</v>
      </c>
      <c r="B6648" s="1" t="str">
        <f>TEXT(8,"00")</f>
        <v>08</v>
      </c>
      <c r="C6648" s="1" t="str">
        <f t="shared" si="423"/>
        <v>845-08</v>
      </c>
      <c r="D6648" t="s">
        <v>6620</v>
      </c>
      <c r="E6648" t="b">
        <f>IF(COUNTIF(D6648,"*"&amp;'Keyword Search'!$C$5&amp;"*"),TRUE,FALSE)</f>
        <v>1</v>
      </c>
      <c r="G6648" t="str">
        <f t="shared" si="424"/>
        <v>845-08: Corrosion Testing Equipment</v>
      </c>
    </row>
    <row r="6649" spans="1:7" x14ac:dyDescent="0.25">
      <c r="A6649" s="1" t="str">
        <f t="shared" si="426"/>
        <v>845</v>
      </c>
      <c r="B6649" s="1" t="str">
        <f>TEXT(10,"00")</f>
        <v>10</v>
      </c>
      <c r="C6649" s="1" t="str">
        <f t="shared" si="423"/>
        <v>845-10</v>
      </c>
      <c r="D6649" t="s">
        <v>6621</v>
      </c>
      <c r="E6649" t="b">
        <f>IF(COUNTIF(D6649,"*"&amp;'Keyword Search'!$C$5&amp;"*"),TRUE,FALSE)</f>
        <v>1</v>
      </c>
      <c r="G6649" t="str">
        <f t="shared" si="424"/>
        <v>845-10: Fabric Testing Equipment</v>
      </c>
    </row>
    <row r="6650" spans="1:7" x14ac:dyDescent="0.25">
      <c r="A6650" s="1" t="str">
        <f t="shared" si="426"/>
        <v>845</v>
      </c>
      <c r="B6650" s="1" t="str">
        <f>TEXT(12,"00")</f>
        <v>12</v>
      </c>
      <c r="C6650" s="1" t="str">
        <f t="shared" si="423"/>
        <v>845-12</v>
      </c>
      <c r="D6650" t="s">
        <v>6622</v>
      </c>
      <c r="E6650" t="b">
        <f>IF(COUNTIF(D6650,"*"&amp;'Keyword Search'!$C$5&amp;"*"),TRUE,FALSE)</f>
        <v>1</v>
      </c>
      <c r="G6650" t="str">
        <f t="shared" si="424"/>
        <v>845-12: Falling Weight Deflectometer System, Pavement Loading Device (Inactive, please see commodity code 845-49 effective January 1, 2016)</v>
      </c>
    </row>
    <row r="6651" spans="1:7" x14ac:dyDescent="0.25">
      <c r="A6651" s="1" t="str">
        <f t="shared" si="426"/>
        <v>845</v>
      </c>
      <c r="B6651" s="1" t="str">
        <f>TEXT(14,"00")</f>
        <v>14</v>
      </c>
      <c r="C6651" s="1" t="str">
        <f t="shared" si="423"/>
        <v>845-14</v>
      </c>
      <c r="D6651" t="s">
        <v>6623</v>
      </c>
      <c r="E6651" t="b">
        <f>IF(COUNTIF(D6651,"*"&amp;'Keyword Search'!$C$5&amp;"*"),TRUE,FALSE)</f>
        <v>1</v>
      </c>
      <c r="G6651" t="str">
        <f t="shared" si="424"/>
        <v>845-14: Fiber/Fabric Testing Apparatus, Except Flammability</v>
      </c>
    </row>
    <row r="6652" spans="1:7" x14ac:dyDescent="0.25">
      <c r="A6652" s="1" t="str">
        <f t="shared" si="426"/>
        <v>845</v>
      </c>
      <c r="B6652" s="1" t="str">
        <f>TEXT(19,"00")</f>
        <v>19</v>
      </c>
      <c r="C6652" s="1" t="str">
        <f t="shared" si="423"/>
        <v>845-19</v>
      </c>
      <c r="D6652" t="s">
        <v>6624</v>
      </c>
      <c r="E6652" t="b">
        <f>IF(COUNTIF(D6652,"*"&amp;'Keyword Search'!$C$5&amp;"*"),TRUE,FALSE)</f>
        <v>1</v>
      </c>
      <c r="G6652" t="str">
        <f t="shared" si="424"/>
        <v>845-19: Flash Point Tester, Closed and Open Cup</v>
      </c>
    </row>
    <row r="6653" spans="1:7" x14ac:dyDescent="0.25">
      <c r="A6653" s="1" t="str">
        <f t="shared" si="426"/>
        <v>845</v>
      </c>
      <c r="B6653" s="1" t="str">
        <f>TEXT(22,"00")</f>
        <v>22</v>
      </c>
      <c r="C6653" s="1" t="str">
        <f t="shared" si="423"/>
        <v>845-22</v>
      </c>
      <c r="D6653" t="s">
        <v>6625</v>
      </c>
      <c r="E6653" t="b">
        <f>IF(COUNTIF(D6653,"*"&amp;'Keyword Search'!$C$5&amp;"*"),TRUE,FALSE)</f>
        <v>1</v>
      </c>
      <c r="G6653" t="str">
        <f t="shared" si="424"/>
        <v>845-22: Fuel Test Kits and Devices</v>
      </c>
    </row>
    <row r="6654" spans="1:7" x14ac:dyDescent="0.25">
      <c r="A6654" s="1" t="str">
        <f t="shared" si="426"/>
        <v>845</v>
      </c>
      <c r="B6654" s="1" t="str">
        <f>TEXT(23,"00")</f>
        <v>23</v>
      </c>
      <c r="C6654" s="1" t="str">
        <f t="shared" si="423"/>
        <v>845-23</v>
      </c>
      <c r="D6654" t="s">
        <v>6626</v>
      </c>
      <c r="E6654" t="b">
        <f>IF(COUNTIF(D6654,"*"&amp;'Keyword Search'!$C$5&amp;"*"),TRUE,FALSE)</f>
        <v>1</v>
      </c>
      <c r="G6654" t="str">
        <f t="shared" si="424"/>
        <v>845-23: Flammability Testing Equipment, For Apparel, Construction Materials, Fabrics, etc.</v>
      </c>
    </row>
    <row r="6655" spans="1:7" x14ac:dyDescent="0.25">
      <c r="A6655" s="1" t="str">
        <f t="shared" si="426"/>
        <v>845</v>
      </c>
      <c r="B6655" s="1" t="str">
        <f>TEXT(24,"00")</f>
        <v>24</v>
      </c>
      <c r="C6655" s="1" t="str">
        <f t="shared" si="423"/>
        <v>845-24</v>
      </c>
      <c r="D6655" t="s">
        <v>6627</v>
      </c>
      <c r="E6655" t="b">
        <f>IF(COUNTIF(D6655,"*"&amp;'Keyword Search'!$C$5&amp;"*"),TRUE,FALSE)</f>
        <v>1</v>
      </c>
      <c r="G6655" t="str">
        <f t="shared" si="424"/>
        <v>845-24: Food Testing Apparatus, For Fat, Fiber, Moisture Content, etc.</v>
      </c>
    </row>
    <row r="6656" spans="1:7" x14ac:dyDescent="0.25">
      <c r="A6656" s="1" t="str">
        <f t="shared" si="426"/>
        <v>845</v>
      </c>
      <c r="B6656" s="1" t="str">
        <f>TEXT(25,"00")</f>
        <v>25</v>
      </c>
      <c r="C6656" s="1" t="str">
        <f t="shared" si="423"/>
        <v>845-25</v>
      </c>
      <c r="D6656" t="s">
        <v>6628</v>
      </c>
      <c r="E6656" t="b">
        <f>IF(COUNTIF(D6656,"*"&amp;'Keyword Search'!$C$5&amp;"*"),TRUE,FALSE)</f>
        <v>1</v>
      </c>
      <c r="G6656" t="str">
        <f t="shared" si="424"/>
        <v>845-25: Hydrostatic Pressure Testers: Dead Weight Testers, Hydrostatic Test Pumps, etc.</v>
      </c>
    </row>
    <row r="6657" spans="1:7" x14ac:dyDescent="0.25">
      <c r="A6657" s="1" t="str">
        <f t="shared" si="426"/>
        <v>845</v>
      </c>
      <c r="B6657" s="1" t="str">
        <f>TEXT(32,"00")</f>
        <v>32</v>
      </c>
      <c r="C6657" s="1" t="str">
        <f t="shared" si="423"/>
        <v>845-32</v>
      </c>
      <c r="D6657" t="s">
        <v>6629</v>
      </c>
      <c r="E6657" t="b">
        <f>IF(COUNTIF(D6657,"*"&amp;'Keyword Search'!$C$5&amp;"*"),TRUE,FALSE)</f>
        <v>1</v>
      </c>
      <c r="G6657" t="str">
        <f t="shared" si="424"/>
        <v>845-32: Lead Test Kits  (Inactive, please see commodity code 845-87 effective January 1, 2016)</v>
      </c>
    </row>
    <row r="6658" spans="1:7" x14ac:dyDescent="0.25">
      <c r="A6658" s="1" t="str">
        <f t="shared" si="426"/>
        <v>845</v>
      </c>
      <c r="B6658" s="1" t="str">
        <f>TEXT(34,"00")</f>
        <v>34</v>
      </c>
      <c r="C6658" s="1" t="str">
        <f t="shared" si="423"/>
        <v>845-34</v>
      </c>
      <c r="D6658" t="s">
        <v>6630</v>
      </c>
      <c r="E6658" t="b">
        <f>IF(COUNTIF(D6658,"*"&amp;'Keyword Search'!$C$5&amp;"*"),TRUE,FALSE)</f>
        <v>1</v>
      </c>
      <c r="G6658" t="str">
        <f t="shared" si="424"/>
        <v>845-34: Metallurgical Physical Quality Control Testers</v>
      </c>
    </row>
    <row r="6659" spans="1:7" x14ac:dyDescent="0.25">
      <c r="A6659" s="1" t="str">
        <f t="shared" si="426"/>
        <v>845</v>
      </c>
      <c r="B6659" s="1" t="str">
        <f>TEXT(35,"00")</f>
        <v>35</v>
      </c>
      <c r="C6659" s="1" t="str">
        <f t="shared" ref="C6659:C6722" si="427">CONCATENATE(A6659,"-",B6659)</f>
        <v>845-35</v>
      </c>
      <c r="D6659" t="s">
        <v>6631</v>
      </c>
      <c r="E6659" t="b">
        <f>IF(COUNTIF(D6659,"*"&amp;'Keyword Search'!$C$5&amp;"*"),TRUE,FALSE)</f>
        <v>1</v>
      </c>
      <c r="G6659" t="str">
        <f t="shared" si="424"/>
        <v>845-35: Milk and Dairy Testing Equipment, (See 245-87 For Dairy Thermometers)</v>
      </c>
    </row>
    <row r="6660" spans="1:7" x14ac:dyDescent="0.25">
      <c r="A6660" s="1" t="str">
        <f t="shared" si="426"/>
        <v>845</v>
      </c>
      <c r="B6660" s="1" t="str">
        <f>TEXT(44,"00")</f>
        <v>44</v>
      </c>
      <c r="C6660" s="1" t="str">
        <f t="shared" si="427"/>
        <v>845-44</v>
      </c>
      <c r="D6660" t="s">
        <v>6632</v>
      </c>
      <c r="E6660" t="b">
        <f>IF(COUNTIF(D6660,"*"&amp;'Keyword Search'!$C$5&amp;"*"),TRUE,FALSE)</f>
        <v>1</v>
      </c>
      <c r="G6660" t="str">
        <f t="shared" ref="G6660:G6723" si="428">CONCATENATE(C6660,": ",D6660)</f>
        <v>845-44: Microwave Test Equipment and Accessories, Not Communications Type</v>
      </c>
    </row>
    <row r="6661" spans="1:7" x14ac:dyDescent="0.25">
      <c r="A6661" s="1" t="str">
        <f t="shared" si="426"/>
        <v>845</v>
      </c>
      <c r="B6661" s="1" t="str">
        <f>TEXT(45,"00")</f>
        <v>45</v>
      </c>
      <c r="C6661" s="1" t="str">
        <f t="shared" si="427"/>
        <v>845-45</v>
      </c>
      <c r="D6661" t="s">
        <v>6633</v>
      </c>
      <c r="E6661" t="b">
        <f>IF(COUNTIF(D6661,"*"&amp;'Keyword Search'!$C$5&amp;"*"),TRUE,FALSE)</f>
        <v>1</v>
      </c>
      <c r="G6661" t="str">
        <f t="shared" si="428"/>
        <v>845-45: Moisture Testing Equipment, Not for Soils</v>
      </c>
    </row>
    <row r="6662" spans="1:7" x14ac:dyDescent="0.25">
      <c r="A6662" s="1" t="str">
        <f t="shared" si="426"/>
        <v>845</v>
      </c>
      <c r="B6662" s="1" t="str">
        <f>TEXT(46,"00")</f>
        <v>46</v>
      </c>
      <c r="C6662" s="1" t="str">
        <f t="shared" si="427"/>
        <v>845-46</v>
      </c>
      <c r="D6662" t="s">
        <v>6634</v>
      </c>
      <c r="E6662" t="b">
        <f>IF(COUNTIF(D6662,"*"&amp;'Keyword Search'!$C$5&amp;"*"),TRUE,FALSE)</f>
        <v>1</v>
      </c>
      <c r="G6662" t="str">
        <f t="shared" si="428"/>
        <v>845-46: Moisture-Density Tester, For Soil): Nuclear Moisture-Density Gauges, etc. (Inactive, please see commodity code 845-84 effective January 1, 2016)</v>
      </c>
    </row>
    <row r="6663" spans="1:7" x14ac:dyDescent="0.25">
      <c r="A6663" s="1" t="str">
        <f t="shared" si="426"/>
        <v>845</v>
      </c>
      <c r="B6663" s="1" t="str">
        <f>TEXT(48,"00")</f>
        <v>48</v>
      </c>
      <c r="C6663" s="1" t="str">
        <f t="shared" si="427"/>
        <v>845-48</v>
      </c>
      <c r="D6663" t="s">
        <v>6635</v>
      </c>
      <c r="E6663" t="b">
        <f>IF(COUNTIF(D6663,"*"&amp;'Keyword Search'!$C$5&amp;"*"),TRUE,FALSE)</f>
        <v>1</v>
      </c>
      <c r="G6663" t="str">
        <f t="shared" si="428"/>
        <v>845-48: Paint Testing Equipment</v>
      </c>
    </row>
    <row r="6664" spans="1:7" x14ac:dyDescent="0.25">
      <c r="A6664" s="1" t="str">
        <f t="shared" si="426"/>
        <v>845</v>
      </c>
      <c r="B6664" s="1" t="str">
        <f>TEXT(49,"00")</f>
        <v>49</v>
      </c>
      <c r="C6664" s="1" t="str">
        <f t="shared" si="427"/>
        <v>845-49</v>
      </c>
      <c r="D6664" t="s">
        <v>6636</v>
      </c>
      <c r="E6664" t="b">
        <f>IF(COUNTIF(D6664,"*"&amp;'Keyword Search'!$C$5&amp;"*"),TRUE,FALSE)</f>
        <v>1</v>
      </c>
      <c r="G6664" t="str">
        <f t="shared" si="428"/>
        <v>845-49: *Pavement Testing and Data Collection Equipment</v>
      </c>
    </row>
    <row r="6665" spans="1:7" x14ac:dyDescent="0.25">
      <c r="A6665" s="1" t="str">
        <f t="shared" si="426"/>
        <v>845</v>
      </c>
      <c r="B6665" s="1" t="str">
        <f>TEXT(50,"00")</f>
        <v>50</v>
      </c>
      <c r="C6665" s="1" t="str">
        <f t="shared" si="427"/>
        <v>845-50</v>
      </c>
      <c r="D6665" t="s">
        <v>6637</v>
      </c>
      <c r="E6665" t="b">
        <f>IF(COUNTIF(D6665,"*"&amp;'Keyword Search'!$C$5&amp;"*"),TRUE,FALSE)</f>
        <v>1</v>
      </c>
      <c r="G6665" t="str">
        <f t="shared" si="428"/>
        <v>845-50: Petroleum Production Test Equipment</v>
      </c>
    </row>
    <row r="6666" spans="1:7" x14ac:dyDescent="0.25">
      <c r="A6666" s="1" t="str">
        <f t="shared" si="426"/>
        <v>845</v>
      </c>
      <c r="B6666" s="1" t="str">
        <f>TEXT(51,"00")</f>
        <v>51</v>
      </c>
      <c r="C6666" s="1" t="str">
        <f t="shared" si="427"/>
        <v>845-51</v>
      </c>
      <c r="D6666" t="s">
        <v>6638</v>
      </c>
      <c r="E6666" t="b">
        <f>IF(COUNTIF(D6666,"*"&amp;'Keyword Search'!$C$5&amp;"*"),TRUE,FALSE)</f>
        <v>1</v>
      </c>
      <c r="G6666" t="str">
        <f t="shared" si="428"/>
        <v>845-51: Petroleum Test Equipment and Supplies, To Determine Recyclability</v>
      </c>
    </row>
    <row r="6667" spans="1:7" x14ac:dyDescent="0.25">
      <c r="A6667" s="1" t="str">
        <f t="shared" si="426"/>
        <v>845</v>
      </c>
      <c r="B6667" s="1" t="str">
        <f>TEXT(54,"00")</f>
        <v>54</v>
      </c>
      <c r="C6667" s="1" t="str">
        <f t="shared" si="427"/>
        <v>845-54</v>
      </c>
      <c r="D6667" t="s">
        <v>6639</v>
      </c>
      <c r="E6667" t="b">
        <f>IF(COUNTIF(D6667,"*"&amp;'Keyword Search'!$C$5&amp;"*"),TRUE,FALSE)</f>
        <v>1</v>
      </c>
      <c r="G6667" t="str">
        <f t="shared" si="428"/>
        <v>845-54: Precision Linear Measuring Instruments: Calipers and Vernier Calipers, Dry Film Thickness Gauges, Dial And Standard Micrometers, etc.</v>
      </c>
    </row>
    <row r="6668" spans="1:7" x14ac:dyDescent="0.25">
      <c r="A6668" s="1" t="str">
        <f t="shared" si="426"/>
        <v>845</v>
      </c>
      <c r="B6668" s="1" t="str">
        <f>TEXT(60,"00")</f>
        <v>60</v>
      </c>
      <c r="C6668" s="1" t="str">
        <f t="shared" si="427"/>
        <v>845-60</v>
      </c>
      <c r="D6668" t="s">
        <v>6640</v>
      </c>
      <c r="E6668" t="b">
        <f>IF(COUNTIF(D6668,"*"&amp;'Keyword Search'!$C$5&amp;"*"),TRUE,FALSE)</f>
        <v>1</v>
      </c>
      <c r="G6668" t="str">
        <f t="shared" si="428"/>
        <v>845-60: Recycled Testing Apparatus, Instruments and Accessories</v>
      </c>
    </row>
    <row r="6669" spans="1:7" x14ac:dyDescent="0.25">
      <c r="A6669" s="1" t="str">
        <f t="shared" si="426"/>
        <v>845</v>
      </c>
      <c r="B6669" s="1" t="str">
        <f>TEXT(63,"00")</f>
        <v>63</v>
      </c>
      <c r="C6669" s="1" t="str">
        <f t="shared" si="427"/>
        <v>845-63</v>
      </c>
      <c r="D6669" t="s">
        <v>6641</v>
      </c>
      <c r="E6669" t="b">
        <f>IF(COUNTIF(D6669,"*"&amp;'Keyword Search'!$C$5&amp;"*"),TRUE,FALSE)</f>
        <v>1</v>
      </c>
      <c r="G6669" t="str">
        <f t="shared" si="428"/>
        <v>845-63: Road Building Materials Testers and Accessories</v>
      </c>
    </row>
    <row r="6670" spans="1:7" x14ac:dyDescent="0.25">
      <c r="A6670" s="1" t="str">
        <f t="shared" si="426"/>
        <v>845</v>
      </c>
      <c r="B6670" s="1" t="str">
        <f>TEXT(71,"00")</f>
        <v>71</v>
      </c>
      <c r="C6670" s="1" t="str">
        <f t="shared" si="427"/>
        <v>845-71</v>
      </c>
      <c r="D6670" t="s">
        <v>6642</v>
      </c>
      <c r="E6670" t="b">
        <f>IF(COUNTIF(D6670,"*"&amp;'Keyword Search'!$C$5&amp;"*"),TRUE,FALSE)</f>
        <v>1</v>
      </c>
      <c r="G6670" t="str">
        <f t="shared" si="428"/>
        <v>845-71: *Civil Engineering &amp; Materials Testing Equipment</v>
      </c>
    </row>
    <row r="6671" spans="1:7" x14ac:dyDescent="0.25">
      <c r="A6671" s="1" t="str">
        <f t="shared" si="426"/>
        <v>845</v>
      </c>
      <c r="B6671" s="1" t="str">
        <f>TEXT(81,"00")</f>
        <v>81</v>
      </c>
      <c r="C6671" s="1" t="str">
        <f t="shared" si="427"/>
        <v>845-81</v>
      </c>
      <c r="D6671" t="s">
        <v>6643</v>
      </c>
      <c r="E6671" t="b">
        <f>IF(COUNTIF(D6671,"*"&amp;'Keyword Search'!$C$5&amp;"*"),TRUE,FALSE)</f>
        <v>1</v>
      </c>
      <c r="G6671" t="str">
        <f t="shared" si="428"/>
        <v>845-81: Soil Testing Equipment, For Determining Permeability, Resistivity, Soil Chemistry, etc.</v>
      </c>
    </row>
    <row r="6672" spans="1:7" x14ac:dyDescent="0.25">
      <c r="A6672" s="1" t="str">
        <f t="shared" si="426"/>
        <v>845</v>
      </c>
      <c r="B6672" s="1" t="str">
        <f>TEXT(84,"00")</f>
        <v>84</v>
      </c>
      <c r="C6672" s="1" t="str">
        <f t="shared" si="427"/>
        <v>845-84</v>
      </c>
      <c r="D6672" t="s">
        <v>6644</v>
      </c>
      <c r="E6672" t="b">
        <f>IF(COUNTIF(D6672,"*"&amp;'Keyword Search'!$C$5&amp;"*"),TRUE,FALSE)</f>
        <v>1</v>
      </c>
      <c r="G6672" t="str">
        <f t="shared" si="428"/>
        <v>845-84: Moisture-Density Tester, For Soil): Nuclear Moisture-Density Gauges, etc.</v>
      </c>
    </row>
    <row r="6673" spans="1:7" x14ac:dyDescent="0.25">
      <c r="A6673" s="1" t="str">
        <f t="shared" si="426"/>
        <v>845</v>
      </c>
      <c r="B6673" s="1" t="str">
        <f>TEXT(87,"00")</f>
        <v>87</v>
      </c>
      <c r="C6673" s="1" t="str">
        <f t="shared" si="427"/>
        <v>845-87</v>
      </c>
      <c r="D6673" t="s">
        <v>6645</v>
      </c>
      <c r="E6673" t="b">
        <f>IF(COUNTIF(D6673,"*"&amp;'Keyword Search'!$C$5&amp;"*"),TRUE,FALSE)</f>
        <v>1</v>
      </c>
      <c r="G6673" t="str">
        <f t="shared" si="428"/>
        <v>845-87: Test Equipment, Hazardous Material</v>
      </c>
    </row>
    <row r="6674" spans="1:7" x14ac:dyDescent="0.25">
      <c r="A6674" s="1" t="str">
        <f t="shared" si="426"/>
        <v>845</v>
      </c>
      <c r="B6674" s="1" t="str">
        <f>TEXT(95,"00")</f>
        <v>95</v>
      </c>
      <c r="C6674" s="1" t="str">
        <f t="shared" si="427"/>
        <v>845-95</v>
      </c>
      <c r="D6674" t="s">
        <v>6646</v>
      </c>
      <c r="E6674" t="b">
        <f>IF(COUNTIF(D6674,"*"&amp;'Keyword Search'!$C$5&amp;"*"),TRUE,FALSE)</f>
        <v>1</v>
      </c>
      <c r="G6674" t="str">
        <f t="shared" si="428"/>
        <v>845-95: Viscosity Testers, Viscometers and Viscosimeters</v>
      </c>
    </row>
    <row r="6675" spans="1:7" x14ac:dyDescent="0.25">
      <c r="A6675" s="1" t="str">
        <f t="shared" si="426"/>
        <v>845</v>
      </c>
      <c r="B6675" s="1" t="str">
        <f>TEXT(97,"00")</f>
        <v>97</v>
      </c>
      <c r="C6675" s="1" t="str">
        <f t="shared" si="427"/>
        <v>845-97</v>
      </c>
      <c r="D6675" t="s">
        <v>6647</v>
      </c>
      <c r="E6675" t="b">
        <f>IF(COUNTIF(D6675,"*"&amp;'Keyword Search'!$C$5&amp;"*"),TRUE,FALSE)</f>
        <v>1</v>
      </c>
      <c r="G6675" t="str">
        <f t="shared" si="428"/>
        <v>845-97: Volume Standards: Liter Provers, etc.</v>
      </c>
    </row>
    <row r="6676" spans="1:7" x14ac:dyDescent="0.25">
      <c r="A6676" s="5" t="str">
        <f t="shared" ref="A6676:A6723" si="429">TEXT(850,"000")</f>
        <v>850</v>
      </c>
      <c r="B6676" s="5" t="str">
        <f>TEXT(0,"00")</f>
        <v>00</v>
      </c>
      <c r="C6676" s="1"/>
      <c r="D6676" s="2" t="s">
        <v>6648</v>
      </c>
    </row>
    <row r="6677" spans="1:7" x14ac:dyDescent="0.25">
      <c r="A6677" s="1" t="str">
        <f t="shared" si="429"/>
        <v>850</v>
      </c>
      <c r="B6677" s="1" t="str">
        <f>TEXT(3,"00")</f>
        <v>03</v>
      </c>
      <c r="C6677" s="1" t="str">
        <f t="shared" si="427"/>
        <v>850-03</v>
      </c>
      <c r="D6677" t="s">
        <v>6649</v>
      </c>
      <c r="E6677" t="b">
        <f>IF(COUNTIF(D6677,"*"&amp;'Keyword Search'!$C$5&amp;"*"),TRUE,FALSE)</f>
        <v>1</v>
      </c>
      <c r="G6677" t="str">
        <f t="shared" si="428"/>
        <v>850-03: Bags, Bedding</v>
      </c>
    </row>
    <row r="6678" spans="1:7" x14ac:dyDescent="0.25">
      <c r="A6678" s="1" t="str">
        <f t="shared" si="429"/>
        <v>850</v>
      </c>
      <c r="B6678" s="1" t="str">
        <f>TEXT(4,"00")</f>
        <v>04</v>
      </c>
      <c r="C6678" s="1" t="str">
        <f t="shared" si="427"/>
        <v>850-04</v>
      </c>
      <c r="D6678" t="s">
        <v>6650</v>
      </c>
      <c r="E6678" t="b">
        <f>IF(COUNTIF(D6678,"*"&amp;'Keyword Search'!$C$5&amp;"*"),TRUE,FALSE)</f>
        <v>1</v>
      </c>
      <c r="G6678" t="str">
        <f t="shared" si="428"/>
        <v>850-04: Bags, Flour</v>
      </c>
    </row>
    <row r="6679" spans="1:7" x14ac:dyDescent="0.25">
      <c r="A6679" s="1" t="str">
        <f t="shared" si="429"/>
        <v>850</v>
      </c>
      <c r="B6679" s="1" t="str">
        <f>TEXT(8,"00")</f>
        <v>08</v>
      </c>
      <c r="C6679" s="1" t="str">
        <f t="shared" si="427"/>
        <v>850-08</v>
      </c>
      <c r="D6679" t="s">
        <v>6651</v>
      </c>
      <c r="E6679" t="b">
        <f>IF(COUNTIF(D6679,"*"&amp;'Keyword Search'!$C$5&amp;"*"),TRUE,FALSE)</f>
        <v>1</v>
      </c>
      <c r="G6679" t="str">
        <f t="shared" si="428"/>
        <v>850-08: Bedspread, (Including Dust Ruffles</v>
      </c>
    </row>
    <row r="6680" spans="1:7" x14ac:dyDescent="0.25">
      <c r="A6680" s="1" t="str">
        <f t="shared" si="429"/>
        <v>850</v>
      </c>
      <c r="B6680" s="1" t="str">
        <f>TEXT(12,"00")</f>
        <v>12</v>
      </c>
      <c r="C6680" s="1" t="str">
        <f t="shared" si="427"/>
        <v>850-12</v>
      </c>
      <c r="D6680" t="s">
        <v>6652</v>
      </c>
      <c r="E6680" t="b">
        <f>IF(COUNTIF(D6680,"*"&amp;'Keyword Search'!$C$5&amp;"*"),TRUE,FALSE)</f>
        <v>1</v>
      </c>
      <c r="G6680" t="str">
        <f t="shared" si="428"/>
        <v>850-12: Blankets, Bedding, All Types</v>
      </c>
    </row>
    <row r="6681" spans="1:7" x14ac:dyDescent="0.25">
      <c r="A6681" s="1" t="str">
        <f t="shared" si="429"/>
        <v>850</v>
      </c>
      <c r="B6681" s="1" t="str">
        <f>TEXT(14,"00")</f>
        <v>14</v>
      </c>
      <c r="C6681" s="1" t="str">
        <f t="shared" si="427"/>
        <v>850-14</v>
      </c>
      <c r="D6681" t="s">
        <v>6653</v>
      </c>
      <c r="E6681" t="b">
        <f>IF(COUNTIF(D6681,"*"&amp;'Keyword Search'!$C$5&amp;"*"),TRUE,FALSE)</f>
        <v>1</v>
      </c>
      <c r="G6681" t="str">
        <f t="shared" si="428"/>
        <v>850-14: Border Foam</v>
      </c>
    </row>
    <row r="6682" spans="1:7" x14ac:dyDescent="0.25">
      <c r="A6682" s="1" t="str">
        <f t="shared" si="429"/>
        <v>850</v>
      </c>
      <c r="B6682" s="1" t="str">
        <f>TEXT(15,"00")</f>
        <v>15</v>
      </c>
      <c r="C6682" s="1" t="str">
        <f t="shared" si="427"/>
        <v>850-15</v>
      </c>
      <c r="D6682" t="s">
        <v>6654</v>
      </c>
      <c r="E6682" t="b">
        <f>IF(COUNTIF(D6682,"*"&amp;'Keyword Search'!$C$5&amp;"*"),TRUE,FALSE)</f>
        <v>1</v>
      </c>
      <c r="G6682" t="str">
        <f t="shared" si="428"/>
        <v>850-15: Braiding Material</v>
      </c>
    </row>
    <row r="6683" spans="1:7" x14ac:dyDescent="0.25">
      <c r="A6683" s="1" t="str">
        <f t="shared" si="429"/>
        <v>850</v>
      </c>
      <c r="B6683" s="1" t="str">
        <f>TEXT(16,"00")</f>
        <v>16</v>
      </c>
      <c r="C6683" s="1" t="str">
        <f t="shared" si="427"/>
        <v>850-16</v>
      </c>
      <c r="D6683" t="s">
        <v>6655</v>
      </c>
      <c r="E6683" t="b">
        <f>IF(COUNTIF(D6683,"*"&amp;'Keyword Search'!$C$5&amp;"*"),TRUE,FALSE)</f>
        <v>1</v>
      </c>
      <c r="G6683" t="str">
        <f t="shared" si="428"/>
        <v>850-16: Cheesecloth</v>
      </c>
    </row>
    <row r="6684" spans="1:7" x14ac:dyDescent="0.25">
      <c r="A6684" s="1" t="str">
        <f t="shared" si="429"/>
        <v>850</v>
      </c>
      <c r="B6684" s="1" t="str">
        <f>TEXT(17,"00")</f>
        <v>17</v>
      </c>
      <c r="C6684" s="1" t="str">
        <f t="shared" si="427"/>
        <v>850-17</v>
      </c>
      <c r="D6684" t="s">
        <v>6656</v>
      </c>
      <c r="E6684" t="b">
        <f>IF(COUNTIF(D6684,"*"&amp;'Keyword Search'!$C$5&amp;"*"),TRUE,FALSE)</f>
        <v>1</v>
      </c>
      <c r="G6684" t="str">
        <f t="shared" si="428"/>
        <v>850-17: Chemicals and Dyes, Textile</v>
      </c>
    </row>
    <row r="6685" spans="1:7" x14ac:dyDescent="0.25">
      <c r="A6685" s="1" t="str">
        <f t="shared" si="429"/>
        <v>850</v>
      </c>
      <c r="B6685" s="1" t="str">
        <f>TEXT(20,"00")</f>
        <v>20</v>
      </c>
      <c r="C6685" s="1" t="str">
        <f t="shared" si="427"/>
        <v>850-20</v>
      </c>
      <c r="D6685" t="s">
        <v>6657</v>
      </c>
      <c r="E6685" t="b">
        <f>IF(COUNTIF(D6685,"*"&amp;'Keyword Search'!$C$5&amp;"*"),TRUE,FALSE)</f>
        <v>1</v>
      </c>
      <c r="G6685" t="str">
        <f t="shared" si="428"/>
        <v>850-20: Fabric, Yard Goods: Cotton</v>
      </c>
    </row>
    <row r="6686" spans="1:7" x14ac:dyDescent="0.25">
      <c r="A6686" s="1" t="str">
        <f t="shared" si="429"/>
        <v>850</v>
      </c>
      <c r="B6686" s="1" t="str">
        <f>TEXT(24,"00")</f>
        <v>24</v>
      </c>
      <c r="C6686" s="1" t="str">
        <f t="shared" si="427"/>
        <v>850-24</v>
      </c>
      <c r="D6686" t="s">
        <v>6658</v>
      </c>
      <c r="E6686" t="b">
        <f>IF(COUNTIF(D6686,"*"&amp;'Keyword Search'!$C$5&amp;"*"),TRUE,FALSE)</f>
        <v>1</v>
      </c>
      <c r="G6686" t="str">
        <f t="shared" si="428"/>
        <v>850-24: Fabric, Yard Goods: Blends, Mixtures, and Synthetics</v>
      </c>
    </row>
    <row r="6687" spans="1:7" x14ac:dyDescent="0.25">
      <c r="A6687" s="1" t="str">
        <f t="shared" si="429"/>
        <v>850</v>
      </c>
      <c r="B6687" s="1" t="str">
        <f>TEXT(26,"00")</f>
        <v>26</v>
      </c>
      <c r="C6687" s="1" t="str">
        <f t="shared" si="427"/>
        <v>850-26</v>
      </c>
      <c r="D6687" t="s">
        <v>6659</v>
      </c>
      <c r="E6687" t="b">
        <f>IF(COUNTIF(D6687,"*"&amp;'Keyword Search'!$C$5&amp;"*"),TRUE,FALSE)</f>
        <v>1</v>
      </c>
      <c r="G6687" t="str">
        <f t="shared" si="428"/>
        <v>850-26: Cloth, Oil</v>
      </c>
    </row>
    <row r="6688" spans="1:7" x14ac:dyDescent="0.25">
      <c r="A6688" s="1" t="str">
        <f t="shared" si="429"/>
        <v>850</v>
      </c>
      <c r="B6688" s="1" t="str">
        <f>TEXT(28,"00")</f>
        <v>28</v>
      </c>
      <c r="C6688" s="1" t="str">
        <f t="shared" si="427"/>
        <v>850-28</v>
      </c>
      <c r="D6688" t="s">
        <v>6660</v>
      </c>
      <c r="E6688" t="b">
        <f>IF(COUNTIF(D6688,"*"&amp;'Keyword Search'!$C$5&amp;"*"),TRUE,FALSE)</f>
        <v>1</v>
      </c>
      <c r="G6688" t="str">
        <f t="shared" si="428"/>
        <v>850-28: Fabric, Sheeting: Muslin and Percale</v>
      </c>
    </row>
    <row r="6689" spans="1:7" x14ac:dyDescent="0.25">
      <c r="A6689" s="1" t="str">
        <f t="shared" si="429"/>
        <v>850</v>
      </c>
      <c r="B6689" s="1" t="str">
        <f>TEXT(32,"00")</f>
        <v>32</v>
      </c>
      <c r="C6689" s="1" t="str">
        <f t="shared" si="427"/>
        <v>850-32</v>
      </c>
      <c r="D6689" t="s">
        <v>6661</v>
      </c>
      <c r="E6689" t="b">
        <f>IF(COUNTIF(D6689,"*"&amp;'Keyword Search'!$C$5&amp;"*"),TRUE,FALSE)</f>
        <v>1</v>
      </c>
      <c r="G6689" t="str">
        <f t="shared" si="428"/>
        <v>850-32: Fabric, Yard Goods: Wool</v>
      </c>
    </row>
    <row r="6690" spans="1:7" x14ac:dyDescent="0.25">
      <c r="A6690" s="1" t="str">
        <f t="shared" si="429"/>
        <v>850</v>
      </c>
      <c r="B6690" s="1" t="str">
        <f>TEXT(33,"00")</f>
        <v>33</v>
      </c>
      <c r="C6690" s="1" t="str">
        <f t="shared" si="427"/>
        <v>850-33</v>
      </c>
      <c r="D6690" t="s">
        <v>6662</v>
      </c>
      <c r="E6690" t="b">
        <f>IF(COUNTIF(D6690,"*"&amp;'Keyword Search'!$C$5&amp;"*"),TRUE,FALSE)</f>
        <v>1</v>
      </c>
      <c r="G6690" t="str">
        <f t="shared" si="428"/>
        <v>850-33: Cotton Linters, Bales and Batts</v>
      </c>
    </row>
    <row r="6691" spans="1:7" x14ac:dyDescent="0.25">
      <c r="A6691" s="1" t="str">
        <f t="shared" si="429"/>
        <v>850</v>
      </c>
      <c r="B6691" s="1" t="str">
        <f>TEXT(34,"00")</f>
        <v>34</v>
      </c>
      <c r="C6691" s="1" t="str">
        <f t="shared" si="427"/>
        <v>850-34</v>
      </c>
      <c r="D6691" t="s">
        <v>6663</v>
      </c>
      <c r="E6691" t="b">
        <f>IF(COUNTIF(D6691,"*"&amp;'Keyword Search'!$C$5&amp;"*"),TRUE,FALSE)</f>
        <v>1</v>
      </c>
      <c r="G6691" t="str">
        <f t="shared" si="428"/>
        <v>850-34: Cotton Staple, Bales and Batts</v>
      </c>
    </row>
    <row r="6692" spans="1:7" x14ac:dyDescent="0.25">
      <c r="A6692" s="1" t="str">
        <f t="shared" si="429"/>
        <v>850</v>
      </c>
      <c r="B6692" s="1" t="str">
        <f>TEXT(35,"00")</f>
        <v>35</v>
      </c>
      <c r="C6692" s="1" t="str">
        <f t="shared" si="427"/>
        <v>850-35</v>
      </c>
      <c r="D6692" t="s">
        <v>6664</v>
      </c>
      <c r="E6692" t="b">
        <f>IF(COUNTIF(D6692,"*"&amp;'Keyword Search'!$C$5&amp;"*"),TRUE,FALSE)</f>
        <v>1</v>
      </c>
      <c r="G6692" t="str">
        <f t="shared" si="428"/>
        <v>850-35: Comforters and Quilts</v>
      </c>
    </row>
    <row r="6693" spans="1:7" x14ac:dyDescent="0.25">
      <c r="A6693" s="1" t="str">
        <f t="shared" si="429"/>
        <v>850</v>
      </c>
      <c r="B6693" s="1" t="str">
        <f>TEXT(36,"00")</f>
        <v>36</v>
      </c>
      <c r="C6693" s="1" t="str">
        <f t="shared" si="427"/>
        <v>850-36</v>
      </c>
      <c r="D6693" t="s">
        <v>6665</v>
      </c>
      <c r="E6693" t="b">
        <f>IF(COUNTIF(D6693,"*"&amp;'Keyword Search'!$C$5&amp;"*"),TRUE,FALSE)</f>
        <v>1</v>
      </c>
      <c r="G6693" t="str">
        <f t="shared" si="428"/>
        <v>850-36: Diaper Cloth, Yard Goods</v>
      </c>
    </row>
    <row r="6694" spans="1:7" x14ac:dyDescent="0.25">
      <c r="A6694" s="1" t="str">
        <f t="shared" si="429"/>
        <v>850</v>
      </c>
      <c r="B6694" s="1" t="str">
        <f>TEXT(40,"00")</f>
        <v>40</v>
      </c>
      <c r="C6694" s="1" t="str">
        <f t="shared" si="427"/>
        <v>850-40</v>
      </c>
      <c r="D6694" t="s">
        <v>6666</v>
      </c>
      <c r="E6694" t="b">
        <f>IF(COUNTIF(D6694,"*"&amp;'Keyword Search'!$C$5&amp;"*"),TRUE,FALSE)</f>
        <v>1</v>
      </c>
      <c r="G6694" t="str">
        <f t="shared" si="428"/>
        <v>850-40: Diapers, Cotton and Synthetic</v>
      </c>
    </row>
    <row r="6695" spans="1:7" x14ac:dyDescent="0.25">
      <c r="A6695" s="1" t="str">
        <f t="shared" si="429"/>
        <v>850</v>
      </c>
      <c r="B6695" s="1" t="str">
        <f>TEXT(42,"00")</f>
        <v>42</v>
      </c>
      <c r="C6695" s="1" t="str">
        <f t="shared" si="427"/>
        <v>850-42</v>
      </c>
      <c r="D6695" t="s">
        <v>6667</v>
      </c>
      <c r="E6695" t="b">
        <f>IF(COUNTIF(D6695,"*"&amp;'Keyword Search'!$C$5&amp;"*"),TRUE,FALSE)</f>
        <v>1</v>
      </c>
      <c r="G6695" t="str">
        <f t="shared" si="428"/>
        <v>850-42: Duck, Canvas, Treated, Tent Cloth</v>
      </c>
    </row>
    <row r="6696" spans="1:7" x14ac:dyDescent="0.25">
      <c r="A6696" s="1" t="str">
        <f t="shared" si="429"/>
        <v>850</v>
      </c>
      <c r="B6696" s="1" t="str">
        <f>TEXT(44,"00")</f>
        <v>44</v>
      </c>
      <c r="C6696" s="1" t="str">
        <f t="shared" si="427"/>
        <v>850-44</v>
      </c>
      <c r="D6696" t="s">
        <v>6668</v>
      </c>
      <c r="E6696" t="b">
        <f>IF(COUNTIF(D6696,"*"&amp;'Keyword Search'!$C$5&amp;"*"),TRUE,FALSE)</f>
        <v>1</v>
      </c>
      <c r="G6696" t="str">
        <f t="shared" si="428"/>
        <v>850-44: Duck, Canvas, Untreated</v>
      </c>
    </row>
    <row r="6697" spans="1:7" x14ac:dyDescent="0.25">
      <c r="A6697" s="1" t="str">
        <f t="shared" si="429"/>
        <v>850</v>
      </c>
      <c r="B6697" s="1" t="str">
        <f>TEXT(45,"00")</f>
        <v>45</v>
      </c>
      <c r="C6697" s="1" t="str">
        <f t="shared" si="427"/>
        <v>850-45</v>
      </c>
      <c r="D6697" t="s">
        <v>6669</v>
      </c>
      <c r="E6697" t="b">
        <f>IF(COUNTIF(D6697,"*"&amp;'Keyword Search'!$C$5&amp;"*"),TRUE,FALSE)</f>
        <v>1</v>
      </c>
      <c r="G6697" t="str">
        <f t="shared" si="428"/>
        <v>850-45: Fabric, Yard Goods: Non-woven</v>
      </c>
    </row>
    <row r="6698" spans="1:7" x14ac:dyDescent="0.25">
      <c r="A6698" s="1" t="str">
        <f t="shared" si="429"/>
        <v>850</v>
      </c>
      <c r="B6698" s="1" t="str">
        <f>TEXT(46,"00")</f>
        <v>46</v>
      </c>
      <c r="C6698" s="1" t="str">
        <f t="shared" si="427"/>
        <v>850-46</v>
      </c>
      <c r="D6698" t="s">
        <v>6670</v>
      </c>
      <c r="E6698" t="b">
        <f>IF(COUNTIF(D6698,"*"&amp;'Keyword Search'!$C$5&amp;"*"),TRUE,FALSE)</f>
        <v>1</v>
      </c>
      <c r="G6698" t="str">
        <f t="shared" si="428"/>
        <v>850-46: Fibers, Plant: Hemp, Cotton, Flax, Jute, Sisal, etc.</v>
      </c>
    </row>
    <row r="6699" spans="1:7" x14ac:dyDescent="0.25">
      <c r="A6699" s="1" t="str">
        <f t="shared" si="429"/>
        <v>850</v>
      </c>
      <c r="B6699" s="1" t="str">
        <f>TEXT(47,"00")</f>
        <v>47</v>
      </c>
      <c r="C6699" s="1" t="str">
        <f t="shared" si="427"/>
        <v>850-47</v>
      </c>
      <c r="D6699" t="s">
        <v>6671</v>
      </c>
      <c r="E6699" t="b">
        <f>IF(COUNTIF(D6699,"*"&amp;'Keyword Search'!$C$5&amp;"*"),TRUE,FALSE)</f>
        <v>1</v>
      </c>
      <c r="G6699" t="str">
        <f t="shared" si="428"/>
        <v>850-47: Fur and Related Material Including Feathers</v>
      </c>
    </row>
    <row r="6700" spans="1:7" x14ac:dyDescent="0.25">
      <c r="A6700" s="1" t="str">
        <f t="shared" si="429"/>
        <v>850</v>
      </c>
      <c r="B6700" s="1" t="str">
        <f>TEXT(48,"00")</f>
        <v>48</v>
      </c>
      <c r="C6700" s="1" t="str">
        <f t="shared" si="427"/>
        <v>850-48</v>
      </c>
      <c r="D6700" t="s">
        <v>6672</v>
      </c>
      <c r="E6700" t="b">
        <f>IF(COUNTIF(D6700,"*"&amp;'Keyword Search'!$C$5&amp;"*"),TRUE,FALSE)</f>
        <v>1</v>
      </c>
      <c r="G6700" t="str">
        <f t="shared" si="428"/>
        <v>850-48: Fabric: Coated and Impregnate, Not Ticking</v>
      </c>
    </row>
    <row r="6701" spans="1:7" x14ac:dyDescent="0.25">
      <c r="A6701" s="1" t="str">
        <f t="shared" si="429"/>
        <v>850</v>
      </c>
      <c r="B6701" s="1" t="str">
        <f>TEXT(49,"00")</f>
        <v>49</v>
      </c>
      <c r="C6701" s="1" t="str">
        <f t="shared" si="427"/>
        <v>850-49</v>
      </c>
      <c r="D6701" t="s">
        <v>6673</v>
      </c>
      <c r="E6701" t="b">
        <f>IF(COUNTIF(D6701,"*"&amp;'Keyword Search'!$C$5&amp;"*"),TRUE,FALSE)</f>
        <v>1</v>
      </c>
      <c r="G6701" t="str">
        <f t="shared" si="428"/>
        <v>850-49: Furniture Covers and Scarves</v>
      </c>
    </row>
    <row r="6702" spans="1:7" x14ac:dyDescent="0.25">
      <c r="A6702" s="1" t="str">
        <f t="shared" si="429"/>
        <v>850</v>
      </c>
      <c r="B6702" s="1" t="str">
        <f>TEXT(50,"00")</f>
        <v>50</v>
      </c>
      <c r="C6702" s="1" t="str">
        <f t="shared" si="427"/>
        <v>850-50</v>
      </c>
      <c r="D6702" t="s">
        <v>6674</v>
      </c>
      <c r="E6702" t="b">
        <f>IF(COUNTIF(D6702,"*"&amp;'Keyword Search'!$C$5&amp;"*"),TRUE,FALSE)</f>
        <v>1</v>
      </c>
      <c r="G6702" t="str">
        <f t="shared" si="428"/>
        <v>850-50: Hot Pads and Pot Holders</v>
      </c>
    </row>
    <row r="6703" spans="1:7" x14ac:dyDescent="0.25">
      <c r="A6703" s="1" t="str">
        <f t="shared" si="429"/>
        <v>850</v>
      </c>
      <c r="B6703" s="1" t="str">
        <f>TEXT(51,"00")</f>
        <v>51</v>
      </c>
      <c r="C6703" s="1" t="str">
        <f t="shared" si="427"/>
        <v>850-51</v>
      </c>
      <c r="D6703" t="s">
        <v>6675</v>
      </c>
      <c r="E6703" t="b">
        <f>IF(COUNTIF(D6703,"*"&amp;'Keyword Search'!$C$5&amp;"*"),TRUE,FALSE)</f>
        <v>1</v>
      </c>
      <c r="G6703" t="str">
        <f t="shared" si="428"/>
        <v>850-51: Fabric, Yard Goods: Synthetic and Artificial (Not Otherwise Classified)</v>
      </c>
    </row>
    <row r="6704" spans="1:7" x14ac:dyDescent="0.25">
      <c r="A6704" s="1" t="str">
        <f t="shared" si="429"/>
        <v>850</v>
      </c>
      <c r="B6704" s="1" t="str">
        <f>TEXT(52,"00")</f>
        <v>52</v>
      </c>
      <c r="C6704" s="1" t="str">
        <f t="shared" si="427"/>
        <v>850-52</v>
      </c>
      <c r="D6704" t="s">
        <v>6676</v>
      </c>
      <c r="E6704" t="b">
        <f>IF(COUNTIF(D6704,"*"&amp;'Keyword Search'!$C$5&amp;"*"),TRUE,FALSE)</f>
        <v>1</v>
      </c>
      <c r="G6704" t="str">
        <f t="shared" si="428"/>
        <v>850-52: Mattress Covers, Cotton or Vinyl</v>
      </c>
    </row>
    <row r="6705" spans="1:7" x14ac:dyDescent="0.25">
      <c r="A6705" s="1" t="str">
        <f t="shared" si="429"/>
        <v>850</v>
      </c>
      <c r="B6705" s="1" t="str">
        <f>TEXT(56,"00")</f>
        <v>56</v>
      </c>
      <c r="C6705" s="1" t="str">
        <f t="shared" si="427"/>
        <v>850-56</v>
      </c>
      <c r="D6705" t="s">
        <v>6677</v>
      </c>
      <c r="E6705" t="b">
        <f>IF(COUNTIF(D6705,"*"&amp;'Keyword Search'!$C$5&amp;"*"),TRUE,FALSE)</f>
        <v>1</v>
      </c>
      <c r="G6705" t="str">
        <f t="shared" si="428"/>
        <v>850-56: Mattress Pads</v>
      </c>
    </row>
    <row r="6706" spans="1:7" x14ac:dyDescent="0.25">
      <c r="A6706" s="1" t="str">
        <f t="shared" si="429"/>
        <v>850</v>
      </c>
      <c r="B6706" s="1" t="str">
        <f>TEXT(60,"00")</f>
        <v>60</v>
      </c>
      <c r="C6706" s="1" t="str">
        <f t="shared" si="427"/>
        <v>850-60</v>
      </c>
      <c r="D6706" t="s">
        <v>6678</v>
      </c>
      <c r="E6706" t="b">
        <f>IF(COUNTIF(D6706,"*"&amp;'Keyword Search'!$C$5&amp;"*"),TRUE,FALSE)</f>
        <v>1</v>
      </c>
      <c r="G6706" t="str">
        <f t="shared" si="428"/>
        <v>850-60: Mattress Protectors and Pillow Covers, Synthetic</v>
      </c>
    </row>
    <row r="6707" spans="1:7" x14ac:dyDescent="0.25">
      <c r="A6707" s="1" t="str">
        <f t="shared" si="429"/>
        <v>850</v>
      </c>
      <c r="B6707" s="1" t="str">
        <f>TEXT(61,"00")</f>
        <v>61</v>
      </c>
      <c r="C6707" s="1" t="str">
        <f t="shared" si="427"/>
        <v>850-61</v>
      </c>
      <c r="D6707" t="s">
        <v>6679</v>
      </c>
      <c r="E6707" t="b">
        <f>IF(COUNTIF(D6707,"*"&amp;'Keyword Search'!$C$5&amp;"*"),TRUE,FALSE)</f>
        <v>1</v>
      </c>
      <c r="G6707" t="str">
        <f t="shared" si="428"/>
        <v>850-61: Mohair</v>
      </c>
    </row>
    <row r="6708" spans="1:7" x14ac:dyDescent="0.25">
      <c r="A6708" s="1" t="str">
        <f t="shared" si="429"/>
        <v>850</v>
      </c>
      <c r="B6708" s="1" t="str">
        <f>TEXT(62,"00")</f>
        <v>62</v>
      </c>
      <c r="C6708" s="1" t="str">
        <f t="shared" si="427"/>
        <v>850-62</v>
      </c>
      <c r="D6708" t="s">
        <v>6680</v>
      </c>
      <c r="E6708" t="b">
        <f>IF(COUNTIF(D6708,"*"&amp;'Keyword Search'!$C$5&amp;"*"),TRUE,FALSE)</f>
        <v>1</v>
      </c>
      <c r="G6708" t="str">
        <f t="shared" si="428"/>
        <v>850-62: Pads, Furniture: Protective and Moving</v>
      </c>
    </row>
    <row r="6709" spans="1:7" x14ac:dyDescent="0.25">
      <c r="A6709" s="1" t="str">
        <f t="shared" si="429"/>
        <v>850</v>
      </c>
      <c r="B6709" s="1" t="str">
        <f>TEXT(63,"00")</f>
        <v>63</v>
      </c>
      <c r="C6709" s="1" t="str">
        <f t="shared" si="427"/>
        <v>850-63</v>
      </c>
      <c r="D6709" t="s">
        <v>6681</v>
      </c>
      <c r="E6709" t="b">
        <f>IF(COUNTIF(D6709,"*"&amp;'Keyword Search'!$C$5&amp;"*"),TRUE,FALSE)</f>
        <v>1</v>
      </c>
      <c r="G6709" t="str">
        <f t="shared" si="428"/>
        <v>850-63: Pillows, All Types</v>
      </c>
    </row>
    <row r="6710" spans="1:7" x14ac:dyDescent="0.25">
      <c r="A6710" s="1" t="str">
        <f t="shared" si="429"/>
        <v>850</v>
      </c>
      <c r="B6710" s="1" t="str">
        <f>TEXT(64,"00")</f>
        <v>64</v>
      </c>
      <c r="C6710" s="1" t="str">
        <f t="shared" si="427"/>
        <v>850-64</v>
      </c>
      <c r="D6710" t="s">
        <v>6682</v>
      </c>
      <c r="E6710" t="b">
        <f>IF(COUNTIF(D6710,"*"&amp;'Keyword Search'!$C$5&amp;"*"),TRUE,FALSE)</f>
        <v>1</v>
      </c>
      <c r="G6710" t="str">
        <f t="shared" si="428"/>
        <v>850-64: Sheets and Pillow Cases</v>
      </c>
    </row>
    <row r="6711" spans="1:7" x14ac:dyDescent="0.25">
      <c r="A6711" s="1" t="str">
        <f t="shared" si="429"/>
        <v>850</v>
      </c>
      <c r="B6711" s="1" t="str">
        <f>TEXT(68,"00")</f>
        <v>68</v>
      </c>
      <c r="C6711" s="1" t="str">
        <f t="shared" si="427"/>
        <v>850-68</v>
      </c>
      <c r="D6711" t="s">
        <v>6683</v>
      </c>
      <c r="E6711" t="b">
        <f>IF(COUNTIF(D6711,"*"&amp;'Keyword Search'!$C$5&amp;"*"),TRUE,FALSE)</f>
        <v>1</v>
      </c>
      <c r="G6711" t="str">
        <f t="shared" si="428"/>
        <v>850-68: Shower Curtain, Duck</v>
      </c>
    </row>
    <row r="6712" spans="1:7" x14ac:dyDescent="0.25">
      <c r="A6712" s="1" t="str">
        <f t="shared" si="429"/>
        <v>850</v>
      </c>
      <c r="B6712" s="1" t="str">
        <f>TEXT(72,"00")</f>
        <v>72</v>
      </c>
      <c r="C6712" s="1" t="str">
        <f t="shared" si="427"/>
        <v>850-72</v>
      </c>
      <c r="D6712" t="s">
        <v>6684</v>
      </c>
      <c r="E6712" t="b">
        <f>IF(COUNTIF(D6712,"*"&amp;'Keyword Search'!$C$5&amp;"*"),TRUE,FALSE)</f>
        <v>1</v>
      </c>
      <c r="G6712" t="str">
        <f t="shared" si="428"/>
        <v>850-72: Shower Curtain, Synthetic</v>
      </c>
    </row>
    <row r="6713" spans="1:7" x14ac:dyDescent="0.25">
      <c r="A6713" s="1" t="str">
        <f t="shared" si="429"/>
        <v>850</v>
      </c>
      <c r="B6713" s="1" t="str">
        <f>TEXT(73,"00")</f>
        <v>73</v>
      </c>
      <c r="C6713" s="1" t="str">
        <f t="shared" si="427"/>
        <v>850-73</v>
      </c>
      <c r="D6713" t="s">
        <v>6685</v>
      </c>
      <c r="E6713" t="b">
        <f>IF(COUNTIF(D6713,"*"&amp;'Keyword Search'!$C$5&amp;"*"),TRUE,FALSE)</f>
        <v>1</v>
      </c>
      <c r="G6713" t="str">
        <f t="shared" si="428"/>
        <v>850-73: Fabric, Yard Goods: Silk</v>
      </c>
    </row>
    <row r="6714" spans="1:7" x14ac:dyDescent="0.25">
      <c r="A6714" s="1" t="str">
        <f t="shared" si="429"/>
        <v>850</v>
      </c>
      <c r="B6714" s="1" t="str">
        <f>TEXT(74,"00")</f>
        <v>74</v>
      </c>
      <c r="C6714" s="1" t="str">
        <f t="shared" si="427"/>
        <v>850-74</v>
      </c>
      <c r="D6714" t="s">
        <v>6686</v>
      </c>
      <c r="E6714" t="b">
        <f>IF(COUNTIF(D6714,"*"&amp;'Keyword Search'!$C$5&amp;"*"),TRUE,FALSE)</f>
        <v>1</v>
      </c>
      <c r="G6714" t="str">
        <f t="shared" si="428"/>
        <v>850-74: Synthetic Textile Fibers: Nylon, Polyethylene, Rayon, etc.</v>
      </c>
    </row>
    <row r="6715" spans="1:7" x14ac:dyDescent="0.25">
      <c r="A6715" s="1" t="str">
        <f t="shared" si="429"/>
        <v>850</v>
      </c>
      <c r="B6715" s="1" t="str">
        <f>TEXT(76,"00")</f>
        <v>76</v>
      </c>
      <c r="C6715" s="1" t="str">
        <f t="shared" si="427"/>
        <v>850-76</v>
      </c>
      <c r="D6715" t="s">
        <v>6687</v>
      </c>
      <c r="E6715" t="b">
        <f>IF(COUNTIF(D6715,"*"&amp;'Keyword Search'!$C$5&amp;"*"),TRUE,FALSE)</f>
        <v>1</v>
      </c>
      <c r="G6715" t="str">
        <f t="shared" si="428"/>
        <v>850-76: Table Linens</v>
      </c>
    </row>
    <row r="6716" spans="1:7" x14ac:dyDescent="0.25">
      <c r="A6716" s="1" t="str">
        <f t="shared" si="429"/>
        <v>850</v>
      </c>
      <c r="B6716" s="1" t="str">
        <f>TEXT(77,"00")</f>
        <v>77</v>
      </c>
      <c r="C6716" s="1" t="str">
        <f t="shared" si="427"/>
        <v>850-77</v>
      </c>
      <c r="D6716" t="s">
        <v>6688</v>
      </c>
      <c r="E6716" t="b">
        <f>IF(COUNTIF(D6716,"*"&amp;'Keyword Search'!$C$5&amp;"*"),TRUE,FALSE)</f>
        <v>1</v>
      </c>
      <c r="G6716" t="str">
        <f t="shared" si="428"/>
        <v>850-77: Textile Mills</v>
      </c>
    </row>
    <row r="6717" spans="1:7" x14ac:dyDescent="0.25">
      <c r="A6717" s="1" t="str">
        <f t="shared" si="429"/>
        <v>850</v>
      </c>
      <c r="B6717" s="1" t="str">
        <f>TEXT(78,"00")</f>
        <v>78</v>
      </c>
      <c r="C6717" s="1" t="str">
        <f t="shared" si="427"/>
        <v>850-78</v>
      </c>
      <c r="D6717" t="s">
        <v>6689</v>
      </c>
      <c r="E6717" t="b">
        <f>IF(COUNTIF(D6717,"*"&amp;'Keyword Search'!$C$5&amp;"*"),TRUE,FALSE)</f>
        <v>1</v>
      </c>
      <c r="G6717" t="str">
        <f t="shared" si="428"/>
        <v>850-78: Textiles, Scrap or Waste</v>
      </c>
    </row>
    <row r="6718" spans="1:7" x14ac:dyDescent="0.25">
      <c r="A6718" s="1" t="str">
        <f t="shared" si="429"/>
        <v>850</v>
      </c>
      <c r="B6718" s="1" t="str">
        <f>TEXT(80,"00")</f>
        <v>80</v>
      </c>
      <c r="C6718" s="1" t="str">
        <f t="shared" si="427"/>
        <v>850-80</v>
      </c>
      <c r="D6718" t="s">
        <v>6690</v>
      </c>
      <c r="E6718" t="b">
        <f>IF(COUNTIF(D6718,"*"&amp;'Keyword Search'!$C$5&amp;"*"),TRUE,FALSE)</f>
        <v>1</v>
      </c>
      <c r="G6718" t="str">
        <f t="shared" si="428"/>
        <v>850-80: Ticking, Mattress and Pillow, Cotton</v>
      </c>
    </row>
    <row r="6719" spans="1:7" x14ac:dyDescent="0.25">
      <c r="A6719" s="1" t="str">
        <f t="shared" si="429"/>
        <v>850</v>
      </c>
      <c r="B6719" s="1" t="str">
        <f>TEXT(84,"00")</f>
        <v>84</v>
      </c>
      <c r="C6719" s="1" t="str">
        <f t="shared" si="427"/>
        <v>850-84</v>
      </c>
      <c r="D6719" t="s">
        <v>6691</v>
      </c>
      <c r="E6719" t="b">
        <f>IF(COUNTIF(D6719,"*"&amp;'Keyword Search'!$C$5&amp;"*"),TRUE,FALSE)</f>
        <v>1</v>
      </c>
      <c r="G6719" t="str">
        <f t="shared" si="428"/>
        <v>850-84: Ticking, Mattress and Pillow, Synthetic and Waterproofed</v>
      </c>
    </row>
    <row r="6720" spans="1:7" x14ac:dyDescent="0.25">
      <c r="A6720" s="1" t="str">
        <f t="shared" si="429"/>
        <v>850</v>
      </c>
      <c r="B6720" s="1" t="str">
        <f>TEXT(88,"00")</f>
        <v>88</v>
      </c>
      <c r="C6720" s="1" t="str">
        <f t="shared" si="427"/>
        <v>850-88</v>
      </c>
      <c r="D6720" t="s">
        <v>6692</v>
      </c>
      <c r="E6720" t="b">
        <f>IF(COUNTIF(D6720,"*"&amp;'Keyword Search'!$C$5&amp;"*"),TRUE,FALSE)</f>
        <v>1</v>
      </c>
      <c r="G6720" t="str">
        <f t="shared" si="428"/>
        <v>850-88: Toweling: Crash, Cup, Huck, and Terry, Including Dish Towels and Cloths</v>
      </c>
    </row>
    <row r="6721" spans="1:7" x14ac:dyDescent="0.25">
      <c r="A6721" s="1" t="str">
        <f t="shared" si="429"/>
        <v>850</v>
      </c>
      <c r="B6721" s="1" t="str">
        <f>TEXT(92,"00")</f>
        <v>92</v>
      </c>
      <c r="C6721" s="1" t="str">
        <f t="shared" si="427"/>
        <v>850-92</v>
      </c>
      <c r="D6721" t="s">
        <v>6693</v>
      </c>
      <c r="E6721" t="b">
        <f>IF(COUNTIF(D6721,"*"&amp;'Keyword Search'!$C$5&amp;"*"),TRUE,FALSE)</f>
        <v>1</v>
      </c>
      <c r="G6721" t="str">
        <f t="shared" si="428"/>
        <v>850-92: Towels, Washcloths, and Bathmats, Huck and Terry</v>
      </c>
    </row>
    <row r="6722" spans="1:7" x14ac:dyDescent="0.25">
      <c r="A6722" s="1" t="str">
        <f t="shared" si="429"/>
        <v>850</v>
      </c>
      <c r="B6722" s="1" t="str">
        <f>TEXT(94,"00")</f>
        <v>94</v>
      </c>
      <c r="C6722" s="1" t="str">
        <f t="shared" si="427"/>
        <v>850-94</v>
      </c>
      <c r="D6722" t="s">
        <v>6694</v>
      </c>
      <c r="E6722" t="b">
        <f>IF(COUNTIF(D6722,"*"&amp;'Keyword Search'!$C$5&amp;"*"),TRUE,FALSE)</f>
        <v>1</v>
      </c>
      <c r="G6722" t="str">
        <f t="shared" si="428"/>
        <v>850-94: Wool</v>
      </c>
    </row>
    <row r="6723" spans="1:7" x14ac:dyDescent="0.25">
      <c r="A6723" s="1" t="str">
        <f t="shared" si="429"/>
        <v>850</v>
      </c>
      <c r="B6723" s="1" t="str">
        <f>TEXT(95,"00")</f>
        <v>95</v>
      </c>
      <c r="C6723" s="1" t="str">
        <f t="shared" ref="C6723:C6786" si="430">CONCATENATE(A6723,"-",B6723)</f>
        <v>850-95</v>
      </c>
      <c r="D6723" t="s">
        <v>6695</v>
      </c>
      <c r="E6723" t="b">
        <f>IF(COUNTIF(D6723,"*"&amp;'Keyword Search'!$C$5&amp;"*"),TRUE,FALSE)</f>
        <v>1</v>
      </c>
      <c r="G6723" t="str">
        <f t="shared" si="428"/>
        <v>850-95: Recycled Textiles, Fibers, Household Linens and Piece Goods</v>
      </c>
    </row>
    <row r="6724" spans="1:7" x14ac:dyDescent="0.25">
      <c r="A6724" s="5" t="str">
        <f t="shared" ref="A6724:A6742" si="431">TEXT(855,"000")</f>
        <v>855</v>
      </c>
      <c r="B6724" s="5" t="str">
        <f>TEXT(0,"00")</f>
        <v>00</v>
      </c>
      <c r="C6724" s="1"/>
      <c r="D6724" s="2" t="s">
        <v>6696</v>
      </c>
    </row>
    <row r="6725" spans="1:7" x14ac:dyDescent="0.25">
      <c r="A6725" s="1" t="str">
        <f t="shared" si="431"/>
        <v>855</v>
      </c>
      <c r="B6725" s="1" t="str">
        <f>TEXT(15,"00")</f>
        <v>15</v>
      </c>
      <c r="C6725" s="1" t="str">
        <f t="shared" si="430"/>
        <v>855-15</v>
      </c>
      <c r="D6725" t="s">
        <v>6697</v>
      </c>
      <c r="E6725" t="b">
        <f>IF(COUNTIF(D6725,"*"&amp;'Keyword Search'!$C$5&amp;"*"),TRUE,FALSE)</f>
        <v>1</v>
      </c>
      <c r="G6725" t="str">
        <f t="shared" ref="G6725:G6787" si="432">CONCATENATE(C6725,": ",D6725)</f>
        <v>855-15: Costumes and Accessories</v>
      </c>
    </row>
    <row r="6726" spans="1:7" x14ac:dyDescent="0.25">
      <c r="A6726" s="1" t="str">
        <f t="shared" si="431"/>
        <v>855</v>
      </c>
      <c r="B6726" s="1" t="str">
        <f>TEXT(22,"00")</f>
        <v>22</v>
      </c>
      <c r="C6726" s="1" t="str">
        <f t="shared" si="430"/>
        <v>855-22</v>
      </c>
      <c r="D6726" t="s">
        <v>6698</v>
      </c>
      <c r="E6726" t="b">
        <f>IF(COUNTIF(D6726,"*"&amp;'Keyword Search'!$C$5&amp;"*"),TRUE,FALSE)</f>
        <v>1</v>
      </c>
      <c r="G6726" t="str">
        <f t="shared" si="432"/>
        <v>855-22: Curtains, Cycloramas, Draperies, Drops, etc.</v>
      </c>
    </row>
    <row r="6727" spans="1:7" x14ac:dyDescent="0.25">
      <c r="A6727" s="1" t="str">
        <f t="shared" si="431"/>
        <v>855</v>
      </c>
      <c r="B6727" s="1" t="str">
        <f>TEXT(30,"00")</f>
        <v>30</v>
      </c>
      <c r="C6727" s="1" t="str">
        <f t="shared" si="430"/>
        <v>855-30</v>
      </c>
      <c r="D6727" t="s">
        <v>6699</v>
      </c>
      <c r="E6727" t="b">
        <f>IF(COUNTIF(D6727,"*"&amp;'Keyword Search'!$C$5&amp;"*"),TRUE,FALSE)</f>
        <v>1</v>
      </c>
      <c r="G6727" t="str">
        <f t="shared" si="432"/>
        <v>855-30: Dance Floors, Portable</v>
      </c>
    </row>
    <row r="6728" spans="1:7" x14ac:dyDescent="0.25">
      <c r="A6728" s="1" t="str">
        <f t="shared" si="431"/>
        <v>855</v>
      </c>
      <c r="B6728" s="1" t="str">
        <f>TEXT(43,"00")</f>
        <v>43</v>
      </c>
      <c r="C6728" s="1" t="str">
        <f t="shared" si="430"/>
        <v>855-43</v>
      </c>
      <c r="D6728" t="s">
        <v>6700</v>
      </c>
      <c r="E6728" t="b">
        <f>IF(COUNTIF(D6728,"*"&amp;'Keyword Search'!$C$5&amp;"*"),TRUE,FALSE)</f>
        <v>1</v>
      </c>
      <c r="G6728" t="str">
        <f t="shared" si="432"/>
        <v>855-43: Lifts, Orchestra, Theater Pit Area</v>
      </c>
    </row>
    <row r="6729" spans="1:7" x14ac:dyDescent="0.25">
      <c r="A6729" s="1" t="str">
        <f t="shared" si="431"/>
        <v>855</v>
      </c>
      <c r="B6729" s="1" t="str">
        <f>TEXT(44,"00")</f>
        <v>44</v>
      </c>
      <c r="C6729" s="1" t="str">
        <f t="shared" si="430"/>
        <v>855-44</v>
      </c>
      <c r="D6729" t="s">
        <v>6701</v>
      </c>
      <c r="E6729" t="b">
        <f>IF(COUNTIF(D6729,"*"&amp;'Keyword Search'!$C$5&amp;"*"),TRUE,FALSE)</f>
        <v>1</v>
      </c>
      <c r="G6729" t="str">
        <f t="shared" si="432"/>
        <v>855-44: Lighting and Dimming Controls: Autotransformer Dimmers, Control Panels, Solid State Thyristor and Triac Dimmers, etc.</v>
      </c>
    </row>
    <row r="6730" spans="1:7" x14ac:dyDescent="0.25">
      <c r="A6730" s="1" t="str">
        <f t="shared" si="431"/>
        <v>855</v>
      </c>
      <c r="B6730" s="1" t="str">
        <f>TEXT(46,"00")</f>
        <v>46</v>
      </c>
      <c r="C6730" s="1" t="str">
        <f t="shared" si="430"/>
        <v>855-46</v>
      </c>
      <c r="D6730" t="s">
        <v>6702</v>
      </c>
      <c r="E6730" t="b">
        <f>IF(COUNTIF(D6730,"*"&amp;'Keyword Search'!$C$5&amp;"*"),TRUE,FALSE)</f>
        <v>1</v>
      </c>
      <c r="G6730" t="str">
        <f t="shared" si="432"/>
        <v>855-46: Lighting Control Systems: Memory and Computer Microprocessor Type</v>
      </c>
    </row>
    <row r="6731" spans="1:7" x14ac:dyDescent="0.25">
      <c r="A6731" s="1" t="str">
        <f t="shared" si="431"/>
        <v>855</v>
      </c>
      <c r="B6731" s="1" t="str">
        <f>TEXT(48,"00")</f>
        <v>48</v>
      </c>
      <c r="C6731" s="1" t="str">
        <f t="shared" si="430"/>
        <v>855-48</v>
      </c>
      <c r="D6731" t="s">
        <v>6703</v>
      </c>
      <c r="E6731" t="b">
        <f>IF(COUNTIF(D6731,"*"&amp;'Keyword Search'!$C$5&amp;"*"),TRUE,FALSE)</f>
        <v>1</v>
      </c>
      <c r="G6731" t="str">
        <f t="shared" si="432"/>
        <v>855-48: Lighting Distribution Hardware: Borderlight Cables, Pipe Battens, Plugging Strips and Boxes, Wall and Floor Pockets, etc.</v>
      </c>
    </row>
    <row r="6732" spans="1:7" x14ac:dyDescent="0.25">
      <c r="A6732" s="1" t="str">
        <f t="shared" si="431"/>
        <v>855</v>
      </c>
      <c r="B6732" s="1" t="str">
        <f>TEXT(50,"00")</f>
        <v>50</v>
      </c>
      <c r="C6732" s="1" t="str">
        <f t="shared" si="430"/>
        <v>855-50</v>
      </c>
      <c r="D6732" t="s">
        <v>6704</v>
      </c>
      <c r="E6732" t="b">
        <f>IF(COUNTIF(D6732,"*"&amp;'Keyword Search'!$C$5&amp;"*"),TRUE,FALSE)</f>
        <v>1</v>
      </c>
      <c r="G6732" t="str">
        <f t="shared" si="432"/>
        <v>855-50: Lighting Instruments: Border and Cyclorama Strip lights, Follow Spotlights, Floodlights, Special Effects Lighting, Spotlights, etc.</v>
      </c>
    </row>
    <row r="6733" spans="1:7" x14ac:dyDescent="0.25">
      <c r="A6733" s="1" t="str">
        <f t="shared" si="431"/>
        <v>855</v>
      </c>
      <c r="B6733" s="1" t="str">
        <f>TEXT(53,"00")</f>
        <v>53</v>
      </c>
      <c r="C6733" s="1" t="str">
        <f t="shared" si="430"/>
        <v>855-53</v>
      </c>
      <c r="D6733" t="s">
        <v>6705</v>
      </c>
      <c r="E6733" t="b">
        <f>IF(COUNTIF(D6733,"*"&amp;'Keyword Search'!$C$5&amp;"*"),TRUE,FALSE)</f>
        <v>1</v>
      </c>
      <c r="G6733" t="str">
        <f t="shared" si="432"/>
        <v>855-53: Lighting Systems, Complete</v>
      </c>
    </row>
    <row r="6734" spans="1:7" x14ac:dyDescent="0.25">
      <c r="A6734" s="1" t="str">
        <f t="shared" si="431"/>
        <v>855</v>
      </c>
      <c r="B6734" s="1" t="str">
        <f>TEXT(60,"00")</f>
        <v>60</v>
      </c>
      <c r="C6734" s="1" t="str">
        <f t="shared" si="430"/>
        <v>855-60</v>
      </c>
      <c r="D6734" t="s">
        <v>6706</v>
      </c>
      <c r="E6734" t="b">
        <f>IF(COUNTIF(D6734,"*"&amp;'Keyword Search'!$C$5&amp;"*"),TRUE,FALSE)</f>
        <v>1</v>
      </c>
      <c r="G6734" t="str">
        <f t="shared" si="432"/>
        <v>855-60: Makeup</v>
      </c>
    </row>
    <row r="6735" spans="1:7" x14ac:dyDescent="0.25">
      <c r="A6735" s="1" t="str">
        <f t="shared" si="431"/>
        <v>855</v>
      </c>
      <c r="B6735" s="1" t="str">
        <f>TEXT(68,"00")</f>
        <v>68</v>
      </c>
      <c r="C6735" s="1" t="str">
        <f t="shared" si="430"/>
        <v>855-68</v>
      </c>
      <c r="D6735" t="s">
        <v>6707</v>
      </c>
      <c r="E6735" t="b">
        <f>IF(COUNTIF(D6735,"*"&amp;'Keyword Search'!$C$5&amp;"*"),TRUE,FALSE)</f>
        <v>1</v>
      </c>
      <c r="G6735" t="str">
        <f t="shared" si="432"/>
        <v>855-68: Scenery and Props</v>
      </c>
    </row>
    <row r="6736" spans="1:7" x14ac:dyDescent="0.25">
      <c r="A6736" s="1" t="str">
        <f t="shared" si="431"/>
        <v>855</v>
      </c>
      <c r="B6736" s="1" t="str">
        <f>TEXT(70,"00")</f>
        <v>70</v>
      </c>
      <c r="C6736" s="1" t="str">
        <f t="shared" si="430"/>
        <v>855-70</v>
      </c>
      <c r="D6736" t="s">
        <v>6708</v>
      </c>
      <c r="E6736" t="b">
        <f>IF(COUNTIF(D6736,"*"&amp;'Keyword Search'!$C$5&amp;"*"),TRUE,FALSE)</f>
        <v>1</v>
      </c>
      <c r="G6736" t="str">
        <f t="shared" si="432"/>
        <v>855-70: Sound Effects Equipment</v>
      </c>
    </row>
    <row r="6737" spans="1:7" x14ac:dyDescent="0.25">
      <c r="A6737" s="1" t="str">
        <f t="shared" si="431"/>
        <v>855</v>
      </c>
      <c r="B6737" s="1" t="str">
        <f>TEXT(75,"00")</f>
        <v>75</v>
      </c>
      <c r="C6737" s="1" t="str">
        <f t="shared" si="430"/>
        <v>855-75</v>
      </c>
      <c r="D6737" t="s">
        <v>6709</v>
      </c>
      <c r="E6737" t="b">
        <f>IF(COUNTIF(D6737,"*"&amp;'Keyword Search'!$C$5&amp;"*"),TRUE,FALSE)</f>
        <v>1</v>
      </c>
      <c r="G6737" t="str">
        <f t="shared" si="432"/>
        <v>855-75: Stage Hardware and Supplies: Braces, Canvas, Clamps, Paints, etc.</v>
      </c>
    </row>
    <row r="6738" spans="1:7" x14ac:dyDescent="0.25">
      <c r="A6738" s="1" t="str">
        <f t="shared" si="431"/>
        <v>855</v>
      </c>
      <c r="B6738" s="1" t="str">
        <f>TEXT(77,"00")</f>
        <v>77</v>
      </c>
      <c r="C6738" s="1" t="str">
        <f t="shared" si="430"/>
        <v>855-77</v>
      </c>
      <c r="D6738" t="s">
        <v>6710</v>
      </c>
      <c r="E6738" t="b">
        <f>IF(COUNTIF(D6738,"*"&amp;'Keyword Search'!$C$5&amp;"*"),TRUE,FALSE)</f>
        <v>1</v>
      </c>
      <c r="G6738" t="str">
        <f t="shared" si="432"/>
        <v>855-77: Standards, Portable, Ropes, For Theater Lobbies</v>
      </c>
    </row>
    <row r="6739" spans="1:7" x14ac:dyDescent="0.25">
      <c r="A6739" s="1" t="str">
        <f t="shared" si="431"/>
        <v>855</v>
      </c>
      <c r="B6739" s="1" t="str">
        <f>TEXT(80,"00")</f>
        <v>80</v>
      </c>
      <c r="C6739" s="1" t="str">
        <f t="shared" si="430"/>
        <v>855-80</v>
      </c>
      <c r="D6739" t="s">
        <v>6711</v>
      </c>
      <c r="E6739" t="b">
        <f>IF(COUNTIF(D6739,"*"&amp;'Keyword Search'!$C$5&amp;"*"),TRUE,FALSE)</f>
        <v>1</v>
      </c>
      <c r="G6739" t="str">
        <f t="shared" si="432"/>
        <v>855-80: Stage Rigging and Tracks</v>
      </c>
    </row>
    <row r="6740" spans="1:7" x14ac:dyDescent="0.25">
      <c r="A6740" s="1" t="str">
        <f t="shared" si="431"/>
        <v>855</v>
      </c>
      <c r="B6740" s="1" t="str">
        <f>TEXT(81,"00")</f>
        <v>81</v>
      </c>
      <c r="C6740" s="1" t="str">
        <f t="shared" si="430"/>
        <v>855-81</v>
      </c>
      <c r="D6740" t="s">
        <v>6712</v>
      </c>
      <c r="E6740" t="b">
        <f>IF(COUNTIF(D6740,"*"&amp;'Keyword Search'!$C$5&amp;"*"),TRUE,FALSE)</f>
        <v>1</v>
      </c>
      <c r="G6740" t="str">
        <f t="shared" si="432"/>
        <v>855-81: Stages, Theatre, All Types)</v>
      </c>
    </row>
    <row r="6741" spans="1:7" x14ac:dyDescent="0.25">
      <c r="A6741" s="1" t="str">
        <f t="shared" si="431"/>
        <v>855</v>
      </c>
      <c r="B6741" s="1" t="str">
        <f>TEXT(88,"00")</f>
        <v>88</v>
      </c>
      <c r="C6741" s="1" t="str">
        <f t="shared" si="430"/>
        <v>855-88</v>
      </c>
      <c r="D6741" t="s">
        <v>6713</v>
      </c>
      <c r="E6741" t="b">
        <f>IF(COUNTIF(D6741,"*"&amp;'Keyword Search'!$C$5&amp;"*"),TRUE,FALSE)</f>
        <v>1</v>
      </c>
      <c r="G6741" t="str">
        <f t="shared" si="432"/>
        <v>855-88: Turnstiles, Theater</v>
      </c>
    </row>
    <row r="6742" spans="1:7" x14ac:dyDescent="0.25">
      <c r="A6742" s="1" t="str">
        <f t="shared" si="431"/>
        <v>855</v>
      </c>
      <c r="B6742" s="1" t="str">
        <f>TEXT(95,"00")</f>
        <v>95</v>
      </c>
      <c r="C6742" s="1" t="str">
        <f t="shared" si="430"/>
        <v>855-95</v>
      </c>
      <c r="D6742" t="s">
        <v>6714</v>
      </c>
      <c r="E6742" t="b">
        <f>IF(COUNTIF(D6742,"*"&amp;'Keyword Search'!$C$5&amp;"*"),TRUE,FALSE)</f>
        <v>1</v>
      </c>
      <c r="G6742" t="str">
        <f t="shared" si="432"/>
        <v>855-95: Recycled Theatrical Equipment, Accessories and Supplies</v>
      </c>
    </row>
    <row r="6743" spans="1:7" x14ac:dyDescent="0.25">
      <c r="A6743" s="5" t="str">
        <f t="shared" ref="A6743:A6751" si="433">TEXT(860,"000")</f>
        <v>860</v>
      </c>
      <c r="B6743" s="5" t="str">
        <f>TEXT(0,"00")</f>
        <v>00</v>
      </c>
      <c r="C6743" s="1"/>
      <c r="D6743" s="2" t="s">
        <v>6715</v>
      </c>
    </row>
    <row r="6744" spans="1:7" x14ac:dyDescent="0.25">
      <c r="A6744" s="1" t="str">
        <f t="shared" si="433"/>
        <v>860</v>
      </c>
      <c r="B6744" s="1" t="str">
        <f>TEXT(20,"00")</f>
        <v>20</v>
      </c>
      <c r="C6744" s="1" t="str">
        <f t="shared" si="430"/>
        <v>860-20</v>
      </c>
      <c r="D6744" t="s">
        <v>6716</v>
      </c>
      <c r="E6744" t="b">
        <f>IF(COUNTIF(D6744,"*"&amp;'Keyword Search'!$C$5&amp;"*"),TRUE,FALSE)</f>
        <v>1</v>
      </c>
      <c r="G6744" t="str">
        <f t="shared" si="432"/>
        <v>860-20: Coupon Books</v>
      </c>
    </row>
    <row r="6745" spans="1:7" x14ac:dyDescent="0.25">
      <c r="A6745" s="1" t="str">
        <f t="shared" si="433"/>
        <v>860</v>
      </c>
      <c r="B6745" s="1" t="str">
        <f>TEXT(30,"00")</f>
        <v>30</v>
      </c>
      <c r="C6745" s="1" t="str">
        <f t="shared" si="430"/>
        <v>860-30</v>
      </c>
      <c r="D6745" t="s">
        <v>6717</v>
      </c>
      <c r="E6745" t="b">
        <f>IF(COUNTIF(D6745,"*"&amp;'Keyword Search'!$C$5&amp;"*"),TRUE,FALSE)</f>
        <v>1</v>
      </c>
      <c r="G6745" t="str">
        <f t="shared" si="432"/>
        <v>860-30: Dispensing Machines and Collection Boxes for Tickets, etc.</v>
      </c>
    </row>
    <row r="6746" spans="1:7" x14ac:dyDescent="0.25">
      <c r="A6746" s="1" t="str">
        <f t="shared" si="433"/>
        <v>860</v>
      </c>
      <c r="B6746" s="1" t="str">
        <f>TEXT(40,"00")</f>
        <v>40</v>
      </c>
      <c r="C6746" s="1" t="str">
        <f t="shared" si="430"/>
        <v>860-40</v>
      </c>
      <c r="D6746" t="s">
        <v>6718</v>
      </c>
      <c r="E6746" t="b">
        <f>IF(COUNTIF(D6746,"*"&amp;'Keyword Search'!$C$5&amp;"*"),TRUE,FALSE)</f>
        <v>1</v>
      </c>
      <c r="G6746" t="str">
        <f t="shared" si="432"/>
        <v>860-40: Sales Books</v>
      </c>
    </row>
    <row r="6747" spans="1:7" x14ac:dyDescent="0.25">
      <c r="A6747" s="1" t="str">
        <f t="shared" si="433"/>
        <v>860</v>
      </c>
      <c r="B6747" s="1" t="str">
        <f>TEXT(50,"00")</f>
        <v>50</v>
      </c>
      <c r="C6747" s="1" t="str">
        <f t="shared" si="430"/>
        <v>860-50</v>
      </c>
      <c r="D6747" t="s">
        <v>6719</v>
      </c>
      <c r="E6747" t="b">
        <f>IF(COUNTIF(D6747,"*"&amp;'Keyword Search'!$C$5&amp;"*"),TRUE,FALSE)</f>
        <v>1</v>
      </c>
      <c r="G6747" t="str">
        <f t="shared" si="432"/>
        <v>860-50: Strip Books</v>
      </c>
    </row>
    <row r="6748" spans="1:7" x14ac:dyDescent="0.25">
      <c r="A6748" s="1" t="str">
        <f t="shared" si="433"/>
        <v>860</v>
      </c>
      <c r="B6748" s="1" t="str">
        <f>TEXT(70,"00")</f>
        <v>70</v>
      </c>
      <c r="C6748" s="1" t="str">
        <f t="shared" si="430"/>
        <v>860-70</v>
      </c>
      <c r="D6748" t="s">
        <v>6720</v>
      </c>
      <c r="E6748" t="b">
        <f>IF(COUNTIF(D6748,"*"&amp;'Keyword Search'!$C$5&amp;"*"),TRUE,FALSE)</f>
        <v>1</v>
      </c>
      <c r="G6748" t="str">
        <f t="shared" si="432"/>
        <v>860-70: Tickets, Reserved Type</v>
      </c>
    </row>
    <row r="6749" spans="1:7" x14ac:dyDescent="0.25">
      <c r="A6749" s="1" t="str">
        <f t="shared" si="433"/>
        <v>860</v>
      </c>
      <c r="B6749" s="1" t="str">
        <f>TEXT(75,"00")</f>
        <v>75</v>
      </c>
      <c r="C6749" s="1" t="str">
        <f t="shared" si="430"/>
        <v>860-75</v>
      </c>
      <c r="D6749" t="s">
        <v>6721</v>
      </c>
      <c r="E6749" t="b">
        <f>IF(COUNTIF(D6749,"*"&amp;'Keyword Search'!$C$5&amp;"*"),TRUE,FALSE)</f>
        <v>1</v>
      </c>
      <c r="G6749" t="str">
        <f t="shared" si="432"/>
        <v>860-75: Tickets, Roll Type</v>
      </c>
    </row>
    <row r="6750" spans="1:7" x14ac:dyDescent="0.25">
      <c r="A6750" s="1" t="str">
        <f t="shared" si="433"/>
        <v>860</v>
      </c>
      <c r="B6750" s="1" t="str">
        <f>TEXT(76,"00")</f>
        <v>76</v>
      </c>
      <c r="C6750" s="1" t="str">
        <f t="shared" si="430"/>
        <v>860-76</v>
      </c>
      <c r="D6750" t="s">
        <v>6722</v>
      </c>
      <c r="E6750" t="b">
        <f>IF(COUNTIF(D6750,"*"&amp;'Keyword Search'!$C$5&amp;"*"),TRUE,FALSE)</f>
        <v>1</v>
      </c>
      <c r="G6750" t="str">
        <f t="shared" si="432"/>
        <v>860-76: Tickets, Spitter</v>
      </c>
    </row>
    <row r="6751" spans="1:7" x14ac:dyDescent="0.25">
      <c r="A6751" s="1" t="str">
        <f t="shared" si="433"/>
        <v>860</v>
      </c>
      <c r="B6751" s="1" t="str">
        <f>TEXT(95,"00")</f>
        <v>95</v>
      </c>
      <c r="C6751" s="1" t="str">
        <f t="shared" si="430"/>
        <v>860-95</v>
      </c>
      <c r="D6751" t="s">
        <v>6723</v>
      </c>
      <c r="E6751" t="b">
        <f>IF(COUNTIF(D6751,"*"&amp;'Keyword Search'!$C$5&amp;"*"),TRUE,FALSE)</f>
        <v>1</v>
      </c>
      <c r="G6751" t="str">
        <f t="shared" si="432"/>
        <v>860-95: Recycled Tickets, Coupon Books, Sales Books and Strip Books</v>
      </c>
    </row>
    <row r="6752" spans="1:7" x14ac:dyDescent="0.25">
      <c r="A6752" s="5" t="str">
        <f t="shared" ref="A6752:A6764" si="434">TEXT(863,"000")</f>
        <v>863</v>
      </c>
      <c r="B6752" s="5" t="str">
        <f>TEXT(0,"00")</f>
        <v>00</v>
      </c>
      <c r="C6752" s="1"/>
      <c r="D6752" s="2" t="s">
        <v>6724</v>
      </c>
    </row>
    <row r="6753" spans="1:7" x14ac:dyDescent="0.25">
      <c r="A6753" s="1" t="str">
        <f t="shared" si="434"/>
        <v>863</v>
      </c>
      <c r="B6753" s="1" t="str">
        <f>TEXT(3,"00")</f>
        <v>03</v>
      </c>
      <c r="C6753" s="1" t="str">
        <f t="shared" si="430"/>
        <v>863-03</v>
      </c>
      <c r="D6753" t="s">
        <v>6725</v>
      </c>
      <c r="E6753" t="b">
        <f>IF(COUNTIF(D6753,"*"&amp;'Keyword Search'!$C$5&amp;"*"),TRUE,FALSE)</f>
        <v>1</v>
      </c>
      <c r="G6753" t="str">
        <f t="shared" si="432"/>
        <v>863-03: Tires and Tubes, Aircraft</v>
      </c>
    </row>
    <row r="6754" spans="1:7" x14ac:dyDescent="0.25">
      <c r="A6754" s="1" t="str">
        <f t="shared" si="434"/>
        <v>863</v>
      </c>
      <c r="B6754" s="1" t="str">
        <f>TEXT(5,"00")</f>
        <v>05</v>
      </c>
      <c r="C6754" s="1" t="str">
        <f t="shared" si="430"/>
        <v>863-05</v>
      </c>
      <c r="D6754" t="s">
        <v>6726</v>
      </c>
      <c r="E6754" t="b">
        <f>IF(COUNTIF(D6754,"*"&amp;'Keyword Search'!$C$5&amp;"*"),TRUE,FALSE)</f>
        <v>1</v>
      </c>
      <c r="G6754" t="str">
        <f t="shared" si="432"/>
        <v>863-05: Tires and Tubes, Passenger Vehicles</v>
      </c>
    </row>
    <row r="6755" spans="1:7" x14ac:dyDescent="0.25">
      <c r="A6755" s="1" t="str">
        <f t="shared" si="434"/>
        <v>863</v>
      </c>
      <c r="B6755" s="1" t="str">
        <f>TEXT(6,"00")</f>
        <v>06</v>
      </c>
      <c r="C6755" s="1" t="str">
        <f t="shared" si="430"/>
        <v>863-06</v>
      </c>
      <c r="D6755" t="s">
        <v>6727</v>
      </c>
      <c r="E6755" t="b">
        <f>IF(COUNTIF(D6755,"*"&amp;'Keyword Search'!$C$5&amp;"*"),TRUE,FALSE)</f>
        <v>1</v>
      </c>
      <c r="G6755" t="str">
        <f t="shared" si="432"/>
        <v>863-06: Tires and Tubes, Motorcycle</v>
      </c>
    </row>
    <row r="6756" spans="1:7" x14ac:dyDescent="0.25">
      <c r="A6756" s="1" t="str">
        <f t="shared" si="434"/>
        <v>863</v>
      </c>
      <c r="B6756" s="1" t="str">
        <f>TEXT(7,"00")</f>
        <v>07</v>
      </c>
      <c r="C6756" s="1" t="str">
        <f t="shared" si="430"/>
        <v>863-07</v>
      </c>
      <c r="D6756" t="s">
        <v>6728</v>
      </c>
      <c r="E6756" t="b">
        <f>IF(COUNTIF(D6756,"*"&amp;'Keyword Search'!$C$5&amp;"*"),TRUE,FALSE)</f>
        <v>1</v>
      </c>
      <c r="G6756" t="str">
        <f t="shared" si="432"/>
        <v>863-07: Tires and Tubes, Light Trucks</v>
      </c>
    </row>
    <row r="6757" spans="1:7" x14ac:dyDescent="0.25">
      <c r="A6757" s="1" t="str">
        <f t="shared" si="434"/>
        <v>863</v>
      </c>
      <c r="B6757" s="1" t="str">
        <f>TEXT(10,"00")</f>
        <v>10</v>
      </c>
      <c r="C6757" s="1" t="str">
        <f t="shared" si="430"/>
        <v>863-10</v>
      </c>
      <c r="D6757" t="s">
        <v>6729</v>
      </c>
      <c r="E6757" t="b">
        <f>IF(COUNTIF(D6757,"*"&amp;'Keyword Search'!$C$5&amp;"*"),TRUE,FALSE)</f>
        <v>1</v>
      </c>
      <c r="G6757" t="str">
        <f t="shared" si="432"/>
        <v>863-10: Tires and Tubes, Medium Truck and Bus</v>
      </c>
    </row>
    <row r="6758" spans="1:7" x14ac:dyDescent="0.25">
      <c r="A6758" s="1" t="str">
        <f t="shared" si="434"/>
        <v>863</v>
      </c>
      <c r="B6758" s="1" t="str">
        <f>TEXT(15,"00")</f>
        <v>15</v>
      </c>
      <c r="C6758" s="1" t="str">
        <f t="shared" si="430"/>
        <v>863-15</v>
      </c>
      <c r="D6758" t="s">
        <v>6730</v>
      </c>
      <c r="E6758" t="b">
        <f>IF(COUNTIF(D6758,"*"&amp;'Keyword Search'!$C$5&amp;"*"),TRUE,FALSE)</f>
        <v>1</v>
      </c>
      <c r="G6758" t="str">
        <f t="shared" si="432"/>
        <v>863-15: Tires and Tubes, Off-Road Equipment</v>
      </c>
    </row>
    <row r="6759" spans="1:7" x14ac:dyDescent="0.25">
      <c r="A6759" s="1" t="str">
        <f t="shared" si="434"/>
        <v>863</v>
      </c>
      <c r="B6759" s="1" t="str">
        <f>TEXT(20,"00")</f>
        <v>20</v>
      </c>
      <c r="C6759" s="1" t="str">
        <f t="shared" si="430"/>
        <v>863-20</v>
      </c>
      <c r="D6759" t="s">
        <v>6731</v>
      </c>
      <c r="E6759" t="b">
        <f>IF(COUNTIF(D6759,"*"&amp;'Keyword Search'!$C$5&amp;"*"),TRUE,FALSE)</f>
        <v>1</v>
      </c>
      <c r="G6759" t="str">
        <f t="shared" si="432"/>
        <v>863-20: Tires and Tubes, Farm Tractor and Implement</v>
      </c>
    </row>
    <row r="6760" spans="1:7" x14ac:dyDescent="0.25">
      <c r="A6760" s="1" t="str">
        <f t="shared" si="434"/>
        <v>863</v>
      </c>
      <c r="B6760" s="1" t="str">
        <f>TEXT(25,"00")</f>
        <v>25</v>
      </c>
      <c r="C6760" s="1" t="str">
        <f t="shared" si="430"/>
        <v>863-25</v>
      </c>
      <c r="D6760" t="s">
        <v>6732</v>
      </c>
      <c r="E6760" t="b">
        <f>IF(COUNTIF(D6760,"*"&amp;'Keyword Search'!$C$5&amp;"*"),TRUE,FALSE)</f>
        <v>1</v>
      </c>
      <c r="G6760" t="str">
        <f t="shared" si="432"/>
        <v>863-25: Tires and Tubes, Industrial</v>
      </c>
    </row>
    <row r="6761" spans="1:7" x14ac:dyDescent="0.25">
      <c r="A6761" s="1" t="str">
        <f t="shared" si="434"/>
        <v>863</v>
      </c>
      <c r="B6761" s="1" t="str">
        <f>TEXT(30,"00")</f>
        <v>30</v>
      </c>
      <c r="C6761" s="1" t="str">
        <f t="shared" si="430"/>
        <v>863-30</v>
      </c>
      <c r="D6761" t="s">
        <v>6733</v>
      </c>
      <c r="E6761" t="b">
        <f>IF(COUNTIF(D6761,"*"&amp;'Keyword Search'!$C$5&amp;"*"),TRUE,FALSE)</f>
        <v>1</v>
      </c>
      <c r="G6761" t="str">
        <f t="shared" si="432"/>
        <v>863-30: Tires and Tubes, Misc. (Not Otherwise Classified)</v>
      </c>
    </row>
    <row r="6762" spans="1:7" x14ac:dyDescent="0.25">
      <c r="A6762" s="1" t="str">
        <f t="shared" si="434"/>
        <v>863</v>
      </c>
      <c r="B6762" s="1" t="str">
        <f>TEXT(42,"00")</f>
        <v>42</v>
      </c>
      <c r="C6762" s="1" t="str">
        <f t="shared" si="430"/>
        <v>863-42</v>
      </c>
      <c r="D6762" t="s">
        <v>6734</v>
      </c>
      <c r="E6762" t="b">
        <f>IF(COUNTIF(D6762,"*"&amp;'Keyword Search'!$C$5&amp;"*"),TRUE,FALSE)</f>
        <v>1</v>
      </c>
      <c r="G6762" t="str">
        <f t="shared" si="432"/>
        <v>863-42: Flaps and O-Rings, Tire</v>
      </c>
    </row>
    <row r="6763" spans="1:7" x14ac:dyDescent="0.25">
      <c r="A6763" s="1" t="str">
        <f t="shared" si="434"/>
        <v>863</v>
      </c>
      <c r="B6763" s="1" t="str">
        <f>TEXT(65,"00")</f>
        <v>65</v>
      </c>
      <c r="C6763" s="1" t="str">
        <f t="shared" si="430"/>
        <v>863-65</v>
      </c>
      <c r="D6763" t="s">
        <v>6735</v>
      </c>
      <c r="E6763" t="b">
        <f>IF(COUNTIF(D6763,"*"&amp;'Keyword Search'!$C$5&amp;"*"),TRUE,FALSE)</f>
        <v>1</v>
      </c>
      <c r="G6763" t="str">
        <f t="shared" si="432"/>
        <v>863-65: Recapped and Retreaded Tires (See Class 928 if Recapping and Retreading Own Tires as a Service)</v>
      </c>
    </row>
    <row r="6764" spans="1:7" x14ac:dyDescent="0.25">
      <c r="A6764" s="1" t="str">
        <f t="shared" si="434"/>
        <v>863</v>
      </c>
      <c r="B6764" s="1" t="str">
        <f>TEXT(95,"00")</f>
        <v>95</v>
      </c>
      <c r="C6764" s="1" t="str">
        <f t="shared" si="430"/>
        <v>863-95</v>
      </c>
      <c r="D6764" t="s">
        <v>6736</v>
      </c>
      <c r="E6764" t="b">
        <f>IF(COUNTIF(D6764,"*"&amp;'Keyword Search'!$C$5&amp;"*"),TRUE,FALSE)</f>
        <v>1</v>
      </c>
      <c r="G6764" t="str">
        <f t="shared" si="432"/>
        <v>863-95: Recycled Tires and Tubes</v>
      </c>
    </row>
    <row r="6765" spans="1:7" x14ac:dyDescent="0.25">
      <c r="A6765" s="5" t="str">
        <f t="shared" ref="A6765:A6774" si="435">TEXT(864,"000")</f>
        <v>864</v>
      </c>
      <c r="B6765" s="5" t="str">
        <f>TEXT(0,"00")</f>
        <v>00</v>
      </c>
      <c r="C6765" s="1"/>
      <c r="D6765" s="2" t="s">
        <v>6737</v>
      </c>
    </row>
    <row r="6766" spans="1:7" x14ac:dyDescent="0.25">
      <c r="A6766" s="1" t="str">
        <f t="shared" si="435"/>
        <v>864</v>
      </c>
      <c r="B6766" s="1" t="str">
        <f>TEXT(40,"00")</f>
        <v>40</v>
      </c>
      <c r="C6766" s="1" t="str">
        <f t="shared" si="430"/>
        <v>864-40</v>
      </c>
      <c r="D6766" t="s">
        <v>6738</v>
      </c>
      <c r="E6766" t="b">
        <f>IF(COUNTIF(D6766,"*"&amp;'Keyword Search'!$C$5&amp;"*"),TRUE,FALSE)</f>
        <v>1</v>
      </c>
      <c r="G6766" t="str">
        <f t="shared" si="432"/>
        <v>864-40: Mainline Train Controls</v>
      </c>
    </row>
    <row r="6767" spans="1:7" x14ac:dyDescent="0.25">
      <c r="A6767" s="1" t="str">
        <f t="shared" si="435"/>
        <v>864</v>
      </c>
      <c r="B6767" s="1" t="str">
        <f>TEXT(45,"00")</f>
        <v>45</v>
      </c>
      <c r="C6767" s="1" t="str">
        <f t="shared" si="430"/>
        <v>864-45</v>
      </c>
      <c r="D6767" t="s">
        <v>6739</v>
      </c>
      <c r="E6767" t="b">
        <f>IF(COUNTIF(D6767,"*"&amp;'Keyword Search'!$C$5&amp;"*"),TRUE,FALSE)</f>
        <v>1</v>
      </c>
      <c r="G6767" t="str">
        <f t="shared" si="432"/>
        <v>864-45: Mainline Sub-System Controls</v>
      </c>
    </row>
    <row r="6768" spans="1:7" x14ac:dyDescent="0.25">
      <c r="A6768" s="1" t="str">
        <f t="shared" si="435"/>
        <v>864</v>
      </c>
      <c r="B6768" s="1" t="str">
        <f>TEXT(55,"00")</f>
        <v>55</v>
      </c>
      <c r="C6768" s="1" t="str">
        <f t="shared" si="430"/>
        <v>864-55</v>
      </c>
      <c r="D6768" t="s">
        <v>6740</v>
      </c>
      <c r="E6768" t="b">
        <f>IF(COUNTIF(D6768,"*"&amp;'Keyword Search'!$C$5&amp;"*"),TRUE,FALSE)</f>
        <v>1</v>
      </c>
      <c r="G6768" t="str">
        <f t="shared" si="432"/>
        <v>864-55: Miscellaneous Train Controls</v>
      </c>
    </row>
    <row r="6769" spans="1:7" x14ac:dyDescent="0.25">
      <c r="A6769" s="1" t="str">
        <f t="shared" si="435"/>
        <v>864</v>
      </c>
      <c r="B6769" s="1" t="str">
        <f>TEXT(65,"00")</f>
        <v>65</v>
      </c>
      <c r="C6769" s="1" t="str">
        <f t="shared" si="430"/>
        <v>864-65</v>
      </c>
      <c r="D6769" t="s">
        <v>6741</v>
      </c>
      <c r="E6769" t="b">
        <f>IF(COUNTIF(D6769,"*"&amp;'Keyword Search'!$C$5&amp;"*"),TRUE,FALSE)</f>
        <v>1</v>
      </c>
      <c r="G6769" t="str">
        <f t="shared" si="432"/>
        <v>864-65: Operations Control Center</v>
      </c>
    </row>
    <row r="6770" spans="1:7" x14ac:dyDescent="0.25">
      <c r="A6770" s="1" t="str">
        <f t="shared" si="435"/>
        <v>864</v>
      </c>
      <c r="B6770" s="1" t="str">
        <f>TEXT(73,"00")</f>
        <v>73</v>
      </c>
      <c r="C6770" s="1" t="str">
        <f t="shared" si="430"/>
        <v>864-73</v>
      </c>
      <c r="D6770" t="s">
        <v>6742</v>
      </c>
      <c r="E6770" t="b">
        <f>IF(COUNTIF(D6770,"*"&amp;'Keyword Search'!$C$5&amp;"*"),TRUE,FALSE)</f>
        <v>1</v>
      </c>
      <c r="G6770" t="str">
        <f t="shared" si="432"/>
        <v>864-73: Recycled Train Controls</v>
      </c>
    </row>
    <row r="6771" spans="1:7" x14ac:dyDescent="0.25">
      <c r="A6771" s="1" t="str">
        <f t="shared" si="435"/>
        <v>864</v>
      </c>
      <c r="B6771" s="1" t="str">
        <f>TEXT(80,"00")</f>
        <v>80</v>
      </c>
      <c r="C6771" s="1" t="str">
        <f t="shared" si="430"/>
        <v>864-80</v>
      </c>
      <c r="D6771" t="s">
        <v>6743</v>
      </c>
      <c r="E6771" t="b">
        <f>IF(COUNTIF(D6771,"*"&amp;'Keyword Search'!$C$5&amp;"*"),TRUE,FALSE)</f>
        <v>1</v>
      </c>
      <c r="G6771" t="str">
        <f t="shared" si="432"/>
        <v>864-80: Vehicle Train Protection</v>
      </c>
    </row>
    <row r="6772" spans="1:7" x14ac:dyDescent="0.25">
      <c r="A6772" s="1" t="str">
        <f t="shared" si="435"/>
        <v>864</v>
      </c>
      <c r="B6772" s="1" t="str">
        <f>TEXT(85,"00")</f>
        <v>85</v>
      </c>
      <c r="C6772" s="1" t="str">
        <f t="shared" si="430"/>
        <v>864-85</v>
      </c>
      <c r="D6772" t="s">
        <v>6744</v>
      </c>
      <c r="E6772" t="b">
        <f>IF(COUNTIF(D6772,"*"&amp;'Keyword Search'!$C$5&amp;"*"),TRUE,FALSE)</f>
        <v>1</v>
      </c>
      <c r="G6772" t="str">
        <f t="shared" si="432"/>
        <v>864-85: Vital Relays</v>
      </c>
    </row>
    <row r="6773" spans="1:7" x14ac:dyDescent="0.25">
      <c r="A6773" s="1" t="str">
        <f t="shared" si="435"/>
        <v>864</v>
      </c>
      <c r="B6773" s="1" t="str">
        <f>TEXT(90,"00")</f>
        <v>90</v>
      </c>
      <c r="C6773" s="1" t="str">
        <f t="shared" si="430"/>
        <v>864-90</v>
      </c>
      <c r="D6773" t="s">
        <v>6745</v>
      </c>
      <c r="E6773" t="b">
        <f>IF(COUNTIF(D6773,"*"&amp;'Keyword Search'!$C$5&amp;"*"),TRUE,FALSE)</f>
        <v>1</v>
      </c>
      <c r="G6773" t="str">
        <f t="shared" si="432"/>
        <v>864-90: Yard Train Controls</v>
      </c>
    </row>
    <row r="6774" spans="1:7" x14ac:dyDescent="0.25">
      <c r="A6774" s="1" t="str">
        <f t="shared" si="435"/>
        <v>864</v>
      </c>
      <c r="B6774" s="1" t="str">
        <f>TEXT(95,"00")</f>
        <v>95</v>
      </c>
      <c r="C6774" s="1" t="str">
        <f t="shared" si="430"/>
        <v>864-95</v>
      </c>
      <c r="D6774" t="s">
        <v>6746</v>
      </c>
      <c r="E6774" t="b">
        <f>IF(COUNTIF(D6774,"*"&amp;'Keyword Search'!$C$5&amp;"*"),TRUE,FALSE)</f>
        <v>1</v>
      </c>
      <c r="G6774" t="str">
        <f t="shared" si="432"/>
        <v>864-95: Yard Sub-System Controls</v>
      </c>
    </row>
    <row r="6775" spans="1:7" x14ac:dyDescent="0.25">
      <c r="A6775" s="5" t="str">
        <f t="shared" ref="A6775:A6787" si="436">TEXT(865,"000")</f>
        <v>865</v>
      </c>
      <c r="B6775" s="5" t="str">
        <f>TEXT(0,"00")</f>
        <v>00</v>
      </c>
      <c r="C6775" s="1"/>
      <c r="D6775" s="2" t="s">
        <v>6747</v>
      </c>
    </row>
    <row r="6776" spans="1:7" x14ac:dyDescent="0.25">
      <c r="A6776" s="1" t="str">
        <f t="shared" si="436"/>
        <v>865</v>
      </c>
      <c r="B6776" s="1" t="str">
        <f>TEXT(20,"00")</f>
        <v>20</v>
      </c>
      <c r="C6776" s="1" t="str">
        <f t="shared" si="430"/>
        <v>865-20</v>
      </c>
      <c r="D6776" t="s">
        <v>6748</v>
      </c>
      <c r="E6776" t="b">
        <f>IF(COUNTIF(D6776,"*"&amp;'Keyword Search'!$C$5&amp;"*"),TRUE,FALSE)</f>
        <v>1</v>
      </c>
      <c r="G6776" t="str">
        <f t="shared" si="432"/>
        <v>865-20: Cotton Twine</v>
      </c>
    </row>
    <row r="6777" spans="1:7" x14ac:dyDescent="0.25">
      <c r="A6777" s="1" t="str">
        <f t="shared" si="436"/>
        <v>865</v>
      </c>
      <c r="B6777" s="1" t="str">
        <f>TEXT(30,"00")</f>
        <v>30</v>
      </c>
      <c r="C6777" s="1" t="str">
        <f t="shared" si="430"/>
        <v>865-30</v>
      </c>
      <c r="D6777" t="s">
        <v>6749</v>
      </c>
      <c r="E6777" t="b">
        <f>IF(COUNTIF(D6777,"*"&amp;'Keyword Search'!$C$5&amp;"*"),TRUE,FALSE)</f>
        <v>1</v>
      </c>
      <c r="G6777" t="str">
        <f t="shared" si="432"/>
        <v>865-30: Hay Baler Twine</v>
      </c>
    </row>
    <row r="6778" spans="1:7" x14ac:dyDescent="0.25">
      <c r="A6778" s="1" t="str">
        <f t="shared" si="436"/>
        <v>865</v>
      </c>
      <c r="B6778" s="1" t="str">
        <f>TEXT(35,"00")</f>
        <v>35</v>
      </c>
      <c r="C6778" s="1" t="str">
        <f t="shared" si="430"/>
        <v>865-35</v>
      </c>
      <c r="D6778" t="s">
        <v>6750</v>
      </c>
      <c r="E6778" t="b">
        <f>IF(COUNTIF(D6778,"*"&amp;'Keyword Search'!$C$5&amp;"*"),TRUE,FALSE)</f>
        <v>1</v>
      </c>
      <c r="G6778" t="str">
        <f t="shared" si="432"/>
        <v>865-35: Hemp Twine</v>
      </c>
    </row>
    <row r="6779" spans="1:7" x14ac:dyDescent="0.25">
      <c r="A6779" s="1" t="str">
        <f t="shared" si="436"/>
        <v>865</v>
      </c>
      <c r="B6779" s="1" t="str">
        <f>TEXT(40,"00")</f>
        <v>40</v>
      </c>
      <c r="C6779" s="1" t="str">
        <f t="shared" si="430"/>
        <v>865-40</v>
      </c>
      <c r="D6779" t="s">
        <v>6751</v>
      </c>
      <c r="E6779" t="b">
        <f>IF(COUNTIF(D6779,"*"&amp;'Keyword Search'!$C$5&amp;"*"),TRUE,FALSE)</f>
        <v>1</v>
      </c>
      <c r="G6779" t="str">
        <f t="shared" si="432"/>
        <v>865-40: Jute Twine</v>
      </c>
    </row>
    <row r="6780" spans="1:7" x14ac:dyDescent="0.25">
      <c r="A6780" s="1" t="str">
        <f t="shared" si="436"/>
        <v>865</v>
      </c>
      <c r="B6780" s="1" t="str">
        <f>TEXT(50,"00")</f>
        <v>50</v>
      </c>
      <c r="C6780" s="1" t="str">
        <f t="shared" si="430"/>
        <v>865-50</v>
      </c>
      <c r="D6780" t="s">
        <v>6752</v>
      </c>
      <c r="E6780" t="b">
        <f>IF(COUNTIF(D6780,"*"&amp;'Keyword Search'!$C$5&amp;"*"),TRUE,FALSE)</f>
        <v>1</v>
      </c>
      <c r="G6780" t="str">
        <f t="shared" si="432"/>
        <v>865-50: Linen Twine</v>
      </c>
    </row>
    <row r="6781" spans="1:7" x14ac:dyDescent="0.25">
      <c r="A6781" s="1" t="str">
        <f t="shared" si="436"/>
        <v>865</v>
      </c>
      <c r="B6781" s="1" t="str">
        <f>TEXT(55,"00")</f>
        <v>55</v>
      </c>
      <c r="C6781" s="1" t="str">
        <f t="shared" si="430"/>
        <v>865-55</v>
      </c>
      <c r="D6781" t="s">
        <v>6753</v>
      </c>
      <c r="E6781" t="b">
        <f>IF(COUNTIF(D6781,"*"&amp;'Keyword Search'!$C$5&amp;"*"),TRUE,FALSE)</f>
        <v>1</v>
      </c>
      <c r="G6781" t="str">
        <f t="shared" si="432"/>
        <v>865-55: Marline Twine</v>
      </c>
    </row>
    <row r="6782" spans="1:7" x14ac:dyDescent="0.25">
      <c r="A6782" s="1" t="str">
        <f t="shared" si="436"/>
        <v>865</v>
      </c>
      <c r="B6782" s="1" t="str">
        <f>TEXT(60,"00")</f>
        <v>60</v>
      </c>
      <c r="C6782" s="1" t="str">
        <f t="shared" si="430"/>
        <v>865-60</v>
      </c>
      <c r="D6782" t="s">
        <v>6754</v>
      </c>
      <c r="E6782" t="b">
        <f>IF(COUNTIF(D6782,"*"&amp;'Keyword Search'!$C$5&amp;"*"),TRUE,FALSE)</f>
        <v>1</v>
      </c>
      <c r="G6782" t="str">
        <f t="shared" si="432"/>
        <v>865-60: Nylon Twine</v>
      </c>
    </row>
    <row r="6783" spans="1:7" x14ac:dyDescent="0.25">
      <c r="A6783" s="1" t="str">
        <f t="shared" si="436"/>
        <v>865</v>
      </c>
      <c r="B6783" s="1" t="str">
        <f>TEXT(65,"00")</f>
        <v>65</v>
      </c>
      <c r="C6783" s="1" t="str">
        <f t="shared" si="430"/>
        <v>865-65</v>
      </c>
      <c r="D6783" t="s">
        <v>6755</v>
      </c>
      <c r="E6783" t="b">
        <f>IF(COUNTIF(D6783,"*"&amp;'Keyword Search'!$C$5&amp;"*"),TRUE,FALSE)</f>
        <v>1</v>
      </c>
      <c r="G6783" t="str">
        <f t="shared" si="432"/>
        <v>865-65: Polyester and Polypropylene Twine</v>
      </c>
    </row>
    <row r="6784" spans="1:7" x14ac:dyDescent="0.25">
      <c r="A6784" s="1" t="str">
        <f t="shared" si="436"/>
        <v>865</v>
      </c>
      <c r="B6784" s="1" t="str">
        <f>TEXT(68,"00")</f>
        <v>68</v>
      </c>
      <c r="C6784" s="1" t="str">
        <f t="shared" si="430"/>
        <v>865-68</v>
      </c>
      <c r="D6784" t="s">
        <v>6756</v>
      </c>
      <c r="E6784" t="b">
        <f>IF(COUNTIF(D6784,"*"&amp;'Keyword Search'!$C$5&amp;"*"),TRUE,FALSE)</f>
        <v>1</v>
      </c>
      <c r="G6784" t="str">
        <f t="shared" si="432"/>
        <v>865-68: Seine Twine</v>
      </c>
    </row>
    <row r="6785" spans="1:7" x14ac:dyDescent="0.25">
      <c r="A6785" s="1" t="str">
        <f t="shared" si="436"/>
        <v>865</v>
      </c>
      <c r="B6785" s="1" t="str">
        <f>TEXT(70,"00")</f>
        <v>70</v>
      </c>
      <c r="C6785" s="1" t="str">
        <f t="shared" si="430"/>
        <v>865-70</v>
      </c>
      <c r="D6785" t="s">
        <v>6757</v>
      </c>
      <c r="E6785" t="b">
        <f>IF(COUNTIF(D6785,"*"&amp;'Keyword Search'!$C$5&amp;"*"),TRUE,FALSE)</f>
        <v>1</v>
      </c>
      <c r="G6785" t="str">
        <f t="shared" si="432"/>
        <v>865-70: Sisal Twine, Including Binder Twine</v>
      </c>
    </row>
    <row r="6786" spans="1:7" x14ac:dyDescent="0.25">
      <c r="A6786" s="1" t="str">
        <f t="shared" si="436"/>
        <v>865</v>
      </c>
      <c r="B6786" s="1" t="str">
        <f>TEXT(75,"00")</f>
        <v>75</v>
      </c>
      <c r="C6786" s="1" t="str">
        <f t="shared" si="430"/>
        <v>865-75</v>
      </c>
      <c r="D6786" t="s">
        <v>6758</v>
      </c>
      <c r="E6786" t="b">
        <f>IF(COUNTIF(D6786,"*"&amp;'Keyword Search'!$C$5&amp;"*"),TRUE,FALSE)</f>
        <v>1</v>
      </c>
      <c r="G6786" t="str">
        <f t="shared" si="432"/>
        <v>865-75: String, All Types: Kite, Mailing, Pull, etc.</v>
      </c>
    </row>
    <row r="6787" spans="1:7" x14ac:dyDescent="0.25">
      <c r="A6787" s="1" t="str">
        <f t="shared" si="436"/>
        <v>865</v>
      </c>
      <c r="B6787" s="1" t="str">
        <f>TEXT(95,"00")</f>
        <v>95</v>
      </c>
      <c r="C6787" s="1" t="str">
        <f t="shared" ref="C6787:C6850" si="437">CONCATENATE(A6787,"-",B6787)</f>
        <v>865-95</v>
      </c>
      <c r="D6787" t="s">
        <v>6759</v>
      </c>
      <c r="E6787" t="b">
        <f>IF(COUNTIF(D6787,"*"&amp;'Keyword Search'!$C$5&amp;"*"),TRUE,FALSE)</f>
        <v>1</v>
      </c>
      <c r="G6787" t="str">
        <f t="shared" si="432"/>
        <v>865-95: Recycled Twine and String</v>
      </c>
    </row>
    <row r="6788" spans="1:7" x14ac:dyDescent="0.25">
      <c r="A6788" s="5" t="str">
        <f t="shared" ref="A6788:A6802" si="438">TEXT(870,"000")</f>
        <v>870</v>
      </c>
      <c r="B6788" s="5" t="str">
        <f>TEXT(0,"00")</f>
        <v>00</v>
      </c>
      <c r="C6788" s="1"/>
      <c r="D6788" s="2" t="s">
        <v>6760</v>
      </c>
    </row>
    <row r="6789" spans="1:7" x14ac:dyDescent="0.25">
      <c r="A6789" s="1" t="str">
        <f t="shared" si="438"/>
        <v>870</v>
      </c>
      <c r="B6789" s="1" t="str">
        <f>TEXT(10,"00")</f>
        <v>10</v>
      </c>
      <c r="C6789" s="1" t="str">
        <f t="shared" si="437"/>
        <v>870-10</v>
      </c>
      <c r="D6789" t="s">
        <v>6761</v>
      </c>
      <c r="E6789" t="b">
        <f>IF(COUNTIF(D6789,"*"&amp;'Keyword Search'!$C$5&amp;"*"),TRUE,FALSE)</f>
        <v>1</v>
      </c>
      <c r="G6789" t="str">
        <f t="shared" ref="G6789:G6851" si="439">CONCATENATE(C6789,": ",D6789)</f>
        <v>870-10: Awnings, Cloth</v>
      </c>
    </row>
    <row r="6790" spans="1:7" x14ac:dyDescent="0.25">
      <c r="A6790" s="1" t="str">
        <f t="shared" si="438"/>
        <v>870</v>
      </c>
      <c r="B6790" s="1" t="str">
        <f>TEXT(20,"00")</f>
        <v>20</v>
      </c>
      <c r="C6790" s="1" t="str">
        <f t="shared" si="437"/>
        <v>870-20</v>
      </c>
      <c r="D6790" t="s">
        <v>6762</v>
      </c>
      <c r="E6790" t="b">
        <f>IF(COUNTIF(D6790,"*"&amp;'Keyword Search'!$C$5&amp;"*"),TRUE,FALSE)</f>
        <v>1</v>
      </c>
      <c r="G6790" t="str">
        <f t="shared" si="439"/>
        <v>870-20: Awnings, Metal and Wood</v>
      </c>
    </row>
    <row r="6791" spans="1:7" x14ac:dyDescent="0.25">
      <c r="A6791" s="1" t="str">
        <f t="shared" si="438"/>
        <v>870</v>
      </c>
      <c r="B6791" s="1" t="str">
        <f>TEXT(22,"00")</f>
        <v>22</v>
      </c>
      <c r="C6791" s="1" t="str">
        <f t="shared" si="437"/>
        <v>870-22</v>
      </c>
      <c r="D6791" t="s">
        <v>6763</v>
      </c>
      <c r="E6791" t="b">
        <f>IF(COUNTIF(D6791,"*"&amp;'Keyword Search'!$C$5&amp;"*"),TRUE,FALSE)</f>
        <v>1</v>
      </c>
      <c r="G6791" t="str">
        <f t="shared" si="439"/>
        <v>870-22: Awnings, Vinyl</v>
      </c>
    </row>
    <row r="6792" spans="1:7" x14ac:dyDescent="0.25">
      <c r="A6792" s="1" t="str">
        <f t="shared" si="438"/>
        <v>870</v>
      </c>
      <c r="B6792" s="1" t="str">
        <f>TEXT(25,"00")</f>
        <v>25</v>
      </c>
      <c r="C6792" s="1" t="str">
        <f t="shared" si="437"/>
        <v>870-25</v>
      </c>
      <c r="D6792" t="s">
        <v>6764</v>
      </c>
      <c r="E6792" t="b">
        <f>IF(COUNTIF(D6792,"*"&amp;'Keyword Search'!$C$5&amp;"*"),TRUE,FALSE)</f>
        <v>1</v>
      </c>
      <c r="G6792" t="str">
        <f t="shared" si="439"/>
        <v>870-25: Reflective Film, Solar Type Sun Screen</v>
      </c>
    </row>
    <row r="6793" spans="1:7" x14ac:dyDescent="0.25">
      <c r="A6793" s="1" t="str">
        <f t="shared" si="438"/>
        <v>870</v>
      </c>
      <c r="B6793" s="1" t="str">
        <f>TEXT(30,"00")</f>
        <v>30</v>
      </c>
      <c r="C6793" s="1" t="str">
        <f t="shared" si="437"/>
        <v>870-30</v>
      </c>
      <c r="D6793" t="s">
        <v>6765</v>
      </c>
      <c r="E6793" t="b">
        <f>IF(COUNTIF(D6793,"*"&amp;'Keyword Search'!$C$5&amp;"*"),TRUE,FALSE)</f>
        <v>1</v>
      </c>
      <c r="G6793" t="str">
        <f t="shared" si="439"/>
        <v>870-30: Shade Screens, Louvered or Perforated</v>
      </c>
    </row>
    <row r="6794" spans="1:7" x14ac:dyDescent="0.25">
      <c r="A6794" s="1" t="str">
        <f t="shared" si="438"/>
        <v>870</v>
      </c>
      <c r="B6794" s="1" t="str">
        <f>TEXT(35,"00")</f>
        <v>35</v>
      </c>
      <c r="C6794" s="1" t="str">
        <f t="shared" si="437"/>
        <v>870-35</v>
      </c>
      <c r="D6794" t="s">
        <v>6766</v>
      </c>
      <c r="E6794" t="b">
        <f>IF(COUNTIF(D6794,"*"&amp;'Keyword Search'!$C$5&amp;"*"),TRUE,FALSE)</f>
        <v>1</v>
      </c>
      <c r="G6794" t="str">
        <f t="shared" si="439"/>
        <v>870-35: Shutters, Inside and Outside Types</v>
      </c>
    </row>
    <row r="6795" spans="1:7" x14ac:dyDescent="0.25">
      <c r="A6795" s="1" t="str">
        <f t="shared" si="438"/>
        <v>870</v>
      </c>
      <c r="B6795" s="1" t="str">
        <f>TEXT(40,"00")</f>
        <v>40</v>
      </c>
      <c r="C6795" s="1" t="str">
        <f t="shared" si="437"/>
        <v>870-40</v>
      </c>
      <c r="D6795" t="s">
        <v>6767</v>
      </c>
      <c r="E6795" t="b">
        <f>IF(COUNTIF(D6795,"*"&amp;'Keyword Search'!$C$5&amp;"*"),TRUE,FALSE)</f>
        <v>1</v>
      </c>
      <c r="G6795" t="str">
        <f t="shared" si="439"/>
        <v>870-40: Venetian Blinds Cord and Tape</v>
      </c>
    </row>
    <row r="6796" spans="1:7" x14ac:dyDescent="0.25">
      <c r="A6796" s="1" t="str">
        <f t="shared" si="438"/>
        <v>870</v>
      </c>
      <c r="B6796" s="1" t="str">
        <f>TEXT(50,"00")</f>
        <v>50</v>
      </c>
      <c r="C6796" s="1" t="str">
        <f t="shared" si="437"/>
        <v>870-50</v>
      </c>
      <c r="D6796" t="s">
        <v>6768</v>
      </c>
      <c r="E6796" t="b">
        <f>IF(COUNTIF(D6796,"*"&amp;'Keyword Search'!$C$5&amp;"*"),TRUE,FALSE)</f>
        <v>1</v>
      </c>
      <c r="G6796" t="str">
        <f t="shared" si="439"/>
        <v>870-50: Venetian Blinds, Metal, Audio-Visual and Standard</v>
      </c>
    </row>
    <row r="6797" spans="1:7" x14ac:dyDescent="0.25">
      <c r="A6797" s="1" t="str">
        <f t="shared" si="438"/>
        <v>870</v>
      </c>
      <c r="B6797" s="1" t="str">
        <f>TEXT(60,"00")</f>
        <v>60</v>
      </c>
      <c r="C6797" s="1" t="str">
        <f t="shared" si="437"/>
        <v>870-60</v>
      </c>
      <c r="D6797" t="s">
        <v>6769</v>
      </c>
      <c r="E6797" t="b">
        <f>IF(COUNTIF(D6797,"*"&amp;'Keyword Search'!$C$5&amp;"*"),TRUE,FALSE)</f>
        <v>1</v>
      </c>
      <c r="G6797" t="str">
        <f t="shared" si="439"/>
        <v>870-60: Venetian Blinds, Wood</v>
      </c>
    </row>
    <row r="6798" spans="1:7" x14ac:dyDescent="0.25">
      <c r="A6798" s="1" t="str">
        <f t="shared" si="438"/>
        <v>870</v>
      </c>
      <c r="B6798" s="1" t="str">
        <f>TEXT(70,"00")</f>
        <v>70</v>
      </c>
      <c r="C6798" s="1" t="str">
        <f t="shared" si="437"/>
        <v>870-70</v>
      </c>
      <c r="D6798" t="s">
        <v>6770</v>
      </c>
      <c r="E6798" t="b">
        <f>IF(COUNTIF(D6798,"*"&amp;'Keyword Search'!$C$5&amp;"*"),TRUE,FALSE)</f>
        <v>1</v>
      </c>
      <c r="G6798" t="str">
        <f t="shared" si="439"/>
        <v>870-70: Vertical Blinds, All Types</v>
      </c>
    </row>
    <row r="6799" spans="1:7" x14ac:dyDescent="0.25">
      <c r="A6799" s="1" t="str">
        <f t="shared" si="438"/>
        <v>870</v>
      </c>
      <c r="B6799" s="1" t="str">
        <f>TEXT(78,"00")</f>
        <v>78</v>
      </c>
      <c r="C6799" s="1" t="str">
        <f t="shared" si="437"/>
        <v>870-78</v>
      </c>
      <c r="D6799" t="s">
        <v>6771</v>
      </c>
      <c r="E6799" t="b">
        <f>IF(COUNTIF(D6799,"*"&amp;'Keyword Search'!$C$5&amp;"*"),TRUE,FALSE)</f>
        <v>1</v>
      </c>
      <c r="G6799" t="str">
        <f t="shared" si="439"/>
        <v>870-78: Wind Screens, Privacy Screens, etc.</v>
      </c>
    </row>
    <row r="6800" spans="1:7" x14ac:dyDescent="0.25">
      <c r="A6800" s="1" t="str">
        <f t="shared" si="438"/>
        <v>870</v>
      </c>
      <c r="B6800" s="1" t="str">
        <f>TEXT(80,"00")</f>
        <v>80</v>
      </c>
      <c r="C6800" s="1" t="str">
        <f t="shared" si="437"/>
        <v>870-80</v>
      </c>
      <c r="D6800" t="s">
        <v>6772</v>
      </c>
      <c r="E6800" t="b">
        <f>IF(COUNTIF(D6800,"*"&amp;'Keyword Search'!$C$5&amp;"*"),TRUE,FALSE)</f>
        <v>1</v>
      </c>
      <c r="G6800" t="str">
        <f t="shared" si="439"/>
        <v>870-80: Window Shade Cloth</v>
      </c>
    </row>
    <row r="6801" spans="1:7" x14ac:dyDescent="0.25">
      <c r="A6801" s="1" t="str">
        <f t="shared" si="438"/>
        <v>870</v>
      </c>
      <c r="B6801" s="1" t="str">
        <f>TEXT(90,"00")</f>
        <v>90</v>
      </c>
      <c r="C6801" s="1" t="str">
        <f t="shared" si="437"/>
        <v>870-90</v>
      </c>
      <c r="D6801" t="s">
        <v>6773</v>
      </c>
      <c r="E6801" t="b">
        <f>IF(COUNTIF(D6801,"*"&amp;'Keyword Search'!$C$5&amp;"*"),TRUE,FALSE)</f>
        <v>1</v>
      </c>
      <c r="G6801" t="str">
        <f t="shared" si="439"/>
        <v>870-90: Window Shades</v>
      </c>
    </row>
    <row r="6802" spans="1:7" x14ac:dyDescent="0.25">
      <c r="A6802" s="1" t="str">
        <f t="shared" si="438"/>
        <v>870</v>
      </c>
      <c r="B6802" s="1" t="str">
        <f>TEXT(95,"00")</f>
        <v>95</v>
      </c>
      <c r="C6802" s="1" t="str">
        <f t="shared" si="437"/>
        <v>870-95</v>
      </c>
      <c r="D6802" t="s">
        <v>6774</v>
      </c>
      <c r="E6802" t="b">
        <f>IF(COUNTIF(D6802,"*"&amp;'Keyword Search'!$C$5&amp;"*"),TRUE,FALSE)</f>
        <v>1</v>
      </c>
      <c r="G6802" t="str">
        <f t="shared" si="439"/>
        <v>870-95: Recycled Awnings, Venetian and Vertical Blinds, and Shades</v>
      </c>
    </row>
    <row r="6803" spans="1:7" x14ac:dyDescent="0.25">
      <c r="A6803" s="5" t="str">
        <f t="shared" ref="A6803:A6823" si="440">TEXT(875,"000")</f>
        <v>875</v>
      </c>
      <c r="B6803" s="5" t="str">
        <f>TEXT(0,"00")</f>
        <v>00</v>
      </c>
      <c r="C6803" s="1"/>
      <c r="D6803" s="2" t="s">
        <v>6775</v>
      </c>
    </row>
    <row r="6804" spans="1:7" x14ac:dyDescent="0.25">
      <c r="A6804" s="1" t="str">
        <f t="shared" si="440"/>
        <v>875</v>
      </c>
      <c r="B6804" s="1" t="str">
        <f>TEXT(5,"00")</f>
        <v>05</v>
      </c>
      <c r="C6804" s="1" t="str">
        <f t="shared" si="437"/>
        <v>875-05</v>
      </c>
      <c r="D6804" t="s">
        <v>6776</v>
      </c>
      <c r="E6804" t="b">
        <f>IF(COUNTIF(D6804,"*"&amp;'Keyword Search'!$C$5&amp;"*"),TRUE,FALSE)</f>
        <v>1</v>
      </c>
      <c r="G6804" t="str">
        <f t="shared" si="439"/>
        <v>875-05: Anesthesia Equipment: Ventilators, etc., Veterinary</v>
      </c>
    </row>
    <row r="6805" spans="1:7" x14ac:dyDescent="0.25">
      <c r="A6805" s="1" t="str">
        <f t="shared" si="440"/>
        <v>875</v>
      </c>
      <c r="B6805" s="1" t="str">
        <f>TEXT(8,"00")</f>
        <v>08</v>
      </c>
      <c r="C6805" s="1" t="str">
        <f t="shared" si="437"/>
        <v>875-08</v>
      </c>
      <c r="D6805" t="s">
        <v>6777</v>
      </c>
      <c r="E6805" t="b">
        <f>IF(COUNTIF(D6805,"*"&amp;'Keyword Search'!$C$5&amp;"*"),TRUE,FALSE)</f>
        <v>1</v>
      </c>
      <c r="G6805" t="str">
        <f t="shared" si="439"/>
        <v>875-08: Animal Control Equipment: Catching Poles, Muzzles, Restrainers, Shockers, etc.</v>
      </c>
    </row>
    <row r="6806" spans="1:7" x14ac:dyDescent="0.25">
      <c r="A6806" s="1" t="str">
        <f t="shared" si="440"/>
        <v>875</v>
      </c>
      <c r="B6806" s="1" t="str">
        <f>TEXT(9,"00")</f>
        <v>09</v>
      </c>
      <c r="C6806" s="1" t="str">
        <f t="shared" si="437"/>
        <v>875-09</v>
      </c>
      <c r="D6806" t="s">
        <v>6778</v>
      </c>
      <c r="E6806" t="b">
        <f>IF(COUNTIF(D6806,"*"&amp;'Keyword Search'!$C$5&amp;"*"),TRUE,FALSE)</f>
        <v>1</v>
      </c>
      <c r="G6806" t="str">
        <f t="shared" si="439"/>
        <v>875-09: Animal Body Parts, Tissues, Body Fluids, etc., Veterinary</v>
      </c>
    </row>
    <row r="6807" spans="1:7" x14ac:dyDescent="0.25">
      <c r="A6807" s="1" t="str">
        <f t="shared" si="440"/>
        <v>875</v>
      </c>
      <c r="B6807" s="1" t="str">
        <f>TEXT(10,"00")</f>
        <v>10</v>
      </c>
      <c r="C6807" s="1" t="str">
        <f t="shared" si="437"/>
        <v>875-10</v>
      </c>
      <c r="D6807" t="s">
        <v>6779</v>
      </c>
      <c r="E6807" t="b">
        <f>IF(COUNTIF(D6807,"*"&amp;'Keyword Search'!$C$5&amp;"*"),TRUE,FALSE)</f>
        <v>1</v>
      </c>
      <c r="G6807" t="str">
        <f t="shared" si="439"/>
        <v>875-10: Artificial Insemination Equipment, Semen Ejaculation, Freezing, Storage, and Use, Veterinary</v>
      </c>
    </row>
    <row r="6808" spans="1:7" x14ac:dyDescent="0.25">
      <c r="A6808" s="1" t="str">
        <f t="shared" si="440"/>
        <v>875</v>
      </c>
      <c r="B6808" s="1" t="str">
        <f>TEXT(12,"00")</f>
        <v>12</v>
      </c>
      <c r="C6808" s="1" t="str">
        <f t="shared" si="437"/>
        <v>875-12</v>
      </c>
      <c r="D6808" t="s">
        <v>6780</v>
      </c>
      <c r="E6808" t="b">
        <f>IF(COUNTIF(D6808,"*"&amp;'Keyword Search'!$C$5&amp;"*"),TRUE,FALSE)</f>
        <v>1</v>
      </c>
      <c r="G6808" t="str">
        <f t="shared" si="439"/>
        <v>875-12: Dental Equipment and Supplies, Veterinary</v>
      </c>
    </row>
    <row r="6809" spans="1:7" x14ac:dyDescent="0.25">
      <c r="A6809" s="1" t="str">
        <f t="shared" si="440"/>
        <v>875</v>
      </c>
      <c r="B6809" s="1" t="str">
        <f>TEXT(13,"00")</f>
        <v>13</v>
      </c>
      <c r="C6809" s="1" t="str">
        <f t="shared" si="437"/>
        <v>875-13</v>
      </c>
      <c r="D6809" t="s">
        <v>6781</v>
      </c>
      <c r="E6809" t="b">
        <f>IF(COUNTIF(D6809,"*"&amp;'Keyword Search'!$C$5&amp;"*"),TRUE,FALSE)</f>
        <v>1</v>
      </c>
      <c r="G6809" t="str">
        <f t="shared" si="439"/>
        <v>875-13: Diagnostic Equipment: Scopes, Speculums, etc., Veterinary</v>
      </c>
    </row>
    <row r="6810" spans="1:7" x14ac:dyDescent="0.25">
      <c r="A6810" s="1" t="str">
        <f t="shared" si="440"/>
        <v>875</v>
      </c>
      <c r="B6810" s="1" t="str">
        <f>TEXT(15,"00")</f>
        <v>15</v>
      </c>
      <c r="C6810" s="1" t="str">
        <f t="shared" si="437"/>
        <v>875-15</v>
      </c>
      <c r="D6810" t="s">
        <v>6782</v>
      </c>
      <c r="E6810" t="b">
        <f>IF(COUNTIF(D6810,"*"&amp;'Keyword Search'!$C$5&amp;"*"),TRUE,FALSE)</f>
        <v>1</v>
      </c>
      <c r="G6810" t="str">
        <f t="shared" si="439"/>
        <v>875-15: Diagnostic Test Kits and Supplies, Veterinary</v>
      </c>
    </row>
    <row r="6811" spans="1:7" x14ac:dyDescent="0.25">
      <c r="A6811" s="1" t="str">
        <f t="shared" si="440"/>
        <v>875</v>
      </c>
      <c r="B6811" s="1" t="str">
        <f>TEXT(24,"00")</f>
        <v>24</v>
      </c>
      <c r="C6811" s="1" t="str">
        <f t="shared" si="437"/>
        <v>875-24</v>
      </c>
      <c r="D6811" t="s">
        <v>6783</v>
      </c>
      <c r="E6811" t="b">
        <f>IF(COUNTIF(D6811,"*"&amp;'Keyword Search'!$C$5&amp;"*"),TRUE,FALSE)</f>
        <v>1</v>
      </c>
      <c r="G6811" t="str">
        <f t="shared" si="439"/>
        <v>875-24: Fat and Muscle Assay Equipment, Veterinary</v>
      </c>
    </row>
    <row r="6812" spans="1:7" x14ac:dyDescent="0.25">
      <c r="A6812" s="1" t="str">
        <f t="shared" si="440"/>
        <v>875</v>
      </c>
      <c r="B6812" s="1" t="str">
        <f>TEXT(27,"00")</f>
        <v>27</v>
      </c>
      <c r="C6812" s="1" t="str">
        <f t="shared" si="437"/>
        <v>875-27</v>
      </c>
      <c r="D6812" t="s">
        <v>6784</v>
      </c>
      <c r="E6812" t="b">
        <f>IF(COUNTIF(D6812,"*"&amp;'Keyword Search'!$C$5&amp;"*"),TRUE,FALSE)</f>
        <v>1</v>
      </c>
      <c r="G6812" t="str">
        <f t="shared" si="439"/>
        <v>875-27: Flea, Tick and Insect Control Equipment and Supplies</v>
      </c>
    </row>
    <row r="6813" spans="1:7" x14ac:dyDescent="0.25">
      <c r="A6813" s="1" t="str">
        <f t="shared" si="440"/>
        <v>875</v>
      </c>
      <c r="B6813" s="1" t="str">
        <f>TEXT(30,"00")</f>
        <v>30</v>
      </c>
      <c r="C6813" s="1" t="str">
        <f t="shared" si="437"/>
        <v>875-30</v>
      </c>
      <c r="D6813" t="s">
        <v>6785</v>
      </c>
      <c r="E6813" t="b">
        <f>IF(COUNTIF(D6813,"*"&amp;'Keyword Search'!$C$5&amp;"*"),TRUE,FALSE)</f>
        <v>1</v>
      </c>
      <c r="G6813" t="str">
        <f t="shared" si="439"/>
        <v>875-30: Frozen Semen, Veterinary</v>
      </c>
    </row>
    <row r="6814" spans="1:7" x14ac:dyDescent="0.25">
      <c r="A6814" s="1" t="str">
        <f t="shared" si="440"/>
        <v>875</v>
      </c>
      <c r="B6814" s="1" t="str">
        <f>TEXT(34,"00")</f>
        <v>34</v>
      </c>
      <c r="C6814" s="1" t="str">
        <f t="shared" si="437"/>
        <v>875-34</v>
      </c>
      <c r="D6814" t="s">
        <v>6786</v>
      </c>
      <c r="E6814" t="b">
        <f>IF(COUNTIF(D6814,"*"&amp;'Keyword Search'!$C$5&amp;"*"),TRUE,FALSE)</f>
        <v>1</v>
      </c>
      <c r="G6814" t="str">
        <f t="shared" si="439"/>
        <v>875-34: Instruments, Surgical, Veterinary</v>
      </c>
    </row>
    <row r="6815" spans="1:7" x14ac:dyDescent="0.25">
      <c r="A6815" s="1" t="str">
        <f t="shared" si="440"/>
        <v>875</v>
      </c>
      <c r="B6815" s="1" t="str">
        <f>TEXT(53,"00")</f>
        <v>53</v>
      </c>
      <c r="C6815" s="1" t="str">
        <f t="shared" si="437"/>
        <v>875-53</v>
      </c>
      <c r="D6815" t="s">
        <v>6787</v>
      </c>
      <c r="E6815" t="b">
        <f>IF(COUNTIF(D6815,"*"&amp;'Keyword Search'!$C$5&amp;"*"),TRUE,FALSE)</f>
        <v>1</v>
      </c>
      <c r="G6815" t="str">
        <f t="shared" si="439"/>
        <v>875-53: Operating Room Equipment, Veterinary</v>
      </c>
    </row>
    <row r="6816" spans="1:7" x14ac:dyDescent="0.25">
      <c r="A6816" s="1" t="str">
        <f t="shared" si="440"/>
        <v>875</v>
      </c>
      <c r="B6816" s="1" t="str">
        <f>TEXT(55,"00")</f>
        <v>55</v>
      </c>
      <c r="C6816" s="1" t="str">
        <f t="shared" si="437"/>
        <v>875-55</v>
      </c>
      <c r="D6816" t="s">
        <v>6788</v>
      </c>
      <c r="E6816" t="b">
        <f>IF(COUNTIF(D6816,"*"&amp;'Keyword Search'!$C$5&amp;"*"),TRUE,FALSE)</f>
        <v>1</v>
      </c>
      <c r="G6816" t="str">
        <f t="shared" si="439"/>
        <v>875-55: Orthopedic Device, Veterinary</v>
      </c>
    </row>
    <row r="6817" spans="1:7" x14ac:dyDescent="0.25">
      <c r="A6817" s="1" t="str">
        <f t="shared" si="440"/>
        <v>875</v>
      </c>
      <c r="B6817" s="1" t="str">
        <f>TEXT(58,"00")</f>
        <v>58</v>
      </c>
      <c r="C6817" s="1" t="str">
        <f t="shared" si="437"/>
        <v>875-58</v>
      </c>
      <c r="D6817" t="s">
        <v>6789</v>
      </c>
      <c r="E6817" t="b">
        <f>IF(COUNTIF(D6817,"*"&amp;'Keyword Search'!$C$5&amp;"*"),TRUE,FALSE)</f>
        <v>1</v>
      </c>
      <c r="G6817" t="str">
        <f t="shared" si="439"/>
        <v>875-58: Pharmaceuticals, Animal: Drugs, Vaccines, etc., Veterinary</v>
      </c>
    </row>
    <row r="6818" spans="1:7" x14ac:dyDescent="0.25">
      <c r="A6818" s="1" t="str">
        <f t="shared" si="440"/>
        <v>875</v>
      </c>
      <c r="B6818" s="1" t="str">
        <f>TEXT(59,"00")</f>
        <v>59</v>
      </c>
      <c r="C6818" s="1" t="str">
        <f t="shared" si="437"/>
        <v>875-59</v>
      </c>
      <c r="D6818" t="s">
        <v>6790</v>
      </c>
      <c r="E6818" t="b">
        <f>IF(COUNTIF(D6818,"*"&amp;'Keyword Search'!$C$5&amp;"*"),TRUE,FALSE)</f>
        <v>1</v>
      </c>
      <c r="G6818" t="str">
        <f t="shared" si="439"/>
        <v>875-59: Pharmaceuticals, Marine Life: Drugs, Vaccines, etc., Veterinary</v>
      </c>
    </row>
    <row r="6819" spans="1:7" x14ac:dyDescent="0.25">
      <c r="A6819" s="1" t="str">
        <f t="shared" si="440"/>
        <v>875</v>
      </c>
      <c r="B6819" s="1" t="str">
        <f>TEXT(65,"00")</f>
        <v>65</v>
      </c>
      <c r="C6819" s="1" t="str">
        <f t="shared" si="437"/>
        <v>875-65</v>
      </c>
      <c r="D6819" t="s">
        <v>6791</v>
      </c>
      <c r="E6819" t="b">
        <f>IF(COUNTIF(D6819,"*"&amp;'Keyword Search'!$C$5&amp;"*"),TRUE,FALSE)</f>
        <v>1</v>
      </c>
      <c r="G6819" t="str">
        <f t="shared" si="439"/>
        <v>875-65: Pregnancy Detection Equipment, Veterinary</v>
      </c>
    </row>
    <row r="6820" spans="1:7" x14ac:dyDescent="0.25">
      <c r="A6820" s="1" t="str">
        <f t="shared" si="440"/>
        <v>875</v>
      </c>
      <c r="B6820" s="1" t="str">
        <f>TEXT(67,"00")</f>
        <v>67</v>
      </c>
      <c r="C6820" s="1" t="str">
        <f t="shared" si="437"/>
        <v>875-67</v>
      </c>
      <c r="D6820" t="s">
        <v>6792</v>
      </c>
      <c r="E6820" t="b">
        <f>IF(COUNTIF(D6820,"*"&amp;'Keyword Search'!$C$5&amp;"*"),TRUE,FALSE)</f>
        <v>1</v>
      </c>
      <c r="G6820" t="str">
        <f t="shared" si="439"/>
        <v>875-67: Repellants, Animal and Birds</v>
      </c>
    </row>
    <row r="6821" spans="1:7" x14ac:dyDescent="0.25">
      <c r="A6821" s="1" t="str">
        <f t="shared" si="440"/>
        <v>875</v>
      </c>
      <c r="B6821" s="1" t="str">
        <f>TEXT(70,"00")</f>
        <v>70</v>
      </c>
      <c r="C6821" s="1" t="str">
        <f t="shared" si="437"/>
        <v>875-70</v>
      </c>
      <c r="D6821" t="s">
        <v>6793</v>
      </c>
      <c r="E6821" t="b">
        <f>IF(COUNTIF(D6821,"*"&amp;'Keyword Search'!$C$5&amp;"*"),TRUE,FALSE)</f>
        <v>1</v>
      </c>
      <c r="G6821" t="str">
        <f t="shared" si="439"/>
        <v>875-70: Surgical Supplies: Catheters, Gut, Needles, Syringes, etc., Veterinary.</v>
      </c>
    </row>
    <row r="6822" spans="1:7" x14ac:dyDescent="0.25">
      <c r="A6822" s="1" t="str">
        <f t="shared" si="440"/>
        <v>875</v>
      </c>
      <c r="B6822" s="1" t="str">
        <f>TEXT(80,"00")</f>
        <v>80</v>
      </c>
      <c r="C6822" s="1" t="str">
        <f t="shared" si="437"/>
        <v>875-80</v>
      </c>
      <c r="D6822" t="s">
        <v>6794</v>
      </c>
      <c r="E6822" t="b">
        <f>IF(COUNTIF(D6822,"*"&amp;'Keyword Search'!$C$5&amp;"*"),TRUE,FALSE)</f>
        <v>1</v>
      </c>
      <c r="G6822" t="str">
        <f t="shared" si="439"/>
        <v>875-80: Thermometers, Veterinary</v>
      </c>
    </row>
    <row r="6823" spans="1:7" x14ac:dyDescent="0.25">
      <c r="A6823" s="1" t="str">
        <f t="shared" si="440"/>
        <v>875</v>
      </c>
      <c r="B6823" s="1" t="str">
        <f>TEXT(95,"00")</f>
        <v>95</v>
      </c>
      <c r="C6823" s="1" t="str">
        <f t="shared" si="437"/>
        <v>875-95</v>
      </c>
      <c r="D6823" t="s">
        <v>6795</v>
      </c>
      <c r="E6823" t="b">
        <f>IF(COUNTIF(D6823,"*"&amp;'Keyword Search'!$C$5&amp;"*"),TRUE,FALSE)</f>
        <v>1</v>
      </c>
      <c r="G6823" t="str">
        <f t="shared" si="439"/>
        <v>875-95: Recycled Equipment and Supplies, Veterinary</v>
      </c>
    </row>
    <row r="6824" spans="1:7" x14ac:dyDescent="0.25">
      <c r="A6824" s="5" t="str">
        <f t="shared" ref="A6824:A6844" si="441">TEXT(880,"000")</f>
        <v>880</v>
      </c>
      <c r="B6824" s="5" t="str">
        <f>TEXT(0,"00")</f>
        <v>00</v>
      </c>
      <c r="C6824" s="1"/>
      <c r="D6824" s="2" t="s">
        <v>6796</v>
      </c>
    </row>
    <row r="6825" spans="1:7" x14ac:dyDescent="0.25">
      <c r="A6825" s="1" t="str">
        <f t="shared" si="441"/>
        <v>880</v>
      </c>
      <c r="B6825" s="1" t="str">
        <f>TEXT(11,"00")</f>
        <v>11</v>
      </c>
      <c r="C6825" s="1" t="str">
        <f t="shared" si="437"/>
        <v>880-11</v>
      </c>
      <c r="D6825" t="s">
        <v>6797</v>
      </c>
      <c r="E6825" t="b">
        <f>IF(COUNTIF(D6825,"*"&amp;'Keyword Search'!$C$5&amp;"*"),TRUE,FALSE)</f>
        <v>1</v>
      </c>
      <c r="G6825" t="str">
        <f t="shared" si="439"/>
        <v>880-11: Audio Visual Equipment and Supplies, (Not Otherwise Classified)</v>
      </c>
    </row>
    <row r="6826" spans="1:7" x14ac:dyDescent="0.25">
      <c r="A6826" s="1" t="str">
        <f t="shared" si="441"/>
        <v>880</v>
      </c>
      <c r="B6826" s="1" t="str">
        <f>TEXT(20,"00")</f>
        <v>20</v>
      </c>
      <c r="C6826" s="1" t="str">
        <f t="shared" si="437"/>
        <v>880-20</v>
      </c>
      <c r="D6826" t="s">
        <v>6798</v>
      </c>
      <c r="E6826" t="b">
        <f>IF(COUNTIF(D6826,"*"&amp;'Keyword Search'!$C$5&amp;"*"),TRUE,FALSE)</f>
        <v>1</v>
      </c>
      <c r="G6826" t="str">
        <f t="shared" si="439"/>
        <v>880-20: Film Editing and Splicing Equipment and Supplies: Cement, Cleaner, Conditioner, Editors, Film Leader, Splicers, etc.</v>
      </c>
    </row>
    <row r="6827" spans="1:7" x14ac:dyDescent="0.25">
      <c r="A6827" s="1" t="str">
        <f t="shared" si="441"/>
        <v>880</v>
      </c>
      <c r="B6827" s="1" t="str">
        <f>TEXT(30,"00")</f>
        <v>30</v>
      </c>
      <c r="C6827" s="1" t="str">
        <f t="shared" si="437"/>
        <v>880-30</v>
      </c>
      <c r="D6827" t="s">
        <v>6799</v>
      </c>
      <c r="E6827" t="b">
        <f>IF(COUNTIF(D6827,"*"&amp;'Keyword Search'!$C$5&amp;"*"),TRUE,FALSE)</f>
        <v>1</v>
      </c>
      <c r="G6827" t="str">
        <f t="shared" si="439"/>
        <v>880-30: Pointers: Projection Type, Hand-Held and Stationary, 110V AC and Battery Powered</v>
      </c>
    </row>
    <row r="6828" spans="1:7" x14ac:dyDescent="0.25">
      <c r="A6828" s="1" t="str">
        <f t="shared" si="441"/>
        <v>880</v>
      </c>
      <c r="B6828" s="1" t="str">
        <f>TEXT(40,"00")</f>
        <v>40</v>
      </c>
      <c r="C6828" s="1" t="str">
        <f t="shared" si="437"/>
        <v>880-40</v>
      </c>
      <c r="D6828" t="s">
        <v>6800</v>
      </c>
      <c r="E6828" t="b">
        <f>IF(COUNTIF(D6828,"*"&amp;'Keyword Search'!$C$5&amp;"*"),TRUE,FALSE)</f>
        <v>1</v>
      </c>
      <c r="G6828" t="str">
        <f t="shared" si="439"/>
        <v>880-40: Previewers, Sorters, and Viewers: Filmstrips, Slides, etc., Not Projectors or Film Editors and Viewers</v>
      </c>
    </row>
    <row r="6829" spans="1:7" x14ac:dyDescent="0.25">
      <c r="A6829" s="1" t="str">
        <f t="shared" si="441"/>
        <v>880</v>
      </c>
      <c r="B6829" s="1" t="str">
        <f>TEXT(42,"00")</f>
        <v>42</v>
      </c>
      <c r="C6829" s="1" t="str">
        <f t="shared" si="437"/>
        <v>880-42</v>
      </c>
      <c r="D6829" t="s">
        <v>6801</v>
      </c>
      <c r="E6829" t="b">
        <f>IF(COUNTIF(D6829,"*"&amp;'Keyword Search'!$C$5&amp;"*"),TRUE,FALSE)</f>
        <v>1</v>
      </c>
      <c r="G6829" t="str">
        <f t="shared" si="439"/>
        <v>880-42: Projectional Supplies: Acetate Sheets, Films, Photo-Reflex and Photo-Modifier Materials, etc.</v>
      </c>
    </row>
    <row r="6830" spans="1:7" x14ac:dyDescent="0.25">
      <c r="A6830" s="1" t="str">
        <f t="shared" si="441"/>
        <v>880</v>
      </c>
      <c r="B6830" s="1" t="str">
        <f>TEXT(43,"00")</f>
        <v>43</v>
      </c>
      <c r="C6830" s="1" t="str">
        <f t="shared" si="437"/>
        <v>880-43</v>
      </c>
      <c r="D6830" t="s">
        <v>6802</v>
      </c>
      <c r="E6830" t="b">
        <f>IF(COUNTIF(D6830,"*"&amp;'Keyword Search'!$C$5&amp;"*"),TRUE,FALSE)</f>
        <v>1</v>
      </c>
      <c r="G6830" t="str">
        <f t="shared" si="439"/>
        <v>880-43: Projection Screens: Standard and Rear-Projection Types</v>
      </c>
    </row>
    <row r="6831" spans="1:7" x14ac:dyDescent="0.25">
      <c r="A6831" s="1" t="str">
        <f t="shared" si="441"/>
        <v>880</v>
      </c>
      <c r="B6831" s="1" t="str">
        <f>TEXT(46,"00")</f>
        <v>46</v>
      </c>
      <c r="C6831" s="1" t="str">
        <f t="shared" si="437"/>
        <v>880-46</v>
      </c>
      <c r="D6831" t="s">
        <v>6803</v>
      </c>
      <c r="E6831" t="b">
        <f>IF(COUNTIF(D6831,"*"&amp;'Keyword Search'!$C$5&amp;"*"),TRUE,FALSE)</f>
        <v>1</v>
      </c>
      <c r="G6831" t="str">
        <f t="shared" si="439"/>
        <v>880-46: Projection Stands, Tables, etc.: Standard and Rear-Projection Types</v>
      </c>
    </row>
    <row r="6832" spans="1:7" x14ac:dyDescent="0.25">
      <c r="A6832" s="1" t="str">
        <f t="shared" si="441"/>
        <v>880</v>
      </c>
      <c r="B6832" s="1" t="str">
        <f>TEXT(49,"00")</f>
        <v>49</v>
      </c>
      <c r="C6832" s="1" t="str">
        <f t="shared" si="437"/>
        <v>880-49</v>
      </c>
      <c r="D6832" t="s">
        <v>6804</v>
      </c>
      <c r="E6832" t="b">
        <f>IF(COUNTIF(D6832,"*"&amp;'Keyword Search'!$C$5&amp;"*"),TRUE,FALSE)</f>
        <v>1</v>
      </c>
      <c r="G6832" t="str">
        <f t="shared" si="439"/>
        <v>880-49: Projectors, Filmstrip, Standard Types Only; Carrying Cases; Parts, and Accessories</v>
      </c>
    </row>
    <row r="6833" spans="1:7" x14ac:dyDescent="0.25">
      <c r="A6833" s="1" t="str">
        <f t="shared" si="441"/>
        <v>880</v>
      </c>
      <c r="B6833" s="1" t="str">
        <f>TEXT(52,"00")</f>
        <v>52</v>
      </c>
      <c r="C6833" s="1" t="str">
        <f t="shared" si="437"/>
        <v>880-52</v>
      </c>
      <c r="D6833" t="s">
        <v>6805</v>
      </c>
      <c r="E6833" t="b">
        <f>IF(COUNTIF(D6833,"*"&amp;'Keyword Search'!$C$5&amp;"*"),TRUE,FALSE)</f>
        <v>1</v>
      </c>
      <c r="G6833" t="str">
        <f t="shared" si="439"/>
        <v>880-52: Projectors, Motion Picture, Specialized Types Only: Film Loop Projectors, Rear-Projection Units, Repetitive Projectors, etc.</v>
      </c>
    </row>
    <row r="6834" spans="1:7" x14ac:dyDescent="0.25">
      <c r="A6834" s="1" t="str">
        <f t="shared" si="441"/>
        <v>880</v>
      </c>
      <c r="B6834" s="1" t="str">
        <f>TEXT(55,"00")</f>
        <v>55</v>
      </c>
      <c r="C6834" s="1" t="str">
        <f t="shared" si="437"/>
        <v>880-55</v>
      </c>
      <c r="D6834" t="s">
        <v>6806</v>
      </c>
      <c r="E6834" t="b">
        <f>IF(COUNTIF(D6834,"*"&amp;'Keyword Search'!$C$5&amp;"*"),TRUE,FALSE)</f>
        <v>1</v>
      </c>
      <c r="G6834" t="str">
        <f t="shared" si="439"/>
        <v>880-55: Projectors, Motion Picture, Standard Type Only, Including Carrying Cases, Parts and Accessories</v>
      </c>
    </row>
    <row r="6835" spans="1:7" x14ac:dyDescent="0.25">
      <c r="A6835" s="1" t="str">
        <f t="shared" si="441"/>
        <v>880</v>
      </c>
      <c r="B6835" s="1" t="str">
        <f>TEXT(58,"00")</f>
        <v>58</v>
      </c>
      <c r="C6835" s="1" t="str">
        <f t="shared" si="437"/>
        <v>880-58</v>
      </c>
      <c r="D6835" t="s">
        <v>6807</v>
      </c>
      <c r="E6835" t="b">
        <f>IF(COUNTIF(D6835,"*"&amp;'Keyword Search'!$C$5&amp;"*"),TRUE,FALSE)</f>
        <v>1</v>
      </c>
      <c r="G6835" t="str">
        <f t="shared" si="439"/>
        <v>880-58: Projectors, Opaque, Including Carrying Cases, Parts and Accessories, Epidiascopes</v>
      </c>
    </row>
    <row r="6836" spans="1:7" x14ac:dyDescent="0.25">
      <c r="A6836" s="1" t="str">
        <f t="shared" si="441"/>
        <v>880</v>
      </c>
      <c r="B6836" s="1" t="str">
        <f>TEXT(61,"00")</f>
        <v>61</v>
      </c>
      <c r="C6836" s="1" t="str">
        <f t="shared" si="437"/>
        <v>880-61</v>
      </c>
      <c r="D6836" t="s">
        <v>6808</v>
      </c>
      <c r="E6836" t="b">
        <f>IF(COUNTIF(D6836,"*"&amp;'Keyword Search'!$C$5&amp;"*"),TRUE,FALSE)</f>
        <v>1</v>
      </c>
      <c r="G6836" t="str">
        <f t="shared" si="439"/>
        <v>880-61: Projectors, Overhead Transparency, Including Carrying Cases, Parts and Accessories</v>
      </c>
    </row>
    <row r="6837" spans="1:7" x14ac:dyDescent="0.25">
      <c r="A6837" s="1" t="str">
        <f t="shared" si="441"/>
        <v>880</v>
      </c>
      <c r="B6837" s="1" t="str">
        <f>TEXT(64,"00")</f>
        <v>64</v>
      </c>
      <c r="C6837" s="1" t="str">
        <f t="shared" si="437"/>
        <v>880-64</v>
      </c>
      <c r="D6837" t="s">
        <v>6809</v>
      </c>
      <c r="E6837" t="b">
        <f>IF(COUNTIF(D6837,"*"&amp;'Keyword Search'!$C$5&amp;"*"),TRUE,FALSE)</f>
        <v>1</v>
      </c>
      <c r="G6837" t="str">
        <f t="shared" si="439"/>
        <v>880-64: Projectors, Slide, Standard Types Only, Including  Carrying Cases, Parts and Accessories</v>
      </c>
    </row>
    <row r="6838" spans="1:7" x14ac:dyDescent="0.25">
      <c r="A6838" s="1" t="str">
        <f t="shared" si="441"/>
        <v>880</v>
      </c>
      <c r="B6838" s="1" t="str">
        <f>TEXT(67,"00")</f>
        <v>67</v>
      </c>
      <c r="C6838" s="1" t="str">
        <f t="shared" si="437"/>
        <v>880-67</v>
      </c>
      <c r="D6838" t="s">
        <v>6810</v>
      </c>
      <c r="E6838" t="b">
        <f>IF(COUNTIF(D6838,"*"&amp;'Keyword Search'!$C$5&amp;"*"),TRUE,FALSE)</f>
        <v>1</v>
      </c>
      <c r="G6838" t="str">
        <f t="shared" si="439"/>
        <v>880-67: Projectors: Combination Filmstrip-Slide Projectors, Rear-Projection Slide Units, Rear-Projection Filmstrip Units, LCD Projectors, (Not Otherwise Classified)</v>
      </c>
    </row>
    <row r="6839" spans="1:7" x14ac:dyDescent="0.25">
      <c r="A6839" s="1" t="str">
        <f t="shared" si="441"/>
        <v>880</v>
      </c>
      <c r="B6839" s="1" t="str">
        <f>TEXT(73,"00")</f>
        <v>73</v>
      </c>
      <c r="C6839" s="1" t="str">
        <f t="shared" si="437"/>
        <v>880-73</v>
      </c>
      <c r="D6839" t="s">
        <v>6811</v>
      </c>
      <c r="E6839" t="b">
        <f>IF(COUNTIF(D6839,"*"&amp;'Keyword Search'!$C$5&amp;"*"),TRUE,FALSE)</f>
        <v>1</v>
      </c>
      <c r="G6839" t="str">
        <f t="shared" si="439"/>
        <v>880-73: Recycled Visual Education Equipment, Accessories and Supplies</v>
      </c>
    </row>
    <row r="6840" spans="1:7" x14ac:dyDescent="0.25">
      <c r="A6840" s="1" t="str">
        <f t="shared" si="441"/>
        <v>880</v>
      </c>
      <c r="B6840" s="1" t="str">
        <f>TEXT(80,"00")</f>
        <v>80</v>
      </c>
      <c r="C6840" s="1" t="str">
        <f t="shared" si="437"/>
        <v>880-80</v>
      </c>
      <c r="D6840" t="s">
        <v>6812</v>
      </c>
      <c r="E6840" t="b">
        <f>IF(COUNTIF(D6840,"*"&amp;'Keyword Search'!$C$5&amp;"*"),TRUE,FALSE)</f>
        <v>1</v>
      </c>
      <c r="G6840" t="str">
        <f t="shared" si="439"/>
        <v>880-80: Shipping and Storage Accessories, For Films, Filmstrips, Slides, etc.: Cans, Carrying Cases, Cartridges, Reels, Shipping Cases, Slide Files and Trays, etc.</v>
      </c>
    </row>
    <row r="6841" spans="1:7" x14ac:dyDescent="0.25">
      <c r="A6841" s="1" t="str">
        <f t="shared" si="441"/>
        <v>880</v>
      </c>
      <c r="B6841" s="1" t="str">
        <f>TEXT(85,"00")</f>
        <v>85</v>
      </c>
      <c r="C6841" s="1" t="str">
        <f t="shared" si="437"/>
        <v>880-85</v>
      </c>
      <c r="D6841" t="s">
        <v>6813</v>
      </c>
      <c r="E6841" t="b">
        <f>IF(COUNTIF(D6841,"*"&amp;'Keyword Search'!$C$5&amp;"*"),TRUE,FALSE)</f>
        <v>1</v>
      </c>
      <c r="G6841" t="str">
        <f t="shared" si="439"/>
        <v>880-85: Storage Cabinets, Visual Education Equipment and Supplies</v>
      </c>
    </row>
    <row r="6842" spans="1:7" x14ac:dyDescent="0.25">
      <c r="A6842" s="1" t="str">
        <f t="shared" si="441"/>
        <v>880</v>
      </c>
      <c r="B6842" s="1" t="str">
        <f>TEXT(86,"00")</f>
        <v>86</v>
      </c>
      <c r="C6842" s="1" t="str">
        <f t="shared" si="437"/>
        <v>880-86</v>
      </c>
      <c r="D6842" t="s">
        <v>6814</v>
      </c>
      <c r="E6842" t="b">
        <f>IF(COUNTIF(D6842,"*"&amp;'Keyword Search'!$C$5&amp;"*"),TRUE,FALSE)</f>
        <v>1</v>
      </c>
      <c r="G6842" t="str">
        <f t="shared" si="439"/>
        <v>880-86: Tables, Light, Visual Education</v>
      </c>
    </row>
    <row r="6843" spans="1:7" x14ac:dyDescent="0.25">
      <c r="A6843" s="1" t="str">
        <f t="shared" si="441"/>
        <v>880</v>
      </c>
      <c r="B6843" s="1" t="str">
        <f>TEXT(88,"00")</f>
        <v>88</v>
      </c>
      <c r="C6843" s="1" t="str">
        <f t="shared" si="437"/>
        <v>880-88</v>
      </c>
      <c r="D6843" t="s">
        <v>6815</v>
      </c>
      <c r="E6843" t="b">
        <f>IF(COUNTIF(D6843,"*"&amp;'Keyword Search'!$C$5&amp;"*"),TRUE,FALSE)</f>
        <v>1</v>
      </c>
      <c r="G6843" t="str">
        <f t="shared" si="439"/>
        <v>880-88: Transparencies (See Class 715 for Prepared Material)</v>
      </c>
    </row>
    <row r="6844" spans="1:7" x14ac:dyDescent="0.25">
      <c r="A6844" s="1" t="str">
        <f t="shared" si="441"/>
        <v>880</v>
      </c>
      <c r="B6844" s="1" t="str">
        <f>TEXT(90,"00")</f>
        <v>90</v>
      </c>
      <c r="C6844" s="1" t="str">
        <f t="shared" si="437"/>
        <v>880-90</v>
      </c>
      <c r="D6844" t="s">
        <v>6816</v>
      </c>
      <c r="E6844" t="b">
        <f>IF(COUNTIF(D6844,"*"&amp;'Keyword Search'!$C$5&amp;"*"),TRUE,FALSE)</f>
        <v>1</v>
      </c>
      <c r="G6844" t="str">
        <f t="shared" si="439"/>
        <v>880-90: Transparency Equipment</v>
      </c>
    </row>
    <row r="6845" spans="1:7" x14ac:dyDescent="0.25">
      <c r="A6845" s="5" t="str">
        <f t="shared" ref="A6845:A6853" si="442">TEXT(883,"000")</f>
        <v>883</v>
      </c>
      <c r="B6845" s="5" t="str">
        <f>TEXT(0,"00")</f>
        <v>00</v>
      </c>
      <c r="C6845" s="1"/>
      <c r="D6845" s="2" t="s">
        <v>6817</v>
      </c>
    </row>
    <row r="6846" spans="1:7" x14ac:dyDescent="0.25">
      <c r="A6846" s="1" t="str">
        <f t="shared" si="442"/>
        <v>883</v>
      </c>
      <c r="B6846" s="1" t="str">
        <f>TEXT(16,"00")</f>
        <v>16</v>
      </c>
      <c r="C6846" s="1" t="str">
        <f t="shared" si="437"/>
        <v>883-16</v>
      </c>
      <c r="D6846" t="s">
        <v>6818</v>
      </c>
      <c r="E6846" t="b">
        <f>IF(COUNTIF(D6846,"*"&amp;'Keyword Search'!$C$5&amp;"*"),TRUE,FALSE)</f>
        <v>1</v>
      </c>
      <c r="G6846" t="str">
        <f t="shared" si="439"/>
        <v>883-16: *Audiotex Voice Response Systems</v>
      </c>
    </row>
    <row r="6847" spans="1:7" x14ac:dyDescent="0.25">
      <c r="A6847" s="1" t="str">
        <f t="shared" si="442"/>
        <v>883</v>
      </c>
      <c r="B6847" s="1" t="str">
        <f>TEXT(18,"00")</f>
        <v>18</v>
      </c>
      <c r="C6847" s="1" t="str">
        <f t="shared" si="437"/>
        <v>883-18</v>
      </c>
      <c r="D6847" t="s">
        <v>6819</v>
      </c>
      <c r="E6847" t="b">
        <f>IF(COUNTIF(D6847,"*"&amp;'Keyword Search'!$C$5&amp;"*"),TRUE,FALSE)</f>
        <v>1</v>
      </c>
      <c r="G6847" t="str">
        <f t="shared" si="439"/>
        <v>883-18: *Auto Attendant Telephone Systems</v>
      </c>
    </row>
    <row r="6848" spans="1:7" x14ac:dyDescent="0.25">
      <c r="A6848" s="1" t="str">
        <f t="shared" si="442"/>
        <v>883</v>
      </c>
      <c r="B6848" s="1" t="str">
        <f>TEXT(19,"00")</f>
        <v>19</v>
      </c>
      <c r="C6848" s="1" t="str">
        <f t="shared" si="437"/>
        <v>883-19</v>
      </c>
      <c r="D6848" t="s">
        <v>6820</v>
      </c>
      <c r="E6848" t="b">
        <f>IF(COUNTIF(D6848,"*"&amp;'Keyword Search'!$C$5&amp;"*"),TRUE,FALSE)</f>
        <v>1</v>
      </c>
      <c r="G6848" t="str">
        <f t="shared" si="439"/>
        <v>883-19: *Automatic Call Distribution (ACD) Systems</v>
      </c>
    </row>
    <row r="6849" spans="1:7" x14ac:dyDescent="0.25">
      <c r="A6849" s="1" t="str">
        <f t="shared" si="442"/>
        <v>883</v>
      </c>
      <c r="B6849" s="1" t="str">
        <f>TEXT(32,"00")</f>
        <v>32</v>
      </c>
      <c r="C6849" s="1" t="str">
        <f t="shared" si="437"/>
        <v>883-32</v>
      </c>
      <c r="D6849" t="s">
        <v>6821</v>
      </c>
      <c r="E6849" t="b">
        <f>IF(COUNTIF(D6849,"*"&amp;'Keyword Search'!$C$5&amp;"*"),TRUE,FALSE)</f>
        <v>1</v>
      </c>
      <c r="G6849" t="str">
        <f t="shared" si="439"/>
        <v>883-32: *Computer Telephony Integration (CTI) Systems</v>
      </c>
    </row>
    <row r="6850" spans="1:7" x14ac:dyDescent="0.25">
      <c r="A6850" s="1" t="str">
        <f t="shared" si="442"/>
        <v>883</v>
      </c>
      <c r="B6850" s="1" t="str">
        <f>TEXT(43,"00")</f>
        <v>43</v>
      </c>
      <c r="C6850" s="1" t="str">
        <f t="shared" si="437"/>
        <v>883-43</v>
      </c>
      <c r="D6850" t="s">
        <v>6822</v>
      </c>
      <c r="E6850" t="b">
        <f>IF(COUNTIF(D6850,"*"&amp;'Keyword Search'!$C$5&amp;"*"),TRUE,FALSE)</f>
        <v>1</v>
      </c>
      <c r="G6850" t="str">
        <f t="shared" si="439"/>
        <v>883-43: *Interactive Voice Response (IVR) Systems</v>
      </c>
    </row>
    <row r="6851" spans="1:7" x14ac:dyDescent="0.25">
      <c r="A6851" s="1" t="str">
        <f t="shared" si="442"/>
        <v>883</v>
      </c>
      <c r="B6851" s="1" t="str">
        <f>TEXT(64,"00")</f>
        <v>64</v>
      </c>
      <c r="C6851" s="1" t="str">
        <f t="shared" ref="C6851:C6914" si="443">CONCATENATE(A6851,"-",B6851)</f>
        <v>883-64</v>
      </c>
      <c r="D6851" t="s">
        <v>6823</v>
      </c>
      <c r="E6851" t="b">
        <f>IF(COUNTIF(D6851,"*"&amp;'Keyword Search'!$C$5&amp;"*"),TRUE,FALSE)</f>
        <v>1</v>
      </c>
      <c r="G6851" t="str">
        <f t="shared" si="439"/>
        <v>883-64: *Recycled Voice Response Systems, Accessories and Supplies</v>
      </c>
    </row>
    <row r="6852" spans="1:7" x14ac:dyDescent="0.25">
      <c r="A6852" s="1" t="str">
        <f t="shared" si="442"/>
        <v>883</v>
      </c>
      <c r="B6852" s="1" t="str">
        <f>TEXT(80,"00")</f>
        <v>80</v>
      </c>
      <c r="C6852" s="1" t="str">
        <f t="shared" si="443"/>
        <v>883-80</v>
      </c>
      <c r="D6852" t="s">
        <v>6824</v>
      </c>
      <c r="E6852" t="b">
        <f>IF(COUNTIF(D6852,"*"&amp;'Keyword Search'!$C$5&amp;"*"),TRUE,FALSE)</f>
        <v>1</v>
      </c>
      <c r="G6852" t="str">
        <f t="shared" ref="G6852:G6915" si="444">CONCATENATE(C6852,": ",D6852)</f>
        <v>883-80: *Telephone Switching (PBX) Systems</v>
      </c>
    </row>
    <row r="6853" spans="1:7" x14ac:dyDescent="0.25">
      <c r="A6853" s="1" t="str">
        <f t="shared" si="442"/>
        <v>883</v>
      </c>
      <c r="B6853" s="1" t="str">
        <f>TEXT(90,"00")</f>
        <v>90</v>
      </c>
      <c r="C6853" s="1" t="str">
        <f t="shared" si="443"/>
        <v>883-90</v>
      </c>
      <c r="D6853" t="s">
        <v>6825</v>
      </c>
      <c r="E6853" t="b">
        <f>IF(COUNTIF(D6853,"*"&amp;'Keyword Search'!$C$5&amp;"*"),TRUE,FALSE)</f>
        <v>1</v>
      </c>
      <c r="G6853" t="str">
        <f t="shared" si="444"/>
        <v>883-90: *Voice Mail Systems</v>
      </c>
    </row>
    <row r="6854" spans="1:7" x14ac:dyDescent="0.25">
      <c r="A6854" s="5" t="str">
        <f t="shared" ref="A6854:A6887" si="445">TEXT(885,"000")</f>
        <v>885</v>
      </c>
      <c r="B6854" s="5" t="str">
        <f>TEXT(0,"00")</f>
        <v>00</v>
      </c>
      <c r="C6854" s="1"/>
      <c r="D6854" s="2" t="s">
        <v>6826</v>
      </c>
    </row>
    <row r="6855" spans="1:7" x14ac:dyDescent="0.25">
      <c r="A6855" s="1" t="str">
        <f t="shared" si="445"/>
        <v>885</v>
      </c>
      <c r="B6855" s="1" t="str">
        <f>TEXT(8,"00")</f>
        <v>08</v>
      </c>
      <c r="C6855" s="1" t="str">
        <f t="shared" si="443"/>
        <v>885-08</v>
      </c>
      <c r="D6855" t="s">
        <v>6827</v>
      </c>
      <c r="E6855" t="b">
        <f>IF(COUNTIF(D6855,"*"&amp;'Keyword Search'!$C$5&amp;"*"),TRUE,FALSE)</f>
        <v>1</v>
      </c>
      <c r="G6855" t="str">
        <f t="shared" si="444"/>
        <v>885-08: Activated Carbon and Filter Elements</v>
      </c>
    </row>
    <row r="6856" spans="1:7" x14ac:dyDescent="0.25">
      <c r="A6856" s="1" t="str">
        <f t="shared" si="445"/>
        <v>885</v>
      </c>
      <c r="B6856" s="1" t="str">
        <f>TEXT(11,"00")</f>
        <v>11</v>
      </c>
      <c r="C6856" s="1" t="str">
        <f t="shared" si="443"/>
        <v>885-11</v>
      </c>
      <c r="D6856" t="s">
        <v>6828</v>
      </c>
      <c r="E6856" t="b">
        <f>IF(COUNTIF(D6856,"*"&amp;'Keyword Search'!$C$5&amp;"*"),TRUE,FALSE)</f>
        <v>1</v>
      </c>
      <c r="G6856" t="str">
        <f t="shared" si="444"/>
        <v>885-11: Agents, Curing</v>
      </c>
    </row>
    <row r="6857" spans="1:7" x14ac:dyDescent="0.25">
      <c r="A6857" s="1" t="str">
        <f t="shared" si="445"/>
        <v>885</v>
      </c>
      <c r="B6857" s="1" t="str">
        <f>TEXT(15,"00")</f>
        <v>15</v>
      </c>
      <c r="C6857" s="1" t="str">
        <f t="shared" si="443"/>
        <v>885-15</v>
      </c>
      <c r="D6857" t="s">
        <v>6829</v>
      </c>
      <c r="E6857" t="b">
        <f>IF(COUNTIF(D6857,"*"&amp;'Keyword Search'!$C$5&amp;"*"),TRUE,FALSE)</f>
        <v>1</v>
      </c>
      <c r="G6857" t="str">
        <f t="shared" si="444"/>
        <v>885-15: Algae and Microbe Control Chemicals, Copper Sulfate, etc. (Inactive, please see commodity code 885-16 effective January 1, 2016)</v>
      </c>
    </row>
    <row r="6858" spans="1:7" x14ac:dyDescent="0.25">
      <c r="A6858" s="1" t="str">
        <f t="shared" si="445"/>
        <v>885</v>
      </c>
      <c r="B6858" s="1" t="str">
        <f>TEXT(16,"00")</f>
        <v>16</v>
      </c>
      <c r="C6858" s="1" t="str">
        <f t="shared" si="443"/>
        <v>885-16</v>
      </c>
      <c r="D6858" t="s">
        <v>6830</v>
      </c>
      <c r="E6858" t="b">
        <f>IF(COUNTIF(D6858,"*"&amp;'Keyword Search'!$C$5&amp;"*"),TRUE,FALSE)</f>
        <v>1</v>
      </c>
      <c r="G6858" t="str">
        <f t="shared" si="444"/>
        <v>885-16: Algae and Microbe Control Chemicals, Air Conditioning and Cooling Water</v>
      </c>
    </row>
    <row r="6859" spans="1:7" x14ac:dyDescent="0.25">
      <c r="A6859" s="1" t="str">
        <f t="shared" si="445"/>
        <v>885</v>
      </c>
      <c r="B6859" s="1" t="str">
        <f>TEXT(28,"00")</f>
        <v>28</v>
      </c>
      <c r="C6859" s="1" t="str">
        <f t="shared" si="443"/>
        <v>885-28</v>
      </c>
      <c r="D6859" t="s">
        <v>6831</v>
      </c>
      <c r="E6859" t="b">
        <f>IF(COUNTIF(D6859,"*"&amp;'Keyword Search'!$C$5&amp;"*"),TRUE,FALSE)</f>
        <v>1</v>
      </c>
      <c r="G6859" t="str">
        <f t="shared" si="444"/>
        <v>885-28: Antifoaming Agents</v>
      </c>
    </row>
    <row r="6860" spans="1:7" x14ac:dyDescent="0.25">
      <c r="A6860" s="1" t="str">
        <f t="shared" si="445"/>
        <v>885</v>
      </c>
      <c r="B6860" s="1" t="str">
        <f>TEXT(31,"00")</f>
        <v>31</v>
      </c>
      <c r="C6860" s="1" t="str">
        <f t="shared" si="443"/>
        <v>885-31</v>
      </c>
      <c r="D6860" t="s">
        <v>6832</v>
      </c>
      <c r="E6860" t="b">
        <f>IF(COUNTIF(D6860,"*"&amp;'Keyword Search'!$C$5&amp;"*"),TRUE,FALSE)</f>
        <v>1</v>
      </c>
      <c r="G6860" t="str">
        <f t="shared" si="444"/>
        <v>885-31: Biological Maintainers, Bacteria, Enzymes, etc.</v>
      </c>
    </row>
    <row r="6861" spans="1:7" x14ac:dyDescent="0.25">
      <c r="A6861" s="1" t="str">
        <f t="shared" si="445"/>
        <v>885</v>
      </c>
      <c r="B6861" s="1" t="str">
        <f>TEXT(32,"00")</f>
        <v>32</v>
      </c>
      <c r="C6861" s="1" t="str">
        <f t="shared" si="443"/>
        <v>885-32</v>
      </c>
      <c r="D6861" t="s">
        <v>6833</v>
      </c>
      <c r="E6861" t="b">
        <f>IF(COUNTIF(D6861,"*"&amp;'Keyword Search'!$C$5&amp;"*"),TRUE,FALSE)</f>
        <v>1</v>
      </c>
      <c r="G6861" t="str">
        <f t="shared" si="444"/>
        <v>885-32: Boiler Water Chemical Treating Compounds</v>
      </c>
    </row>
    <row r="6862" spans="1:7" x14ac:dyDescent="0.25">
      <c r="A6862" s="1" t="str">
        <f t="shared" si="445"/>
        <v>885</v>
      </c>
      <c r="B6862" s="1" t="str">
        <f>TEXT(36,"00")</f>
        <v>36</v>
      </c>
      <c r="C6862" s="1" t="str">
        <f t="shared" si="443"/>
        <v>885-36</v>
      </c>
      <c r="D6862" t="s">
        <v>6834</v>
      </c>
      <c r="E6862" t="b">
        <f>IF(COUNTIF(D6862,"*"&amp;'Keyword Search'!$C$5&amp;"*"),TRUE,FALSE)</f>
        <v>1</v>
      </c>
      <c r="G6862" t="str">
        <f t="shared" si="444"/>
        <v>885-36: Carbon Based Chemicals and Compounds</v>
      </c>
    </row>
    <row r="6863" spans="1:7" x14ac:dyDescent="0.25">
      <c r="A6863" s="1" t="str">
        <f t="shared" si="445"/>
        <v>885</v>
      </c>
      <c r="B6863" s="1" t="str">
        <f>TEXT(38,"00")</f>
        <v>38</v>
      </c>
      <c r="C6863" s="1" t="str">
        <f t="shared" si="443"/>
        <v>885-38</v>
      </c>
      <c r="D6863" t="s">
        <v>6835</v>
      </c>
      <c r="E6863" t="b">
        <f>IF(COUNTIF(D6863,"*"&amp;'Keyword Search'!$C$5&amp;"*"),TRUE,FALSE)</f>
        <v>1</v>
      </c>
      <c r="G6863" t="str">
        <f t="shared" si="444"/>
        <v>885-38: Chlorine, Liquefied</v>
      </c>
    </row>
    <row r="6864" spans="1:7" x14ac:dyDescent="0.25">
      <c r="A6864" s="1" t="str">
        <f t="shared" si="445"/>
        <v>885</v>
      </c>
      <c r="B6864" s="1" t="str">
        <f>TEXT(40,"00")</f>
        <v>40</v>
      </c>
      <c r="C6864" s="1" t="str">
        <f t="shared" si="443"/>
        <v>885-40</v>
      </c>
      <c r="D6864" t="s">
        <v>6836</v>
      </c>
      <c r="E6864" t="b">
        <f>IF(COUNTIF(D6864,"*"&amp;'Keyword Search'!$C$5&amp;"*"),TRUE,FALSE)</f>
        <v>1</v>
      </c>
      <c r="G6864" t="str">
        <f t="shared" si="444"/>
        <v>885-40: Chlorinating and Oxidizing Agents: Bromohydantoins, Chloroisocyanurates, Hypochlorites, etc., Swimming Pool Disinfection</v>
      </c>
    </row>
    <row r="6865" spans="1:7" x14ac:dyDescent="0.25">
      <c r="A6865" s="1" t="str">
        <f t="shared" si="445"/>
        <v>885</v>
      </c>
      <c r="B6865" s="1" t="str">
        <f>TEXT(43,"00")</f>
        <v>43</v>
      </c>
      <c r="C6865" s="1" t="str">
        <f t="shared" si="443"/>
        <v>885-43</v>
      </c>
      <c r="D6865" t="s">
        <v>6837</v>
      </c>
      <c r="E6865" t="b">
        <f>IF(COUNTIF(D6865,"*"&amp;'Keyword Search'!$C$5&amp;"*"),TRUE,FALSE)</f>
        <v>1</v>
      </c>
      <c r="G6865" t="str">
        <f t="shared" si="444"/>
        <v>885-43: Color Control Chemicals, Water</v>
      </c>
    </row>
    <row r="6866" spans="1:7" x14ac:dyDescent="0.25">
      <c r="A6866" s="1" t="str">
        <f t="shared" si="445"/>
        <v>885</v>
      </c>
      <c r="B6866" s="1" t="str">
        <f>TEXT(44,"00")</f>
        <v>44</v>
      </c>
      <c r="C6866" s="1" t="str">
        <f t="shared" si="443"/>
        <v>885-44</v>
      </c>
      <c r="D6866" t="s">
        <v>6838</v>
      </c>
      <c r="E6866" t="b">
        <f>IF(COUNTIF(D6866,"*"&amp;'Keyword Search'!$C$5&amp;"*"),TRUE,FALSE)</f>
        <v>1</v>
      </c>
      <c r="G6866" t="str">
        <f t="shared" si="444"/>
        <v>885-44: Corrosion, Scale, and Sludge Control Chemicals: Alum, Amines, Morpholine, etc., Sodium Sulfite, etc.</v>
      </c>
    </row>
    <row r="6867" spans="1:7" x14ac:dyDescent="0.25">
      <c r="A6867" s="1" t="str">
        <f t="shared" si="445"/>
        <v>885</v>
      </c>
      <c r="B6867" s="1" t="str">
        <f>TEXT(46,"00")</f>
        <v>46</v>
      </c>
      <c r="C6867" s="1" t="str">
        <f t="shared" si="443"/>
        <v>885-46</v>
      </c>
      <c r="D6867" t="s">
        <v>6839</v>
      </c>
      <c r="E6867" t="b">
        <f>IF(COUNTIF(D6867,"*"&amp;'Keyword Search'!$C$5&amp;"*"),TRUE,FALSE)</f>
        <v>1</v>
      </c>
      <c r="G6867" t="str">
        <f t="shared" si="444"/>
        <v>885-46: Counteractant and Degreaser, Odor</v>
      </c>
    </row>
    <row r="6868" spans="1:7" x14ac:dyDescent="0.25">
      <c r="A6868" s="1" t="str">
        <f t="shared" si="445"/>
        <v>885</v>
      </c>
      <c r="B6868" s="1" t="str">
        <f>TEXT(47,"00")</f>
        <v>47</v>
      </c>
      <c r="C6868" s="1" t="str">
        <f t="shared" si="443"/>
        <v>885-47</v>
      </c>
      <c r="D6868" t="s">
        <v>6840</v>
      </c>
      <c r="E6868" t="b">
        <f>IF(COUNTIF(D6868,"*"&amp;'Keyword Search'!$C$5&amp;"*"),TRUE,FALSE)</f>
        <v>1</v>
      </c>
      <c r="G6868" t="str">
        <f t="shared" si="444"/>
        <v>885-47: Dechlorinating Agents, Sulfur Dioxide, etc.</v>
      </c>
    </row>
    <row r="6869" spans="1:7" x14ac:dyDescent="0.25">
      <c r="A6869" s="1" t="str">
        <f t="shared" si="445"/>
        <v>885</v>
      </c>
      <c r="B6869" s="1" t="str">
        <f>TEXT(48,"00")</f>
        <v>48</v>
      </c>
      <c r="C6869" s="1" t="str">
        <f t="shared" si="443"/>
        <v>885-48</v>
      </c>
      <c r="D6869" t="s">
        <v>6841</v>
      </c>
      <c r="E6869" t="b">
        <f>IF(COUNTIF(D6869,"*"&amp;'Keyword Search'!$C$5&amp;"*"),TRUE,FALSE)</f>
        <v>1</v>
      </c>
      <c r="G6869" t="str">
        <f t="shared" si="444"/>
        <v>885-48: Descaling Compounds</v>
      </c>
    </row>
    <row r="6870" spans="1:7" x14ac:dyDescent="0.25">
      <c r="A6870" s="1" t="str">
        <f t="shared" si="445"/>
        <v>885</v>
      </c>
      <c r="B6870" s="1" t="str">
        <f>TEXT(51,"00")</f>
        <v>51</v>
      </c>
      <c r="C6870" s="1" t="str">
        <f t="shared" si="443"/>
        <v>885-51</v>
      </c>
      <c r="D6870" t="s">
        <v>6842</v>
      </c>
      <c r="E6870" t="b">
        <f>IF(COUNTIF(D6870,"*"&amp;'Keyword Search'!$C$5&amp;"*"),TRUE,FALSE)</f>
        <v>1</v>
      </c>
      <c r="G6870" t="str">
        <f t="shared" si="444"/>
        <v>885-51: Disinfectants, Wastewater</v>
      </c>
    </row>
    <row r="6871" spans="1:7" x14ac:dyDescent="0.25">
      <c r="A6871" s="1" t="str">
        <f t="shared" si="445"/>
        <v>885</v>
      </c>
      <c r="B6871" s="1" t="str">
        <f>TEXT(52,"00")</f>
        <v>52</v>
      </c>
      <c r="C6871" s="1" t="str">
        <f t="shared" si="443"/>
        <v>885-52</v>
      </c>
      <c r="D6871" t="s">
        <v>6843</v>
      </c>
      <c r="E6871" t="b">
        <f>IF(COUNTIF(D6871,"*"&amp;'Keyword Search'!$C$5&amp;"*"),TRUE,FALSE)</f>
        <v>1</v>
      </c>
      <c r="G6871" t="str">
        <f t="shared" si="444"/>
        <v>885-52: Disinfectant, Ozone, Laboratory and Clinical Baths</v>
      </c>
    </row>
    <row r="6872" spans="1:7" x14ac:dyDescent="0.25">
      <c r="A6872" s="1" t="str">
        <f t="shared" si="445"/>
        <v>885</v>
      </c>
      <c r="B6872" s="1" t="str">
        <f>TEXT(60,"00")</f>
        <v>60</v>
      </c>
      <c r="C6872" s="1" t="str">
        <f t="shared" si="443"/>
        <v>885-60</v>
      </c>
      <c r="D6872" t="s">
        <v>6844</v>
      </c>
      <c r="E6872" t="b">
        <f>IF(COUNTIF(D6872,"*"&amp;'Keyword Search'!$C$5&amp;"*"),TRUE,FALSE)</f>
        <v>1</v>
      </c>
      <c r="G6872" t="str">
        <f t="shared" si="444"/>
        <v>885-60: Ferrous Sulfate and Ferrous Chloride</v>
      </c>
    </row>
    <row r="6873" spans="1:7" x14ac:dyDescent="0.25">
      <c r="A6873" s="1" t="str">
        <f t="shared" si="445"/>
        <v>885</v>
      </c>
      <c r="B6873" s="1" t="str">
        <f>TEXT(64,"00")</f>
        <v>64</v>
      </c>
      <c r="C6873" s="1" t="str">
        <f t="shared" si="443"/>
        <v>885-64</v>
      </c>
      <c r="D6873" t="s">
        <v>6845</v>
      </c>
      <c r="E6873" t="b">
        <f>IF(COUNTIF(D6873,"*"&amp;'Keyword Search'!$C$5&amp;"*"),TRUE,FALSE)</f>
        <v>1</v>
      </c>
      <c r="G6873" t="str">
        <f t="shared" si="444"/>
        <v>885-64: Filter Aids: Diatomaceous Earth, Fuller's Earth, etc.</v>
      </c>
    </row>
    <row r="6874" spans="1:7" x14ac:dyDescent="0.25">
      <c r="A6874" s="1" t="str">
        <f t="shared" si="445"/>
        <v>885</v>
      </c>
      <c r="B6874" s="1" t="str">
        <f>TEXT(66,"00")</f>
        <v>66</v>
      </c>
      <c r="C6874" s="1" t="str">
        <f t="shared" si="443"/>
        <v>885-66</v>
      </c>
      <c r="D6874" t="s">
        <v>6846</v>
      </c>
      <c r="E6874" t="b">
        <f>IF(COUNTIF(D6874,"*"&amp;'Keyword Search'!$C$5&amp;"*"),TRUE,FALSE)</f>
        <v>1</v>
      </c>
      <c r="G6874" t="str">
        <f t="shared" si="444"/>
        <v>885-66: Fluoride and Other Drinking Water Additives</v>
      </c>
    </row>
    <row r="6875" spans="1:7" x14ac:dyDescent="0.25">
      <c r="A6875" s="1" t="str">
        <f t="shared" si="445"/>
        <v>885</v>
      </c>
      <c r="B6875" s="1" t="str">
        <f>TEXT(70,"00")</f>
        <v>70</v>
      </c>
      <c r="C6875" s="1" t="str">
        <f t="shared" si="443"/>
        <v>885-70</v>
      </c>
      <c r="D6875" t="s">
        <v>6847</v>
      </c>
      <c r="E6875" t="b">
        <f>IF(COUNTIF(D6875,"*"&amp;'Keyword Search'!$C$5&amp;"*"),TRUE,FALSE)</f>
        <v>1</v>
      </c>
      <c r="G6875" t="str">
        <f t="shared" si="444"/>
        <v>885-70: Hardness Control Chemicals: Chelating Agents, Phosphonates, Polyphosphates, Polymer Flocculants, etc.</v>
      </c>
    </row>
    <row r="6876" spans="1:7" x14ac:dyDescent="0.25">
      <c r="A6876" s="1" t="str">
        <f t="shared" si="445"/>
        <v>885</v>
      </c>
      <c r="B6876" s="1" t="str">
        <f>TEXT(74,"00")</f>
        <v>74</v>
      </c>
      <c r="C6876" s="1" t="str">
        <f t="shared" si="443"/>
        <v>885-74</v>
      </c>
      <c r="D6876" t="s">
        <v>6848</v>
      </c>
      <c r="E6876" t="b">
        <f>IF(COUNTIF(D6876,"*"&amp;'Keyword Search'!$C$5&amp;"*"),TRUE,FALSE)</f>
        <v>1</v>
      </c>
      <c r="G6876" t="str">
        <f t="shared" si="444"/>
        <v>885-74: Nitrogen and Oxygen, Liquid</v>
      </c>
    </row>
    <row r="6877" spans="1:7" x14ac:dyDescent="0.25">
      <c r="A6877" s="1" t="str">
        <f t="shared" si="445"/>
        <v>885</v>
      </c>
      <c r="B6877" s="1" t="str">
        <f>TEXT(76,"00")</f>
        <v>76</v>
      </c>
      <c r="C6877" s="1" t="str">
        <f t="shared" si="443"/>
        <v>885-76</v>
      </c>
      <c r="D6877" t="s">
        <v>6849</v>
      </c>
      <c r="E6877" t="b">
        <f>IF(COUNTIF(D6877,"*"&amp;'Keyword Search'!$C$5&amp;"*"),TRUE,FALSE)</f>
        <v>1</v>
      </c>
      <c r="G6877" t="str">
        <f t="shared" si="444"/>
        <v>885-76: Odor Control Chemicals, etc.</v>
      </c>
    </row>
    <row r="6878" spans="1:7" x14ac:dyDescent="0.25">
      <c r="A6878" s="1" t="str">
        <f t="shared" si="445"/>
        <v>885</v>
      </c>
      <c r="B6878" s="1" t="str">
        <f>TEXT(77,"00")</f>
        <v>77</v>
      </c>
      <c r="C6878" s="1" t="str">
        <f t="shared" si="443"/>
        <v>885-77</v>
      </c>
      <c r="D6878" t="s">
        <v>6850</v>
      </c>
      <c r="E6878" t="b">
        <f>IF(COUNTIF(D6878,"*"&amp;'Keyword Search'!$C$5&amp;"*"),TRUE,FALSE)</f>
        <v>1</v>
      </c>
      <c r="G6878" t="str">
        <f t="shared" si="444"/>
        <v>885-77: Polymer Flocculants, Color, Thickening, Dewatering, Coagulant Aid, Not Hardness Control</v>
      </c>
    </row>
    <row r="6879" spans="1:7" x14ac:dyDescent="0.25">
      <c r="A6879" s="1" t="str">
        <f t="shared" si="445"/>
        <v>885</v>
      </c>
      <c r="B6879" s="1" t="str">
        <f>TEXT(78,"00")</f>
        <v>78</v>
      </c>
      <c r="C6879" s="1" t="str">
        <f t="shared" si="443"/>
        <v>885-78</v>
      </c>
      <c r="D6879" t="s">
        <v>6851</v>
      </c>
      <c r="E6879" t="b">
        <f>IF(COUNTIF(D6879,"*"&amp;'Keyword Search'!$C$5&amp;"*"),TRUE,FALSE)</f>
        <v>1</v>
      </c>
      <c r="G6879" t="str">
        <f t="shared" si="444"/>
        <v>885-78: pH Control Chemicals: Caustic Soda, Lime, Muriatic Acid, Quicklime, Soda Ash, etc.</v>
      </c>
    </row>
    <row r="6880" spans="1:7" x14ac:dyDescent="0.25">
      <c r="A6880" s="1" t="str">
        <f t="shared" si="445"/>
        <v>885</v>
      </c>
      <c r="B6880" s="1" t="str">
        <f>TEXT(79,"00")</f>
        <v>79</v>
      </c>
      <c r="C6880" s="1" t="str">
        <f t="shared" si="443"/>
        <v>885-79</v>
      </c>
      <c r="D6880" t="s">
        <v>6852</v>
      </c>
      <c r="E6880" t="b">
        <f>IF(COUNTIF(D6880,"*"&amp;'Keyword Search'!$C$5&amp;"*"),TRUE,FALSE)</f>
        <v>1</v>
      </c>
      <c r="G6880" t="str">
        <f t="shared" si="444"/>
        <v>885-79: Reagents, Buffer, Water Treatment</v>
      </c>
    </row>
    <row r="6881" spans="1:7" x14ac:dyDescent="0.25">
      <c r="A6881" s="1" t="str">
        <f t="shared" si="445"/>
        <v>885</v>
      </c>
      <c r="B6881" s="1" t="str">
        <f>TEXT(80,"00")</f>
        <v>80</v>
      </c>
      <c r="C6881" s="1" t="str">
        <f t="shared" si="443"/>
        <v>885-80</v>
      </c>
      <c r="D6881" t="s">
        <v>6853</v>
      </c>
      <c r="E6881" t="b">
        <f>IF(COUNTIF(D6881,"*"&amp;'Keyword Search'!$C$5&amp;"*"),TRUE,FALSE)</f>
        <v>1</v>
      </c>
      <c r="G6881" t="str">
        <f t="shared" si="444"/>
        <v>885-80: Resins, Sodium Ion Exchange, Water Softening</v>
      </c>
    </row>
    <row r="6882" spans="1:7" x14ac:dyDescent="0.25">
      <c r="A6882" s="1" t="str">
        <f t="shared" si="445"/>
        <v>885</v>
      </c>
      <c r="B6882" s="1" t="str">
        <f>TEXT(82,"00")</f>
        <v>82</v>
      </c>
      <c r="C6882" s="1" t="str">
        <f t="shared" si="443"/>
        <v>885-82</v>
      </c>
      <c r="D6882" t="s">
        <v>6854</v>
      </c>
      <c r="E6882" t="b">
        <f>IF(COUNTIF(D6882,"*"&amp;'Keyword Search'!$C$5&amp;"*"),TRUE,FALSE)</f>
        <v>1</v>
      </c>
      <c r="G6882" t="str">
        <f t="shared" si="444"/>
        <v>885-82: Sewer and Septic Treating Chemicals</v>
      </c>
    </row>
    <row r="6883" spans="1:7" x14ac:dyDescent="0.25">
      <c r="A6883" s="1" t="str">
        <f t="shared" si="445"/>
        <v>885</v>
      </c>
      <c r="B6883" s="1" t="str">
        <f>TEXT(84,"00")</f>
        <v>84</v>
      </c>
      <c r="C6883" s="1" t="str">
        <f t="shared" si="443"/>
        <v>885-84</v>
      </c>
      <c r="D6883" t="s">
        <v>6855</v>
      </c>
      <c r="E6883" t="b">
        <f>IF(COUNTIF(D6883,"*"&amp;'Keyword Search'!$C$5&amp;"*"),TRUE,FALSE)</f>
        <v>1</v>
      </c>
      <c r="G6883" t="str">
        <f t="shared" si="444"/>
        <v>885-84: Sodium Hydroxide</v>
      </c>
    </row>
    <row r="6884" spans="1:7" x14ac:dyDescent="0.25">
      <c r="A6884" s="1" t="str">
        <f t="shared" si="445"/>
        <v>885</v>
      </c>
      <c r="B6884" s="1" t="str">
        <f>TEXT(89,"00")</f>
        <v>89</v>
      </c>
      <c r="C6884" s="1" t="str">
        <f t="shared" si="443"/>
        <v>885-89</v>
      </c>
      <c r="D6884" t="s">
        <v>6856</v>
      </c>
      <c r="E6884" t="b">
        <f>IF(COUNTIF(D6884,"*"&amp;'Keyword Search'!$C$5&amp;"*"),TRUE,FALSE)</f>
        <v>1</v>
      </c>
      <c r="G6884" t="str">
        <f t="shared" si="444"/>
        <v>885-89: Stabilizers, Cyanuric Acid, etc.</v>
      </c>
    </row>
    <row r="6885" spans="1:7" x14ac:dyDescent="0.25">
      <c r="A6885" s="1" t="str">
        <f t="shared" si="445"/>
        <v>885</v>
      </c>
      <c r="B6885" s="1" t="str">
        <f>TEXT(94,"00")</f>
        <v>94</v>
      </c>
      <c r="C6885" s="1" t="str">
        <f t="shared" si="443"/>
        <v>885-94</v>
      </c>
      <c r="D6885" t="s">
        <v>6857</v>
      </c>
      <c r="E6885" t="b">
        <f>IF(COUNTIF(D6885,"*"&amp;'Keyword Search'!$C$5&amp;"*"),TRUE,FALSE)</f>
        <v>1</v>
      </c>
      <c r="G6885" t="str">
        <f t="shared" si="444"/>
        <v>885-94: Water Treating Chemicals (Not Otherwise Classified)</v>
      </c>
    </row>
    <row r="6886" spans="1:7" x14ac:dyDescent="0.25">
      <c r="A6886" s="1" t="str">
        <f t="shared" si="445"/>
        <v>885</v>
      </c>
      <c r="B6886" s="1" t="str">
        <f>TEXT(95,"00")</f>
        <v>95</v>
      </c>
      <c r="C6886" s="1" t="str">
        <f t="shared" si="443"/>
        <v>885-95</v>
      </c>
      <c r="D6886" t="s">
        <v>6858</v>
      </c>
      <c r="E6886" t="b">
        <f>IF(COUNTIF(D6886,"*"&amp;'Keyword Search'!$C$5&amp;"*"),TRUE,FALSE)</f>
        <v>1</v>
      </c>
      <c r="G6886" t="str">
        <f t="shared" si="444"/>
        <v>885-95: Water Testing Kits, Chlorine, Hardness, PH, etc.</v>
      </c>
    </row>
    <row r="6887" spans="1:7" x14ac:dyDescent="0.25">
      <c r="A6887" s="1" t="str">
        <f t="shared" si="445"/>
        <v>885</v>
      </c>
      <c r="B6887" s="1" t="str">
        <f>TEXT(96,"00")</f>
        <v>96</v>
      </c>
      <c r="C6887" s="1" t="str">
        <f t="shared" si="443"/>
        <v>885-96</v>
      </c>
      <c r="D6887" t="s">
        <v>6859</v>
      </c>
      <c r="E6887" t="b">
        <f>IF(COUNTIF(D6887,"*"&amp;'Keyword Search'!$C$5&amp;"*"),TRUE,FALSE)</f>
        <v>1</v>
      </c>
      <c r="G6887" t="str">
        <f t="shared" si="444"/>
        <v>885-96: Recycled Water and Wastewater Treating Chemicals</v>
      </c>
    </row>
    <row r="6888" spans="1:7" x14ac:dyDescent="0.25">
      <c r="A6888" s="5" t="str">
        <f t="shared" ref="A6888:A6949" si="446">TEXT(890,"000")</f>
        <v>890</v>
      </c>
      <c r="B6888" s="5" t="str">
        <f>TEXT(0,"00")</f>
        <v>00</v>
      </c>
      <c r="C6888" s="1"/>
      <c r="D6888" s="2" t="s">
        <v>6860</v>
      </c>
    </row>
    <row r="6889" spans="1:7" x14ac:dyDescent="0.25">
      <c r="A6889" s="1" t="str">
        <f t="shared" si="446"/>
        <v>890</v>
      </c>
      <c r="B6889" s="1" t="str">
        <f>TEXT(1,"00")</f>
        <v>01</v>
      </c>
      <c r="C6889" s="1" t="str">
        <f t="shared" si="443"/>
        <v>890-01</v>
      </c>
      <c r="D6889" t="s">
        <v>6861</v>
      </c>
      <c r="E6889" t="b">
        <f>IF(COUNTIF(D6889,"*"&amp;'Keyword Search'!$C$5&amp;"*"),TRUE,FALSE)</f>
        <v>1</v>
      </c>
      <c r="G6889" t="str">
        <f t="shared" si="444"/>
        <v>890-01: Air Flotation Systems, Water Treatment Removal of Hydrocarbons</v>
      </c>
    </row>
    <row r="6890" spans="1:7" x14ac:dyDescent="0.25">
      <c r="A6890" s="1" t="str">
        <f t="shared" si="446"/>
        <v>890</v>
      </c>
      <c r="B6890" s="1" t="str">
        <f>TEXT(2,"00")</f>
        <v>02</v>
      </c>
      <c r="C6890" s="1" t="str">
        <f t="shared" si="443"/>
        <v>890-02</v>
      </c>
      <c r="D6890" t="s">
        <v>6862</v>
      </c>
      <c r="E6890" t="b">
        <f>IF(COUNTIF(D6890,"*"&amp;'Keyword Search'!$C$5&amp;"*"),TRUE,FALSE)</f>
        <v>1</v>
      </c>
      <c r="G6890" t="str">
        <f t="shared" si="444"/>
        <v>890-02: Activated Carbon Systems, Equipment, and Absorbers</v>
      </c>
    </row>
    <row r="6891" spans="1:7" x14ac:dyDescent="0.25">
      <c r="A6891" s="1" t="str">
        <f t="shared" si="446"/>
        <v>890</v>
      </c>
      <c r="B6891" s="1" t="str">
        <f>TEXT(3,"00")</f>
        <v>03</v>
      </c>
      <c r="C6891" s="1" t="str">
        <f t="shared" si="443"/>
        <v>890-03</v>
      </c>
      <c r="D6891" t="s">
        <v>6863</v>
      </c>
      <c r="E6891" t="b">
        <f>IF(COUNTIF(D6891,"*"&amp;'Keyword Search'!$C$5&amp;"*"),TRUE,FALSE)</f>
        <v>1</v>
      </c>
      <c r="G6891" t="str">
        <f t="shared" si="444"/>
        <v>890-03: Back Flow Preventers for Water and Sewer Pipe</v>
      </c>
    </row>
    <row r="6892" spans="1:7" x14ac:dyDescent="0.25">
      <c r="A6892" s="1" t="str">
        <f t="shared" si="446"/>
        <v>890</v>
      </c>
      <c r="B6892" s="1" t="str">
        <f>TEXT(4,"00")</f>
        <v>04</v>
      </c>
      <c r="C6892" s="1" t="str">
        <f t="shared" si="443"/>
        <v>890-04</v>
      </c>
      <c r="D6892" t="s">
        <v>6864</v>
      </c>
      <c r="E6892" t="b">
        <f>IF(COUNTIF(D6892,"*"&amp;'Keyword Search'!$C$5&amp;"*"),TRUE,FALSE)</f>
        <v>1</v>
      </c>
      <c r="G6892" t="str">
        <f t="shared" si="444"/>
        <v>890-04: Bar and Trash Screen Equipment, Including Parts and Accessories</v>
      </c>
    </row>
    <row r="6893" spans="1:7" x14ac:dyDescent="0.25">
      <c r="A6893" s="1" t="str">
        <f t="shared" si="446"/>
        <v>890</v>
      </c>
      <c r="B6893" s="1" t="str">
        <f>TEXT(5,"00")</f>
        <v>05</v>
      </c>
      <c r="C6893" s="1" t="str">
        <f t="shared" si="443"/>
        <v>890-05</v>
      </c>
      <c r="D6893" t="s">
        <v>6865</v>
      </c>
      <c r="E6893" t="b">
        <f>IF(COUNTIF(D6893,"*"&amp;'Keyword Search'!$C$5&amp;"*"),TRUE,FALSE)</f>
        <v>1</v>
      </c>
      <c r="G6893" t="str">
        <f t="shared" si="444"/>
        <v>890-05: Belt Filter Press, Including Parts and Accessories</v>
      </c>
    </row>
    <row r="6894" spans="1:7" x14ac:dyDescent="0.25">
      <c r="A6894" s="1" t="str">
        <f t="shared" si="446"/>
        <v>890</v>
      </c>
      <c r="B6894" s="1" t="str">
        <f>TEXT(6,"00")</f>
        <v>06</v>
      </c>
      <c r="C6894" s="1" t="str">
        <f t="shared" si="443"/>
        <v>890-06</v>
      </c>
      <c r="D6894" t="s">
        <v>6866</v>
      </c>
      <c r="E6894" t="b">
        <f>IF(COUNTIF(D6894,"*"&amp;'Keyword Search'!$C$5&amp;"*"),TRUE,FALSE)</f>
        <v>1</v>
      </c>
      <c r="G6894" t="str">
        <f t="shared" si="444"/>
        <v>890-06: Bioroughing Systems, Including Parts and Accessories</v>
      </c>
    </row>
    <row r="6895" spans="1:7" x14ac:dyDescent="0.25">
      <c r="A6895" s="1" t="str">
        <f t="shared" si="446"/>
        <v>890</v>
      </c>
      <c r="B6895" s="1" t="str">
        <f>TEXT(7,"00")</f>
        <v>07</v>
      </c>
      <c r="C6895" s="1" t="str">
        <f t="shared" si="443"/>
        <v>890-07</v>
      </c>
      <c r="D6895" t="s">
        <v>6867</v>
      </c>
      <c r="E6895" t="b">
        <f>IF(COUNTIF(D6895,"*"&amp;'Keyword Search'!$C$5&amp;"*"),TRUE,FALSE)</f>
        <v>1</v>
      </c>
      <c r="G6895" t="str">
        <f t="shared" si="444"/>
        <v>890-07: Centrifuges, Water Treatment</v>
      </c>
    </row>
    <row r="6896" spans="1:7" x14ac:dyDescent="0.25">
      <c r="A6896" s="1" t="str">
        <f t="shared" si="446"/>
        <v>890</v>
      </c>
      <c r="B6896" s="1" t="str">
        <f>TEXT(8,"00")</f>
        <v>08</v>
      </c>
      <c r="C6896" s="1" t="str">
        <f t="shared" si="443"/>
        <v>890-08</v>
      </c>
      <c r="D6896" t="s">
        <v>6868</v>
      </c>
      <c r="E6896" t="b">
        <f>IF(COUNTIF(D6896,"*"&amp;'Keyword Search'!$C$5&amp;"*"),TRUE,FALSE)</f>
        <v>1</v>
      </c>
      <c r="G6896" t="str">
        <f t="shared" si="444"/>
        <v>890-08: Chlorination Equipment, Including Parts and Accessories</v>
      </c>
    </row>
    <row r="6897" spans="1:7" x14ac:dyDescent="0.25">
      <c r="A6897" s="1" t="str">
        <f t="shared" si="446"/>
        <v>890</v>
      </c>
      <c r="B6897" s="1" t="str">
        <f>TEXT(13,"00")</f>
        <v>13</v>
      </c>
      <c r="C6897" s="1" t="str">
        <f t="shared" si="443"/>
        <v>890-13</v>
      </c>
      <c r="D6897" t="s">
        <v>6869</v>
      </c>
      <c r="E6897" t="b">
        <f>IF(COUNTIF(D6897,"*"&amp;'Keyword Search'!$C$5&amp;"*"),TRUE,FALSE)</f>
        <v>1</v>
      </c>
      <c r="G6897" t="str">
        <f t="shared" si="444"/>
        <v>890-13: Clarifiers and Settlers, Separators</v>
      </c>
    </row>
    <row r="6898" spans="1:7" x14ac:dyDescent="0.25">
      <c r="A6898" s="1" t="str">
        <f t="shared" si="446"/>
        <v>890</v>
      </c>
      <c r="B6898" s="1" t="str">
        <f>TEXT(15,"00")</f>
        <v>15</v>
      </c>
      <c r="C6898" s="1" t="str">
        <f t="shared" si="443"/>
        <v>890-15</v>
      </c>
      <c r="D6898" t="s">
        <v>6870</v>
      </c>
      <c r="E6898" t="b">
        <f>IF(COUNTIF(D6898,"*"&amp;'Keyword Search'!$C$5&amp;"*"),TRUE,FALSE)</f>
        <v>1</v>
      </c>
      <c r="G6898" t="str">
        <f t="shared" si="444"/>
        <v>890-15: Complete Water Treatment Systems, Chemical</v>
      </c>
    </row>
    <row r="6899" spans="1:7" x14ac:dyDescent="0.25">
      <c r="A6899" s="1" t="str">
        <f t="shared" si="446"/>
        <v>890</v>
      </c>
      <c r="B6899" s="1" t="str">
        <f>TEXT(16,"00")</f>
        <v>16</v>
      </c>
      <c r="C6899" s="1" t="str">
        <f t="shared" si="443"/>
        <v>890-16</v>
      </c>
      <c r="D6899" t="s">
        <v>6871</v>
      </c>
      <c r="E6899" t="b">
        <f>IF(COUNTIF(D6899,"*"&amp;'Keyword Search'!$C$5&amp;"*"),TRUE,FALSE)</f>
        <v>1</v>
      </c>
      <c r="G6899" t="str">
        <f t="shared" si="444"/>
        <v>890-16: Complete Water Treatment Systems, Nonchemical: Ultraviolet Water Supply Sterilization, etc.</v>
      </c>
    </row>
    <row r="6900" spans="1:7" x14ac:dyDescent="0.25">
      <c r="A6900" s="1" t="str">
        <f t="shared" si="446"/>
        <v>890</v>
      </c>
      <c r="B6900" s="1" t="str">
        <f>TEXT(17,"00")</f>
        <v>17</v>
      </c>
      <c r="C6900" s="1" t="str">
        <f t="shared" si="443"/>
        <v>890-17</v>
      </c>
      <c r="D6900" t="s">
        <v>6872</v>
      </c>
      <c r="E6900" t="b">
        <f>IF(COUNTIF(D6900,"*"&amp;'Keyword Search'!$C$5&amp;"*"),TRUE,FALSE)</f>
        <v>1</v>
      </c>
      <c r="G6900" t="str">
        <f t="shared" si="444"/>
        <v>890-17: Contaminated Groundwater Treatment Equipment</v>
      </c>
    </row>
    <row r="6901" spans="1:7" x14ac:dyDescent="0.25">
      <c r="A6901" s="1" t="str">
        <f t="shared" si="446"/>
        <v>890</v>
      </c>
      <c r="B6901" s="1" t="str">
        <f>TEXT(19,"00")</f>
        <v>19</v>
      </c>
      <c r="C6901" s="1" t="str">
        <f t="shared" si="443"/>
        <v>890-19</v>
      </c>
      <c r="D6901" t="s">
        <v>6873</v>
      </c>
      <c r="E6901" t="b">
        <f>IF(COUNTIF(D6901,"*"&amp;'Keyword Search'!$C$5&amp;"*"),TRUE,FALSE)</f>
        <v>1</v>
      </c>
      <c r="G6901" t="str">
        <f t="shared" si="444"/>
        <v>890-19: Crushers, Grinders, Size Reduction Equipment, etc.</v>
      </c>
    </row>
    <row r="6902" spans="1:7" x14ac:dyDescent="0.25">
      <c r="A6902" s="1" t="str">
        <f t="shared" si="446"/>
        <v>890</v>
      </c>
      <c r="B6902" s="1" t="str">
        <f>TEXT(20,"00")</f>
        <v>20</v>
      </c>
      <c r="C6902" s="1" t="str">
        <f t="shared" si="443"/>
        <v>890-20</v>
      </c>
      <c r="D6902" t="s">
        <v>6874</v>
      </c>
      <c r="E6902" t="b">
        <f>IF(COUNTIF(D6902,"*"&amp;'Keyword Search'!$C$5&amp;"*"),TRUE,FALSE)</f>
        <v>1</v>
      </c>
      <c r="G6902" t="str">
        <f t="shared" si="444"/>
        <v>890-20: Demineralizers: Reverse Osmosis, etc.</v>
      </c>
    </row>
    <row r="6903" spans="1:7" x14ac:dyDescent="0.25">
      <c r="A6903" s="1" t="str">
        <f t="shared" si="446"/>
        <v>890</v>
      </c>
      <c r="B6903" s="1" t="str">
        <f>TEXT(21,"00")</f>
        <v>21</v>
      </c>
      <c r="C6903" s="1" t="str">
        <f t="shared" si="443"/>
        <v>890-21</v>
      </c>
      <c r="D6903" t="s">
        <v>6875</v>
      </c>
      <c r="E6903" t="b">
        <f>IF(COUNTIF(D6903,"*"&amp;'Keyword Search'!$C$5&amp;"*"),TRUE,FALSE)</f>
        <v>1</v>
      </c>
      <c r="G6903" t="str">
        <f t="shared" si="444"/>
        <v>890-21: Desludging Equipment, Including Parts and Accessories</v>
      </c>
    </row>
    <row r="6904" spans="1:7" x14ac:dyDescent="0.25">
      <c r="A6904" s="1" t="str">
        <f t="shared" si="446"/>
        <v>890</v>
      </c>
      <c r="B6904" s="1" t="str">
        <f>TEXT(22,"00")</f>
        <v>22</v>
      </c>
      <c r="C6904" s="1" t="str">
        <f t="shared" si="443"/>
        <v>890-22</v>
      </c>
      <c r="D6904" t="s">
        <v>6876</v>
      </c>
      <c r="E6904" t="b">
        <f>IF(COUNTIF(D6904,"*"&amp;'Keyword Search'!$C$5&amp;"*"),TRUE,FALSE)</f>
        <v>1</v>
      </c>
      <c r="G6904" t="str">
        <f t="shared" si="444"/>
        <v>890-22: Desalination Equipment, Water Treatment</v>
      </c>
    </row>
    <row r="6905" spans="1:7" x14ac:dyDescent="0.25">
      <c r="A6905" s="1" t="str">
        <f t="shared" si="446"/>
        <v>890</v>
      </c>
      <c r="B6905" s="1" t="str">
        <f>TEXT(23,"00")</f>
        <v>23</v>
      </c>
      <c r="C6905" s="1" t="str">
        <f t="shared" si="443"/>
        <v>890-23</v>
      </c>
      <c r="D6905" t="s">
        <v>6877</v>
      </c>
      <c r="E6905" t="b">
        <f>IF(COUNTIF(D6905,"*"&amp;'Keyword Search'!$C$5&amp;"*"),TRUE,FALSE)</f>
        <v>1</v>
      </c>
      <c r="G6905" t="str">
        <f t="shared" si="444"/>
        <v>890-23: Elements, Primary, Flow, Pressure, Temperature, etc.</v>
      </c>
    </row>
    <row r="6906" spans="1:7" x14ac:dyDescent="0.25">
      <c r="A6906" s="1" t="str">
        <f t="shared" si="446"/>
        <v>890</v>
      </c>
      <c r="B6906" s="1" t="str">
        <f>TEXT(24,"00")</f>
        <v>24</v>
      </c>
      <c r="C6906" s="1" t="str">
        <f t="shared" si="443"/>
        <v>890-24</v>
      </c>
      <c r="D6906" t="s">
        <v>6878</v>
      </c>
      <c r="E6906" t="b">
        <f>IF(COUNTIF(D6906,"*"&amp;'Keyword Search'!$C$5&amp;"*"),TRUE,FALSE)</f>
        <v>1</v>
      </c>
      <c r="G6906" t="str">
        <f t="shared" si="444"/>
        <v>890-24: Filtration Equipment, Water Including Parts and Accessories</v>
      </c>
    </row>
    <row r="6907" spans="1:7" x14ac:dyDescent="0.25">
      <c r="A6907" s="1" t="str">
        <f t="shared" si="446"/>
        <v>890</v>
      </c>
      <c r="B6907" s="1" t="str">
        <f>TEXT(25,"00")</f>
        <v>25</v>
      </c>
      <c r="C6907" s="1" t="str">
        <f t="shared" si="443"/>
        <v>890-25</v>
      </c>
      <c r="D6907" t="s">
        <v>6879</v>
      </c>
      <c r="E6907" t="b">
        <f>IF(COUNTIF(D6907,"*"&amp;'Keyword Search'!$C$5&amp;"*"),TRUE,FALSE)</f>
        <v>1</v>
      </c>
      <c r="G6907" t="str">
        <f t="shared" si="444"/>
        <v>890-25: Fluoridation Equipment</v>
      </c>
    </row>
    <row r="6908" spans="1:7" x14ac:dyDescent="0.25">
      <c r="A6908" s="1" t="str">
        <f t="shared" si="446"/>
        <v>890</v>
      </c>
      <c r="B6908" s="1" t="str">
        <f>TEXT(27,"00")</f>
        <v>27</v>
      </c>
      <c r="C6908" s="1" t="str">
        <f t="shared" si="443"/>
        <v>890-27</v>
      </c>
      <c r="D6908" t="s">
        <v>6880</v>
      </c>
      <c r="E6908" t="b">
        <f>IF(COUNTIF(D6908,"*"&amp;'Keyword Search'!$C$5&amp;"*"),TRUE,FALSE)</f>
        <v>1</v>
      </c>
      <c r="G6908" t="str">
        <f t="shared" si="444"/>
        <v>890-27: Incinerators, Sludge, Including Part and Accessories</v>
      </c>
    </row>
    <row r="6909" spans="1:7" x14ac:dyDescent="0.25">
      <c r="A6909" s="1" t="str">
        <f t="shared" si="446"/>
        <v>890</v>
      </c>
      <c r="B6909" s="1" t="str">
        <f>TEXT(28,"00")</f>
        <v>28</v>
      </c>
      <c r="C6909" s="1" t="str">
        <f t="shared" si="443"/>
        <v>890-28</v>
      </c>
      <c r="D6909" t="s">
        <v>6881</v>
      </c>
      <c r="E6909" t="b">
        <f>IF(COUNTIF(D6909,"*"&amp;'Keyword Search'!$C$5&amp;"*"),TRUE,FALSE)</f>
        <v>1</v>
      </c>
      <c r="G6909" t="str">
        <f t="shared" si="444"/>
        <v>890-28: Instrumentation Equipment, Actuators, Analyzers, Regulators, Controllers, Transducers, etc., Including Parts and Accessories</v>
      </c>
    </row>
    <row r="6910" spans="1:7" x14ac:dyDescent="0.25">
      <c r="A6910" s="1" t="str">
        <f t="shared" si="446"/>
        <v>890</v>
      </c>
      <c r="B6910" s="1" t="str">
        <f>TEXT(30,"00")</f>
        <v>30</v>
      </c>
      <c r="C6910" s="1" t="str">
        <f t="shared" si="443"/>
        <v>890-30</v>
      </c>
      <c r="D6910" t="s">
        <v>6882</v>
      </c>
      <c r="E6910" t="b">
        <f>IF(COUNTIF(D6910,"*"&amp;'Keyword Search'!$C$5&amp;"*"),TRUE,FALSE)</f>
        <v>1</v>
      </c>
      <c r="G6910" t="str">
        <f t="shared" si="444"/>
        <v>890-30: Manholes, and Manhole Covers, Frames, Grates, Rings, Yokes, etc.</v>
      </c>
    </row>
    <row r="6911" spans="1:7" x14ac:dyDescent="0.25">
      <c r="A6911" s="1" t="str">
        <f t="shared" si="446"/>
        <v>890</v>
      </c>
      <c r="B6911" s="1" t="str">
        <f>TEXT(31,"00")</f>
        <v>31</v>
      </c>
      <c r="C6911" s="1" t="str">
        <f t="shared" si="443"/>
        <v>890-31</v>
      </c>
      <c r="D6911" t="s">
        <v>6883</v>
      </c>
      <c r="E6911" t="b">
        <f>IF(COUNTIF(D6911,"*"&amp;'Keyword Search'!$C$5&amp;"*"),TRUE,FALSE)</f>
        <v>1</v>
      </c>
      <c r="G6911" t="str">
        <f t="shared" si="444"/>
        <v>890-31: Manhole Risers, Steel Expandable</v>
      </c>
    </row>
    <row r="6912" spans="1:7" x14ac:dyDescent="0.25">
      <c r="A6912" s="1" t="str">
        <f t="shared" si="446"/>
        <v>890</v>
      </c>
      <c r="B6912" s="1" t="str">
        <f>TEXT(35,"00")</f>
        <v>35</v>
      </c>
      <c r="C6912" s="1" t="str">
        <f t="shared" si="443"/>
        <v>890-35</v>
      </c>
      <c r="D6912" t="s">
        <v>6884</v>
      </c>
      <c r="E6912" t="b">
        <f>IF(COUNTIF(D6912,"*"&amp;'Keyword Search'!$C$5&amp;"*"),TRUE,FALSE)</f>
        <v>1</v>
      </c>
      <c r="G6912" t="str">
        <f t="shared" si="444"/>
        <v>890-35: Metal Finders and Detectors, Pipe Locators, etc.</v>
      </c>
    </row>
    <row r="6913" spans="1:7" x14ac:dyDescent="0.25">
      <c r="A6913" s="1" t="str">
        <f t="shared" si="446"/>
        <v>890</v>
      </c>
      <c r="B6913" s="1" t="str">
        <f>TEXT(40,"00")</f>
        <v>40</v>
      </c>
      <c r="C6913" s="1" t="str">
        <f t="shared" si="443"/>
        <v>890-40</v>
      </c>
      <c r="D6913" t="s">
        <v>6885</v>
      </c>
      <c r="E6913" t="b">
        <f>IF(COUNTIF(D6913,"*"&amp;'Keyword Search'!$C$5&amp;"*"),TRUE,FALSE)</f>
        <v>1</v>
      </c>
      <c r="G6913" t="str">
        <f t="shared" si="444"/>
        <v>890-40: Meter Boxes, Meter Vaults, and Valve Boxes (See 210-45 for Concrete Type)</v>
      </c>
    </row>
    <row r="6914" spans="1:7" x14ac:dyDescent="0.25">
      <c r="A6914" s="1" t="str">
        <f t="shared" si="446"/>
        <v>890</v>
      </c>
      <c r="B6914" s="1" t="str">
        <f>TEXT(44,"00")</f>
        <v>44</v>
      </c>
      <c r="C6914" s="1" t="str">
        <f t="shared" si="443"/>
        <v>890-44</v>
      </c>
      <c r="D6914" t="s">
        <v>6886</v>
      </c>
      <c r="E6914" t="b">
        <f>IF(COUNTIF(D6914,"*"&amp;'Keyword Search'!$C$5&amp;"*"),TRUE,FALSE)</f>
        <v>1</v>
      </c>
      <c r="G6914" t="str">
        <f t="shared" si="444"/>
        <v>890-44: Meters, Water</v>
      </c>
    </row>
    <row r="6915" spans="1:7" x14ac:dyDescent="0.25">
      <c r="A6915" s="1" t="str">
        <f t="shared" si="446"/>
        <v>890</v>
      </c>
      <c r="B6915" s="1" t="str">
        <f>TEXT(45,"00")</f>
        <v>45</v>
      </c>
      <c r="C6915" s="1" t="str">
        <f t="shared" ref="C6915:C6978" si="447">CONCATENATE(A6915,"-",B6915)</f>
        <v>890-45</v>
      </c>
      <c r="D6915" t="s">
        <v>6887</v>
      </c>
      <c r="E6915" t="b">
        <f>IF(COUNTIF(D6915,"*"&amp;'Keyword Search'!$C$5&amp;"*"),TRUE,FALSE)</f>
        <v>1</v>
      </c>
      <c r="G6915" t="str">
        <f t="shared" si="444"/>
        <v>890-45: Meter Fittings, Water, Including Parts and Accessories, and Conversion Kits</v>
      </c>
    </row>
    <row r="6916" spans="1:7" x14ac:dyDescent="0.25">
      <c r="A6916" s="1" t="str">
        <f t="shared" si="446"/>
        <v>890</v>
      </c>
      <c r="B6916" s="1" t="str">
        <f>TEXT(46,"00")</f>
        <v>46</v>
      </c>
      <c r="C6916" s="1" t="str">
        <f t="shared" si="447"/>
        <v>890-46</v>
      </c>
      <c r="D6916" t="s">
        <v>6888</v>
      </c>
      <c r="E6916" t="b">
        <f>IF(COUNTIF(D6916,"*"&amp;'Keyword Search'!$C$5&amp;"*"),TRUE,FALSE)</f>
        <v>1</v>
      </c>
      <c r="G6916" t="str">
        <f t="shared" ref="G6916:G6979" si="448">CONCATENATE(C6916,": ",D6916)</f>
        <v>890-46: Meter Reading Devices</v>
      </c>
    </row>
    <row r="6917" spans="1:7" x14ac:dyDescent="0.25">
      <c r="A6917" s="1" t="str">
        <f t="shared" si="446"/>
        <v>890</v>
      </c>
      <c r="B6917" s="1" t="str">
        <f>TEXT(47,"00")</f>
        <v>47</v>
      </c>
      <c r="C6917" s="1" t="str">
        <f t="shared" si="447"/>
        <v>890-47</v>
      </c>
      <c r="D6917" t="s">
        <v>6889</v>
      </c>
      <c r="E6917" t="b">
        <f>IF(COUNTIF(D6917,"*"&amp;'Keyword Search'!$C$5&amp;"*"),TRUE,FALSE)</f>
        <v>1</v>
      </c>
      <c r="G6917" t="str">
        <f t="shared" si="448"/>
        <v>890-47: Mixing and Agitation Equipment</v>
      </c>
    </row>
    <row r="6918" spans="1:7" x14ac:dyDescent="0.25">
      <c r="A6918" s="1" t="str">
        <f t="shared" si="446"/>
        <v>890</v>
      </c>
      <c r="B6918" s="1" t="str">
        <f>TEXT(48,"00")</f>
        <v>48</v>
      </c>
      <c r="C6918" s="1" t="str">
        <f t="shared" si="447"/>
        <v>890-48</v>
      </c>
      <c r="D6918" t="s">
        <v>6890</v>
      </c>
      <c r="E6918" t="b">
        <f>IF(COUNTIF(D6918,"*"&amp;'Keyword Search'!$C$5&amp;"*"),TRUE,FALSE)</f>
        <v>1</v>
      </c>
      <c r="G6918" t="str">
        <f t="shared" si="448"/>
        <v>890-48: Oil Skimming Equipment, Including Parts and Accessories</v>
      </c>
    </row>
    <row r="6919" spans="1:7" x14ac:dyDescent="0.25">
      <c r="A6919" s="1" t="str">
        <f t="shared" si="446"/>
        <v>890</v>
      </c>
      <c r="B6919" s="1" t="str">
        <f>TEXT(49,"00")</f>
        <v>49</v>
      </c>
      <c r="C6919" s="1" t="str">
        <f t="shared" si="447"/>
        <v>890-49</v>
      </c>
      <c r="D6919" t="s">
        <v>6891</v>
      </c>
      <c r="E6919" t="b">
        <f>IF(COUNTIF(D6919,"*"&amp;'Keyword Search'!$C$5&amp;"*"),TRUE,FALSE)</f>
        <v>1</v>
      </c>
      <c r="G6919" t="str">
        <f t="shared" si="448"/>
        <v>890-49: Ozone and Oxygen Generating Equipment, Including Parts and Accessories</v>
      </c>
    </row>
    <row r="6920" spans="1:7" x14ac:dyDescent="0.25">
      <c r="A6920" s="1" t="str">
        <f t="shared" si="446"/>
        <v>890</v>
      </c>
      <c r="B6920" s="1" t="str">
        <f>TEXT(50,"00")</f>
        <v>50</v>
      </c>
      <c r="C6920" s="1" t="str">
        <f t="shared" si="447"/>
        <v>890-50</v>
      </c>
      <c r="D6920" t="s">
        <v>6892</v>
      </c>
      <c r="E6920" t="b">
        <f>IF(COUNTIF(D6920,"*"&amp;'Keyword Search'!$C$5&amp;"*"),TRUE,FALSE)</f>
        <v>1</v>
      </c>
      <c r="G6920" t="str">
        <f t="shared" si="448"/>
        <v>890-50: Rings and Seals, Carbon, Turbine Shafts</v>
      </c>
    </row>
    <row r="6921" spans="1:7" x14ac:dyDescent="0.25">
      <c r="A6921" s="1" t="str">
        <f t="shared" si="446"/>
        <v>890</v>
      </c>
      <c r="B6921" s="1" t="str">
        <f>TEXT(51,"00")</f>
        <v>51</v>
      </c>
      <c r="C6921" s="1" t="str">
        <f t="shared" si="447"/>
        <v>890-51</v>
      </c>
      <c r="D6921" t="s">
        <v>6893</v>
      </c>
      <c r="E6921" t="b">
        <f>IF(COUNTIF(D6921,"*"&amp;'Keyword Search'!$C$5&amp;"*"),TRUE,FALSE)</f>
        <v>1</v>
      </c>
      <c r="G6921" t="str">
        <f t="shared" si="448"/>
        <v>890-51: Root Cutting Equipment, Sewer Lines</v>
      </c>
    </row>
    <row r="6922" spans="1:7" x14ac:dyDescent="0.25">
      <c r="A6922" s="1" t="str">
        <f t="shared" si="446"/>
        <v>890</v>
      </c>
      <c r="B6922" s="1" t="str">
        <f>TEXT(52,"00")</f>
        <v>52</v>
      </c>
      <c r="C6922" s="1" t="str">
        <f t="shared" si="447"/>
        <v>890-52</v>
      </c>
      <c r="D6922" t="s">
        <v>6894</v>
      </c>
      <c r="E6922" t="b">
        <f>IF(COUNTIF(D6922,"*"&amp;'Keyword Search'!$C$5&amp;"*"),TRUE,FALSE)</f>
        <v>1</v>
      </c>
      <c r="G6922" t="str">
        <f t="shared" si="448"/>
        <v>890-52: Removal Equipment, Water Treatment: Ammonia, Bacterial, Iron, Etc.</v>
      </c>
    </row>
    <row r="6923" spans="1:7" x14ac:dyDescent="0.25">
      <c r="A6923" s="1" t="str">
        <f t="shared" si="446"/>
        <v>890</v>
      </c>
      <c r="B6923" s="1" t="str">
        <f>TEXT(53,"00")</f>
        <v>53</v>
      </c>
      <c r="C6923" s="1" t="str">
        <f t="shared" si="447"/>
        <v>890-53</v>
      </c>
      <c r="D6923" t="s">
        <v>6895</v>
      </c>
      <c r="E6923" t="b">
        <f>IF(COUNTIF(D6923,"*"&amp;'Keyword Search'!$C$5&amp;"*"),TRUE,FALSE)</f>
        <v>1</v>
      </c>
      <c r="G6923" t="str">
        <f t="shared" si="448"/>
        <v>890-53: Separation and Treatment Equipment, Oil/Water</v>
      </c>
    </row>
    <row r="6924" spans="1:7" x14ac:dyDescent="0.25">
      <c r="A6924" s="1" t="str">
        <f t="shared" si="446"/>
        <v>890</v>
      </c>
      <c r="B6924" s="1" t="str">
        <f>TEXT(63,"00")</f>
        <v>63</v>
      </c>
      <c r="C6924" s="1" t="str">
        <f t="shared" si="447"/>
        <v>890-63</v>
      </c>
      <c r="D6924" t="s">
        <v>6896</v>
      </c>
      <c r="E6924" t="b">
        <f>IF(COUNTIF(D6924,"*"&amp;'Keyword Search'!$C$5&amp;"*"),TRUE,FALSE)</f>
        <v>1</v>
      </c>
      <c r="G6924" t="str">
        <f t="shared" si="448"/>
        <v>890-63: Sewer Analyzing, Monitoring, Probe and Related Equipment</v>
      </c>
    </row>
    <row r="6925" spans="1:7" x14ac:dyDescent="0.25">
      <c r="A6925" s="1" t="str">
        <f t="shared" si="446"/>
        <v>890</v>
      </c>
      <c r="B6925" s="1" t="str">
        <f>TEXT(64,"00")</f>
        <v>64</v>
      </c>
      <c r="C6925" s="1" t="str">
        <f t="shared" si="447"/>
        <v>890-64</v>
      </c>
      <c r="D6925" t="s">
        <v>6897</v>
      </c>
      <c r="E6925" t="b">
        <f>IF(COUNTIF(D6925,"*"&amp;'Keyword Search'!$C$5&amp;"*"),TRUE,FALSE)</f>
        <v>1</v>
      </c>
      <c r="G6925" t="str">
        <f t="shared" si="448"/>
        <v>890-64: Sewer Inspection Equipment</v>
      </c>
    </row>
    <row r="6926" spans="1:7" x14ac:dyDescent="0.25">
      <c r="A6926" s="1" t="str">
        <f t="shared" si="446"/>
        <v>890</v>
      </c>
      <c r="B6926" s="1" t="str">
        <f>TEXT(65,"00")</f>
        <v>65</v>
      </c>
      <c r="C6926" s="1" t="str">
        <f t="shared" si="447"/>
        <v>890-65</v>
      </c>
      <c r="D6926" t="s">
        <v>6898</v>
      </c>
      <c r="E6926" t="b">
        <f>IF(COUNTIF(D6926,"*"&amp;'Keyword Search'!$C$5&amp;"*"),TRUE,FALSE)</f>
        <v>1</v>
      </c>
      <c r="G6926" t="str">
        <f t="shared" si="448"/>
        <v>890-65: Sewage and Waste Treating Equipment and Supplies</v>
      </c>
    </row>
    <row r="6927" spans="1:7" x14ac:dyDescent="0.25">
      <c r="A6927" s="1" t="str">
        <f t="shared" si="446"/>
        <v>890</v>
      </c>
      <c r="B6927" s="1" t="str">
        <f>TEXT(66,"00")</f>
        <v>66</v>
      </c>
      <c r="C6927" s="1" t="str">
        <f t="shared" si="447"/>
        <v>890-66</v>
      </c>
      <c r="D6927" t="s">
        <v>6899</v>
      </c>
      <c r="E6927" t="b">
        <f>IF(COUNTIF(D6927,"*"&amp;'Keyword Search'!$C$5&amp;"*"),TRUE,FALSE)</f>
        <v>1</v>
      </c>
      <c r="G6927" t="str">
        <f t="shared" si="448"/>
        <v>890-66: Sewer Lift Stations, Including Parts and Accessories</v>
      </c>
    </row>
    <row r="6928" spans="1:7" x14ac:dyDescent="0.25">
      <c r="A6928" s="1" t="str">
        <f t="shared" si="446"/>
        <v>890</v>
      </c>
      <c r="B6928" s="1" t="str">
        <f>TEXT(67,"00")</f>
        <v>67</v>
      </c>
      <c r="C6928" s="1" t="str">
        <f t="shared" si="447"/>
        <v>890-67</v>
      </c>
      <c r="D6928" t="s">
        <v>6900</v>
      </c>
      <c r="E6928" t="b">
        <f>IF(COUNTIF(D6928,"*"&amp;'Keyword Search'!$C$5&amp;"*"),TRUE,FALSE)</f>
        <v>1</v>
      </c>
      <c r="G6928" t="str">
        <f t="shared" si="448"/>
        <v>890-67: Solvent, Chlorinated Recovery System</v>
      </c>
    </row>
    <row r="6929" spans="1:7" x14ac:dyDescent="0.25">
      <c r="A6929" s="1" t="str">
        <f t="shared" si="446"/>
        <v>890</v>
      </c>
      <c r="B6929" s="1" t="str">
        <f>TEXT(68,"00")</f>
        <v>68</v>
      </c>
      <c r="C6929" s="1" t="str">
        <f t="shared" si="447"/>
        <v>890-68</v>
      </c>
      <c r="D6929" t="s">
        <v>6901</v>
      </c>
      <c r="E6929" t="b">
        <f>IF(COUNTIF(D6929,"*"&amp;'Keyword Search'!$C$5&amp;"*"),TRUE,FALSE)</f>
        <v>1</v>
      </c>
      <c r="G6929" t="str">
        <f t="shared" si="448"/>
        <v>890-68: Tags, Water Meter Removal</v>
      </c>
    </row>
    <row r="6930" spans="1:7" x14ac:dyDescent="0.25">
      <c r="A6930" s="1" t="str">
        <f t="shared" si="446"/>
        <v>890</v>
      </c>
      <c r="B6930" s="1" t="str">
        <f>TEXT(69,"00")</f>
        <v>69</v>
      </c>
      <c r="C6930" s="1" t="str">
        <f t="shared" si="447"/>
        <v>890-69</v>
      </c>
      <c r="D6930" t="s">
        <v>6902</v>
      </c>
      <c r="E6930" t="b">
        <f>IF(COUNTIF(D6930,"*"&amp;'Keyword Search'!$C$5&amp;"*"),TRUE,FALSE)</f>
        <v>1</v>
      </c>
      <c r="G6930" t="str">
        <f t="shared" si="448"/>
        <v>890-69: Sumps, Parts, and Accessories (See 720-73 for Sump Pumps)</v>
      </c>
    </row>
    <row r="6931" spans="1:7" x14ac:dyDescent="0.25">
      <c r="A6931" s="1" t="str">
        <f t="shared" si="446"/>
        <v>890</v>
      </c>
      <c r="B6931" s="1" t="str">
        <f>TEXT(70,"00")</f>
        <v>70</v>
      </c>
      <c r="C6931" s="1" t="str">
        <f t="shared" si="447"/>
        <v>890-70</v>
      </c>
      <c r="D6931" t="s">
        <v>6903</v>
      </c>
      <c r="E6931" t="b">
        <f>IF(COUNTIF(D6931,"*"&amp;'Keyword Search'!$C$5&amp;"*"),TRUE,FALSE)</f>
        <v>1</v>
      </c>
      <c r="G6931" t="str">
        <f t="shared" si="448"/>
        <v>890-70: Switches, Pressure, Flow, Level, Proximity, Temperature, etc.</v>
      </c>
    </row>
    <row r="6932" spans="1:7" x14ac:dyDescent="0.25">
      <c r="A6932" s="1" t="str">
        <f t="shared" si="446"/>
        <v>890</v>
      </c>
      <c r="B6932" s="1" t="str">
        <f>TEXT(72,"00")</f>
        <v>72</v>
      </c>
      <c r="C6932" s="1" t="str">
        <f t="shared" si="447"/>
        <v>890-72</v>
      </c>
      <c r="D6932" t="s">
        <v>6904</v>
      </c>
      <c r="E6932" t="b">
        <f>IF(COUNTIF(D6932,"*"&amp;'Keyword Search'!$C$5&amp;"*"),TRUE,FALSE)</f>
        <v>1</v>
      </c>
      <c r="G6932" t="str">
        <f t="shared" si="448"/>
        <v>890-72: Tapping Machines and Equipment</v>
      </c>
    </row>
    <row r="6933" spans="1:7" x14ac:dyDescent="0.25">
      <c r="A6933" s="1" t="str">
        <f t="shared" si="446"/>
        <v>890</v>
      </c>
      <c r="B6933" s="1" t="str">
        <f>TEXT(74,"00")</f>
        <v>74</v>
      </c>
      <c r="C6933" s="1" t="str">
        <f t="shared" si="447"/>
        <v>890-74</v>
      </c>
      <c r="D6933" t="s">
        <v>6905</v>
      </c>
      <c r="E6933" t="b">
        <f>IF(COUNTIF(D6933,"*"&amp;'Keyword Search'!$C$5&amp;"*"),TRUE,FALSE)</f>
        <v>1</v>
      </c>
      <c r="G6933" t="str">
        <f t="shared" si="448"/>
        <v>890-74: Transmitters, Pressure, Flow, Level, etc.</v>
      </c>
    </row>
    <row r="6934" spans="1:7" x14ac:dyDescent="0.25">
      <c r="A6934" s="1" t="str">
        <f t="shared" si="446"/>
        <v>890</v>
      </c>
      <c r="B6934" s="1" t="str">
        <f>TEXT(75,"00")</f>
        <v>75</v>
      </c>
      <c r="C6934" s="1" t="str">
        <f t="shared" si="447"/>
        <v>890-75</v>
      </c>
      <c r="D6934" t="s">
        <v>6906</v>
      </c>
      <c r="E6934" t="b">
        <f>IF(COUNTIF(D6934,"*"&amp;'Keyword Search'!$C$5&amp;"*"),TRUE,FALSE)</f>
        <v>1</v>
      </c>
      <c r="G6934" t="str">
        <f t="shared" si="448"/>
        <v>890-75: Valve Operators, Including Parts and Accessories and Tools (See 515-82 for Lawn Sprinkler Type)</v>
      </c>
    </row>
    <row r="6935" spans="1:7" x14ac:dyDescent="0.25">
      <c r="A6935" s="1" t="str">
        <f t="shared" si="446"/>
        <v>890</v>
      </c>
      <c r="B6935" s="1" t="str">
        <f>TEXT(76,"00")</f>
        <v>76</v>
      </c>
      <c r="C6935" s="1" t="str">
        <f t="shared" si="447"/>
        <v>890-76</v>
      </c>
      <c r="D6935" t="s">
        <v>6907</v>
      </c>
      <c r="E6935" t="b">
        <f>IF(COUNTIF(D6935,"*"&amp;'Keyword Search'!$C$5&amp;"*"),TRUE,FALSE)</f>
        <v>1</v>
      </c>
      <c r="G6935" t="str">
        <f t="shared" si="448"/>
        <v>890-76: Virus and Bacteria Inactivation, Ozone Type Equipment (See 493-05 for Airborne Type)</v>
      </c>
    </row>
    <row r="6936" spans="1:7" x14ac:dyDescent="0.25">
      <c r="A6936" s="1" t="str">
        <f t="shared" si="446"/>
        <v>890</v>
      </c>
      <c r="B6936" s="1" t="str">
        <f>TEXT(77,"00")</f>
        <v>77</v>
      </c>
      <c r="C6936" s="1" t="str">
        <f t="shared" si="447"/>
        <v>890-77</v>
      </c>
      <c r="D6936" t="s">
        <v>6908</v>
      </c>
      <c r="E6936" t="b">
        <f>IF(COUNTIF(D6936,"*"&amp;'Keyword Search'!$C$5&amp;"*"),TRUE,FALSE)</f>
        <v>1</v>
      </c>
      <c r="G6936" t="str">
        <f t="shared" si="448"/>
        <v>890-77: Waste Water Reclamation Systems, Including Parts and Accessories</v>
      </c>
    </row>
    <row r="6937" spans="1:7" x14ac:dyDescent="0.25">
      <c r="A6937" s="1" t="str">
        <f t="shared" si="446"/>
        <v>890</v>
      </c>
      <c r="B6937" s="1" t="str">
        <f>TEXT(78,"00")</f>
        <v>78</v>
      </c>
      <c r="C6937" s="1" t="str">
        <f t="shared" si="447"/>
        <v>890-78</v>
      </c>
      <c r="D6937" t="s">
        <v>6909</v>
      </c>
      <c r="E6937" t="b">
        <f>IF(COUNTIF(D6937,"*"&amp;'Keyword Search'!$C$5&amp;"*"),TRUE,FALSE)</f>
        <v>1</v>
      </c>
      <c r="G6937" t="str">
        <f t="shared" si="448"/>
        <v>890-78: Water Filters and Filter Elements, Except Boiler, Photographic Darkroom, and Swimming Pool: Cartridges, etc.</v>
      </c>
    </row>
    <row r="6938" spans="1:7" x14ac:dyDescent="0.25">
      <c r="A6938" s="1" t="str">
        <f t="shared" si="446"/>
        <v>890</v>
      </c>
      <c r="B6938" s="1" t="str">
        <f>TEXT(79,"00")</f>
        <v>79</v>
      </c>
      <c r="C6938" s="1" t="str">
        <f t="shared" si="447"/>
        <v>890-79</v>
      </c>
      <c r="D6938" t="s">
        <v>6910</v>
      </c>
      <c r="E6938" t="b">
        <f>IF(COUNTIF(D6938,"*"&amp;'Keyword Search'!$C$5&amp;"*"),TRUE,FALSE)</f>
        <v>1</v>
      </c>
      <c r="G6938" t="str">
        <f t="shared" si="448"/>
        <v>890-79: Water and Wastewater Disinfecting Ozonators</v>
      </c>
    </row>
    <row r="6939" spans="1:7" x14ac:dyDescent="0.25">
      <c r="A6939" s="1" t="str">
        <f t="shared" si="446"/>
        <v>890</v>
      </c>
      <c r="B6939" s="1" t="str">
        <f>TEXT(80,"00")</f>
        <v>80</v>
      </c>
      <c r="C6939" s="1" t="str">
        <f t="shared" si="447"/>
        <v>890-80</v>
      </c>
      <c r="D6939" t="s">
        <v>6911</v>
      </c>
      <c r="E6939" t="b">
        <f>IF(COUNTIF(D6939,"*"&amp;'Keyword Search'!$C$5&amp;"*"),TRUE,FALSE)</f>
        <v>1</v>
      </c>
      <c r="G6939" t="str">
        <f t="shared" si="448"/>
        <v>890-80: Water Leak Detection System, Including Chemicals, Dyes and Supplies</v>
      </c>
    </row>
    <row r="6940" spans="1:7" x14ac:dyDescent="0.25">
      <c r="A6940" s="1" t="str">
        <f t="shared" si="446"/>
        <v>890</v>
      </c>
      <c r="B6940" s="1" t="str">
        <f>TEXT(81,"00")</f>
        <v>81</v>
      </c>
      <c r="C6940" s="1" t="str">
        <f t="shared" si="447"/>
        <v>890-81</v>
      </c>
      <c r="D6940" t="s">
        <v>6912</v>
      </c>
      <c r="E6940" t="b">
        <f>IF(COUNTIF(D6940,"*"&amp;'Keyword Search'!$C$5&amp;"*"),TRUE,FALSE)</f>
        <v>1</v>
      </c>
      <c r="G6940" t="str">
        <f t="shared" si="448"/>
        <v>890-81: Water Main Cleaning Equipment</v>
      </c>
    </row>
    <row r="6941" spans="1:7" x14ac:dyDescent="0.25">
      <c r="A6941" s="1" t="str">
        <f t="shared" si="446"/>
        <v>890</v>
      </c>
      <c r="B6941" s="1" t="str">
        <f>TEXT(82,"00")</f>
        <v>82</v>
      </c>
      <c r="C6941" s="1" t="str">
        <f t="shared" si="447"/>
        <v>890-82</v>
      </c>
      <c r="D6941" t="s">
        <v>6913</v>
      </c>
      <c r="E6941" t="b">
        <f>IF(COUNTIF(D6941,"*"&amp;'Keyword Search'!$C$5&amp;"*"),TRUE,FALSE)</f>
        <v>1</v>
      </c>
      <c r="G6941" t="str">
        <f t="shared" si="448"/>
        <v>890-82: Water Screens and Parts, Traveling</v>
      </c>
    </row>
    <row r="6942" spans="1:7" x14ac:dyDescent="0.25">
      <c r="A6942" s="1" t="str">
        <f t="shared" si="446"/>
        <v>890</v>
      </c>
      <c r="B6942" s="1" t="str">
        <f>TEXT(83,"00")</f>
        <v>83</v>
      </c>
      <c r="C6942" s="1" t="str">
        <f t="shared" si="447"/>
        <v>890-83</v>
      </c>
      <c r="D6942" t="s">
        <v>6914</v>
      </c>
      <c r="E6942" t="b">
        <f>IF(COUNTIF(D6942,"*"&amp;'Keyword Search'!$C$5&amp;"*"),TRUE,FALSE)</f>
        <v>1</v>
      </c>
      <c r="G6942" t="str">
        <f t="shared" si="448"/>
        <v>890-83: Water Purification Separators</v>
      </c>
    </row>
    <row r="6943" spans="1:7" x14ac:dyDescent="0.25">
      <c r="A6943" s="1" t="str">
        <f t="shared" si="446"/>
        <v>890</v>
      </c>
      <c r="B6943" s="1" t="str">
        <f>TEXT(84,"00")</f>
        <v>84</v>
      </c>
      <c r="C6943" s="1" t="str">
        <f t="shared" si="447"/>
        <v>890-84</v>
      </c>
      <c r="D6943" t="s">
        <v>6915</v>
      </c>
      <c r="E6943" t="b">
        <f>IF(COUNTIF(D6943,"*"&amp;'Keyword Search'!$C$5&amp;"*"),TRUE,FALSE)</f>
        <v>1</v>
      </c>
      <c r="G6943" t="str">
        <f t="shared" si="448"/>
        <v>890-84: Water Odor Control Equipment</v>
      </c>
    </row>
    <row r="6944" spans="1:7" x14ac:dyDescent="0.25">
      <c r="A6944" s="1" t="str">
        <f t="shared" si="446"/>
        <v>890</v>
      </c>
      <c r="B6944" s="1" t="str">
        <f>TEXT(85,"00")</f>
        <v>85</v>
      </c>
      <c r="C6944" s="1" t="str">
        <f t="shared" si="447"/>
        <v>890-85</v>
      </c>
      <c r="D6944" t="s">
        <v>6916</v>
      </c>
      <c r="E6944" t="b">
        <f>IF(COUNTIF(D6944,"*"&amp;'Keyword Search'!$C$5&amp;"*"),TRUE,FALSE)</f>
        <v>1</v>
      </c>
      <c r="G6944" t="str">
        <f t="shared" si="448"/>
        <v>890-85: Water Softening Equipment, Ion Exchange Type (Also See 670-92,93)</v>
      </c>
    </row>
    <row r="6945" spans="1:7" x14ac:dyDescent="0.25">
      <c r="A6945" s="1" t="str">
        <f t="shared" si="446"/>
        <v>890</v>
      </c>
      <c r="B6945" s="1" t="str">
        <f>TEXT(86,"00")</f>
        <v>86</v>
      </c>
      <c r="C6945" s="1" t="str">
        <f t="shared" si="447"/>
        <v>890-86</v>
      </c>
      <c r="D6945" t="s">
        <v>6917</v>
      </c>
      <c r="E6945" t="b">
        <f>IF(COUNTIF(D6945,"*"&amp;'Keyword Search'!$C$5&amp;"*"),TRUE,FALSE)</f>
        <v>1</v>
      </c>
      <c r="G6945" t="str">
        <f t="shared" si="448"/>
        <v>890-86: Water Systems, Ultra Pure</v>
      </c>
    </row>
    <row r="6946" spans="1:7" x14ac:dyDescent="0.25">
      <c r="A6946" s="1" t="str">
        <f t="shared" si="446"/>
        <v>890</v>
      </c>
      <c r="B6946" s="1" t="str">
        <f>TEXT(87,"00")</f>
        <v>87</v>
      </c>
      <c r="C6946" s="1" t="str">
        <f t="shared" si="447"/>
        <v>890-87</v>
      </c>
      <c r="D6946" t="s">
        <v>6918</v>
      </c>
      <c r="E6946" t="b">
        <f>IF(COUNTIF(D6946,"*"&amp;'Keyword Search'!$C$5&amp;"*"),TRUE,FALSE)</f>
        <v>1</v>
      </c>
      <c r="G6946" t="str">
        <f t="shared" si="448"/>
        <v>890-87: Water Treatment Equipment (Not Otherwise Classified)</v>
      </c>
    </row>
    <row r="6947" spans="1:7" x14ac:dyDescent="0.25">
      <c r="A6947" s="1" t="str">
        <f t="shared" si="446"/>
        <v>890</v>
      </c>
      <c r="B6947" s="1" t="str">
        <f>TEXT(88,"00")</f>
        <v>88</v>
      </c>
      <c r="C6947" s="1" t="str">
        <f t="shared" si="447"/>
        <v>890-88</v>
      </c>
      <c r="D6947" t="s">
        <v>6919</v>
      </c>
      <c r="E6947" t="b">
        <f>IF(COUNTIF(D6947,"*"&amp;'Keyword Search'!$C$5&amp;"*"),TRUE,FALSE)</f>
        <v>1</v>
      </c>
      <c r="G6947" t="str">
        <f t="shared" si="448"/>
        <v>890-88: Water Rights (Inactive, effective January 1, 2016)</v>
      </c>
    </row>
    <row r="6948" spans="1:7" x14ac:dyDescent="0.25">
      <c r="A6948" s="1" t="str">
        <f t="shared" si="446"/>
        <v>890</v>
      </c>
      <c r="B6948" s="1" t="str">
        <f>TEXT(89,"00")</f>
        <v>89</v>
      </c>
      <c r="C6948" s="1" t="str">
        <f t="shared" si="447"/>
        <v>890-89</v>
      </c>
      <c r="D6948" t="s">
        <v>6920</v>
      </c>
      <c r="E6948" t="b">
        <f>IF(COUNTIF(D6948,"*"&amp;'Keyword Search'!$C$5&amp;"*"),TRUE,FALSE)</f>
        <v>1</v>
      </c>
      <c r="G6948" t="str">
        <f t="shared" si="448"/>
        <v>890-89: Well Pointing Systems, Including Parts and Accessories</v>
      </c>
    </row>
    <row r="6949" spans="1:7" x14ac:dyDescent="0.25">
      <c r="A6949" s="1" t="str">
        <f t="shared" si="446"/>
        <v>890</v>
      </c>
      <c r="B6949" s="1" t="str">
        <f>TEXT(95,"00")</f>
        <v>95</v>
      </c>
      <c r="C6949" s="1" t="str">
        <f t="shared" si="447"/>
        <v>890-95</v>
      </c>
      <c r="D6949" t="s">
        <v>6921</v>
      </c>
      <c r="E6949" t="b">
        <f>IF(COUNTIF(D6949,"*"&amp;'Keyword Search'!$C$5&amp;"*"),TRUE,FALSE)</f>
        <v>1</v>
      </c>
      <c r="G6949" t="str">
        <f t="shared" si="448"/>
        <v>890-95: Recycled Water Supply, Groundwater and Sewage Treatment Equipment, Including Parts and Accessories</v>
      </c>
    </row>
    <row r="6950" spans="1:7" x14ac:dyDescent="0.25">
      <c r="A6950" s="5" t="str">
        <f t="shared" ref="A6950:A6975" si="449">TEXT(895,"000")</f>
        <v>895</v>
      </c>
      <c r="B6950" s="5" t="str">
        <f>TEXT(0,"00")</f>
        <v>00</v>
      </c>
      <c r="C6950" s="1"/>
      <c r="D6950" s="2" t="s">
        <v>6922</v>
      </c>
    </row>
    <row r="6951" spans="1:7" x14ac:dyDescent="0.25">
      <c r="A6951" s="1" t="str">
        <f t="shared" si="449"/>
        <v>895</v>
      </c>
      <c r="B6951" s="1" t="str">
        <f>TEXT(9,"00")</f>
        <v>09</v>
      </c>
      <c r="C6951" s="1" t="str">
        <f t="shared" si="447"/>
        <v>895-09</v>
      </c>
      <c r="D6951" t="s">
        <v>6923</v>
      </c>
      <c r="E6951" t="b">
        <f>IF(COUNTIF(D6951,"*"&amp;'Keyword Search'!$C$5&amp;"*"),TRUE,FALSE)</f>
        <v>1</v>
      </c>
      <c r="G6951" t="str">
        <f t="shared" si="448"/>
        <v>895-09: Arc Welders, Air (Inactive, please see commodity code 895-20 effective January 1, 2016)</v>
      </c>
    </row>
    <row r="6952" spans="1:7" x14ac:dyDescent="0.25">
      <c r="A6952" s="1" t="str">
        <f t="shared" si="449"/>
        <v>895</v>
      </c>
      <c r="B6952" s="1" t="str">
        <f>TEXT(10,"00")</f>
        <v>10</v>
      </c>
      <c r="C6952" s="1" t="str">
        <f t="shared" si="447"/>
        <v>895-10</v>
      </c>
      <c r="D6952" t="s">
        <v>6924</v>
      </c>
      <c r="E6952" t="b">
        <f>IF(COUNTIF(D6952,"*"&amp;'Keyword Search'!$C$5&amp;"*"),TRUE,FALSE)</f>
        <v>1</v>
      </c>
      <c r="G6952" t="str">
        <f t="shared" si="448"/>
        <v>895-10: Arc Welders, Electric Driven</v>
      </c>
    </row>
    <row r="6953" spans="1:7" x14ac:dyDescent="0.25">
      <c r="A6953" s="1" t="str">
        <f t="shared" si="449"/>
        <v>895</v>
      </c>
      <c r="B6953" s="1" t="str">
        <f>TEXT(20,"00")</f>
        <v>20</v>
      </c>
      <c r="C6953" s="1" t="str">
        <f t="shared" si="447"/>
        <v>895-20</v>
      </c>
      <c r="D6953" t="s">
        <v>6925</v>
      </c>
      <c r="E6953" t="b">
        <f>IF(COUNTIF(D6953,"*"&amp;'Keyword Search'!$C$5&amp;"*"),TRUE,FALSE)</f>
        <v>1</v>
      </c>
      <c r="G6953" t="str">
        <f t="shared" si="448"/>
        <v>895-20: Arc Welders: Air, Electric Spot Welders, Engine Driven, Wire Self-Feeder</v>
      </c>
    </row>
    <row r="6954" spans="1:7" x14ac:dyDescent="0.25">
      <c r="A6954" s="1" t="str">
        <f t="shared" si="449"/>
        <v>895</v>
      </c>
      <c r="B6954" s="1" t="str">
        <f>TEXT(21,"00")</f>
        <v>21</v>
      </c>
      <c r="C6954" s="1" t="str">
        <f t="shared" si="447"/>
        <v>895-21</v>
      </c>
      <c r="D6954" t="s">
        <v>6926</v>
      </c>
      <c r="E6954" t="b">
        <f>IF(COUNTIF(D6954,"*"&amp;'Keyword Search'!$C$5&amp;"*"),TRUE,FALSE)</f>
        <v>1</v>
      </c>
      <c r="G6954" t="str">
        <f t="shared" si="448"/>
        <v>895-21: Arc Welders, Wire, Self-Feeder (Inactive, please see commodity code 895-20 effective January 1, 2016)</v>
      </c>
    </row>
    <row r="6955" spans="1:7" x14ac:dyDescent="0.25">
      <c r="A6955" s="1" t="str">
        <f t="shared" si="449"/>
        <v>895</v>
      </c>
      <c r="B6955" s="1" t="str">
        <f>TEXT(25,"00")</f>
        <v>25</v>
      </c>
      <c r="C6955" s="1" t="str">
        <f t="shared" si="447"/>
        <v>895-25</v>
      </c>
      <c r="D6955" t="s">
        <v>6927</v>
      </c>
      <c r="E6955" t="b">
        <f>IF(COUNTIF(D6955,"*"&amp;'Keyword Search'!$C$5&amp;"*"),TRUE,FALSE)</f>
        <v>1</v>
      </c>
      <c r="G6955" t="str">
        <f t="shared" si="448"/>
        <v>895-25: Electric Spot Welder (Inactive, please see commodity code 895-20 effective January 1, 2016)</v>
      </c>
    </row>
    <row r="6956" spans="1:7" x14ac:dyDescent="0.25">
      <c r="A6956" s="1" t="str">
        <f t="shared" si="449"/>
        <v>895</v>
      </c>
      <c r="B6956" s="1" t="str">
        <f>TEXT(27,"00")</f>
        <v>27</v>
      </c>
      <c r="C6956" s="1" t="str">
        <f t="shared" si="447"/>
        <v>895-27</v>
      </c>
      <c r="D6956" t="s">
        <v>6928</v>
      </c>
      <c r="E6956" t="b">
        <f>IF(COUNTIF(D6956,"*"&amp;'Keyword Search'!$C$5&amp;"*"),TRUE,FALSE)</f>
        <v>1</v>
      </c>
      <c r="G6956" t="str">
        <f t="shared" si="448"/>
        <v>895-27: Electric Welding Torch, Flameless</v>
      </c>
    </row>
    <row r="6957" spans="1:7" x14ac:dyDescent="0.25">
      <c r="A6957" s="1" t="str">
        <f t="shared" si="449"/>
        <v>895</v>
      </c>
      <c r="B6957" s="1" t="str">
        <f>TEXT(29,"00")</f>
        <v>29</v>
      </c>
      <c r="C6957" s="1" t="str">
        <f t="shared" si="447"/>
        <v>895-29</v>
      </c>
      <c r="D6957" t="s">
        <v>6929</v>
      </c>
      <c r="E6957" t="b">
        <f>IF(COUNTIF(D6957,"*"&amp;'Keyword Search'!$C$5&amp;"*"),TRUE,FALSE)</f>
        <v>1</v>
      </c>
      <c r="G6957" t="str">
        <f t="shared" si="448"/>
        <v>895-29: Fittings for Welding Equipment</v>
      </c>
    </row>
    <row r="6958" spans="1:7" x14ac:dyDescent="0.25">
      <c r="A6958" s="1" t="str">
        <f t="shared" si="449"/>
        <v>895</v>
      </c>
      <c r="B6958" s="1" t="str">
        <f>TEXT(30,"00")</f>
        <v>30</v>
      </c>
      <c r="C6958" s="1" t="str">
        <f t="shared" si="447"/>
        <v>895-30</v>
      </c>
      <c r="D6958" t="s">
        <v>6930</v>
      </c>
      <c r="E6958" t="b">
        <f>IF(COUNTIF(D6958,"*"&amp;'Keyword Search'!$C$5&amp;"*"),TRUE,FALSE)</f>
        <v>1</v>
      </c>
      <c r="G6958" t="str">
        <f t="shared" si="448"/>
        <v>895-30: Gas Cylinder Carts, Industrial</v>
      </c>
    </row>
    <row r="6959" spans="1:7" x14ac:dyDescent="0.25">
      <c r="A6959" s="1" t="str">
        <f t="shared" si="449"/>
        <v>895</v>
      </c>
      <c r="B6959" s="1" t="str">
        <f>TEXT(40,"00")</f>
        <v>40</v>
      </c>
      <c r="C6959" s="1" t="str">
        <f t="shared" si="447"/>
        <v>895-40</v>
      </c>
      <c r="D6959" t="s">
        <v>6931</v>
      </c>
      <c r="E6959" t="b">
        <f>IF(COUNTIF(D6959,"*"&amp;'Keyword Search'!$C$5&amp;"*"),TRUE,FALSE)</f>
        <v>1</v>
      </c>
      <c r="G6959" t="str">
        <f t="shared" si="448"/>
        <v>895-40: Welder, Gas Tungsten-Arc (TIG) and Specialized Accessories</v>
      </c>
    </row>
    <row r="6960" spans="1:7" x14ac:dyDescent="0.25">
      <c r="A6960" s="1" t="str">
        <f t="shared" si="449"/>
        <v>895</v>
      </c>
      <c r="B6960" s="1" t="str">
        <f>TEXT(45,"00")</f>
        <v>45</v>
      </c>
      <c r="C6960" s="1" t="str">
        <f t="shared" si="447"/>
        <v>895-45</v>
      </c>
      <c r="D6960" t="s">
        <v>6932</v>
      </c>
      <c r="E6960" t="b">
        <f>IF(COUNTIF(D6960,"*"&amp;'Keyword Search'!$C$5&amp;"*"),TRUE,FALSE)</f>
        <v>1</v>
      </c>
      <c r="G6960" t="str">
        <f t="shared" si="448"/>
        <v>895-45: Welder, Gas Shielded Metal-Arc (MIG) and Specialized Accessories</v>
      </c>
    </row>
    <row r="6961" spans="1:7" x14ac:dyDescent="0.25">
      <c r="A6961" s="1" t="str">
        <f t="shared" si="449"/>
        <v>895</v>
      </c>
      <c r="B6961" s="1" t="str">
        <f>TEXT(50,"00")</f>
        <v>50</v>
      </c>
      <c r="C6961" s="1" t="str">
        <f t="shared" si="447"/>
        <v>895-50</v>
      </c>
      <c r="D6961" t="s">
        <v>6933</v>
      </c>
      <c r="E6961" t="b">
        <f>IF(COUNTIF(D6961,"*"&amp;'Keyword Search'!$C$5&amp;"*"),TRUE,FALSE)</f>
        <v>1</v>
      </c>
      <c r="G6961" t="str">
        <f t="shared" si="448"/>
        <v>895-50: Welding Apparatus, Gas</v>
      </c>
    </row>
    <row r="6962" spans="1:7" x14ac:dyDescent="0.25">
      <c r="A6962" s="1" t="str">
        <f t="shared" si="449"/>
        <v>895</v>
      </c>
      <c r="B6962" s="1" t="str">
        <f>TEXT(51,"00")</f>
        <v>51</v>
      </c>
      <c r="C6962" s="1" t="str">
        <f t="shared" si="447"/>
        <v>895-51</v>
      </c>
      <c r="D6962" t="s">
        <v>6934</v>
      </c>
      <c r="E6962" t="b">
        <f>IF(COUNTIF(D6962,"*"&amp;'Keyword Search'!$C$5&amp;"*"),TRUE,FALSE)</f>
        <v>1</v>
      </c>
      <c r="G6962" t="str">
        <f t="shared" si="448"/>
        <v>895-51: Welding Machines, Laser</v>
      </c>
    </row>
    <row r="6963" spans="1:7" x14ac:dyDescent="0.25">
      <c r="A6963" s="1" t="str">
        <f t="shared" si="449"/>
        <v>895</v>
      </c>
      <c r="B6963" s="1" t="str">
        <f>TEXT(52,"00")</f>
        <v>52</v>
      </c>
      <c r="C6963" s="1" t="str">
        <f t="shared" si="447"/>
        <v>895-52</v>
      </c>
      <c r="D6963" t="s">
        <v>6935</v>
      </c>
      <c r="E6963" t="b">
        <f>IF(COUNTIF(D6963,"*"&amp;'Keyword Search'!$C$5&amp;"*"),TRUE,FALSE)</f>
        <v>1</v>
      </c>
      <c r="G6963" t="str">
        <f t="shared" si="448"/>
        <v>895-52: Welding Machines, Projection</v>
      </c>
    </row>
    <row r="6964" spans="1:7" x14ac:dyDescent="0.25">
      <c r="A6964" s="1" t="str">
        <f t="shared" si="449"/>
        <v>895</v>
      </c>
      <c r="B6964" s="1" t="str">
        <f>TEXT(55,"00")</f>
        <v>55</v>
      </c>
      <c r="C6964" s="1" t="str">
        <f t="shared" si="447"/>
        <v>895-55</v>
      </c>
      <c r="D6964" t="s">
        <v>6936</v>
      </c>
      <c r="E6964" t="b">
        <f>IF(COUNTIF(D6964,"*"&amp;'Keyword Search'!$C$5&amp;"*"),TRUE,FALSE)</f>
        <v>1</v>
      </c>
      <c r="G6964" t="str">
        <f t="shared" si="448"/>
        <v>895-55: Torch, Cutting</v>
      </c>
    </row>
    <row r="6965" spans="1:7" x14ac:dyDescent="0.25">
      <c r="A6965" s="1" t="str">
        <f t="shared" si="449"/>
        <v>895</v>
      </c>
      <c r="B6965" s="1" t="str">
        <f>TEXT(56,"00")</f>
        <v>56</v>
      </c>
      <c r="C6965" s="1" t="str">
        <f t="shared" si="447"/>
        <v>895-56</v>
      </c>
      <c r="D6965" t="s">
        <v>6937</v>
      </c>
      <c r="E6965" t="b">
        <f>IF(COUNTIF(D6965,"*"&amp;'Keyword Search'!$C$5&amp;"*"),TRUE,FALSE)</f>
        <v>1</v>
      </c>
      <c r="G6965" t="str">
        <f t="shared" si="448"/>
        <v>895-56: Welding Machines, Ultrasonic</v>
      </c>
    </row>
    <row r="6966" spans="1:7" x14ac:dyDescent="0.25">
      <c r="A6966" s="1" t="str">
        <f t="shared" si="449"/>
        <v>895</v>
      </c>
      <c r="B6966" s="1" t="str">
        <f>TEXT(65,"00")</f>
        <v>65</v>
      </c>
      <c r="C6966" s="1" t="str">
        <f t="shared" si="447"/>
        <v>895-65</v>
      </c>
      <c r="D6966" t="s">
        <v>6938</v>
      </c>
      <c r="E6966" t="b">
        <f>IF(COUNTIF(D6966,"*"&amp;'Keyword Search'!$C$5&amp;"*"),TRUE,FALSE)</f>
        <v>1</v>
      </c>
      <c r="G6966" t="str">
        <f t="shared" si="448"/>
        <v>895-65: Welder/Soldering Unit, Refrigeration/Plumber Type, Single Tank, Complete</v>
      </c>
    </row>
    <row r="6967" spans="1:7" x14ac:dyDescent="0.25">
      <c r="A6967" s="1" t="str">
        <f t="shared" si="449"/>
        <v>895</v>
      </c>
      <c r="B6967" s="1" t="str">
        <f>TEXT(70,"00")</f>
        <v>70</v>
      </c>
      <c r="C6967" s="1" t="str">
        <f t="shared" si="447"/>
        <v>895-70</v>
      </c>
      <c r="D6967" t="s">
        <v>6939</v>
      </c>
      <c r="E6967" t="b">
        <f>IF(COUNTIF(D6967,"*"&amp;'Keyword Search'!$C$5&amp;"*"),TRUE,FALSE)</f>
        <v>1</v>
      </c>
      <c r="G6967" t="str">
        <f t="shared" si="448"/>
        <v>895-70: Welding Accessories: Cutting Tips, Hammers, Hose, Inspection Shields, Lighters, Lighter Flints, Soapstone, Tip Cleaner, Tip Dip, etc.</v>
      </c>
    </row>
    <row r="6968" spans="1:7" x14ac:dyDescent="0.25">
      <c r="A6968" s="1" t="str">
        <f t="shared" si="449"/>
        <v>895</v>
      </c>
      <c r="B6968" s="1" t="str">
        <f>TEXT(71,"00")</f>
        <v>71</v>
      </c>
      <c r="C6968" s="1" t="str">
        <f t="shared" si="447"/>
        <v>895-71</v>
      </c>
      <c r="D6968" t="s">
        <v>6940</v>
      </c>
      <c r="E6968" t="b">
        <f>IF(COUNTIF(D6968,"*"&amp;'Keyword Search'!$C$5&amp;"*"),TRUE,FALSE)</f>
        <v>1</v>
      </c>
      <c r="G6968" t="str">
        <f t="shared" si="448"/>
        <v>895-71: Welding Equipment and Supplies, Extrusion, Plastic</v>
      </c>
    </row>
    <row r="6969" spans="1:7" x14ac:dyDescent="0.25">
      <c r="A6969" s="1" t="str">
        <f t="shared" si="449"/>
        <v>895</v>
      </c>
      <c r="B6969" s="1" t="str">
        <f>TEXT(72,"00")</f>
        <v>72</v>
      </c>
      <c r="C6969" s="1" t="str">
        <f t="shared" si="447"/>
        <v>895-72</v>
      </c>
      <c r="D6969" t="s">
        <v>6941</v>
      </c>
      <c r="E6969" t="b">
        <f>IF(COUNTIF(D6969,"*"&amp;'Keyword Search'!$C$5&amp;"*"),TRUE,FALSE)</f>
        <v>1</v>
      </c>
      <c r="G6969" t="str">
        <f t="shared" si="448"/>
        <v>895-72: Welding Safety Equipment</v>
      </c>
    </row>
    <row r="6970" spans="1:7" x14ac:dyDescent="0.25">
      <c r="A6970" s="1" t="str">
        <f t="shared" si="449"/>
        <v>895</v>
      </c>
      <c r="B6970" s="1" t="str">
        <f>TEXT(74,"00")</f>
        <v>74</v>
      </c>
      <c r="C6970" s="1" t="str">
        <f t="shared" si="447"/>
        <v>895-74</v>
      </c>
      <c r="D6970" t="s">
        <v>6942</v>
      </c>
      <c r="E6970" t="b">
        <f>IF(COUNTIF(D6970,"*"&amp;'Keyword Search'!$C$5&amp;"*"),TRUE,FALSE)</f>
        <v>1</v>
      </c>
      <c r="G6970" t="str">
        <f t="shared" si="448"/>
        <v>895-74: Welding Goggles, Helmets, Chin Straps, and Face Shields  (Inactive, please see commodity code 895-72 effective January 1, 2016)</v>
      </c>
    </row>
    <row r="6971" spans="1:7" x14ac:dyDescent="0.25">
      <c r="A6971" s="1" t="str">
        <f t="shared" si="449"/>
        <v>895</v>
      </c>
      <c r="B6971" s="1" t="str">
        <f>TEXT(90,"00")</f>
        <v>90</v>
      </c>
      <c r="C6971" s="1" t="str">
        <f t="shared" si="447"/>
        <v>895-90</v>
      </c>
      <c r="D6971" t="s">
        <v>6943</v>
      </c>
      <c r="E6971" t="b">
        <f>IF(COUNTIF(D6971,"*"&amp;'Keyword Search'!$C$5&amp;"*"),TRUE,FALSE)</f>
        <v>1</v>
      </c>
      <c r="G6971" t="str">
        <f t="shared" si="448"/>
        <v>895-90: Welding Electrodes, Flux, Rods, Wire, and Soldering Compounds</v>
      </c>
    </row>
    <row r="6972" spans="1:7" x14ac:dyDescent="0.25">
      <c r="A6972" s="1" t="str">
        <f t="shared" si="449"/>
        <v>895</v>
      </c>
      <c r="B6972" s="1" t="str">
        <f>TEXT(92,"00")</f>
        <v>92</v>
      </c>
      <c r="C6972" s="1" t="str">
        <f t="shared" si="447"/>
        <v>895-92</v>
      </c>
      <c r="D6972" t="s">
        <v>6944</v>
      </c>
      <c r="E6972" t="b">
        <f>IF(COUNTIF(D6972,"*"&amp;'Keyword Search'!$C$5&amp;"*"),TRUE,FALSE)</f>
        <v>1</v>
      </c>
      <c r="G6972" t="str">
        <f t="shared" si="448"/>
        <v>895-92: Welding Electrode Oven</v>
      </c>
    </row>
    <row r="6973" spans="1:7" x14ac:dyDescent="0.25">
      <c r="A6973" s="1" t="str">
        <f t="shared" si="449"/>
        <v>895</v>
      </c>
      <c r="B6973" s="1" t="str">
        <f>TEXT(94,"00")</f>
        <v>94</v>
      </c>
      <c r="C6973" s="1" t="str">
        <f t="shared" si="447"/>
        <v>895-94</v>
      </c>
      <c r="D6973" t="s">
        <v>6945</v>
      </c>
      <c r="E6973" t="b">
        <f>IF(COUNTIF(D6973,"*"&amp;'Keyword Search'!$C$5&amp;"*"),TRUE,FALSE)</f>
        <v>1</v>
      </c>
      <c r="G6973" t="str">
        <f t="shared" si="448"/>
        <v>895-94: Welding Safety Shields/Curtains/Partitions</v>
      </c>
    </row>
    <row r="6974" spans="1:7" x14ac:dyDescent="0.25">
      <c r="A6974" s="1" t="str">
        <f t="shared" si="449"/>
        <v>895</v>
      </c>
      <c r="B6974" s="1" t="str">
        <f>TEXT(96,"00")</f>
        <v>96</v>
      </c>
      <c r="C6974" s="1" t="str">
        <f t="shared" si="447"/>
        <v>895-96</v>
      </c>
      <c r="D6974" t="s">
        <v>6946</v>
      </c>
      <c r="E6974" t="b">
        <f>IF(COUNTIF(D6974,"*"&amp;'Keyword Search'!$C$5&amp;"*"),TRUE,FALSE)</f>
        <v>1</v>
      </c>
      <c r="G6974" t="str">
        <f t="shared" si="448"/>
        <v>895-96: Welding and Brazing Tools, Including Plasma Cutters</v>
      </c>
    </row>
    <row r="6975" spans="1:7" x14ac:dyDescent="0.25">
      <c r="A6975" s="1" t="str">
        <f t="shared" si="449"/>
        <v>895</v>
      </c>
      <c r="B6975" s="1" t="str">
        <f>TEXT(97,"00")</f>
        <v>97</v>
      </c>
      <c r="C6975" s="1" t="str">
        <f t="shared" si="447"/>
        <v>895-97</v>
      </c>
      <c r="D6975" t="s">
        <v>6947</v>
      </c>
      <c r="E6975" t="b">
        <f>IF(COUNTIF(D6975,"*"&amp;'Keyword Search'!$C$5&amp;"*"),TRUE,FALSE)</f>
        <v>1</v>
      </c>
      <c r="G6975" t="str">
        <f t="shared" si="448"/>
        <v>895-97: Refurbished Welding Equipment, Accessories, and Supplies</v>
      </c>
    </row>
    <row r="6976" spans="1:7" x14ac:dyDescent="0.25">
      <c r="A6976" s="5" t="str">
        <f t="shared" ref="A6976:A7002" si="450">TEXT(898,"000")</f>
        <v>898</v>
      </c>
      <c r="B6976" s="5" t="str">
        <f>TEXT(0,"00")</f>
        <v>00</v>
      </c>
      <c r="C6976" s="1"/>
      <c r="D6976" s="2" t="s">
        <v>6948</v>
      </c>
    </row>
    <row r="6977" spans="1:7" x14ac:dyDescent="0.25">
      <c r="A6977" s="1" t="str">
        <f t="shared" si="450"/>
        <v>898</v>
      </c>
      <c r="B6977" s="1" t="str">
        <f>TEXT(3,"00")</f>
        <v>03</v>
      </c>
      <c r="C6977" s="1" t="str">
        <f t="shared" si="447"/>
        <v>898-03</v>
      </c>
      <c r="D6977" t="s">
        <v>6949</v>
      </c>
      <c r="E6977" t="b">
        <f>IF(COUNTIF(D6977,"*"&amp;'Keyword Search'!$C$5&amp;"*"),TRUE,FALSE)</f>
        <v>1</v>
      </c>
      <c r="G6977" t="str">
        <f t="shared" si="448"/>
        <v>898-03: *Archiving System Hardware, Medical X-Ray Film</v>
      </c>
    </row>
    <row r="6978" spans="1:7" x14ac:dyDescent="0.25">
      <c r="A6978" s="1" t="str">
        <f t="shared" si="450"/>
        <v>898</v>
      </c>
      <c r="B6978" s="1" t="str">
        <f>TEXT(6,"00")</f>
        <v>06</v>
      </c>
      <c r="C6978" s="1" t="str">
        <f t="shared" si="447"/>
        <v>898-06</v>
      </c>
      <c r="D6978" t="s">
        <v>6950</v>
      </c>
      <c r="E6978" t="b">
        <f>IF(COUNTIF(D6978,"*"&amp;'Keyword Search'!$C$5&amp;"*"),TRUE,FALSE)</f>
        <v>1</v>
      </c>
      <c r="G6978" t="str">
        <f t="shared" si="448"/>
        <v>898-06: Cassettes, Cassette Holders, Grids, and Intensifying Screens</v>
      </c>
    </row>
    <row r="6979" spans="1:7" x14ac:dyDescent="0.25">
      <c r="A6979" s="1" t="str">
        <f t="shared" si="450"/>
        <v>898</v>
      </c>
      <c r="B6979" s="1" t="str">
        <f>TEXT(10,"00")</f>
        <v>10</v>
      </c>
      <c r="C6979" s="1" t="str">
        <f t="shared" ref="C6979:C7042" si="451">CONCATENATE(A6979,"-",B6979)</f>
        <v>898-10</v>
      </c>
      <c r="D6979" t="s">
        <v>6951</v>
      </c>
      <c r="E6979" t="b">
        <f>IF(COUNTIF(D6979,"*"&amp;'Keyword Search'!$C$5&amp;"*"),TRUE,FALSE)</f>
        <v>1</v>
      </c>
      <c r="G6979" t="str">
        <f t="shared" si="448"/>
        <v>898-10: Chemicals, Developing and Processing</v>
      </c>
    </row>
    <row r="6980" spans="1:7" x14ac:dyDescent="0.25">
      <c r="A6980" s="1" t="str">
        <f t="shared" si="450"/>
        <v>898</v>
      </c>
      <c r="B6980" s="1" t="str">
        <f>TEXT(20,"00")</f>
        <v>20</v>
      </c>
      <c r="C6980" s="1" t="str">
        <f t="shared" si="451"/>
        <v>898-20</v>
      </c>
      <c r="D6980" t="s">
        <v>6952</v>
      </c>
      <c r="E6980" t="b">
        <f>IF(COUNTIF(D6980,"*"&amp;'Keyword Search'!$C$5&amp;"*"),TRUE,FALSE)</f>
        <v>1</v>
      </c>
      <c r="G6980" t="str">
        <f t="shared" ref="G6980:G7042" si="452">CONCATENATE(C6980,": ",D6980)</f>
        <v>898-20: Computerized Axial Tomography (CAT) Scanning Systems</v>
      </c>
    </row>
    <row r="6981" spans="1:7" x14ac:dyDescent="0.25">
      <c r="A6981" s="1" t="str">
        <f t="shared" si="450"/>
        <v>898</v>
      </c>
      <c r="B6981" s="1" t="str">
        <f>TEXT(21,"00")</f>
        <v>21</v>
      </c>
      <c r="C6981" s="1" t="str">
        <f t="shared" si="451"/>
        <v>898-21</v>
      </c>
      <c r="D6981" t="s">
        <v>6953</v>
      </c>
      <c r="E6981" t="b">
        <f>IF(COUNTIF(D6981,"*"&amp;'Keyword Search'!$C$5&amp;"*"),TRUE,FALSE)</f>
        <v>1</v>
      </c>
      <c r="G6981" t="str">
        <f t="shared" si="452"/>
        <v>898-21: Computed Radiography Digitizing Equipment and Supplies</v>
      </c>
    </row>
    <row r="6982" spans="1:7" x14ac:dyDescent="0.25">
      <c r="A6982" s="1" t="str">
        <f t="shared" si="450"/>
        <v>898</v>
      </c>
      <c r="B6982" s="1" t="str">
        <f>TEXT(24,"00")</f>
        <v>24</v>
      </c>
      <c r="C6982" s="1" t="str">
        <f t="shared" si="451"/>
        <v>898-24</v>
      </c>
      <c r="D6982" t="s">
        <v>6954</v>
      </c>
      <c r="E6982" t="b">
        <f>IF(COUNTIF(D6982,"*"&amp;'Keyword Search'!$C$5&amp;"*"),TRUE,FALSE)</f>
        <v>1</v>
      </c>
      <c r="G6982" t="str">
        <f t="shared" si="452"/>
        <v>898-24: Daylight Stampers or Identification Printers for Medical X-Ray Film</v>
      </c>
    </row>
    <row r="6983" spans="1:7" x14ac:dyDescent="0.25">
      <c r="A6983" s="1" t="str">
        <f t="shared" si="450"/>
        <v>898</v>
      </c>
      <c r="B6983" s="1" t="str">
        <f>TEXT(26,"00")</f>
        <v>26</v>
      </c>
      <c r="C6983" s="1" t="str">
        <f t="shared" si="451"/>
        <v>898-26</v>
      </c>
      <c r="D6983" t="s">
        <v>6955</v>
      </c>
      <c r="E6983" t="b">
        <f>IF(COUNTIF(D6983,"*"&amp;'Keyword Search'!$C$5&amp;"*"),TRUE,FALSE)</f>
        <v>1</v>
      </c>
      <c r="G6983" t="str">
        <f t="shared" si="452"/>
        <v>898-26: Digital (filmless) Radiography Equipment and Supplies</v>
      </c>
    </row>
    <row r="6984" spans="1:7" x14ac:dyDescent="0.25">
      <c r="A6984" s="1" t="str">
        <f t="shared" si="450"/>
        <v>898</v>
      </c>
      <c r="B6984" s="1" t="str">
        <f>TEXT(30,"00")</f>
        <v>30</v>
      </c>
      <c r="C6984" s="1" t="str">
        <f t="shared" si="451"/>
        <v>898-30</v>
      </c>
      <c r="D6984" t="s">
        <v>6956</v>
      </c>
      <c r="E6984" t="b">
        <f>IF(COUNTIF(D6984,"*"&amp;'Keyword Search'!$C$5&amp;"*"),TRUE,FALSE)</f>
        <v>1</v>
      </c>
      <c r="G6984" t="str">
        <f t="shared" si="452"/>
        <v>898-30: Film Developing and Processing Equipment, Except Dental: Automatic Processors, Safelights, etc., Including Wet Darkroom or Daylight Type</v>
      </c>
    </row>
    <row r="6985" spans="1:7" x14ac:dyDescent="0.25">
      <c r="A6985" s="1" t="str">
        <f t="shared" si="450"/>
        <v>898</v>
      </c>
      <c r="B6985" s="1" t="str">
        <f>TEXT(35,"00")</f>
        <v>35</v>
      </c>
      <c r="C6985" s="1" t="str">
        <f t="shared" si="451"/>
        <v>898-35</v>
      </c>
      <c r="D6985" t="s">
        <v>6957</v>
      </c>
      <c r="E6985" t="b">
        <f>IF(COUNTIF(D6985,"*"&amp;'Keyword Search'!$C$5&amp;"*"),TRUE,FALSE)</f>
        <v>1</v>
      </c>
      <c r="G6985" t="str">
        <f t="shared" si="452"/>
        <v>898-35: Film, X-Ray, Including Dental</v>
      </c>
    </row>
    <row r="6986" spans="1:7" x14ac:dyDescent="0.25">
      <c r="A6986" s="1" t="str">
        <f t="shared" si="450"/>
        <v>898</v>
      </c>
      <c r="B6986" s="1" t="str">
        <f>TEXT(41,"00")</f>
        <v>41</v>
      </c>
      <c r="C6986" s="1" t="str">
        <f t="shared" si="451"/>
        <v>898-41</v>
      </c>
      <c r="D6986" t="s">
        <v>6958</v>
      </c>
      <c r="E6986" t="b">
        <f>IF(COUNTIF(D6986,"*"&amp;'Keyword Search'!$C$5&amp;"*"),TRUE,FALSE)</f>
        <v>1</v>
      </c>
      <c r="G6986" t="str">
        <f t="shared" si="452"/>
        <v>898-41: Gamma Cameras</v>
      </c>
    </row>
    <row r="6987" spans="1:7" x14ac:dyDescent="0.25">
      <c r="A6987" s="1" t="str">
        <f t="shared" si="450"/>
        <v>898</v>
      </c>
      <c r="B6987" s="1" t="str">
        <f>TEXT(42,"00")</f>
        <v>42</v>
      </c>
      <c r="C6987" s="1" t="str">
        <f t="shared" si="451"/>
        <v>898-42</v>
      </c>
      <c r="D6987" t="s">
        <v>6959</v>
      </c>
      <c r="E6987" t="b">
        <f>IF(COUNTIF(D6987,"*"&amp;'Keyword Search'!$C$5&amp;"*"),TRUE,FALSE)</f>
        <v>1</v>
      </c>
      <c r="G6987" t="str">
        <f t="shared" si="452"/>
        <v>898-42: Generators, X-Ray</v>
      </c>
    </row>
    <row r="6988" spans="1:7" x14ac:dyDescent="0.25">
      <c r="A6988" s="1" t="str">
        <f t="shared" si="450"/>
        <v>898</v>
      </c>
      <c r="B6988" s="1" t="str">
        <f>TEXT(45,"00")</f>
        <v>45</v>
      </c>
      <c r="C6988" s="1" t="str">
        <f t="shared" si="451"/>
        <v>898-45</v>
      </c>
      <c r="D6988" t="s">
        <v>6960</v>
      </c>
      <c r="E6988" t="b">
        <f>IF(COUNTIF(D6988,"*"&amp;'Keyword Search'!$C$5&amp;"*"),TRUE,FALSE)</f>
        <v>1</v>
      </c>
      <c r="G6988" t="str">
        <f t="shared" si="452"/>
        <v>898-45: Illuminators, Film Viewing Devices</v>
      </c>
    </row>
    <row r="6989" spans="1:7" x14ac:dyDescent="0.25">
      <c r="A6989" s="1" t="str">
        <f t="shared" si="450"/>
        <v>898</v>
      </c>
      <c r="B6989" s="1" t="str">
        <f>TEXT(46,"00")</f>
        <v>46</v>
      </c>
      <c r="C6989" s="1" t="str">
        <f t="shared" si="451"/>
        <v>898-46</v>
      </c>
      <c r="D6989" t="s">
        <v>6961</v>
      </c>
      <c r="E6989" t="b">
        <f>IF(COUNTIF(D6989,"*"&amp;'Keyword Search'!$C$5&amp;"*"),TRUE,FALSE)</f>
        <v>1</v>
      </c>
      <c r="G6989" t="str">
        <f t="shared" si="452"/>
        <v>898-46: Image Analysis Systems</v>
      </c>
    </row>
    <row r="6990" spans="1:7" x14ac:dyDescent="0.25">
      <c r="A6990" s="1" t="str">
        <f t="shared" si="450"/>
        <v>898</v>
      </c>
      <c r="B6990" s="1" t="str">
        <f>TEXT(47,"00")</f>
        <v>47</v>
      </c>
      <c r="C6990" s="1" t="str">
        <f t="shared" si="451"/>
        <v>898-47</v>
      </c>
      <c r="D6990" t="s">
        <v>6962</v>
      </c>
      <c r="E6990" t="b">
        <f>IF(COUNTIF(D6990,"*"&amp;'Keyword Search'!$C$5&amp;"*"),TRUE,FALSE)</f>
        <v>1</v>
      </c>
      <c r="G6990" t="str">
        <f t="shared" si="452"/>
        <v>898-47: *Magnetic Resonance Imaging Systems and Accessories (MRI)</v>
      </c>
    </row>
    <row r="6991" spans="1:7" x14ac:dyDescent="0.25">
      <c r="A6991" s="1" t="str">
        <f t="shared" si="450"/>
        <v>898</v>
      </c>
      <c r="B6991" s="1" t="str">
        <f>TEXT(48,"00")</f>
        <v>48</v>
      </c>
      <c r="C6991" s="1" t="str">
        <f t="shared" si="451"/>
        <v>898-48</v>
      </c>
      <c r="D6991" t="s">
        <v>6963</v>
      </c>
      <c r="E6991" t="b">
        <f>IF(COUNTIF(D6991,"*"&amp;'Keyword Search'!$C$5&amp;"*"),TRUE,FALSE)</f>
        <v>1</v>
      </c>
      <c r="G6991" t="str">
        <f t="shared" si="452"/>
        <v>898-48: Phantoms</v>
      </c>
    </row>
    <row r="6992" spans="1:7" x14ac:dyDescent="0.25">
      <c r="A6992" s="1" t="str">
        <f t="shared" si="450"/>
        <v>898</v>
      </c>
      <c r="B6992" s="1" t="str">
        <f>TEXT(50,"00")</f>
        <v>50</v>
      </c>
      <c r="C6992" s="1" t="str">
        <f t="shared" si="451"/>
        <v>898-50</v>
      </c>
      <c r="D6992" t="s">
        <v>6964</v>
      </c>
      <c r="E6992" t="b">
        <f>IF(COUNTIF(D6992,"*"&amp;'Keyword Search'!$C$5&amp;"*"),TRUE,FALSE)</f>
        <v>1</v>
      </c>
      <c r="G6992" t="str">
        <f t="shared" si="452"/>
        <v>898-50: Radiation Measuring Equipment: Ionization Chambers, X-Ray Film Densitometers, etc.</v>
      </c>
    </row>
    <row r="6993" spans="1:7" x14ac:dyDescent="0.25">
      <c r="A6993" s="1" t="str">
        <f t="shared" si="450"/>
        <v>898</v>
      </c>
      <c r="B6993" s="1" t="str">
        <f>TEXT(55,"00")</f>
        <v>55</v>
      </c>
      <c r="C6993" s="1" t="str">
        <f t="shared" si="451"/>
        <v>898-55</v>
      </c>
      <c r="D6993" t="s">
        <v>6965</v>
      </c>
      <c r="E6993" t="b">
        <f>IF(COUNTIF(D6993,"*"&amp;'Keyword Search'!$C$5&amp;"*"),TRUE,FALSE)</f>
        <v>1</v>
      </c>
      <c r="G6993" t="str">
        <f t="shared" si="452"/>
        <v>898-55: Radiation Monitoring Equipment and Shielding Materials: Badges, Dosimeters, Protective Aprons and Coats, etc. (See Also Class 490 and 593)</v>
      </c>
    </row>
    <row r="6994" spans="1:7" x14ac:dyDescent="0.25">
      <c r="A6994" s="1" t="str">
        <f t="shared" si="450"/>
        <v>898</v>
      </c>
      <c r="B6994" s="1" t="str">
        <f>TEXT(60,"00")</f>
        <v>60</v>
      </c>
      <c r="C6994" s="1" t="str">
        <f t="shared" si="451"/>
        <v>898-60</v>
      </c>
      <c r="D6994" t="s">
        <v>6966</v>
      </c>
      <c r="E6994" t="b">
        <f>IF(COUNTIF(D6994,"*"&amp;'Keyword Search'!$C$5&amp;"*"),TRUE,FALSE)</f>
        <v>1</v>
      </c>
      <c r="G6994" t="str">
        <f t="shared" si="452"/>
        <v>898-60: Radiation Therapy Equipment, Nuclear: Cobalt Sources, Radioactive Implants, etc.</v>
      </c>
    </row>
    <row r="6995" spans="1:7" x14ac:dyDescent="0.25">
      <c r="A6995" s="1" t="str">
        <f t="shared" si="450"/>
        <v>898</v>
      </c>
      <c r="B6995" s="1" t="str">
        <f>TEXT(65,"00")</f>
        <v>65</v>
      </c>
      <c r="C6995" s="1" t="str">
        <f t="shared" si="451"/>
        <v>898-65</v>
      </c>
      <c r="D6995" t="s">
        <v>6967</v>
      </c>
      <c r="E6995" t="b">
        <f>IF(COUNTIF(D6995,"*"&amp;'Keyword Search'!$C$5&amp;"*"),TRUE,FALSE)</f>
        <v>1</v>
      </c>
      <c r="G6995" t="str">
        <f t="shared" si="452"/>
        <v>898-65: Radiation Therapy Equipment and Accessories, X-Ray</v>
      </c>
    </row>
    <row r="6996" spans="1:7" x14ac:dyDescent="0.25">
      <c r="A6996" s="1" t="str">
        <f t="shared" si="450"/>
        <v>898</v>
      </c>
      <c r="B6996" s="1" t="str">
        <f>TEXT(67,"00")</f>
        <v>67</v>
      </c>
      <c r="C6996" s="1" t="str">
        <f t="shared" si="451"/>
        <v>898-67</v>
      </c>
      <c r="D6996" t="s">
        <v>6968</v>
      </c>
      <c r="E6996" t="b">
        <f>IF(COUNTIF(D6996,"*"&amp;'Keyword Search'!$C$5&amp;"*"),TRUE,FALSE)</f>
        <v>1</v>
      </c>
      <c r="G6996" t="str">
        <f t="shared" si="452"/>
        <v>898-67: Radiography Examination Equipment and Accessories</v>
      </c>
    </row>
    <row r="6997" spans="1:7" x14ac:dyDescent="0.25">
      <c r="A6997" s="1" t="str">
        <f t="shared" si="450"/>
        <v>898</v>
      </c>
      <c r="B6997" s="1" t="str">
        <f>TEXT(68,"00")</f>
        <v>68</v>
      </c>
      <c r="C6997" s="1" t="str">
        <f t="shared" si="451"/>
        <v>898-68</v>
      </c>
      <c r="D6997" t="s">
        <v>6969</v>
      </c>
      <c r="E6997" t="b">
        <f>IF(COUNTIF(D6997,"*"&amp;'Keyword Search'!$C$5&amp;"*"),TRUE,FALSE)</f>
        <v>1</v>
      </c>
      <c r="G6997" t="str">
        <f t="shared" si="452"/>
        <v>898-68: Recycled X-Ray and Radiological Equipment, Accessories and Supplies</v>
      </c>
    </row>
    <row r="6998" spans="1:7" x14ac:dyDescent="0.25">
      <c r="A6998" s="1" t="str">
        <f t="shared" si="450"/>
        <v>898</v>
      </c>
      <c r="B6998" s="1" t="str">
        <f>TEXT(70,"00")</f>
        <v>70</v>
      </c>
      <c r="C6998" s="1" t="str">
        <f t="shared" si="451"/>
        <v>898-70</v>
      </c>
      <c r="D6998" t="s">
        <v>6970</v>
      </c>
      <c r="E6998" t="b">
        <f>IF(COUNTIF(D6998,"*"&amp;'Keyword Search'!$C$5&amp;"*"),TRUE,FALSE)</f>
        <v>1</v>
      </c>
      <c r="G6998" t="str">
        <f t="shared" si="452"/>
        <v>898-70: Radiological Furniture: Cabinets, Files, Tables, etc.</v>
      </c>
    </row>
    <row r="6999" spans="1:7" x14ac:dyDescent="0.25">
      <c r="A6999" s="1" t="str">
        <f t="shared" si="450"/>
        <v>898</v>
      </c>
      <c r="B6999" s="1" t="str">
        <f>TEXT(74,"00")</f>
        <v>74</v>
      </c>
      <c r="C6999" s="1" t="str">
        <f t="shared" si="451"/>
        <v>898-74</v>
      </c>
      <c r="D6999" t="s">
        <v>6971</v>
      </c>
      <c r="E6999" t="b">
        <f>IF(COUNTIF(D6999,"*"&amp;'Keyword Search'!$C$5&amp;"*"),TRUE,FALSE)</f>
        <v>1</v>
      </c>
      <c r="G6999" t="str">
        <f t="shared" si="452"/>
        <v>898-74: Ultrasonic Imaging Systems: Echocardiographs, etc.</v>
      </c>
    </row>
    <row r="7000" spans="1:7" x14ac:dyDescent="0.25">
      <c r="A7000" s="1" t="str">
        <f t="shared" si="450"/>
        <v>898</v>
      </c>
      <c r="B7000" s="1" t="str">
        <f>TEXT(78,"00")</f>
        <v>78</v>
      </c>
      <c r="C7000" s="1" t="str">
        <f t="shared" si="451"/>
        <v>898-78</v>
      </c>
      <c r="D7000" t="s">
        <v>6972</v>
      </c>
      <c r="E7000" t="b">
        <f>IF(COUNTIF(D7000,"*"&amp;'Keyword Search'!$C$5&amp;"*"),TRUE,FALSE)</f>
        <v>1</v>
      </c>
      <c r="G7000" t="str">
        <f t="shared" si="452"/>
        <v>898-78: Radiological Equipment and Accessories (Not Otherwise Classified)</v>
      </c>
    </row>
    <row r="7001" spans="1:7" x14ac:dyDescent="0.25">
      <c r="A7001" s="1" t="str">
        <f t="shared" si="450"/>
        <v>898</v>
      </c>
      <c r="B7001" s="1" t="str">
        <f>TEXT(80,"00")</f>
        <v>80</v>
      </c>
      <c r="C7001" s="1" t="str">
        <f t="shared" si="451"/>
        <v>898-80</v>
      </c>
      <c r="D7001" t="s">
        <v>6973</v>
      </c>
      <c r="E7001" t="b">
        <f>IF(COUNTIF(D7001,"*"&amp;'Keyword Search'!$C$5&amp;"*"),TRUE,FALSE)</f>
        <v>1</v>
      </c>
      <c r="G7001" t="str">
        <f t="shared" si="452"/>
        <v>898-80: X-Ray Machines, Diagnostic, Except Dental, Including Parts and Accessories</v>
      </c>
    </row>
    <row r="7002" spans="1:7" x14ac:dyDescent="0.25">
      <c r="A7002" s="1" t="str">
        <f t="shared" si="450"/>
        <v>898</v>
      </c>
      <c r="B7002" s="1" t="str">
        <f>TEXT(90,"00")</f>
        <v>90</v>
      </c>
      <c r="C7002" s="1" t="str">
        <f t="shared" si="451"/>
        <v>898-90</v>
      </c>
      <c r="D7002" t="s">
        <v>6974</v>
      </c>
      <c r="E7002" t="b">
        <f>IF(COUNTIF(D7002,"*"&amp;'Keyword Search'!$C$5&amp;"*"),TRUE,FALSE)</f>
        <v>1</v>
      </c>
      <c r="G7002" t="str">
        <f t="shared" si="452"/>
        <v>898-90: X-Ray Supplies: Film Hangers and Holders, Labels, Markers and Mounts</v>
      </c>
    </row>
    <row r="7003" spans="1:7" x14ac:dyDescent="0.25">
      <c r="A7003" s="5" t="str">
        <f t="shared" ref="A7003:A7042" si="453">TEXT(905,"000")</f>
        <v>905</v>
      </c>
      <c r="B7003" s="5" t="str">
        <f>TEXT(0,"00")</f>
        <v>00</v>
      </c>
      <c r="C7003" s="1"/>
      <c r="D7003" s="2" t="s">
        <v>6975</v>
      </c>
    </row>
    <row r="7004" spans="1:7" x14ac:dyDescent="0.25">
      <c r="A7004" s="1" t="str">
        <f t="shared" si="453"/>
        <v>905</v>
      </c>
      <c r="B7004" s="1" t="str">
        <f>TEXT(3,"00")</f>
        <v>03</v>
      </c>
      <c r="C7004" s="1" t="str">
        <f t="shared" si="451"/>
        <v>905-03</v>
      </c>
      <c r="D7004" t="s">
        <v>6976</v>
      </c>
      <c r="E7004" t="b">
        <f>IF(COUNTIF(D7004,"*"&amp;'Keyword Search'!$C$5&amp;"*"),TRUE,FALSE)</f>
        <v>1</v>
      </c>
      <c r="G7004" t="str">
        <f t="shared" si="452"/>
        <v>905-03: Aerial Patrolling Services, Not Survey</v>
      </c>
    </row>
    <row r="7005" spans="1:7" x14ac:dyDescent="0.25">
      <c r="A7005" s="1" t="str">
        <f t="shared" si="453"/>
        <v>905</v>
      </c>
      <c r="B7005" s="1" t="str">
        <f>TEXT(4,"00")</f>
        <v>04</v>
      </c>
      <c r="C7005" s="1" t="str">
        <f t="shared" si="451"/>
        <v>905-04</v>
      </c>
      <c r="D7005" t="s">
        <v>6977</v>
      </c>
      <c r="E7005" t="b">
        <f>IF(COUNTIF(D7005,"*"&amp;'Keyword Search'!$C$5&amp;"*"),TRUE,FALSE)</f>
        <v>1</v>
      </c>
      <c r="G7005" t="str">
        <f t="shared" si="452"/>
        <v>905-04: *Aerial Photogrammetry Services</v>
      </c>
    </row>
    <row r="7006" spans="1:7" x14ac:dyDescent="0.25">
      <c r="A7006" s="1" t="str">
        <f t="shared" si="453"/>
        <v>905</v>
      </c>
      <c r="B7006" s="1" t="str">
        <f>TEXT(5,"00")</f>
        <v>05</v>
      </c>
      <c r="C7006" s="1" t="str">
        <f t="shared" si="451"/>
        <v>905-05</v>
      </c>
      <c r="D7006" t="s">
        <v>6978</v>
      </c>
      <c r="E7006" t="b">
        <f>IF(COUNTIF(D7006,"*"&amp;'Keyword Search'!$C$5&amp;"*"),TRUE,FALSE)</f>
        <v>1</v>
      </c>
      <c r="G7006" t="str">
        <f t="shared" si="452"/>
        <v>905-05: *Aerial Photography and Videography Services, Including Drones</v>
      </c>
    </row>
    <row r="7007" spans="1:7" x14ac:dyDescent="0.25">
      <c r="A7007" s="1" t="str">
        <f t="shared" si="453"/>
        <v>905</v>
      </c>
      <c r="B7007" s="1" t="str">
        <f>TEXT(10,"00")</f>
        <v>10</v>
      </c>
      <c r="C7007" s="1" t="str">
        <f t="shared" si="451"/>
        <v>905-10</v>
      </c>
      <c r="D7007" t="s">
        <v>6979</v>
      </c>
      <c r="E7007" t="b">
        <f>IF(COUNTIF(D7007,"*"&amp;'Keyword Search'!$C$5&amp;"*"),TRUE,FALSE)</f>
        <v>1</v>
      </c>
      <c r="G7007" t="str">
        <f t="shared" si="452"/>
        <v>905-10: *Aerial Surveys and Mapping Services (See 962-52 for Standard Survey and Mapping Services)</v>
      </c>
    </row>
    <row r="7008" spans="1:7" x14ac:dyDescent="0.25">
      <c r="A7008" s="1" t="str">
        <f t="shared" si="453"/>
        <v>905</v>
      </c>
      <c r="B7008" s="1" t="str">
        <f>TEXT(11,"00")</f>
        <v>11</v>
      </c>
      <c r="C7008" s="1" t="str">
        <f t="shared" si="451"/>
        <v>905-11</v>
      </c>
      <c r="D7008" t="s">
        <v>6980</v>
      </c>
      <c r="E7008" t="b">
        <f>IF(COUNTIF(D7008,"*"&amp;'Keyword Search'!$C$5&amp;"*"),TRUE,FALSE)</f>
        <v>1</v>
      </c>
      <c r="G7008" t="str">
        <f t="shared" si="452"/>
        <v>905-11: Aircraft Painting Services</v>
      </c>
    </row>
    <row r="7009" spans="1:7" x14ac:dyDescent="0.25">
      <c r="A7009" s="1" t="str">
        <f t="shared" si="453"/>
        <v>905</v>
      </c>
      <c r="B7009" s="1" t="str">
        <f>TEXT(12,"00")</f>
        <v>12</v>
      </c>
      <c r="C7009" s="1" t="str">
        <f t="shared" si="451"/>
        <v>905-12</v>
      </c>
      <c r="D7009" t="s">
        <v>6981</v>
      </c>
      <c r="E7009" t="b">
        <f>IF(COUNTIF(D7009,"*"&amp;'Keyword Search'!$C$5&amp;"*"),TRUE,FALSE)</f>
        <v>1</v>
      </c>
      <c r="G7009" t="str">
        <f t="shared" si="452"/>
        <v>905-12: Aircraft Crash Removal Services</v>
      </c>
    </row>
    <row r="7010" spans="1:7" x14ac:dyDescent="0.25">
      <c r="A7010" s="1" t="str">
        <f t="shared" si="453"/>
        <v>905</v>
      </c>
      <c r="B7010" s="1" t="str">
        <f>TEXT(13,"00")</f>
        <v>13</v>
      </c>
      <c r="C7010" s="1" t="str">
        <f t="shared" si="451"/>
        <v>905-13</v>
      </c>
      <c r="D7010" t="s">
        <v>6982</v>
      </c>
      <c r="E7010" t="b">
        <f>IF(COUNTIF(D7010,"*"&amp;'Keyword Search'!$C$5&amp;"*"),TRUE,FALSE)</f>
        <v>1</v>
      </c>
      <c r="G7010" t="str">
        <f t="shared" si="452"/>
        <v>905-13: Aircraft Washing, Waxing and Polishing Services</v>
      </c>
    </row>
    <row r="7011" spans="1:7" x14ac:dyDescent="0.25">
      <c r="A7011" s="1" t="str">
        <f t="shared" si="453"/>
        <v>905</v>
      </c>
      <c r="B7011" s="1" t="str">
        <f>TEXT(14,"00")</f>
        <v>14</v>
      </c>
      <c r="C7011" s="1" t="str">
        <f t="shared" si="451"/>
        <v>905-14</v>
      </c>
      <c r="D7011" t="s">
        <v>6983</v>
      </c>
      <c r="E7011" t="b">
        <f>IF(COUNTIF(D7011,"*"&amp;'Keyword Search'!$C$5&amp;"*"),TRUE,FALSE)</f>
        <v>1</v>
      </c>
      <c r="G7011" t="str">
        <f t="shared" si="452"/>
        <v>905-14: Airplane and Helicopter Services (Not Otherwise Classified)</v>
      </c>
    </row>
    <row r="7012" spans="1:7" x14ac:dyDescent="0.25">
      <c r="A7012" s="1" t="str">
        <f t="shared" si="453"/>
        <v>905</v>
      </c>
      <c r="B7012" s="1" t="str">
        <f>TEXT(15,"00")</f>
        <v>15</v>
      </c>
      <c r="C7012" s="1" t="str">
        <f t="shared" si="451"/>
        <v>905-15</v>
      </c>
      <c r="D7012" t="s">
        <v>6984</v>
      </c>
      <c r="E7012" t="b">
        <f>IF(COUNTIF(D7012,"*"&amp;'Keyword Search'!$C$5&amp;"*"),TRUE,FALSE)</f>
        <v>1</v>
      </c>
      <c r="G7012" t="str">
        <f t="shared" si="452"/>
        <v>905-15: Aircraft Refurbishing, Soundproofing, etc. Services</v>
      </c>
    </row>
    <row r="7013" spans="1:7" x14ac:dyDescent="0.25">
      <c r="A7013" s="1" t="str">
        <f t="shared" si="453"/>
        <v>905</v>
      </c>
      <c r="B7013" s="1" t="str">
        <f>TEXT(16,"00")</f>
        <v>16</v>
      </c>
      <c r="C7013" s="1" t="str">
        <f t="shared" si="451"/>
        <v>905-16</v>
      </c>
      <c r="D7013" t="s">
        <v>6985</v>
      </c>
      <c r="E7013" t="b">
        <f>IF(COUNTIF(D7013,"*"&amp;'Keyword Search'!$C$5&amp;"*"),TRUE,FALSE)</f>
        <v>1</v>
      </c>
      <c r="G7013" t="str">
        <f t="shared" si="452"/>
        <v>905-16: Airplanes, Helicopters and Accessories Maintenance and Repair Services</v>
      </c>
    </row>
    <row r="7014" spans="1:7" x14ac:dyDescent="0.25">
      <c r="A7014" s="1" t="str">
        <f t="shared" si="453"/>
        <v>905</v>
      </c>
      <c r="B7014" s="1" t="str">
        <f>TEXT(17,"00")</f>
        <v>17</v>
      </c>
      <c r="C7014" s="1" t="str">
        <f t="shared" si="451"/>
        <v>905-17</v>
      </c>
      <c r="D7014" t="s">
        <v>6986</v>
      </c>
      <c r="E7014" t="b">
        <f>IF(COUNTIF(D7014,"*"&amp;'Keyword Search'!$C$5&amp;"*"),TRUE,FALSE)</f>
        <v>1</v>
      </c>
      <c r="G7014" t="str">
        <f t="shared" si="452"/>
        <v>905-17: Airport Ground Handling Services</v>
      </c>
    </row>
    <row r="7015" spans="1:7" x14ac:dyDescent="0.25">
      <c r="A7015" s="1" t="str">
        <f t="shared" si="453"/>
        <v>905</v>
      </c>
      <c r="B7015" s="1" t="str">
        <f>TEXT(18,"00")</f>
        <v>18</v>
      </c>
      <c r="C7015" s="1" t="str">
        <f t="shared" si="451"/>
        <v>905-18</v>
      </c>
      <c r="D7015" t="s">
        <v>6987</v>
      </c>
      <c r="E7015" t="b">
        <f>IF(COUNTIF(D7015,"*"&amp;'Keyword Search'!$C$5&amp;"*"),TRUE,FALSE)</f>
        <v>1</v>
      </c>
      <c r="G7015" t="str">
        <f t="shared" si="452"/>
        <v>905-18: Airport Runway Friction Testing Services</v>
      </c>
    </row>
    <row r="7016" spans="1:7" x14ac:dyDescent="0.25">
      <c r="A7016" s="1" t="str">
        <f t="shared" si="453"/>
        <v>905</v>
      </c>
      <c r="B7016" s="1" t="str">
        <f>TEXT(19,"00")</f>
        <v>19</v>
      </c>
      <c r="C7016" s="1" t="str">
        <f t="shared" si="451"/>
        <v>905-19</v>
      </c>
      <c r="D7016" t="s">
        <v>6988</v>
      </c>
      <c r="E7016" t="b">
        <f>IF(COUNTIF(D7016,"*"&amp;'Keyword Search'!$C$5&amp;"*"),TRUE,FALSE)</f>
        <v>1</v>
      </c>
      <c r="G7016" t="str">
        <f t="shared" si="452"/>
        <v>905-19: Air Cargo Services: Developers, Operators, etc.</v>
      </c>
    </row>
    <row r="7017" spans="1:7" x14ac:dyDescent="0.25">
      <c r="A7017" s="1" t="str">
        <f t="shared" si="453"/>
        <v>905</v>
      </c>
      <c r="B7017" s="1" t="str">
        <f>TEXT(20,"00")</f>
        <v>20</v>
      </c>
      <c r="C7017" s="1" t="str">
        <f t="shared" si="451"/>
        <v>905-20</v>
      </c>
      <c r="D7017" t="s">
        <v>6989</v>
      </c>
      <c r="E7017" t="b">
        <f>IF(COUNTIF(D7017,"*"&amp;'Keyword Search'!$C$5&amp;"*"),TRUE,FALSE)</f>
        <v>1</v>
      </c>
      <c r="G7017" t="str">
        <f t="shared" si="452"/>
        <v>905-20: Air Rescue and Transfer Services, Patients</v>
      </c>
    </row>
    <row r="7018" spans="1:7" x14ac:dyDescent="0.25">
      <c r="A7018" s="1" t="str">
        <f t="shared" si="453"/>
        <v>905</v>
      </c>
      <c r="B7018" s="1" t="str">
        <f>TEXT(26,"00")</f>
        <v>26</v>
      </c>
      <c r="C7018" s="1" t="str">
        <f t="shared" si="451"/>
        <v>905-26</v>
      </c>
      <c r="D7018" t="s">
        <v>6990</v>
      </c>
      <c r="E7018" t="b">
        <f>IF(COUNTIF(D7018,"*"&amp;'Keyword Search'!$C$5&amp;"*"),TRUE,FALSE)</f>
        <v>1</v>
      </c>
      <c r="G7018" t="str">
        <f t="shared" si="452"/>
        <v>905-26: Air Traffic Control Services</v>
      </c>
    </row>
    <row r="7019" spans="1:7" x14ac:dyDescent="0.25">
      <c r="A7019" s="1" t="str">
        <f t="shared" si="453"/>
        <v>905</v>
      </c>
      <c r="B7019" s="1" t="str">
        <f>TEXT(28,"00")</f>
        <v>28</v>
      </c>
      <c r="C7019" s="1" t="str">
        <f t="shared" si="451"/>
        <v>905-28</v>
      </c>
      <c r="D7019" t="s">
        <v>6991</v>
      </c>
      <c r="E7019" t="b">
        <f>IF(COUNTIF(D7019,"*"&amp;'Keyword Search'!$C$5&amp;"*"),TRUE,FALSE)</f>
        <v>1</v>
      </c>
      <c r="G7019" t="str">
        <f t="shared" si="452"/>
        <v>905-28: Aviation Analytical Studies Services, Including Surveys (See 918-12 for Consulting)</v>
      </c>
    </row>
    <row r="7020" spans="1:7" x14ac:dyDescent="0.25">
      <c r="A7020" s="1" t="str">
        <f t="shared" si="453"/>
        <v>905</v>
      </c>
      <c r="B7020" s="1" t="str">
        <f>TEXT(31,"00")</f>
        <v>31</v>
      </c>
      <c r="C7020" s="1" t="str">
        <f t="shared" si="451"/>
        <v>905-31</v>
      </c>
      <c r="D7020" t="s">
        <v>6992</v>
      </c>
      <c r="E7020" t="b">
        <f>IF(COUNTIF(D7020,"*"&amp;'Keyword Search'!$C$5&amp;"*"),TRUE,FALSE)</f>
        <v>1</v>
      </c>
      <c r="G7020" t="str">
        <f t="shared" si="452"/>
        <v>905-31: Concessions, Airport: Art Gallery</v>
      </c>
    </row>
    <row r="7021" spans="1:7" x14ac:dyDescent="0.25">
      <c r="A7021" s="1" t="str">
        <f t="shared" si="453"/>
        <v>905</v>
      </c>
      <c r="B7021" s="1" t="str">
        <f>TEXT(32,"00")</f>
        <v>32</v>
      </c>
      <c r="C7021" s="1" t="str">
        <f t="shared" si="451"/>
        <v>905-32</v>
      </c>
      <c r="D7021" t="s">
        <v>6993</v>
      </c>
      <c r="E7021" t="b">
        <f>IF(COUNTIF(D7021,"*"&amp;'Keyword Search'!$C$5&amp;"*"),TRUE,FALSE)</f>
        <v>1</v>
      </c>
      <c r="G7021" t="str">
        <f t="shared" si="452"/>
        <v>905-32: Concessions, Airport: Business Center</v>
      </c>
    </row>
    <row r="7022" spans="1:7" x14ac:dyDescent="0.25">
      <c r="A7022" s="1" t="str">
        <f t="shared" si="453"/>
        <v>905</v>
      </c>
      <c r="B7022" s="1" t="str">
        <f>TEXT(33,"00")</f>
        <v>33</v>
      </c>
      <c r="C7022" s="1" t="str">
        <f t="shared" si="451"/>
        <v>905-33</v>
      </c>
      <c r="D7022" t="s">
        <v>6994</v>
      </c>
      <c r="E7022" t="b">
        <f>IF(COUNTIF(D7022,"*"&amp;'Keyword Search'!$C$5&amp;"*"),TRUE,FALSE)</f>
        <v>1</v>
      </c>
      <c r="G7022" t="str">
        <f t="shared" si="452"/>
        <v>905-33: Concessions, Airport: Currency Exchange</v>
      </c>
    </row>
    <row r="7023" spans="1:7" x14ac:dyDescent="0.25">
      <c r="A7023" s="1" t="str">
        <f t="shared" si="453"/>
        <v>905</v>
      </c>
      <c r="B7023" s="1" t="str">
        <f>TEXT(34,"00")</f>
        <v>34</v>
      </c>
      <c r="C7023" s="1" t="str">
        <f t="shared" si="451"/>
        <v>905-34</v>
      </c>
      <c r="D7023" t="s">
        <v>6995</v>
      </c>
      <c r="E7023" t="b">
        <f>IF(COUNTIF(D7023,"*"&amp;'Keyword Search'!$C$5&amp;"*"),TRUE,FALSE)</f>
        <v>1</v>
      </c>
      <c r="G7023" t="str">
        <f t="shared" si="452"/>
        <v>905-34: Concessions, Airport: Food</v>
      </c>
    </row>
    <row r="7024" spans="1:7" x14ac:dyDescent="0.25">
      <c r="A7024" s="1" t="str">
        <f t="shared" si="453"/>
        <v>905</v>
      </c>
      <c r="B7024" s="1" t="str">
        <f>TEXT(35,"00")</f>
        <v>35</v>
      </c>
      <c r="C7024" s="1" t="str">
        <f t="shared" si="451"/>
        <v>905-35</v>
      </c>
      <c r="D7024" t="s">
        <v>6996</v>
      </c>
      <c r="E7024" t="b">
        <f>IF(COUNTIF(D7024,"*"&amp;'Keyword Search'!$C$5&amp;"*"),TRUE,FALSE)</f>
        <v>1</v>
      </c>
      <c r="G7024" t="str">
        <f t="shared" si="452"/>
        <v>905-35: Concessions, Airport: Gift Shops, Specialties</v>
      </c>
    </row>
    <row r="7025" spans="1:7" x14ac:dyDescent="0.25">
      <c r="A7025" s="1" t="str">
        <f t="shared" si="453"/>
        <v>905</v>
      </c>
      <c r="B7025" s="1" t="str">
        <f>TEXT(36,"00")</f>
        <v>36</v>
      </c>
      <c r="C7025" s="1" t="str">
        <f t="shared" si="451"/>
        <v>905-36</v>
      </c>
      <c r="D7025" t="s">
        <v>6997</v>
      </c>
      <c r="E7025" t="b">
        <f>IF(COUNTIF(D7025,"*"&amp;'Keyword Search'!$C$5&amp;"*"),TRUE,FALSE)</f>
        <v>1</v>
      </c>
      <c r="G7025" t="str">
        <f t="shared" si="452"/>
        <v>905-36: Concessions, Airport: Miscellaneous</v>
      </c>
    </row>
    <row r="7026" spans="1:7" x14ac:dyDescent="0.25">
      <c r="A7026" s="1" t="str">
        <f t="shared" si="453"/>
        <v>905</v>
      </c>
      <c r="B7026" s="1" t="str">
        <f>TEXT(37,"00")</f>
        <v>37</v>
      </c>
      <c r="C7026" s="1" t="str">
        <f t="shared" si="451"/>
        <v>905-37</v>
      </c>
      <c r="D7026" t="s">
        <v>6998</v>
      </c>
      <c r="E7026" t="b">
        <f>IF(COUNTIF(D7026,"*"&amp;'Keyword Search'!$C$5&amp;"*"),TRUE,FALSE)</f>
        <v>1</v>
      </c>
      <c r="G7026" t="str">
        <f t="shared" si="452"/>
        <v>905-37: Concessions, Airport: Pay Telephone</v>
      </c>
    </row>
    <row r="7027" spans="1:7" x14ac:dyDescent="0.25">
      <c r="A7027" s="1" t="str">
        <f t="shared" si="453"/>
        <v>905</v>
      </c>
      <c r="B7027" s="1" t="str">
        <f>TEXT(38,"00")</f>
        <v>38</v>
      </c>
      <c r="C7027" s="1" t="str">
        <f t="shared" si="451"/>
        <v>905-38</v>
      </c>
      <c r="D7027" t="s">
        <v>6999</v>
      </c>
      <c r="E7027" t="b">
        <f>IF(COUNTIF(D7027,"*"&amp;'Keyword Search'!$C$5&amp;"*"),TRUE,FALSE)</f>
        <v>1</v>
      </c>
      <c r="G7027" t="str">
        <f t="shared" si="452"/>
        <v>905-38: Deicing Fluid Recovery Services, Aircraft</v>
      </c>
    </row>
    <row r="7028" spans="1:7" x14ac:dyDescent="0.25">
      <c r="A7028" s="1" t="str">
        <f t="shared" si="453"/>
        <v>905</v>
      </c>
      <c r="B7028" s="1" t="str">
        <f>TEXT(41,"00")</f>
        <v>41</v>
      </c>
      <c r="C7028" s="1" t="str">
        <f t="shared" si="451"/>
        <v>905-41</v>
      </c>
      <c r="D7028" t="s">
        <v>7000</v>
      </c>
      <c r="E7028" t="b">
        <f>IF(COUNTIF(D7028,"*"&amp;'Keyword Search'!$C$5&amp;"*"),TRUE,FALSE)</f>
        <v>1</v>
      </c>
      <c r="G7028" t="str">
        <f t="shared" si="452"/>
        <v>905-41: Dusting and Seeding Services, Crop, Aerial</v>
      </c>
    </row>
    <row r="7029" spans="1:7" x14ac:dyDescent="0.25">
      <c r="A7029" s="1" t="str">
        <f t="shared" si="453"/>
        <v>905</v>
      </c>
      <c r="B7029" s="1" t="str">
        <f>TEXT(47,"00")</f>
        <v>47</v>
      </c>
      <c r="C7029" s="1" t="str">
        <f t="shared" si="451"/>
        <v>905-47</v>
      </c>
      <c r="D7029" t="s">
        <v>7001</v>
      </c>
      <c r="E7029" t="b">
        <f>IF(COUNTIF(D7029,"*"&amp;'Keyword Search'!$C$5&amp;"*"),TRUE,FALSE)</f>
        <v>1</v>
      </c>
      <c r="G7029" t="str">
        <f t="shared" si="452"/>
        <v>905-47: Falconry Services (See 910-59 for other Bird Proofing Services)</v>
      </c>
    </row>
    <row r="7030" spans="1:7" x14ac:dyDescent="0.25">
      <c r="A7030" s="1" t="str">
        <f t="shared" si="453"/>
        <v>905</v>
      </c>
      <c r="B7030" s="1" t="str">
        <f>TEXT(50,"00")</f>
        <v>50</v>
      </c>
      <c r="C7030" s="1" t="str">
        <f t="shared" si="451"/>
        <v>905-50</v>
      </c>
      <c r="D7030" t="s">
        <v>7002</v>
      </c>
      <c r="E7030" t="b">
        <f>IF(COUNTIF(D7030,"*"&amp;'Keyword Search'!$C$5&amp;"*"),TRUE,FALSE)</f>
        <v>1</v>
      </c>
      <c r="G7030" t="str">
        <f t="shared" si="452"/>
        <v>905-50: *Paging System Services, Airport</v>
      </c>
    </row>
    <row r="7031" spans="1:7" x14ac:dyDescent="0.25">
      <c r="A7031" s="1" t="str">
        <f t="shared" si="453"/>
        <v>905</v>
      </c>
      <c r="B7031" s="1" t="str">
        <f>TEXT(53,"00")</f>
        <v>53</v>
      </c>
      <c r="C7031" s="1" t="str">
        <f t="shared" si="451"/>
        <v>905-53</v>
      </c>
      <c r="D7031" t="s">
        <v>7003</v>
      </c>
      <c r="E7031" t="b">
        <f>IF(COUNTIF(D7031,"*"&amp;'Keyword Search'!$C$5&amp;"*"),TRUE,FALSE)</f>
        <v>1</v>
      </c>
      <c r="G7031" t="str">
        <f t="shared" si="452"/>
        <v>905-53: Pilot Training Services</v>
      </c>
    </row>
    <row r="7032" spans="1:7" x14ac:dyDescent="0.25">
      <c r="A7032" s="1" t="str">
        <f t="shared" si="453"/>
        <v>905</v>
      </c>
      <c r="B7032" s="1" t="str">
        <f>TEXT(59,"00")</f>
        <v>59</v>
      </c>
      <c r="C7032" s="1" t="str">
        <f t="shared" si="451"/>
        <v>905-59</v>
      </c>
      <c r="D7032" t="s">
        <v>7004</v>
      </c>
      <c r="E7032" t="b">
        <f>IF(COUNTIF(D7032,"*"&amp;'Keyword Search'!$C$5&amp;"*"),TRUE,FALSE)</f>
        <v>1</v>
      </c>
      <c r="G7032" t="str">
        <f t="shared" si="452"/>
        <v>905-59: Radio Frequency Access Services</v>
      </c>
    </row>
    <row r="7033" spans="1:7" x14ac:dyDescent="0.25">
      <c r="A7033" s="1" t="str">
        <f t="shared" si="453"/>
        <v>905</v>
      </c>
      <c r="B7033" s="1" t="str">
        <f>TEXT(60,"00")</f>
        <v>60</v>
      </c>
      <c r="C7033" s="1" t="str">
        <f t="shared" si="451"/>
        <v>905-60</v>
      </c>
      <c r="D7033" t="s">
        <v>7005</v>
      </c>
      <c r="E7033" t="b">
        <f>IF(COUNTIF(D7033,"*"&amp;'Keyword Search'!$C$5&amp;"*"),TRUE,FALSE)</f>
        <v>1</v>
      </c>
      <c r="G7033" t="str">
        <f t="shared" si="452"/>
        <v>905-60: Removal of Rubber Deposits from Runways</v>
      </c>
    </row>
    <row r="7034" spans="1:7" x14ac:dyDescent="0.25">
      <c r="A7034" s="1" t="str">
        <f t="shared" si="453"/>
        <v>905</v>
      </c>
      <c r="B7034" s="1" t="str">
        <f>TEXT(66,"00")</f>
        <v>66</v>
      </c>
      <c r="C7034" s="1" t="str">
        <f t="shared" si="451"/>
        <v>905-66</v>
      </c>
      <c r="D7034" t="s">
        <v>7006</v>
      </c>
      <c r="E7034" t="b">
        <f>IF(COUNTIF(D7034,"*"&amp;'Keyword Search'!$C$5&amp;"*"),TRUE,FALSE)</f>
        <v>1</v>
      </c>
      <c r="G7034" t="str">
        <f t="shared" si="452"/>
        <v>905-66: Runway Grooving Services, Airport</v>
      </c>
    </row>
    <row r="7035" spans="1:7" x14ac:dyDescent="0.25">
      <c r="A7035" s="1" t="str">
        <f t="shared" si="453"/>
        <v>905</v>
      </c>
      <c r="B7035" s="1" t="str">
        <f>TEXT(67,"00")</f>
        <v>67</v>
      </c>
      <c r="C7035" s="1" t="str">
        <f t="shared" si="451"/>
        <v>905-67</v>
      </c>
      <c r="D7035" t="s">
        <v>7007</v>
      </c>
      <c r="E7035" t="b">
        <f>IF(COUNTIF(D7035,"*"&amp;'Keyword Search'!$C$5&amp;"*"),TRUE,FALSE)</f>
        <v>1</v>
      </c>
      <c r="G7035" t="str">
        <f t="shared" si="452"/>
        <v>905-67: Runway Services (Not Otherwise Classified)</v>
      </c>
    </row>
    <row r="7036" spans="1:7" x14ac:dyDescent="0.25">
      <c r="A7036" s="1" t="str">
        <f t="shared" si="453"/>
        <v>905</v>
      </c>
      <c r="B7036" s="1" t="str">
        <f>TEXT(68,"00")</f>
        <v>68</v>
      </c>
      <c r="C7036" s="1" t="str">
        <f t="shared" si="451"/>
        <v>905-68</v>
      </c>
      <c r="D7036" t="s">
        <v>7008</v>
      </c>
      <c r="E7036" t="b">
        <f>IF(COUNTIF(D7036,"*"&amp;'Keyword Search'!$C$5&amp;"*"),TRUE,FALSE)</f>
        <v>1</v>
      </c>
      <c r="G7036" t="str">
        <f t="shared" si="452"/>
        <v>905-68: Security Screening Services, Personnel</v>
      </c>
    </row>
    <row r="7037" spans="1:7" x14ac:dyDescent="0.25">
      <c r="A7037" s="1" t="str">
        <f t="shared" si="453"/>
        <v>905</v>
      </c>
      <c r="B7037" s="1" t="str">
        <f>TEXT(69,"00")</f>
        <v>69</v>
      </c>
      <c r="C7037" s="1" t="str">
        <f t="shared" si="451"/>
        <v>905-69</v>
      </c>
      <c r="D7037" t="s">
        <v>7009</v>
      </c>
      <c r="E7037" t="b">
        <f>IF(COUNTIF(D7037,"*"&amp;'Keyword Search'!$C$5&amp;"*"),TRUE,FALSE)</f>
        <v>1</v>
      </c>
      <c r="G7037" t="str">
        <f t="shared" si="452"/>
        <v>905-69: Signage Services, Aircraft and Airport</v>
      </c>
    </row>
    <row r="7038" spans="1:7" x14ac:dyDescent="0.25">
      <c r="A7038" s="1" t="str">
        <f t="shared" si="453"/>
        <v>905</v>
      </c>
      <c r="B7038" s="1" t="str">
        <f>TEXT(70,"00")</f>
        <v>70</v>
      </c>
      <c r="C7038" s="1" t="str">
        <f t="shared" si="451"/>
        <v>905-70</v>
      </c>
      <c r="D7038" t="s">
        <v>7010</v>
      </c>
      <c r="E7038" t="b">
        <f>IF(COUNTIF(D7038,"*"&amp;'Keyword Search'!$C$5&amp;"*"),TRUE,FALSE)</f>
        <v>1</v>
      </c>
      <c r="G7038" t="str">
        <f t="shared" si="452"/>
        <v>905-70: Storage Space Services, Not Building Lease, Aircraft</v>
      </c>
    </row>
    <row r="7039" spans="1:7" x14ac:dyDescent="0.25">
      <c r="A7039" s="1" t="str">
        <f t="shared" si="453"/>
        <v>905</v>
      </c>
      <c r="B7039" s="1" t="str">
        <f>TEXT(71,"00")</f>
        <v>71</v>
      </c>
      <c r="C7039" s="1" t="str">
        <f t="shared" si="451"/>
        <v>905-71</v>
      </c>
      <c r="D7039" t="s">
        <v>7011</v>
      </c>
      <c r="E7039" t="b">
        <f>IF(COUNTIF(D7039,"*"&amp;'Keyword Search'!$C$5&amp;"*"),TRUE,FALSE)</f>
        <v>1</v>
      </c>
      <c r="G7039" t="str">
        <f t="shared" si="452"/>
        <v>905-71: Spacecraft Cargo Transport Services</v>
      </c>
    </row>
    <row r="7040" spans="1:7" x14ac:dyDescent="0.25">
      <c r="A7040" s="1" t="str">
        <f t="shared" si="453"/>
        <v>905</v>
      </c>
      <c r="B7040" s="1" t="str">
        <f>TEXT(72,"00")</f>
        <v>72</v>
      </c>
      <c r="C7040" s="1" t="str">
        <f t="shared" si="451"/>
        <v>905-72</v>
      </c>
      <c r="D7040" t="s">
        <v>7012</v>
      </c>
      <c r="E7040" t="b">
        <f>IF(COUNTIF(D7040,"*"&amp;'Keyword Search'!$C$5&amp;"*"),TRUE,FALSE)</f>
        <v>1</v>
      </c>
      <c r="G7040" t="str">
        <f t="shared" si="452"/>
        <v>905-72: Spacecraft Services (Not Otherwise Classified)</v>
      </c>
    </row>
    <row r="7041" spans="1:7" x14ac:dyDescent="0.25">
      <c r="A7041" s="1" t="str">
        <f t="shared" si="453"/>
        <v>905</v>
      </c>
      <c r="B7041" s="1" t="str">
        <f>TEXT(80,"00")</f>
        <v>80</v>
      </c>
      <c r="C7041" s="1" t="str">
        <f t="shared" si="451"/>
        <v>905-80</v>
      </c>
      <c r="D7041" t="s">
        <v>7013</v>
      </c>
      <c r="E7041" t="b">
        <f>IF(COUNTIF(D7041,"*"&amp;'Keyword Search'!$C$5&amp;"*"),TRUE,FALSE)</f>
        <v>1</v>
      </c>
      <c r="G7041" t="str">
        <f t="shared" si="452"/>
        <v>905-80: Traveler's Assistance Services</v>
      </c>
    </row>
    <row r="7042" spans="1:7" x14ac:dyDescent="0.25">
      <c r="A7042" s="1" t="str">
        <f t="shared" si="453"/>
        <v>905</v>
      </c>
      <c r="B7042" s="1" t="str">
        <f>TEXT(90,"00")</f>
        <v>90</v>
      </c>
      <c r="C7042" s="1" t="str">
        <f t="shared" si="451"/>
        <v>905-90</v>
      </c>
      <c r="D7042" t="s">
        <v>7014</v>
      </c>
      <c r="E7042" t="b">
        <f>IF(COUNTIF(D7042,"*"&amp;'Keyword Search'!$C$5&amp;"*"),TRUE,FALSE)</f>
        <v>1</v>
      </c>
      <c r="G7042" t="str">
        <f t="shared" si="452"/>
        <v>905-90: Waste Disposal Services, Aircraft</v>
      </c>
    </row>
    <row r="7043" spans="1:7" x14ac:dyDescent="0.25">
      <c r="A7043" s="5" t="str">
        <f t="shared" ref="A7043:A7098" si="454">TEXT(906,"000")</f>
        <v>906</v>
      </c>
      <c r="B7043" s="5" t="str">
        <f>TEXT(0,"00")</f>
        <v>00</v>
      </c>
      <c r="C7043" s="1"/>
      <c r="D7043" s="2" t="s">
        <v>7015</v>
      </c>
    </row>
    <row r="7044" spans="1:7" x14ac:dyDescent="0.25">
      <c r="A7044" s="1" t="str">
        <f t="shared" si="454"/>
        <v>906</v>
      </c>
      <c r="B7044" s="1" t="str">
        <f>TEXT(2,"00")</f>
        <v>02</v>
      </c>
      <c r="C7044" s="1" t="str">
        <f t="shared" ref="C7044:C7106" si="455">CONCATENATE(A7044,"-",B7044)</f>
        <v>906-02</v>
      </c>
      <c r="D7044" t="s">
        <v>7016</v>
      </c>
      <c r="E7044" t="b">
        <f>IF(COUNTIF(D7044,"*"&amp;'Keyword Search'!$C$5&amp;"*"),TRUE,FALSE)</f>
        <v>1</v>
      </c>
      <c r="G7044" t="str">
        <f t="shared" ref="G7044:G7107" si="456">CONCATENATE(C7044,": ",D7044)</f>
        <v>906-02: Acoustics, Noise Abatement, Architectural Services</v>
      </c>
    </row>
    <row r="7045" spans="1:7" x14ac:dyDescent="0.25">
      <c r="A7045" s="1" t="str">
        <f t="shared" si="454"/>
        <v>906</v>
      </c>
      <c r="B7045" s="1" t="str">
        <f>TEXT(4,"00")</f>
        <v>04</v>
      </c>
      <c r="C7045" s="1" t="str">
        <f t="shared" si="455"/>
        <v>906-04</v>
      </c>
      <c r="D7045" t="s">
        <v>7017</v>
      </c>
      <c r="E7045" t="b">
        <f>IF(COUNTIF(D7045,"*"&amp;'Keyword Search'!$C$5&amp;"*"),TRUE,FALSE)</f>
        <v>1</v>
      </c>
      <c r="G7045" t="str">
        <f t="shared" si="456"/>
        <v>906-04: Agricultural Development, Architectural Services</v>
      </c>
    </row>
    <row r="7046" spans="1:7" x14ac:dyDescent="0.25">
      <c r="A7046" s="1" t="str">
        <f t="shared" si="454"/>
        <v>906</v>
      </c>
      <c r="B7046" s="1" t="str">
        <f>TEXT(6,"00")</f>
        <v>06</v>
      </c>
      <c r="C7046" s="1" t="str">
        <f t="shared" si="455"/>
        <v>906-06</v>
      </c>
      <c r="D7046" t="s">
        <v>7018</v>
      </c>
      <c r="E7046" t="b">
        <f>IF(COUNTIF(D7046,"*"&amp;'Keyword Search'!$C$5&amp;"*"),TRUE,FALSE)</f>
        <v>1</v>
      </c>
      <c r="G7046" t="str">
        <f t="shared" si="456"/>
        <v>906-06: Airports, Lighting, Fueling, Navaids, Architectural Services</v>
      </c>
    </row>
    <row r="7047" spans="1:7" x14ac:dyDescent="0.25">
      <c r="A7047" s="1" t="str">
        <f t="shared" si="454"/>
        <v>906</v>
      </c>
      <c r="B7047" s="1" t="str">
        <f>TEXT(7,"00")</f>
        <v>07</v>
      </c>
      <c r="C7047" s="1" t="str">
        <f t="shared" si="455"/>
        <v>906-07</v>
      </c>
      <c r="D7047" t="s">
        <v>7019</v>
      </c>
      <c r="E7047" t="b">
        <f>IF(COUNTIF(D7047,"*"&amp;'Keyword Search'!$C$5&amp;"*"),TRUE,FALSE)</f>
        <v>1</v>
      </c>
      <c r="G7047" t="str">
        <f t="shared" si="456"/>
        <v>906-07: Architect Services, Professional, (Not Otherwise Classified), Including Consulting</v>
      </c>
    </row>
    <row r="7048" spans="1:7" x14ac:dyDescent="0.25">
      <c r="A7048" s="1" t="str">
        <f t="shared" si="454"/>
        <v>906</v>
      </c>
      <c r="B7048" s="1" t="str">
        <f>TEXT(8,"00")</f>
        <v>08</v>
      </c>
      <c r="C7048" s="1" t="str">
        <f t="shared" si="455"/>
        <v>906-08</v>
      </c>
      <c r="D7048" t="s">
        <v>7020</v>
      </c>
      <c r="E7048" t="b">
        <f>IF(COUNTIF(D7048,"*"&amp;'Keyword Search'!$C$5&amp;"*"),TRUE,FALSE)</f>
        <v>1</v>
      </c>
      <c r="G7048" t="str">
        <f t="shared" si="456"/>
        <v>906-08: Automation; Controls; Instrumentation, Architectural Services</v>
      </c>
    </row>
    <row r="7049" spans="1:7" x14ac:dyDescent="0.25">
      <c r="A7049" s="1" t="str">
        <f t="shared" si="454"/>
        <v>906</v>
      </c>
      <c r="B7049" s="1" t="str">
        <f>TEXT(10,"00")</f>
        <v>10</v>
      </c>
      <c r="C7049" s="1" t="str">
        <f t="shared" si="455"/>
        <v>906-10</v>
      </c>
      <c r="D7049" t="s">
        <v>7021</v>
      </c>
      <c r="E7049" t="b">
        <f>IF(COUNTIF(D7049,"*"&amp;'Keyword Search'!$C$5&amp;"*"),TRUE,FALSE)</f>
        <v>1</v>
      </c>
      <c r="G7049" t="str">
        <f t="shared" si="456"/>
        <v>906-10: Buildings, Architectural Design Services</v>
      </c>
    </row>
    <row r="7050" spans="1:7" x14ac:dyDescent="0.25">
      <c r="A7050" s="1" t="str">
        <f t="shared" si="454"/>
        <v>906</v>
      </c>
      <c r="B7050" s="1" t="str">
        <f>TEXT(12,"00")</f>
        <v>12</v>
      </c>
      <c r="C7050" s="1" t="str">
        <f t="shared" si="455"/>
        <v>906-12</v>
      </c>
      <c r="D7050" t="s">
        <v>7022</v>
      </c>
      <c r="E7050" t="b">
        <f>IF(COUNTIF(D7050,"*"&amp;'Keyword Search'!$C$5&amp;"*"),TRUE,FALSE)</f>
        <v>1</v>
      </c>
      <c r="G7050" t="str">
        <f t="shared" si="456"/>
        <v>906-12: Building Sanitation, Architectural Services</v>
      </c>
    </row>
    <row r="7051" spans="1:7" x14ac:dyDescent="0.25">
      <c r="A7051" s="1" t="str">
        <f t="shared" si="454"/>
        <v>906</v>
      </c>
      <c r="B7051" s="1" t="str">
        <f>TEXT(14,"00")</f>
        <v>14</v>
      </c>
      <c r="C7051" s="1" t="str">
        <f t="shared" si="455"/>
        <v>906-14</v>
      </c>
      <c r="D7051" t="s">
        <v>7023</v>
      </c>
      <c r="E7051" t="b">
        <f>IF(COUNTIF(D7051,"*"&amp;'Keyword Search'!$C$5&amp;"*"),TRUE,FALSE)</f>
        <v>1</v>
      </c>
      <c r="G7051" t="str">
        <f t="shared" si="456"/>
        <v>906-14: Cemeteries, Planning and Relocation, Architectural Services</v>
      </c>
    </row>
    <row r="7052" spans="1:7" x14ac:dyDescent="0.25">
      <c r="A7052" s="1" t="str">
        <f t="shared" si="454"/>
        <v>906</v>
      </c>
      <c r="B7052" s="1" t="str">
        <f>TEXT(16,"00")</f>
        <v>16</v>
      </c>
      <c r="C7052" s="1" t="str">
        <f t="shared" si="455"/>
        <v>906-16</v>
      </c>
      <c r="D7052" t="s">
        <v>7024</v>
      </c>
      <c r="E7052" t="b">
        <f>IF(COUNTIF(D7052,"*"&amp;'Keyword Search'!$C$5&amp;"*"),TRUE,FALSE)</f>
        <v>1</v>
      </c>
      <c r="G7052" t="str">
        <f t="shared" si="456"/>
        <v>906-16: Chemical Processing and Storage, Architectural Services</v>
      </c>
    </row>
    <row r="7053" spans="1:7" x14ac:dyDescent="0.25">
      <c r="A7053" s="1" t="str">
        <f t="shared" si="454"/>
        <v>906</v>
      </c>
      <c r="B7053" s="1" t="str">
        <f>TEXT(18,"00")</f>
        <v>18</v>
      </c>
      <c r="C7053" s="1" t="str">
        <f t="shared" si="455"/>
        <v>906-18</v>
      </c>
      <c r="D7053" t="s">
        <v>7025</v>
      </c>
      <c r="E7053" t="b">
        <f>IF(COUNTIF(D7053,"*"&amp;'Keyword Search'!$C$5&amp;"*"),TRUE,FALSE)</f>
        <v>1</v>
      </c>
      <c r="G7053" t="str">
        <f t="shared" si="456"/>
        <v>906-18: Cold Storage; Refrigeration; Fast Freeze, Architectural Services</v>
      </c>
    </row>
    <row r="7054" spans="1:7" x14ac:dyDescent="0.25">
      <c r="A7054" s="1" t="str">
        <f t="shared" si="454"/>
        <v>906</v>
      </c>
      <c r="B7054" s="1" t="str">
        <f>TEXT(19,"00")</f>
        <v>19</v>
      </c>
      <c r="C7054" s="1" t="str">
        <f t="shared" si="455"/>
        <v>906-19</v>
      </c>
      <c r="D7054" t="s">
        <v>7026</v>
      </c>
      <c r="E7054" t="b">
        <f>IF(COUNTIF(D7054,"*"&amp;'Keyword Search'!$C$5&amp;"*"),TRUE,FALSE)</f>
        <v>1</v>
      </c>
      <c r="G7054" t="str">
        <f t="shared" si="456"/>
        <v>906-19: Concrete, Architectural Services</v>
      </c>
    </row>
    <row r="7055" spans="1:7" x14ac:dyDescent="0.25">
      <c r="A7055" s="1" t="str">
        <f t="shared" si="454"/>
        <v>906</v>
      </c>
      <c r="B7055" s="1" t="str">
        <f>TEXT(22,"00")</f>
        <v>22</v>
      </c>
      <c r="C7055" s="1" t="str">
        <f t="shared" si="455"/>
        <v>906-22</v>
      </c>
      <c r="D7055" t="s">
        <v>7027</v>
      </c>
      <c r="E7055" t="b">
        <f>IF(COUNTIF(D7055,"*"&amp;'Keyword Search'!$C$5&amp;"*"),TRUE,FALSE)</f>
        <v>1</v>
      </c>
      <c r="G7055" t="str">
        <f t="shared" si="456"/>
        <v>906-22: Corrosion Control; Cathodic Protection; Electrolysis, Architectural Services</v>
      </c>
    </row>
    <row r="7056" spans="1:7" x14ac:dyDescent="0.25">
      <c r="A7056" s="1" t="str">
        <f t="shared" si="454"/>
        <v>906</v>
      </c>
      <c r="B7056" s="1" t="str">
        <f>TEXT(24,"00")</f>
        <v>24</v>
      </c>
      <c r="C7056" s="1" t="str">
        <f t="shared" si="455"/>
        <v>906-24</v>
      </c>
      <c r="D7056" t="s">
        <v>7028</v>
      </c>
      <c r="E7056" t="b">
        <f>IF(COUNTIF(D7056,"*"&amp;'Keyword Search'!$C$5&amp;"*"),TRUE,FALSE)</f>
        <v>1</v>
      </c>
      <c r="G7056" t="str">
        <f t="shared" si="456"/>
        <v>906-24: Desalinization, Process and Facilities, Architectural Services</v>
      </c>
    </row>
    <row r="7057" spans="1:7" x14ac:dyDescent="0.25">
      <c r="A7057" s="1" t="str">
        <f t="shared" si="454"/>
        <v>906</v>
      </c>
      <c r="B7057" s="1" t="str">
        <f>TEXT(25,"00")</f>
        <v>25</v>
      </c>
      <c r="C7057" s="1" t="str">
        <f t="shared" si="455"/>
        <v>906-25</v>
      </c>
      <c r="D7057" t="s">
        <v>7029</v>
      </c>
      <c r="E7057" t="b">
        <f>IF(COUNTIF(D7057,"*"&amp;'Keyword Search'!$C$5&amp;"*"),TRUE,FALSE)</f>
        <v>1</v>
      </c>
      <c r="G7057" t="str">
        <f t="shared" si="456"/>
        <v>906-25: Design Build, Architectural Services (Inactive, effective January 1, 2016)</v>
      </c>
    </row>
    <row r="7058" spans="1:7" x14ac:dyDescent="0.25">
      <c r="A7058" s="1" t="str">
        <f t="shared" si="454"/>
        <v>906</v>
      </c>
      <c r="B7058" s="1" t="str">
        <f>TEXT(26,"00")</f>
        <v>26</v>
      </c>
      <c r="C7058" s="1" t="str">
        <f t="shared" si="455"/>
        <v>906-26</v>
      </c>
      <c r="D7058" t="s">
        <v>7030</v>
      </c>
      <c r="E7058" t="b">
        <f>IF(COUNTIF(D7058,"*"&amp;'Keyword Search'!$C$5&amp;"*"),TRUE,FALSE)</f>
        <v>1</v>
      </c>
      <c r="G7058" t="str">
        <f t="shared" si="456"/>
        <v>906-26: Electronics, Architectural Services</v>
      </c>
    </row>
    <row r="7059" spans="1:7" x14ac:dyDescent="0.25">
      <c r="A7059" s="1" t="str">
        <f t="shared" si="454"/>
        <v>906</v>
      </c>
      <c r="B7059" s="1" t="str">
        <f>TEXT(27,"00")</f>
        <v>27</v>
      </c>
      <c r="C7059" s="1" t="str">
        <f t="shared" si="455"/>
        <v>906-27</v>
      </c>
      <c r="D7059" t="s">
        <v>7031</v>
      </c>
      <c r="E7059" t="b">
        <f>IF(COUNTIF(D7059,"*"&amp;'Keyword Search'!$C$5&amp;"*"),TRUE,FALSE)</f>
        <v>1</v>
      </c>
      <c r="G7059" t="str">
        <f t="shared" si="456"/>
        <v>906-27: Energy Management, Architectural Services</v>
      </c>
    </row>
    <row r="7060" spans="1:7" x14ac:dyDescent="0.25">
      <c r="A7060" s="1" t="str">
        <f t="shared" si="454"/>
        <v>906</v>
      </c>
      <c r="B7060" s="1" t="str">
        <f>TEXT(28,"00")</f>
        <v>28</v>
      </c>
      <c r="C7060" s="1" t="str">
        <f t="shared" si="455"/>
        <v>906-28</v>
      </c>
      <c r="D7060" t="s">
        <v>7032</v>
      </c>
      <c r="E7060" t="b">
        <f>IF(COUNTIF(D7060,"*"&amp;'Keyword Search'!$C$5&amp;"*"),TRUE,FALSE)</f>
        <v>1</v>
      </c>
      <c r="G7060" t="str">
        <f t="shared" si="456"/>
        <v>906-28: Energy Conservation; New Energy Sources, Solar, etc., Architectural Services</v>
      </c>
    </row>
    <row r="7061" spans="1:7" x14ac:dyDescent="0.25">
      <c r="A7061" s="1" t="str">
        <f t="shared" si="454"/>
        <v>906</v>
      </c>
      <c r="B7061" s="1" t="str">
        <f>TEXT(29,"00")</f>
        <v>29</v>
      </c>
      <c r="C7061" s="1" t="str">
        <f t="shared" si="455"/>
        <v>906-29</v>
      </c>
      <c r="D7061" t="s">
        <v>7033</v>
      </c>
      <c r="E7061" t="b">
        <f>IF(COUNTIF(D7061,"*"&amp;'Keyword Search'!$C$5&amp;"*"),TRUE,FALSE)</f>
        <v>1</v>
      </c>
      <c r="G7061" t="str">
        <f t="shared" si="456"/>
        <v>906-29: Environmental and Energy, Architectural Services</v>
      </c>
    </row>
    <row r="7062" spans="1:7" x14ac:dyDescent="0.25">
      <c r="A7062" s="1" t="str">
        <f t="shared" si="454"/>
        <v>906</v>
      </c>
      <c r="B7062" s="1" t="str">
        <f>TEXT(30,"00")</f>
        <v>30</v>
      </c>
      <c r="C7062" s="1" t="str">
        <f t="shared" si="455"/>
        <v>906-30</v>
      </c>
      <c r="D7062" t="s">
        <v>7034</v>
      </c>
      <c r="E7062" t="b">
        <f>IF(COUNTIF(D7062,"*"&amp;'Keyword Search'!$C$5&amp;"*"),TRUE,FALSE)</f>
        <v>1</v>
      </c>
      <c r="G7062" t="str">
        <f t="shared" si="456"/>
        <v>906-30: Fire Protection, Architectural Services</v>
      </c>
    </row>
    <row r="7063" spans="1:7" x14ac:dyDescent="0.25">
      <c r="A7063" s="1" t="str">
        <f t="shared" si="454"/>
        <v>906</v>
      </c>
      <c r="B7063" s="1" t="str">
        <f>TEXT(32,"00")</f>
        <v>32</v>
      </c>
      <c r="C7063" s="1" t="str">
        <f t="shared" si="455"/>
        <v>906-32</v>
      </c>
      <c r="D7063" t="s">
        <v>7035</v>
      </c>
      <c r="E7063" t="b">
        <f>IF(COUNTIF(D7063,"*"&amp;'Keyword Search'!$C$5&amp;"*"),TRUE,FALSE)</f>
        <v>1</v>
      </c>
      <c r="G7063" t="str">
        <f t="shared" si="456"/>
        <v>906-32: Fisheries; Fish Ladders, Architectural Services</v>
      </c>
    </row>
    <row r="7064" spans="1:7" x14ac:dyDescent="0.25">
      <c r="A7064" s="1" t="str">
        <f t="shared" si="454"/>
        <v>906</v>
      </c>
      <c r="B7064" s="1" t="str">
        <f>TEXT(33,"00")</f>
        <v>33</v>
      </c>
      <c r="C7064" s="1" t="str">
        <f t="shared" si="455"/>
        <v>906-33</v>
      </c>
      <c r="D7064" t="s">
        <v>7036</v>
      </c>
      <c r="E7064" t="b">
        <f>IF(COUNTIF(D7064,"*"&amp;'Keyword Search'!$C$5&amp;"*"),TRUE,FALSE)</f>
        <v>1</v>
      </c>
      <c r="G7064" t="str">
        <f t="shared" si="456"/>
        <v>906-33: Forensic, Architectural Services</v>
      </c>
    </row>
    <row r="7065" spans="1:7" x14ac:dyDescent="0.25">
      <c r="A7065" s="1" t="str">
        <f t="shared" si="454"/>
        <v>906</v>
      </c>
      <c r="B7065" s="1" t="str">
        <f>TEXT(34,"00")</f>
        <v>34</v>
      </c>
      <c r="C7065" s="1" t="str">
        <f t="shared" si="455"/>
        <v>906-34</v>
      </c>
      <c r="D7065" t="s">
        <v>7037</v>
      </c>
      <c r="E7065" t="b">
        <f>IF(COUNTIF(D7065,"*"&amp;'Keyword Search'!$C$5&amp;"*"),TRUE,FALSE)</f>
        <v>1</v>
      </c>
      <c r="G7065" t="str">
        <f t="shared" si="456"/>
        <v>906-34: Freight Handling; Materials Handling, Architectural Services</v>
      </c>
    </row>
    <row r="7066" spans="1:7" x14ac:dyDescent="0.25">
      <c r="A7066" s="1" t="str">
        <f t="shared" si="454"/>
        <v>906</v>
      </c>
      <c r="B7066" s="1" t="str">
        <f>TEXT(36,"00")</f>
        <v>36</v>
      </c>
      <c r="C7066" s="1" t="str">
        <f t="shared" si="455"/>
        <v>906-36</v>
      </c>
      <c r="D7066" t="s">
        <v>7038</v>
      </c>
      <c r="E7066" t="b">
        <f>IF(COUNTIF(D7066,"*"&amp;'Keyword Search'!$C$5&amp;"*"),TRUE,FALSE)</f>
        <v>1</v>
      </c>
      <c r="G7066" t="str">
        <f t="shared" si="456"/>
        <v>906-36: Gas Systems, Propane, Natural, etc., Architectural Services</v>
      </c>
    </row>
    <row r="7067" spans="1:7" x14ac:dyDescent="0.25">
      <c r="A7067" s="1" t="str">
        <f t="shared" si="454"/>
        <v>906</v>
      </c>
      <c r="B7067" s="1" t="str">
        <f>TEXT(38,"00")</f>
        <v>38</v>
      </c>
      <c r="C7067" s="1" t="str">
        <f t="shared" si="455"/>
        <v>906-38</v>
      </c>
      <c r="D7067" t="s">
        <v>7039</v>
      </c>
      <c r="E7067" t="b">
        <f>IF(COUNTIF(D7067,"*"&amp;'Keyword Search'!$C$5&amp;"*"),TRUE,FALSE)</f>
        <v>1</v>
      </c>
      <c r="G7067" t="str">
        <f t="shared" si="456"/>
        <v>906-38: General Construction, Architectural Services</v>
      </c>
    </row>
    <row r="7068" spans="1:7" x14ac:dyDescent="0.25">
      <c r="A7068" s="1" t="str">
        <f t="shared" si="454"/>
        <v>906</v>
      </c>
      <c r="B7068" s="1" t="str">
        <f>TEXT(40,"00")</f>
        <v>40</v>
      </c>
      <c r="C7068" s="1" t="str">
        <f t="shared" si="455"/>
        <v>906-40</v>
      </c>
      <c r="D7068" t="s">
        <v>7040</v>
      </c>
      <c r="E7068" t="b">
        <f>IF(COUNTIF(D7068,"*"&amp;'Keyword Search'!$C$5&amp;"*"),TRUE,FALSE)</f>
        <v>1</v>
      </c>
      <c r="G7068" t="str">
        <f t="shared" si="456"/>
        <v>906-40: Graphic Design, Architectural Services</v>
      </c>
    </row>
    <row r="7069" spans="1:7" x14ac:dyDescent="0.25">
      <c r="A7069" s="1" t="str">
        <f t="shared" si="454"/>
        <v>906</v>
      </c>
      <c r="B7069" s="1" t="str">
        <f>TEXT(42,"00")</f>
        <v>42</v>
      </c>
      <c r="C7069" s="1" t="str">
        <f t="shared" si="455"/>
        <v>906-42</v>
      </c>
      <c r="D7069" t="s">
        <v>7041</v>
      </c>
      <c r="E7069" t="b">
        <f>IF(COUNTIF(D7069,"*"&amp;'Keyword Search'!$C$5&amp;"*"),TRUE,FALSE)</f>
        <v>1</v>
      </c>
      <c r="G7069" t="str">
        <f t="shared" si="456"/>
        <v>906-42: Harbors; Jetties; Piers; Ship Terminal Facilities, Architectural Services</v>
      </c>
    </row>
    <row r="7070" spans="1:7" x14ac:dyDescent="0.25">
      <c r="A7070" s="1" t="str">
        <f t="shared" si="454"/>
        <v>906</v>
      </c>
      <c r="B7070" s="1" t="str">
        <f>TEXT(44,"00")</f>
        <v>44</v>
      </c>
      <c r="C7070" s="1" t="str">
        <f t="shared" si="455"/>
        <v>906-44</v>
      </c>
      <c r="D7070" t="s">
        <v>7042</v>
      </c>
      <c r="E7070" t="b">
        <f>IF(COUNTIF(D7070,"*"&amp;'Keyword Search'!$C$5&amp;"*"),TRUE,FALSE)</f>
        <v>1</v>
      </c>
      <c r="G7070" t="str">
        <f t="shared" si="456"/>
        <v>906-44: Heating; Ventilating; Air Conditioning, Architectural Services</v>
      </c>
    </row>
    <row r="7071" spans="1:7" x14ac:dyDescent="0.25">
      <c r="A7071" s="1" t="str">
        <f t="shared" si="454"/>
        <v>906</v>
      </c>
      <c r="B7071" s="1" t="str">
        <f>TEXT(46,"00")</f>
        <v>46</v>
      </c>
      <c r="C7071" s="1" t="str">
        <f t="shared" si="455"/>
        <v>906-46</v>
      </c>
      <c r="D7071" t="s">
        <v>7043</v>
      </c>
      <c r="E7071" t="b">
        <f>IF(COUNTIF(D7071,"*"&amp;'Keyword Search'!$C$5&amp;"*"),TRUE,FALSE)</f>
        <v>1</v>
      </c>
      <c r="G7071" t="str">
        <f t="shared" si="456"/>
        <v>906-46: Highways; Streets; Airport Pay-Parking Lots, Architectural Services</v>
      </c>
    </row>
    <row r="7072" spans="1:7" x14ac:dyDescent="0.25">
      <c r="A7072" s="1" t="str">
        <f t="shared" si="454"/>
        <v>906</v>
      </c>
      <c r="B7072" s="1" t="str">
        <f>TEXT(48,"00")</f>
        <v>48</v>
      </c>
      <c r="C7072" s="1" t="str">
        <f t="shared" si="455"/>
        <v>906-48</v>
      </c>
      <c r="D7072" t="s">
        <v>7044</v>
      </c>
      <c r="E7072" t="b">
        <f>IF(COUNTIF(D7072,"*"&amp;'Keyword Search'!$C$5&amp;"*"),TRUE,FALSE)</f>
        <v>1</v>
      </c>
      <c r="G7072" t="str">
        <f t="shared" si="456"/>
        <v>906-48: Historical Preservation</v>
      </c>
    </row>
    <row r="7073" spans="1:7" x14ac:dyDescent="0.25">
      <c r="A7073" s="1" t="str">
        <f t="shared" si="454"/>
        <v>906</v>
      </c>
      <c r="B7073" s="1" t="str">
        <f>TEXT(50,"00")</f>
        <v>50</v>
      </c>
      <c r="C7073" s="1" t="str">
        <f t="shared" si="455"/>
        <v>906-50</v>
      </c>
      <c r="D7073" t="s">
        <v>7045</v>
      </c>
      <c r="E7073" t="b">
        <f>IF(COUNTIF(D7073,"*"&amp;'Keyword Search'!$C$5&amp;"*"),TRUE,FALSE)</f>
        <v>1</v>
      </c>
      <c r="G7073" t="str">
        <f t="shared" si="456"/>
        <v>906-50: Industrial Processes; Quality Control (Inactive, effective January 1, 2016)</v>
      </c>
    </row>
    <row r="7074" spans="1:7" x14ac:dyDescent="0.25">
      <c r="A7074" s="1" t="str">
        <f t="shared" si="454"/>
        <v>906</v>
      </c>
      <c r="B7074" s="1" t="str">
        <f>TEXT(52,"00")</f>
        <v>52</v>
      </c>
      <c r="C7074" s="1" t="str">
        <f t="shared" si="455"/>
        <v>906-52</v>
      </c>
      <c r="D7074" t="s">
        <v>7046</v>
      </c>
      <c r="E7074" t="b">
        <f>IF(COUNTIF(D7074,"*"&amp;'Keyword Search'!$C$5&amp;"*"),TRUE,FALSE)</f>
        <v>1</v>
      </c>
      <c r="G7074" t="str">
        <f t="shared" si="456"/>
        <v>906-52: Interior Design, Decorating, Space Planning, Exhibits and Displays</v>
      </c>
    </row>
    <row r="7075" spans="1:7" x14ac:dyDescent="0.25">
      <c r="A7075" s="1" t="str">
        <f t="shared" si="454"/>
        <v>906</v>
      </c>
      <c r="B7075" s="1" t="str">
        <f>TEXT(54,"00")</f>
        <v>54</v>
      </c>
      <c r="C7075" s="1" t="str">
        <f t="shared" si="455"/>
        <v>906-54</v>
      </c>
      <c r="D7075" t="s">
        <v>7047</v>
      </c>
      <c r="E7075" t="b">
        <f>IF(COUNTIF(D7075,"*"&amp;'Keyword Search'!$C$5&amp;"*"),TRUE,FALSE)</f>
        <v>1</v>
      </c>
      <c r="G7075" t="str">
        <f t="shared" si="456"/>
        <v>906-54: Irrigation; Drainage; Flood Control, Architectural Services</v>
      </c>
    </row>
    <row r="7076" spans="1:7" x14ac:dyDescent="0.25">
      <c r="A7076" s="1" t="str">
        <f t="shared" si="454"/>
        <v>906</v>
      </c>
      <c r="B7076" s="1" t="str">
        <f>TEXT(56,"00")</f>
        <v>56</v>
      </c>
      <c r="C7076" s="1" t="str">
        <f t="shared" si="455"/>
        <v>906-56</v>
      </c>
      <c r="D7076" t="s">
        <v>7048</v>
      </c>
      <c r="E7076" t="b">
        <f>IF(COUNTIF(D7076,"*"&amp;'Keyword Search'!$C$5&amp;"*"),TRUE,FALSE)</f>
        <v>1</v>
      </c>
      <c r="G7076" t="str">
        <f t="shared" si="456"/>
        <v>906-56: Landscape, Architectural Services</v>
      </c>
    </row>
    <row r="7077" spans="1:7" x14ac:dyDescent="0.25">
      <c r="A7077" s="1" t="str">
        <f t="shared" si="454"/>
        <v>906</v>
      </c>
      <c r="B7077" s="1" t="str">
        <f>TEXT(57,"00")</f>
        <v>57</v>
      </c>
      <c r="C7077" s="1" t="str">
        <f t="shared" si="455"/>
        <v>906-57</v>
      </c>
      <c r="D7077" t="s">
        <v>7049</v>
      </c>
      <c r="E7077" t="b">
        <f>IF(COUNTIF(D7077,"*"&amp;'Keyword Search'!$C$5&amp;"*"),TRUE,FALSE)</f>
        <v>1</v>
      </c>
      <c r="G7077" t="str">
        <f t="shared" si="456"/>
        <v>906-57: Land Development and Planning, Architectural Services</v>
      </c>
    </row>
    <row r="7078" spans="1:7" x14ac:dyDescent="0.25">
      <c r="A7078" s="1" t="str">
        <f t="shared" si="454"/>
        <v>906</v>
      </c>
      <c r="B7078" s="1" t="str">
        <f>TEXT(58,"00")</f>
        <v>58</v>
      </c>
      <c r="C7078" s="1" t="str">
        <f t="shared" si="455"/>
        <v>906-58</v>
      </c>
      <c r="D7078" t="s">
        <v>7050</v>
      </c>
      <c r="E7078" t="b">
        <f>IF(COUNTIF(D7078,"*"&amp;'Keyword Search'!$C$5&amp;"*"),TRUE,FALSE)</f>
        <v>1</v>
      </c>
      <c r="G7078" t="str">
        <f t="shared" si="456"/>
        <v>906-58: Lighting, Interior, Exterior, Architectural Services</v>
      </c>
    </row>
    <row r="7079" spans="1:7" x14ac:dyDescent="0.25">
      <c r="A7079" s="1" t="str">
        <f t="shared" si="454"/>
        <v>906</v>
      </c>
      <c r="B7079" s="1" t="str">
        <f>TEXT(60,"00")</f>
        <v>60</v>
      </c>
      <c r="C7079" s="1" t="str">
        <f t="shared" si="455"/>
        <v>906-60</v>
      </c>
      <c r="D7079" t="s">
        <v>7051</v>
      </c>
      <c r="E7079" t="b">
        <f>IF(COUNTIF(D7079,"*"&amp;'Keyword Search'!$C$5&amp;"*"),TRUE,FALSE)</f>
        <v>1</v>
      </c>
      <c r="G7079" t="str">
        <f t="shared" si="456"/>
        <v>906-60: Mining and Mineralogy, Architectural Services</v>
      </c>
    </row>
    <row r="7080" spans="1:7" x14ac:dyDescent="0.25">
      <c r="A7080" s="1" t="str">
        <f t="shared" si="454"/>
        <v>906</v>
      </c>
      <c r="B7080" s="1" t="str">
        <f>TEXT(61,"00")</f>
        <v>61</v>
      </c>
      <c r="C7080" s="1" t="str">
        <f t="shared" si="455"/>
        <v>906-61</v>
      </c>
      <c r="D7080" t="s">
        <v>7052</v>
      </c>
      <c r="E7080" t="b">
        <f>IF(COUNTIF(D7080,"*"&amp;'Keyword Search'!$C$5&amp;"*"),TRUE,FALSE)</f>
        <v>1</v>
      </c>
      <c r="G7080" t="str">
        <f t="shared" si="456"/>
        <v>906-61: Models of Layouts and Buildings to Scale, Architectural Services</v>
      </c>
    </row>
    <row r="7081" spans="1:7" x14ac:dyDescent="0.25">
      <c r="A7081" s="1" t="str">
        <f t="shared" si="454"/>
        <v>906</v>
      </c>
      <c r="B7081" s="1" t="str">
        <f>TEXT(62,"00")</f>
        <v>62</v>
      </c>
      <c r="C7081" s="1" t="str">
        <f t="shared" si="455"/>
        <v>906-62</v>
      </c>
      <c r="D7081" t="s">
        <v>7053</v>
      </c>
      <c r="E7081" t="b">
        <f>IF(COUNTIF(D7081,"*"&amp;'Keyword Search'!$C$5&amp;"*"),TRUE,FALSE)</f>
        <v>1</v>
      </c>
      <c r="G7081" t="str">
        <f t="shared" si="456"/>
        <v>906-62: Petroleum and Fuel, Storage and Distribution, Architectural Services</v>
      </c>
    </row>
    <row r="7082" spans="1:7" x14ac:dyDescent="0.25">
      <c r="A7082" s="1" t="str">
        <f t="shared" si="454"/>
        <v>906</v>
      </c>
      <c r="B7082" s="1" t="str">
        <f>TEXT(64,"00")</f>
        <v>64</v>
      </c>
      <c r="C7082" s="1" t="str">
        <f t="shared" si="455"/>
        <v>906-64</v>
      </c>
      <c r="D7082" t="s">
        <v>7054</v>
      </c>
      <c r="E7082" t="b">
        <f>IF(COUNTIF(D7082,"*"&amp;'Keyword Search'!$C$5&amp;"*"),TRUE,FALSE)</f>
        <v>1</v>
      </c>
      <c r="G7082" t="str">
        <f t="shared" si="456"/>
        <v>906-64: Planning, Urban, Community, Regional, Area wide, and State</v>
      </c>
    </row>
    <row r="7083" spans="1:7" x14ac:dyDescent="0.25">
      <c r="A7083" s="1" t="str">
        <f t="shared" si="454"/>
        <v>906</v>
      </c>
      <c r="B7083" s="1" t="str">
        <f>TEXT(66,"00")</f>
        <v>66</v>
      </c>
      <c r="C7083" s="1" t="str">
        <f t="shared" si="455"/>
        <v>906-66</v>
      </c>
      <c r="D7083" t="s">
        <v>7055</v>
      </c>
      <c r="E7083" t="b">
        <f>IF(COUNTIF(D7083,"*"&amp;'Keyword Search'!$C$5&amp;"*"),TRUE,FALSE)</f>
        <v>1</v>
      </c>
      <c r="G7083" t="str">
        <f t="shared" si="456"/>
        <v>906-66: Planning, Site, Installation and Project</v>
      </c>
    </row>
    <row r="7084" spans="1:7" x14ac:dyDescent="0.25">
      <c r="A7084" s="1" t="str">
        <f t="shared" si="454"/>
        <v>906</v>
      </c>
      <c r="B7084" s="1" t="str">
        <f>TEXT(68,"00")</f>
        <v>68</v>
      </c>
      <c r="C7084" s="1" t="str">
        <f t="shared" si="455"/>
        <v>906-68</v>
      </c>
      <c r="D7084" t="s">
        <v>7056</v>
      </c>
      <c r="E7084" t="b">
        <f>IF(COUNTIF(D7084,"*"&amp;'Keyword Search'!$C$5&amp;"*"),TRUE,FALSE)</f>
        <v>1</v>
      </c>
      <c r="G7084" t="str">
        <f t="shared" si="456"/>
        <v>906-68: Power Generation, Transmission, Distribution, Architectural Services</v>
      </c>
    </row>
    <row r="7085" spans="1:7" x14ac:dyDescent="0.25">
      <c r="A7085" s="1" t="str">
        <f t="shared" si="454"/>
        <v>906</v>
      </c>
      <c r="B7085" s="1" t="str">
        <f>TEXT(69,"00")</f>
        <v>69</v>
      </c>
      <c r="C7085" s="1" t="str">
        <f t="shared" si="455"/>
        <v>906-69</v>
      </c>
      <c r="D7085" t="s">
        <v>7057</v>
      </c>
      <c r="E7085" t="b">
        <f>IF(COUNTIF(D7085,"*"&amp;'Keyword Search'!$C$5&amp;"*"),TRUE,FALSE)</f>
        <v>1</v>
      </c>
      <c r="G7085" t="str">
        <f t="shared" si="456"/>
        <v>906-69: Correctional Facilities, Architectural Design Services</v>
      </c>
    </row>
    <row r="7086" spans="1:7" x14ac:dyDescent="0.25">
      <c r="A7086" s="1" t="str">
        <f t="shared" si="454"/>
        <v>906</v>
      </c>
      <c r="B7086" s="1" t="str">
        <f>TEXT(70,"00")</f>
        <v>70</v>
      </c>
      <c r="C7086" s="1" t="str">
        <f t="shared" si="455"/>
        <v>906-70</v>
      </c>
      <c r="D7086" t="s">
        <v>7058</v>
      </c>
      <c r="E7086" t="b">
        <f>IF(COUNTIF(D7086,"*"&amp;'Keyword Search'!$C$5&amp;"*"),TRUE,FALSE)</f>
        <v>1</v>
      </c>
      <c r="G7086" t="str">
        <f t="shared" si="456"/>
        <v>906-70: Railroad; Rapid Transit; Monorail, Architectural Services</v>
      </c>
    </row>
    <row r="7087" spans="1:7" x14ac:dyDescent="0.25">
      <c r="A7087" s="1" t="str">
        <f t="shared" si="454"/>
        <v>906</v>
      </c>
      <c r="B7087" s="1" t="str">
        <f>TEXT(72,"00")</f>
        <v>72</v>
      </c>
      <c r="C7087" s="1" t="str">
        <f t="shared" si="455"/>
        <v>906-72</v>
      </c>
      <c r="D7087" t="s">
        <v>7059</v>
      </c>
      <c r="E7087" t="b">
        <f>IF(COUNTIF(D7087,"*"&amp;'Keyword Search'!$C$5&amp;"*"),TRUE,FALSE)</f>
        <v>1</v>
      </c>
      <c r="G7087" t="str">
        <f t="shared" si="456"/>
        <v>906-72: Recreation Facilities, Parks, Marinas, etc., Architectural Services</v>
      </c>
    </row>
    <row r="7088" spans="1:7" x14ac:dyDescent="0.25">
      <c r="A7088" s="1" t="str">
        <f t="shared" si="454"/>
        <v>906</v>
      </c>
      <c r="B7088" s="1" t="str">
        <f>TEXT(74,"00")</f>
        <v>74</v>
      </c>
      <c r="C7088" s="1" t="str">
        <f t="shared" si="455"/>
        <v>906-74</v>
      </c>
      <c r="D7088" t="s">
        <v>7060</v>
      </c>
      <c r="E7088" t="b">
        <f>IF(COUNTIF(D7088,"*"&amp;'Keyword Search'!$C$5&amp;"*"),TRUE,FALSE)</f>
        <v>1</v>
      </c>
      <c r="G7088" t="str">
        <f t="shared" si="456"/>
        <v>906-74: Recycling Systems, Architectural Services</v>
      </c>
    </row>
    <row r="7089" spans="1:7" x14ac:dyDescent="0.25">
      <c r="A7089" s="1" t="str">
        <f t="shared" si="454"/>
        <v>906</v>
      </c>
      <c r="B7089" s="1" t="str">
        <f>TEXT(78,"00")</f>
        <v>78</v>
      </c>
      <c r="C7089" s="1" t="str">
        <f t="shared" si="455"/>
        <v>906-78</v>
      </c>
      <c r="D7089" t="s">
        <v>7061</v>
      </c>
      <c r="E7089" t="b">
        <f>IF(COUNTIF(D7089,"*"&amp;'Keyword Search'!$C$5&amp;"*"),TRUE,FALSE)</f>
        <v>1</v>
      </c>
      <c r="G7089" t="str">
        <f t="shared" si="456"/>
        <v>906-78: Security Systems; Intruder and Smoke Detection, Architectural Services</v>
      </c>
    </row>
    <row r="7090" spans="1:7" x14ac:dyDescent="0.25">
      <c r="A7090" s="1" t="str">
        <f t="shared" si="454"/>
        <v>906</v>
      </c>
      <c r="B7090" s="1" t="str">
        <f>TEXT(80,"00")</f>
        <v>80</v>
      </c>
      <c r="C7090" s="1" t="str">
        <f t="shared" si="455"/>
        <v>906-80</v>
      </c>
      <c r="D7090" t="s">
        <v>7062</v>
      </c>
      <c r="E7090" t="b">
        <f>IF(COUNTIF(D7090,"*"&amp;'Keyword Search'!$C$5&amp;"*"),TRUE,FALSE)</f>
        <v>1</v>
      </c>
      <c r="G7090" t="str">
        <f t="shared" si="456"/>
        <v>906-80: Sewage Collection, Treatment, and Disposal, Architectural Services</v>
      </c>
    </row>
    <row r="7091" spans="1:7" x14ac:dyDescent="0.25">
      <c r="A7091" s="1" t="str">
        <f t="shared" si="454"/>
        <v>906</v>
      </c>
      <c r="B7091" s="1" t="str">
        <f>TEXT(82,"00")</f>
        <v>82</v>
      </c>
      <c r="C7091" s="1" t="str">
        <f t="shared" si="455"/>
        <v>906-82</v>
      </c>
      <c r="D7091" t="s">
        <v>7063</v>
      </c>
      <c r="E7091" t="b">
        <f>IF(COUNTIF(D7091,"*"&amp;'Keyword Search'!$C$5&amp;"*"),TRUE,FALSE)</f>
        <v>1</v>
      </c>
      <c r="G7091" t="str">
        <f t="shared" si="456"/>
        <v>906-82: Solid Waste Disposal Systems, Architectural Services</v>
      </c>
    </row>
    <row r="7092" spans="1:7" x14ac:dyDescent="0.25">
      <c r="A7092" s="1" t="str">
        <f t="shared" si="454"/>
        <v>906</v>
      </c>
      <c r="B7092" s="1" t="str">
        <f>TEXT(83,"00")</f>
        <v>83</v>
      </c>
      <c r="C7092" s="1" t="str">
        <f t="shared" si="455"/>
        <v>906-83</v>
      </c>
      <c r="D7092" t="s">
        <v>7064</v>
      </c>
      <c r="E7092" t="b">
        <f>IF(COUNTIF(D7092,"*"&amp;'Keyword Search'!$C$5&amp;"*"),TRUE,FALSE)</f>
        <v>1</v>
      </c>
      <c r="G7092" t="str">
        <f t="shared" si="456"/>
        <v>906-83: Sports Facility, Architectural Services</v>
      </c>
    </row>
    <row r="7093" spans="1:7" x14ac:dyDescent="0.25">
      <c r="A7093" s="1" t="str">
        <f t="shared" si="454"/>
        <v>906</v>
      </c>
      <c r="B7093" s="1" t="str">
        <f>TEXT(84,"00")</f>
        <v>84</v>
      </c>
      <c r="C7093" s="1" t="str">
        <f t="shared" si="455"/>
        <v>906-84</v>
      </c>
      <c r="D7093" t="s">
        <v>7065</v>
      </c>
      <c r="E7093" t="b">
        <f>IF(COUNTIF(D7093,"*"&amp;'Keyword Search'!$C$5&amp;"*"),TRUE,FALSE)</f>
        <v>1</v>
      </c>
      <c r="G7093" t="str">
        <f t="shared" si="456"/>
        <v>906-84: *Telecommunications Systems, Telephone, Cellular, Radio, etc., Architectural Services</v>
      </c>
    </row>
    <row r="7094" spans="1:7" x14ac:dyDescent="0.25">
      <c r="A7094" s="1" t="str">
        <f t="shared" si="454"/>
        <v>906</v>
      </c>
      <c r="B7094" s="1" t="str">
        <f>TEXT(88,"00")</f>
        <v>88</v>
      </c>
      <c r="C7094" s="1" t="str">
        <f t="shared" si="455"/>
        <v>906-88</v>
      </c>
      <c r="D7094" t="s">
        <v>7066</v>
      </c>
      <c r="E7094" t="b">
        <f>IF(COUNTIF(D7094,"*"&amp;'Keyword Search'!$C$5&amp;"*"),TRUE,FALSE)</f>
        <v>1</v>
      </c>
      <c r="G7094" t="str">
        <f t="shared" si="456"/>
        <v>906-88: Towers, Architectural Services</v>
      </c>
    </row>
    <row r="7095" spans="1:7" x14ac:dyDescent="0.25">
      <c r="A7095" s="1" t="str">
        <f t="shared" si="454"/>
        <v>906</v>
      </c>
      <c r="B7095" s="1" t="str">
        <f>TEXT(90,"00")</f>
        <v>90</v>
      </c>
      <c r="C7095" s="1" t="str">
        <f t="shared" si="455"/>
        <v>906-90</v>
      </c>
      <c r="D7095" t="s">
        <v>7067</v>
      </c>
      <c r="E7095" t="b">
        <f>IF(COUNTIF(D7095,"*"&amp;'Keyword Search'!$C$5&amp;"*"),TRUE,FALSE)</f>
        <v>1</v>
      </c>
      <c r="G7095" t="str">
        <f t="shared" si="456"/>
        <v>906-90: Tunnels and Subways, Architectural Services</v>
      </c>
    </row>
    <row r="7096" spans="1:7" x14ac:dyDescent="0.25">
      <c r="A7096" s="1" t="str">
        <f t="shared" si="454"/>
        <v>906</v>
      </c>
      <c r="B7096" s="1" t="str">
        <f>TEXT(92,"00")</f>
        <v>92</v>
      </c>
      <c r="C7096" s="1" t="str">
        <f t="shared" si="455"/>
        <v>906-92</v>
      </c>
      <c r="D7096" t="s">
        <v>7068</v>
      </c>
      <c r="E7096" t="b">
        <f>IF(COUNTIF(D7096,"*"&amp;'Keyword Search'!$C$5&amp;"*"),TRUE,FALSE)</f>
        <v>1</v>
      </c>
      <c r="G7096" t="str">
        <f t="shared" si="456"/>
        <v>906-92: Utilities, Gas, Steam, Electric, Architectural Services</v>
      </c>
    </row>
    <row r="7097" spans="1:7" x14ac:dyDescent="0.25">
      <c r="A7097" s="1" t="str">
        <f t="shared" si="454"/>
        <v>906</v>
      </c>
      <c r="B7097" s="1" t="str">
        <f>TEXT(93,"00")</f>
        <v>93</v>
      </c>
      <c r="C7097" s="1" t="str">
        <f t="shared" si="455"/>
        <v>906-93</v>
      </c>
      <c r="D7097" t="s">
        <v>7069</v>
      </c>
      <c r="E7097" t="b">
        <f>IF(COUNTIF(D7097,"*"&amp;'Keyword Search'!$C$5&amp;"*"),TRUE,FALSE)</f>
        <v>1</v>
      </c>
      <c r="G7097" t="str">
        <f t="shared" si="456"/>
        <v>906-93: Video and Audio Systems Design, Architectural Services (Inactive, please see commodity code 906-26 effective January 1, 2016)</v>
      </c>
    </row>
    <row r="7098" spans="1:7" x14ac:dyDescent="0.25">
      <c r="A7098" s="1" t="str">
        <f t="shared" si="454"/>
        <v>906</v>
      </c>
      <c r="B7098" s="1" t="str">
        <f>TEXT(94,"00")</f>
        <v>94</v>
      </c>
      <c r="C7098" s="1" t="str">
        <f t="shared" si="455"/>
        <v>906-94</v>
      </c>
      <c r="D7098" t="s">
        <v>7070</v>
      </c>
      <c r="E7098" t="b">
        <f>IF(COUNTIF(D7098,"*"&amp;'Keyword Search'!$C$5&amp;"*"),TRUE,FALSE)</f>
        <v>1</v>
      </c>
      <c r="G7098" t="str">
        <f t="shared" si="456"/>
        <v>906-94: Water Supply, Treatment and Distribution, Architectural Services</v>
      </c>
    </row>
    <row r="7099" spans="1:7" x14ac:dyDescent="0.25">
      <c r="A7099" s="5" t="str">
        <f t="shared" ref="A7099:A7108" si="457">TEXT(907,"000")</f>
        <v>907</v>
      </c>
      <c r="B7099" s="5" t="str">
        <f>TEXT(0,"00")</f>
        <v>00</v>
      </c>
      <c r="C7099" s="1"/>
      <c r="D7099" s="2" t="s">
        <v>7071</v>
      </c>
    </row>
    <row r="7100" spans="1:7" x14ac:dyDescent="0.25">
      <c r="A7100" s="1" t="str">
        <f t="shared" si="457"/>
        <v>907</v>
      </c>
      <c r="B7100" s="1" t="str">
        <f>TEXT(14,"00")</f>
        <v>14</v>
      </c>
      <c r="C7100" s="1" t="str">
        <f t="shared" si="455"/>
        <v>907-14</v>
      </c>
      <c r="D7100" t="s">
        <v>7072</v>
      </c>
      <c r="E7100" t="b">
        <f>IF(COUNTIF(D7100,"*"&amp;'Keyword Search'!$C$5&amp;"*"),TRUE,FALSE)</f>
        <v>1</v>
      </c>
      <c r="G7100" t="str">
        <f t="shared" si="456"/>
        <v>907-14: Architectural Services, Non-Licensed (Not Otherwise Classified)</v>
      </c>
    </row>
    <row r="7101" spans="1:7" x14ac:dyDescent="0.25">
      <c r="A7101" s="1" t="str">
        <f t="shared" si="457"/>
        <v>907</v>
      </c>
      <c r="B7101" s="1" t="str">
        <f>TEXT(28,"00")</f>
        <v>28</v>
      </c>
      <c r="C7101" s="1" t="str">
        <f t="shared" si="455"/>
        <v>907-28</v>
      </c>
      <c r="D7101" t="s">
        <v>7073</v>
      </c>
      <c r="E7101" t="b">
        <f>IF(COUNTIF(D7101,"*"&amp;'Keyword Search'!$C$5&amp;"*"),TRUE,FALSE)</f>
        <v>1</v>
      </c>
      <c r="G7101" t="str">
        <f t="shared" si="456"/>
        <v>907-28: *Communications Systems; TV, Microwave, Telephone, Computer, Network</v>
      </c>
    </row>
    <row r="7102" spans="1:7" x14ac:dyDescent="0.25">
      <c r="A7102" s="1" t="str">
        <f t="shared" si="457"/>
        <v>907</v>
      </c>
      <c r="B7102" s="1" t="str">
        <f>TEXT(35,"00")</f>
        <v>35</v>
      </c>
      <c r="C7102" s="1" t="str">
        <f t="shared" si="455"/>
        <v>907-35</v>
      </c>
      <c r="D7102" t="s">
        <v>7074</v>
      </c>
      <c r="E7102" t="b">
        <f>IF(COUNTIF(D7102,"*"&amp;'Keyword Search'!$C$5&amp;"*"),TRUE,FALSE)</f>
        <v>1</v>
      </c>
      <c r="G7102" t="str">
        <f t="shared" si="456"/>
        <v>907-35: *Design Services</v>
      </c>
    </row>
    <row r="7103" spans="1:7" x14ac:dyDescent="0.25">
      <c r="A7103" s="1" t="str">
        <f t="shared" si="457"/>
        <v>907</v>
      </c>
      <c r="B7103" s="1" t="str">
        <f>TEXT(38,"00")</f>
        <v>38</v>
      </c>
      <c r="C7103" s="1" t="str">
        <f t="shared" si="455"/>
        <v>907-38</v>
      </c>
      <c r="D7103" t="s">
        <v>7075</v>
      </c>
      <c r="E7103" t="b">
        <f>IF(COUNTIF(D7103,"*"&amp;'Keyword Search'!$C$5&amp;"*"),TRUE,FALSE)</f>
        <v>1</v>
      </c>
      <c r="G7103" t="str">
        <f t="shared" si="456"/>
        <v>907-38: Drafting Services</v>
      </c>
    </row>
    <row r="7104" spans="1:7" x14ac:dyDescent="0.25">
      <c r="A7104" s="1" t="str">
        <f t="shared" si="457"/>
        <v>907</v>
      </c>
      <c r="B7104" s="1" t="str">
        <f>TEXT(40,"00")</f>
        <v>40</v>
      </c>
      <c r="C7104" s="1" t="str">
        <f t="shared" si="455"/>
        <v>907-40</v>
      </c>
      <c r="D7104" t="s">
        <v>7076</v>
      </c>
      <c r="E7104" t="b">
        <f>IF(COUNTIF(D7104,"*"&amp;'Keyword Search'!$C$5&amp;"*"),TRUE,FALSE)</f>
        <v>1</v>
      </c>
      <c r="G7104" t="str">
        <f t="shared" si="456"/>
        <v>907-40: *Engineering Services, Non-Licensed (Not Otherwise Classified), Including Consulting</v>
      </c>
    </row>
    <row r="7105" spans="1:7" x14ac:dyDescent="0.25">
      <c r="A7105" s="1" t="str">
        <f t="shared" si="457"/>
        <v>907</v>
      </c>
      <c r="B7105" s="1" t="str">
        <f>TEXT(42,"00")</f>
        <v>42</v>
      </c>
      <c r="C7105" s="1" t="str">
        <f t="shared" si="455"/>
        <v>907-42</v>
      </c>
      <c r="D7105" t="s">
        <v>7077</v>
      </c>
      <c r="E7105" t="b">
        <f>IF(COUNTIF(D7105,"*"&amp;'Keyword Search'!$C$5&amp;"*"),TRUE,FALSE)</f>
        <v>1</v>
      </c>
      <c r="G7105" t="str">
        <f t="shared" si="456"/>
        <v>907-42: Geotechnical - Soils</v>
      </c>
    </row>
    <row r="7106" spans="1:7" x14ac:dyDescent="0.25">
      <c r="A7106" s="1" t="str">
        <f t="shared" si="457"/>
        <v>907</v>
      </c>
      <c r="B7106" s="1" t="str">
        <f>TEXT(72,"00")</f>
        <v>72</v>
      </c>
      <c r="C7106" s="1" t="str">
        <f t="shared" si="455"/>
        <v>907-72</v>
      </c>
      <c r="D7106" t="s">
        <v>7078</v>
      </c>
      <c r="E7106" t="b">
        <f>IF(COUNTIF(D7106,"*"&amp;'Keyword Search'!$C$5&amp;"*"),TRUE,FALSE)</f>
        <v>1</v>
      </c>
      <c r="G7106" t="str">
        <f t="shared" si="456"/>
        <v>907-72: Safety Engineering and Accident Studies; OSHA Studies</v>
      </c>
    </row>
    <row r="7107" spans="1:7" x14ac:dyDescent="0.25">
      <c r="A7107" s="1" t="str">
        <f t="shared" si="457"/>
        <v>907</v>
      </c>
      <c r="B7107" s="1" t="str">
        <f>TEXT(75,"00")</f>
        <v>75</v>
      </c>
      <c r="C7107" s="1" t="str">
        <f t="shared" ref="C7107:C7170" si="458">CONCATENATE(A7107,"-",B7107)</f>
        <v>907-75</v>
      </c>
      <c r="D7107" t="s">
        <v>7079</v>
      </c>
      <c r="E7107" t="b">
        <f>IF(COUNTIF(D7107,"*"&amp;'Keyword Search'!$C$5&amp;"*"),TRUE,FALSE)</f>
        <v>1</v>
      </c>
      <c r="G7107" t="str">
        <f t="shared" si="456"/>
        <v>907-75: *Site Assessment and Site Field Observation</v>
      </c>
    </row>
    <row r="7108" spans="1:7" x14ac:dyDescent="0.25">
      <c r="A7108" s="1" t="str">
        <f t="shared" si="457"/>
        <v>907</v>
      </c>
      <c r="B7108" s="1" t="str">
        <f>TEXT(83,"00")</f>
        <v>83</v>
      </c>
      <c r="C7108" s="1" t="str">
        <f t="shared" si="458"/>
        <v>907-83</v>
      </c>
      <c r="D7108" t="s">
        <v>7080</v>
      </c>
      <c r="E7108" t="b">
        <f>IF(COUNTIF(D7108,"*"&amp;'Keyword Search'!$C$5&amp;"*"),TRUE,FALSE)</f>
        <v>1</v>
      </c>
      <c r="G7108" t="str">
        <f t="shared" ref="G7108:G7171" si="459">CONCATENATE(C7108,": ",D7108)</f>
        <v>907-83: *Testing Services</v>
      </c>
    </row>
    <row r="7109" spans="1:7" x14ac:dyDescent="0.25">
      <c r="A7109" s="5" t="str">
        <f t="shared" ref="A7109:A7121" si="460">TEXT(908,"000")</f>
        <v>908</v>
      </c>
      <c r="B7109" s="5" t="str">
        <f>TEXT(0,"00")</f>
        <v>00</v>
      </c>
      <c r="C7109" s="1"/>
      <c r="D7109" s="2" t="s">
        <v>7081</v>
      </c>
    </row>
    <row r="7110" spans="1:7" x14ac:dyDescent="0.25">
      <c r="A7110" s="1" t="str">
        <f t="shared" si="460"/>
        <v>908</v>
      </c>
      <c r="B7110" s="1" t="str">
        <f>TEXT(10,"00")</f>
        <v>10</v>
      </c>
      <c r="C7110" s="1" t="str">
        <f t="shared" si="458"/>
        <v>908-10</v>
      </c>
      <c r="D7110" t="s">
        <v>7082</v>
      </c>
      <c r="E7110" t="b">
        <f>IF(COUNTIF(D7110,"*"&amp;'Keyword Search'!$C$5&amp;"*"),TRUE,FALSE)</f>
        <v>1</v>
      </c>
      <c r="G7110" t="str">
        <f t="shared" si="459"/>
        <v>908-10: Bookbinding Services, Custom</v>
      </c>
    </row>
    <row r="7111" spans="1:7" x14ac:dyDescent="0.25">
      <c r="A7111" s="1" t="str">
        <f t="shared" si="460"/>
        <v>908</v>
      </c>
      <c r="B7111" s="1" t="str">
        <f>TEXT(12,"00")</f>
        <v>12</v>
      </c>
      <c r="C7111" s="1" t="str">
        <f t="shared" si="458"/>
        <v>908-12</v>
      </c>
      <c r="D7111" t="s">
        <v>7083</v>
      </c>
      <c r="E7111" t="b">
        <f>IF(COUNTIF(D7111,"*"&amp;'Keyword Search'!$C$5&amp;"*"),TRUE,FALSE)</f>
        <v>1</v>
      </c>
      <c r="G7111" t="str">
        <f t="shared" si="459"/>
        <v>908-12: Bookbinding Services, Glued or Paste Type</v>
      </c>
    </row>
    <row r="7112" spans="1:7" x14ac:dyDescent="0.25">
      <c r="A7112" s="1" t="str">
        <f t="shared" si="460"/>
        <v>908</v>
      </c>
      <c r="B7112" s="1" t="str">
        <f>TEXT(15,"00")</f>
        <v>15</v>
      </c>
      <c r="C7112" s="1" t="str">
        <f t="shared" si="458"/>
        <v>908-15</v>
      </c>
      <c r="D7112" t="s">
        <v>7084</v>
      </c>
      <c r="E7112" t="b">
        <f>IF(COUNTIF(D7112,"*"&amp;'Keyword Search'!$C$5&amp;"*"),TRUE,FALSE)</f>
        <v>1</v>
      </c>
      <c r="G7112" t="str">
        <f t="shared" si="459"/>
        <v>908-15: Bookbinding Services, Perfect, Paperback Book Type</v>
      </c>
    </row>
    <row r="7113" spans="1:7" x14ac:dyDescent="0.25">
      <c r="A7113" s="1" t="str">
        <f t="shared" si="460"/>
        <v>908</v>
      </c>
      <c r="B7113" s="1" t="str">
        <f>TEXT(17,"00")</f>
        <v>17</v>
      </c>
      <c r="C7113" s="1" t="str">
        <f t="shared" si="458"/>
        <v>908-17</v>
      </c>
      <c r="D7113" t="s">
        <v>7085</v>
      </c>
      <c r="E7113" t="b">
        <f>IF(COUNTIF(D7113,"*"&amp;'Keyword Search'!$C$5&amp;"*"),TRUE,FALSE)</f>
        <v>1</v>
      </c>
      <c r="G7113" t="str">
        <f t="shared" si="459"/>
        <v>908-17: Bookbinding Services, Saddle Stitched</v>
      </c>
    </row>
    <row r="7114" spans="1:7" x14ac:dyDescent="0.25">
      <c r="A7114" s="1" t="str">
        <f t="shared" si="460"/>
        <v>908</v>
      </c>
      <c r="B7114" s="1" t="str">
        <f>TEXT(20,"00")</f>
        <v>20</v>
      </c>
      <c r="C7114" s="1" t="str">
        <f t="shared" si="458"/>
        <v>908-20</v>
      </c>
      <c r="D7114" t="s">
        <v>7086</v>
      </c>
      <c r="E7114" t="b">
        <f>IF(COUNTIF(D7114,"*"&amp;'Keyword Search'!$C$5&amp;"*"),TRUE,FALSE)</f>
        <v>1</v>
      </c>
      <c r="G7114" t="str">
        <f t="shared" si="459"/>
        <v>908-20: Bookbinding Services, Sewed Cross Stitched, Library Quality, Rebinding, and Repairing: Library Books, Text Books, etc.</v>
      </c>
    </row>
    <row r="7115" spans="1:7" x14ac:dyDescent="0.25">
      <c r="A7115" s="1" t="str">
        <f t="shared" si="460"/>
        <v>908</v>
      </c>
      <c r="B7115" s="1" t="str">
        <f>TEXT(22,"00")</f>
        <v>22</v>
      </c>
      <c r="C7115" s="1" t="str">
        <f t="shared" si="458"/>
        <v>908-22</v>
      </c>
      <c r="D7115" t="s">
        <v>7087</v>
      </c>
      <c r="E7115" t="b">
        <f>IF(COUNTIF(D7115,"*"&amp;'Keyword Search'!$C$5&amp;"*"),TRUE,FALSE)</f>
        <v>1</v>
      </c>
      <c r="G7115" t="str">
        <f t="shared" si="459"/>
        <v>908-22: Bookbinding, Spiral</v>
      </c>
    </row>
    <row r="7116" spans="1:7" x14ac:dyDescent="0.25">
      <c r="A7116" s="1" t="str">
        <f t="shared" si="460"/>
        <v>908</v>
      </c>
      <c r="B7116" s="1" t="str">
        <f>TEXT(35,"00")</f>
        <v>35</v>
      </c>
      <c r="C7116" s="1" t="str">
        <f t="shared" si="458"/>
        <v>908-35</v>
      </c>
      <c r="D7116" t="s">
        <v>7088</v>
      </c>
      <c r="E7116" t="b">
        <f>IF(COUNTIF(D7116,"*"&amp;'Keyword Search'!$C$5&amp;"*"),TRUE,FALSE)</f>
        <v>1</v>
      </c>
      <c r="G7116" t="str">
        <f t="shared" si="459"/>
        <v>908-35: Headbands Installed</v>
      </c>
    </row>
    <row r="7117" spans="1:7" x14ac:dyDescent="0.25">
      <c r="A7117" s="1" t="str">
        <f t="shared" si="460"/>
        <v>908</v>
      </c>
      <c r="B7117" s="1" t="str">
        <f>TEXT(45,"00")</f>
        <v>45</v>
      </c>
      <c r="C7117" s="1" t="str">
        <f t="shared" si="458"/>
        <v>908-45</v>
      </c>
      <c r="D7117" t="s">
        <v>7089</v>
      </c>
      <c r="E7117" t="b">
        <f>IF(COUNTIF(D7117,"*"&amp;'Keyword Search'!$C$5&amp;"*"),TRUE,FALSE)</f>
        <v>1</v>
      </c>
      <c r="G7117" t="str">
        <f t="shared" si="459"/>
        <v>908-45: Magazine Binding, Sewed, Rebinding, and Repairing</v>
      </c>
    </row>
    <row r="7118" spans="1:7" x14ac:dyDescent="0.25">
      <c r="A7118" s="1" t="str">
        <f t="shared" si="460"/>
        <v>908</v>
      </c>
      <c r="B7118" s="1" t="str">
        <f>TEXT(50,"00")</f>
        <v>50</v>
      </c>
      <c r="C7118" s="1" t="str">
        <f t="shared" si="458"/>
        <v>908-50</v>
      </c>
      <c r="D7118" t="s">
        <v>7090</v>
      </c>
      <c r="E7118" t="b">
        <f>IF(COUNTIF(D7118,"*"&amp;'Keyword Search'!$C$5&amp;"*"),TRUE,FALSE)</f>
        <v>1</v>
      </c>
      <c r="G7118" t="str">
        <f t="shared" si="459"/>
        <v>908-50: Manuscript Binding, Sewed</v>
      </c>
    </row>
    <row r="7119" spans="1:7" x14ac:dyDescent="0.25">
      <c r="A7119" s="1" t="str">
        <f t="shared" si="460"/>
        <v>908</v>
      </c>
      <c r="B7119" s="1" t="str">
        <f>TEXT(55,"00")</f>
        <v>55</v>
      </c>
      <c r="C7119" s="1" t="str">
        <f t="shared" si="458"/>
        <v>908-55</v>
      </c>
      <c r="D7119" t="s">
        <v>7091</v>
      </c>
      <c r="E7119" t="b">
        <f>IF(COUNTIF(D7119,"*"&amp;'Keyword Search'!$C$5&amp;"*"),TRUE,FALSE)</f>
        <v>1</v>
      </c>
      <c r="G7119" t="str">
        <f t="shared" si="459"/>
        <v>908-55: Newspaper Binding, Sewed, Rebinding, and Repairing</v>
      </c>
    </row>
    <row r="7120" spans="1:7" x14ac:dyDescent="0.25">
      <c r="A7120" s="1" t="str">
        <f t="shared" si="460"/>
        <v>908</v>
      </c>
      <c r="B7120" s="1" t="str">
        <f>TEXT(65,"00")</f>
        <v>65</v>
      </c>
      <c r="C7120" s="1" t="str">
        <f t="shared" si="458"/>
        <v>908-65</v>
      </c>
      <c r="D7120" t="s">
        <v>7092</v>
      </c>
      <c r="E7120" t="b">
        <f>IF(COUNTIF(D7120,"*"&amp;'Keyword Search'!$C$5&amp;"*"),TRUE,FALSE)</f>
        <v>1</v>
      </c>
      <c r="G7120" t="str">
        <f t="shared" si="459"/>
        <v>908-65: Special Work and Repairing: Special Treatment of Rare Volumes, Rebacking of Old Volumes, etc.</v>
      </c>
    </row>
    <row r="7121" spans="1:7" x14ac:dyDescent="0.25">
      <c r="A7121" s="1" t="str">
        <f t="shared" si="460"/>
        <v>908</v>
      </c>
      <c r="B7121" s="1" t="str">
        <f>TEXT(75,"00")</f>
        <v>75</v>
      </c>
      <c r="C7121" s="1" t="str">
        <f t="shared" si="458"/>
        <v>908-75</v>
      </c>
      <c r="D7121" t="s">
        <v>7093</v>
      </c>
      <c r="E7121" t="b">
        <f>IF(COUNTIF(D7121,"*"&amp;'Keyword Search'!$C$5&amp;"*"),TRUE,FALSE)</f>
        <v>1</v>
      </c>
      <c r="G7121" t="str">
        <f t="shared" si="459"/>
        <v>908-75: Thesis Binding, Sewed</v>
      </c>
    </row>
    <row r="7122" spans="1:7" x14ac:dyDescent="0.25">
      <c r="A7122" s="5" t="str">
        <f t="shared" ref="A7122:A7160" si="461">TEXT(909,"000")</f>
        <v>909</v>
      </c>
      <c r="B7122" s="5" t="str">
        <f>TEXT(0,"00")</f>
        <v>00</v>
      </c>
      <c r="C7122" s="1"/>
      <c r="D7122" s="2" t="s">
        <v>7094</v>
      </c>
    </row>
    <row r="7123" spans="1:7" x14ac:dyDescent="0.25">
      <c r="A7123" s="1" t="str">
        <f t="shared" si="461"/>
        <v>909</v>
      </c>
      <c r="B7123" s="1" t="str">
        <f>TEXT(3,"00")</f>
        <v>03</v>
      </c>
      <c r="C7123" s="1" t="str">
        <f t="shared" si="458"/>
        <v>909-03</v>
      </c>
      <c r="D7123" t="s">
        <v>7095</v>
      </c>
      <c r="E7123" t="b">
        <f>IF(COUNTIF(D7123,"*"&amp;'Keyword Search'!$C$5&amp;"*"),TRUE,FALSE)</f>
        <v>1</v>
      </c>
      <c r="G7123" t="str">
        <f t="shared" si="459"/>
        <v>909-03: Administration of Contracts: Summary of Work, Quality Control, Project Closeout, etc.</v>
      </c>
    </row>
    <row r="7124" spans="1:7" x14ac:dyDescent="0.25">
      <c r="A7124" s="1" t="str">
        <f t="shared" si="461"/>
        <v>909</v>
      </c>
      <c r="B7124" s="1" t="str">
        <f>TEXT(10,"00")</f>
        <v>10</v>
      </c>
      <c r="C7124" s="1" t="str">
        <f t="shared" si="458"/>
        <v>909-10</v>
      </c>
      <c r="D7124" t="s">
        <v>7096</v>
      </c>
      <c r="E7124" t="b">
        <f>IF(COUNTIF(D7124,"*"&amp;'Keyword Search'!$C$5&amp;"*"),TRUE,FALSE)</f>
        <v>1</v>
      </c>
      <c r="G7124" t="str">
        <f t="shared" si="459"/>
        <v>909-10: Airport Facility Construction</v>
      </c>
    </row>
    <row r="7125" spans="1:7" x14ac:dyDescent="0.25">
      <c r="A7125" s="1" t="str">
        <f t="shared" si="461"/>
        <v>909</v>
      </c>
      <c r="B7125" s="1" t="str">
        <f>TEXT(11,"00")</f>
        <v>11</v>
      </c>
      <c r="C7125" s="1" t="str">
        <f t="shared" si="458"/>
        <v>909-11</v>
      </c>
      <c r="D7125" t="s">
        <v>7097</v>
      </c>
      <c r="E7125" t="b">
        <f>IF(COUNTIF(D7125,"*"&amp;'Keyword Search'!$C$5&amp;"*"),TRUE,FALSE)</f>
        <v>1</v>
      </c>
      <c r="G7125" t="str">
        <f t="shared" si="459"/>
        <v>909-11: Airport Facility Maintenance and Repair</v>
      </c>
    </row>
    <row r="7126" spans="1:7" x14ac:dyDescent="0.25">
      <c r="A7126" s="1" t="str">
        <f t="shared" si="461"/>
        <v>909</v>
      </c>
      <c r="B7126" s="1" t="str">
        <f>TEXT(16,"00")</f>
        <v>16</v>
      </c>
      <c r="C7126" s="1" t="str">
        <f t="shared" si="458"/>
        <v>909-16</v>
      </c>
      <c r="D7126" t="s">
        <v>7098</v>
      </c>
      <c r="E7126" t="b">
        <f>IF(COUNTIF(D7126,"*"&amp;'Keyword Search'!$C$5&amp;"*"),TRUE,FALSE)</f>
        <v>1</v>
      </c>
      <c r="G7126" t="str">
        <f t="shared" si="459"/>
        <v>909-16: Athletic Facility Construction</v>
      </c>
    </row>
    <row r="7127" spans="1:7" x14ac:dyDescent="0.25">
      <c r="A7127" s="1" t="str">
        <f t="shared" si="461"/>
        <v>909</v>
      </c>
      <c r="B7127" s="1" t="str">
        <f>TEXT(17,"00")</f>
        <v>17</v>
      </c>
      <c r="C7127" s="1" t="str">
        <f t="shared" si="458"/>
        <v>909-17</v>
      </c>
      <c r="D7127" t="s">
        <v>7099</v>
      </c>
      <c r="E7127" t="b">
        <f>IF(COUNTIF(D7127,"*"&amp;'Keyword Search'!$C$5&amp;"*"),TRUE,FALSE)</f>
        <v>1</v>
      </c>
      <c r="G7127" t="str">
        <f t="shared" si="459"/>
        <v>909-17: Athletic Facility Maintenance and Repair</v>
      </c>
    </row>
    <row r="7128" spans="1:7" x14ac:dyDescent="0.25">
      <c r="A7128" s="1" t="str">
        <f t="shared" si="461"/>
        <v>909</v>
      </c>
      <c r="B7128" s="1" t="str">
        <f>TEXT(21,"00")</f>
        <v>21</v>
      </c>
      <c r="C7128" s="1" t="str">
        <f t="shared" si="458"/>
        <v>909-21</v>
      </c>
      <c r="D7128" t="s">
        <v>7100</v>
      </c>
      <c r="E7128" t="b">
        <f>IF(COUNTIF(D7128,"*"&amp;'Keyword Search'!$C$5&amp;"*"),TRUE,FALSE)</f>
        <v>1</v>
      </c>
      <c r="G7128" t="str">
        <f t="shared" si="459"/>
        <v>909-21: Building Construction, Industrial, Warehouse, etc.</v>
      </c>
    </row>
    <row r="7129" spans="1:7" x14ac:dyDescent="0.25">
      <c r="A7129" s="1" t="str">
        <f t="shared" si="461"/>
        <v>909</v>
      </c>
      <c r="B7129" s="1" t="str">
        <f>TEXT(22,"00")</f>
        <v>22</v>
      </c>
      <c r="C7129" s="1" t="str">
        <f t="shared" si="458"/>
        <v>909-22</v>
      </c>
      <c r="D7129" t="s">
        <v>7101</v>
      </c>
      <c r="E7129" t="b">
        <f>IF(COUNTIF(D7129,"*"&amp;'Keyword Search'!$C$5&amp;"*"),TRUE,FALSE)</f>
        <v>1</v>
      </c>
      <c r="G7129" t="str">
        <f t="shared" si="459"/>
        <v>909-22: Building Construction, Non-Residential, Office Bldg., etc.</v>
      </c>
    </row>
    <row r="7130" spans="1:7" x14ac:dyDescent="0.25">
      <c r="A7130" s="1" t="str">
        <f t="shared" si="461"/>
        <v>909</v>
      </c>
      <c r="B7130" s="1" t="str">
        <f>TEXT(23,"00")</f>
        <v>23</v>
      </c>
      <c r="C7130" s="1" t="str">
        <f t="shared" si="458"/>
        <v>909-23</v>
      </c>
      <c r="D7130" t="s">
        <v>7102</v>
      </c>
      <c r="E7130" t="b">
        <f>IF(COUNTIF(D7130,"*"&amp;'Keyword Search'!$C$5&amp;"*"),TRUE,FALSE)</f>
        <v>1</v>
      </c>
      <c r="G7130" t="str">
        <f t="shared" si="459"/>
        <v>909-23: Building Construction, Residential, Apartments, etc.</v>
      </c>
    </row>
    <row r="7131" spans="1:7" x14ac:dyDescent="0.25">
      <c r="A7131" s="1" t="str">
        <f t="shared" si="461"/>
        <v>909</v>
      </c>
      <c r="B7131" s="1" t="str">
        <f>TEXT(24,"00")</f>
        <v>24</v>
      </c>
      <c r="C7131" s="1" t="str">
        <f t="shared" si="458"/>
        <v>909-24</v>
      </c>
      <c r="D7131" t="s">
        <v>7103</v>
      </c>
      <c r="E7131" t="b">
        <f>IF(COUNTIF(D7131,"*"&amp;'Keyword Search'!$C$5&amp;"*"),TRUE,FALSE)</f>
        <v>1</v>
      </c>
      <c r="G7131" t="str">
        <f t="shared" si="459"/>
        <v>909-24: Building Construction, Commercial and Institutional</v>
      </c>
    </row>
    <row r="7132" spans="1:7" x14ac:dyDescent="0.25">
      <c r="A7132" s="1" t="str">
        <f t="shared" si="461"/>
        <v>909</v>
      </c>
      <c r="B7132" s="1" t="str">
        <f>TEXT(25,"00")</f>
        <v>25</v>
      </c>
      <c r="C7132" s="1" t="str">
        <f t="shared" si="458"/>
        <v>909-25</v>
      </c>
      <c r="D7132" t="s">
        <v>7104</v>
      </c>
      <c r="E7132" t="b">
        <f>IF(COUNTIF(D7132,"*"&amp;'Keyword Search'!$C$5&amp;"*"),TRUE,FALSE)</f>
        <v>1</v>
      </c>
      <c r="G7132" t="str">
        <f t="shared" si="459"/>
        <v>909-25: Building Construction, Prefabricated, All Types</v>
      </c>
    </row>
    <row r="7133" spans="1:7" x14ac:dyDescent="0.25">
      <c r="A7133" s="1" t="str">
        <f t="shared" si="461"/>
        <v>909</v>
      </c>
      <c r="B7133" s="1" t="str">
        <f>TEXT(26,"00")</f>
        <v>26</v>
      </c>
      <c r="C7133" s="1" t="str">
        <f t="shared" si="458"/>
        <v>909-26</v>
      </c>
      <c r="D7133" t="s">
        <v>7105</v>
      </c>
      <c r="E7133" t="b">
        <f>IF(COUNTIF(D7133,"*"&amp;'Keyword Search'!$C$5&amp;"*"),TRUE,FALSE)</f>
        <v>1</v>
      </c>
      <c r="G7133" t="str">
        <f t="shared" si="459"/>
        <v>909-26: Building Construction, Agricultural</v>
      </c>
    </row>
    <row r="7134" spans="1:7" x14ac:dyDescent="0.25">
      <c r="A7134" s="1" t="str">
        <f t="shared" si="461"/>
        <v>909</v>
      </c>
      <c r="B7134" s="1" t="str">
        <f>TEXT(27,"00")</f>
        <v>27</v>
      </c>
      <c r="C7134" s="1" t="str">
        <f t="shared" si="458"/>
        <v>909-27</v>
      </c>
      <c r="D7134" t="s">
        <v>7106</v>
      </c>
      <c r="E7134" t="b">
        <f>IF(COUNTIF(D7134,"*"&amp;'Keyword Search'!$C$5&amp;"*"),TRUE,FALSE)</f>
        <v>1</v>
      </c>
      <c r="G7134" t="str">
        <f t="shared" si="459"/>
        <v>909-27: Building Construction, Educational</v>
      </c>
    </row>
    <row r="7135" spans="1:7" x14ac:dyDescent="0.25">
      <c r="A7135" s="1" t="str">
        <f t="shared" si="461"/>
        <v>909</v>
      </c>
      <c r="B7135" s="1" t="str">
        <f>TEXT(28,"00")</f>
        <v>28</v>
      </c>
      <c r="C7135" s="1" t="str">
        <f t="shared" si="458"/>
        <v>909-28</v>
      </c>
      <c r="D7135" t="s">
        <v>7107</v>
      </c>
      <c r="E7135" t="b">
        <f>IF(COUNTIF(D7135,"*"&amp;'Keyword Search'!$C$5&amp;"*"),TRUE,FALSE)</f>
        <v>1</v>
      </c>
      <c r="G7135" t="str">
        <f t="shared" si="459"/>
        <v>909-28: Building Construction, Medical</v>
      </c>
    </row>
    <row r="7136" spans="1:7" x14ac:dyDescent="0.25">
      <c r="A7136" s="1" t="str">
        <f t="shared" si="461"/>
        <v>909</v>
      </c>
      <c r="B7136" s="1" t="str">
        <f>TEXT(29,"00")</f>
        <v>29</v>
      </c>
      <c r="C7136" s="1" t="str">
        <f t="shared" si="458"/>
        <v>909-29</v>
      </c>
      <c r="D7136" t="s">
        <v>7108</v>
      </c>
      <c r="E7136" t="b">
        <f>IF(COUNTIF(D7136,"*"&amp;'Keyword Search'!$C$5&amp;"*"),TRUE,FALSE)</f>
        <v>1</v>
      </c>
      <c r="G7136" t="str">
        <f t="shared" si="459"/>
        <v>909-29: Building Construction, Religious</v>
      </c>
    </row>
    <row r="7137" spans="1:7" x14ac:dyDescent="0.25">
      <c r="A7137" s="1" t="str">
        <f t="shared" si="461"/>
        <v>909</v>
      </c>
      <c r="B7137" s="1" t="str">
        <f>TEXT(30,"00")</f>
        <v>30</v>
      </c>
      <c r="C7137" s="1" t="str">
        <f t="shared" si="458"/>
        <v>909-30</v>
      </c>
      <c r="D7137" t="s">
        <v>7109</v>
      </c>
      <c r="E7137" t="b">
        <f>IF(COUNTIF(D7137,"*"&amp;'Keyword Search'!$C$5&amp;"*"),TRUE,FALSE)</f>
        <v>1</v>
      </c>
      <c r="G7137" t="str">
        <f t="shared" si="459"/>
        <v>909-30: Building Construction, (Not Otherwise Classified)</v>
      </c>
    </row>
    <row r="7138" spans="1:7" x14ac:dyDescent="0.25">
      <c r="A7138" s="1" t="str">
        <f t="shared" si="461"/>
        <v>909</v>
      </c>
      <c r="B7138" s="1" t="str">
        <f>TEXT(31,"00")</f>
        <v>31</v>
      </c>
      <c r="C7138" s="1" t="str">
        <f t="shared" si="458"/>
        <v>909-31</v>
      </c>
      <c r="D7138" t="s">
        <v>7110</v>
      </c>
      <c r="E7138" t="b">
        <f>IF(COUNTIF(D7138,"*"&amp;'Keyword Search'!$C$5&amp;"*"),TRUE,FALSE)</f>
        <v>1</v>
      </c>
      <c r="G7138" t="str">
        <f t="shared" si="459"/>
        <v>909-31: Building Construction, Sustainable, Green</v>
      </c>
    </row>
    <row r="7139" spans="1:7" x14ac:dyDescent="0.25">
      <c r="A7139" s="1" t="str">
        <f t="shared" si="461"/>
        <v>909</v>
      </c>
      <c r="B7139" s="1" t="str">
        <f>TEXT(33,"00")</f>
        <v>33</v>
      </c>
      <c r="C7139" s="1" t="str">
        <f t="shared" si="458"/>
        <v>909-33</v>
      </c>
      <c r="D7139" t="s">
        <v>7111</v>
      </c>
      <c r="E7139" t="b">
        <f>IF(COUNTIF(D7139,"*"&amp;'Keyword Search'!$C$5&amp;"*"),TRUE,FALSE)</f>
        <v>1</v>
      </c>
      <c r="G7139" t="str">
        <f t="shared" si="459"/>
        <v>909-33: Contractor Compliance Monitoring Services</v>
      </c>
    </row>
    <row r="7140" spans="1:7" x14ac:dyDescent="0.25">
      <c r="A7140" s="1" t="str">
        <f t="shared" si="461"/>
        <v>909</v>
      </c>
      <c r="B7140" s="1" t="str">
        <f>TEXT(34,"00")</f>
        <v>34</v>
      </c>
      <c r="C7140" s="1" t="str">
        <f t="shared" si="458"/>
        <v>909-34</v>
      </c>
      <c r="D7140" t="s">
        <v>7112</v>
      </c>
      <c r="E7140" t="b">
        <f>IF(COUNTIF(D7140,"*"&amp;'Keyword Search'!$C$5&amp;"*"),TRUE,FALSE)</f>
        <v>1</v>
      </c>
      <c r="G7140" t="str">
        <f t="shared" si="459"/>
        <v>909-34: Conveying Systems: Elevators, Lifts, etc.</v>
      </c>
    </row>
    <row r="7141" spans="1:7" x14ac:dyDescent="0.25">
      <c r="A7141" s="1" t="str">
        <f t="shared" si="461"/>
        <v>909</v>
      </c>
      <c r="B7141" s="1" t="str">
        <f>TEXT(37,"00")</f>
        <v>37</v>
      </c>
      <c r="C7141" s="1" t="str">
        <f t="shared" si="458"/>
        <v>909-37</v>
      </c>
      <c r="D7141" t="s">
        <v>4338</v>
      </c>
      <c r="E7141" t="b">
        <f>IF(COUNTIF(D7141,"*"&amp;'Keyword Search'!$C$5&amp;"*"),TRUE,FALSE)</f>
        <v>1</v>
      </c>
      <c r="G7141" t="str">
        <f t="shared" si="459"/>
        <v>909-37: Doors and Windows</v>
      </c>
    </row>
    <row r="7142" spans="1:7" x14ac:dyDescent="0.25">
      <c r="A7142" s="1" t="str">
        <f t="shared" si="461"/>
        <v>909</v>
      </c>
      <c r="B7142" s="1" t="str">
        <f>TEXT(45,"00")</f>
        <v>45</v>
      </c>
      <c r="C7142" s="1" t="str">
        <f t="shared" si="458"/>
        <v>909-45</v>
      </c>
      <c r="D7142" t="s">
        <v>7113</v>
      </c>
      <c r="E7142" t="b">
        <f>IF(COUNTIF(D7142,"*"&amp;'Keyword Search'!$C$5&amp;"*"),TRUE,FALSE)</f>
        <v>1</v>
      </c>
      <c r="G7142" t="str">
        <f t="shared" si="459"/>
        <v>909-45: Finishes, Flooring, Wall and Ceiling, etc.</v>
      </c>
    </row>
    <row r="7143" spans="1:7" x14ac:dyDescent="0.25">
      <c r="A7143" s="1" t="str">
        <f t="shared" si="461"/>
        <v>909</v>
      </c>
      <c r="B7143" s="1" t="str">
        <f>TEXT(48,"00")</f>
        <v>48</v>
      </c>
      <c r="C7143" s="1" t="str">
        <f t="shared" si="458"/>
        <v>909-48</v>
      </c>
      <c r="D7143" t="s">
        <v>7114</v>
      </c>
      <c r="E7143" t="b">
        <f>IF(COUNTIF(D7143,"*"&amp;'Keyword Search'!$C$5&amp;"*"),TRUE,FALSE)</f>
        <v>1</v>
      </c>
      <c r="G7143" t="str">
        <f t="shared" si="459"/>
        <v>909-48: Furnishings: Artwork, Cabinets, Furniture, Window Treatments, etc.</v>
      </c>
    </row>
    <row r="7144" spans="1:7" x14ac:dyDescent="0.25">
      <c r="A7144" s="1" t="str">
        <f t="shared" si="461"/>
        <v>909</v>
      </c>
      <c r="B7144" s="1" t="str">
        <f>TEXT(54,"00")</f>
        <v>54</v>
      </c>
      <c r="C7144" s="1" t="str">
        <f t="shared" si="458"/>
        <v>909-54</v>
      </c>
      <c r="D7144" t="s">
        <v>7115</v>
      </c>
      <c r="E7144" t="b">
        <f>IF(COUNTIF(D7144,"*"&amp;'Keyword Search'!$C$5&amp;"*"),TRUE,FALSE)</f>
        <v>1</v>
      </c>
      <c r="G7144" t="str">
        <f t="shared" si="459"/>
        <v>909-54: Home Construction, Single Family</v>
      </c>
    </row>
    <row r="7145" spans="1:7" x14ac:dyDescent="0.25">
      <c r="A7145" s="1" t="str">
        <f t="shared" si="461"/>
        <v>909</v>
      </c>
      <c r="B7145" s="1" t="str">
        <f>TEXT(57,"00")</f>
        <v>57</v>
      </c>
      <c r="C7145" s="1" t="str">
        <f t="shared" si="458"/>
        <v>909-57</v>
      </c>
      <c r="D7145" t="s">
        <v>7116</v>
      </c>
      <c r="E7145" t="b">
        <f>IF(COUNTIF(D7145,"*"&amp;'Keyword Search'!$C$5&amp;"*"),TRUE,FALSE)</f>
        <v>1</v>
      </c>
      <c r="G7145" t="str">
        <f t="shared" si="459"/>
        <v>909-57: Land Development and Sub-Division Services</v>
      </c>
    </row>
    <row r="7146" spans="1:7" x14ac:dyDescent="0.25">
      <c r="A7146" s="1" t="str">
        <f t="shared" si="461"/>
        <v>909</v>
      </c>
      <c r="B7146" s="1" t="str">
        <f>TEXT(60,"00")</f>
        <v>60</v>
      </c>
      <c r="C7146" s="1" t="str">
        <f t="shared" si="458"/>
        <v>909-60</v>
      </c>
      <c r="D7146" t="s">
        <v>7117</v>
      </c>
      <c r="E7146" t="b">
        <f>IF(COUNTIF(D7146,"*"&amp;'Keyword Search'!$C$5&amp;"*"),TRUE,FALSE)</f>
        <v>1</v>
      </c>
      <c r="G7146" t="str">
        <f t="shared" si="459"/>
        <v>909-60: Maintenance and Repair, Industrial Building</v>
      </c>
    </row>
    <row r="7147" spans="1:7" x14ac:dyDescent="0.25">
      <c r="A7147" s="1" t="str">
        <f t="shared" si="461"/>
        <v>909</v>
      </c>
      <c r="B7147" s="1" t="str">
        <f>TEXT(61,"00")</f>
        <v>61</v>
      </c>
      <c r="C7147" s="1" t="str">
        <f t="shared" si="458"/>
        <v>909-61</v>
      </c>
      <c r="D7147" t="s">
        <v>7118</v>
      </c>
      <c r="E7147" t="b">
        <f>IF(COUNTIF(D7147,"*"&amp;'Keyword Search'!$C$5&amp;"*"),TRUE,FALSE)</f>
        <v>1</v>
      </c>
      <c r="G7147" t="str">
        <f t="shared" si="459"/>
        <v>909-61: Maintenance and Repair, Non-Residential Building</v>
      </c>
    </row>
    <row r="7148" spans="1:7" x14ac:dyDescent="0.25">
      <c r="A7148" s="1" t="str">
        <f t="shared" si="461"/>
        <v>909</v>
      </c>
      <c r="B7148" s="1" t="str">
        <f>TEXT(62,"00")</f>
        <v>62</v>
      </c>
      <c r="C7148" s="1" t="str">
        <f t="shared" si="458"/>
        <v>909-62</v>
      </c>
      <c r="D7148" t="s">
        <v>7119</v>
      </c>
      <c r="E7148" t="b">
        <f>IF(COUNTIF(D7148,"*"&amp;'Keyword Search'!$C$5&amp;"*"),TRUE,FALSE)</f>
        <v>1</v>
      </c>
      <c r="G7148" t="str">
        <f t="shared" si="459"/>
        <v>909-62: Maintenance and Repair, Residential Buildings, Including Single Family Homes and Apartments</v>
      </c>
    </row>
    <row r="7149" spans="1:7" x14ac:dyDescent="0.25">
      <c r="A7149" s="1" t="str">
        <f t="shared" si="461"/>
        <v>909</v>
      </c>
      <c r="B7149" s="1" t="str">
        <f>TEXT(63,"00")</f>
        <v>63</v>
      </c>
      <c r="C7149" s="1" t="str">
        <f t="shared" si="458"/>
        <v>909-63</v>
      </c>
      <c r="D7149" t="s">
        <v>7120</v>
      </c>
      <c r="E7149" t="b">
        <f>IF(COUNTIF(D7149,"*"&amp;'Keyword Search'!$C$5&amp;"*"),TRUE,FALSE)</f>
        <v>1</v>
      </c>
      <c r="G7149" t="str">
        <f t="shared" si="459"/>
        <v>909-63: Maintenance and Repair, Commercial and Institutional Building</v>
      </c>
    </row>
    <row r="7150" spans="1:7" x14ac:dyDescent="0.25">
      <c r="A7150" s="1" t="str">
        <f t="shared" si="461"/>
        <v>909</v>
      </c>
      <c r="B7150" s="1" t="str">
        <f>TEXT(64,"00")</f>
        <v>64</v>
      </c>
      <c r="C7150" s="1" t="str">
        <f t="shared" si="458"/>
        <v>909-64</v>
      </c>
      <c r="D7150" t="s">
        <v>7121</v>
      </c>
      <c r="E7150" t="b">
        <f>IF(COUNTIF(D7150,"*"&amp;'Keyword Search'!$C$5&amp;"*"),TRUE,FALSE)</f>
        <v>1</v>
      </c>
      <c r="G7150" t="str">
        <f t="shared" si="459"/>
        <v>909-64: Maintenance and Repair, Agricultural Building</v>
      </c>
    </row>
    <row r="7151" spans="1:7" x14ac:dyDescent="0.25">
      <c r="A7151" s="1" t="str">
        <f t="shared" si="461"/>
        <v>909</v>
      </c>
      <c r="B7151" s="1" t="str">
        <f>TEXT(66,"00")</f>
        <v>66</v>
      </c>
      <c r="C7151" s="1" t="str">
        <f t="shared" si="458"/>
        <v>909-66</v>
      </c>
      <c r="D7151" t="s">
        <v>7122</v>
      </c>
      <c r="E7151" t="b">
        <f>IF(COUNTIF(D7151,"*"&amp;'Keyword Search'!$C$5&amp;"*"),TRUE,FALSE)</f>
        <v>1</v>
      </c>
      <c r="G7151" t="str">
        <f t="shared" si="459"/>
        <v>909-66: Maintenance and Repair, Educational Building</v>
      </c>
    </row>
    <row r="7152" spans="1:7" x14ac:dyDescent="0.25">
      <c r="A7152" s="1" t="str">
        <f t="shared" si="461"/>
        <v>909</v>
      </c>
      <c r="B7152" s="1" t="str">
        <f>TEXT(67,"00")</f>
        <v>67</v>
      </c>
      <c r="C7152" s="1" t="str">
        <f t="shared" si="458"/>
        <v>909-67</v>
      </c>
      <c r="D7152" t="s">
        <v>7123</v>
      </c>
      <c r="E7152" t="b">
        <f>IF(COUNTIF(D7152,"*"&amp;'Keyword Search'!$C$5&amp;"*"),TRUE,FALSE)</f>
        <v>1</v>
      </c>
      <c r="G7152" t="str">
        <f t="shared" si="459"/>
        <v>909-67: Maintenance and Repair, Medical Building</v>
      </c>
    </row>
    <row r="7153" spans="1:7" x14ac:dyDescent="0.25">
      <c r="A7153" s="1" t="str">
        <f t="shared" si="461"/>
        <v>909</v>
      </c>
      <c r="B7153" s="1" t="str">
        <f>TEXT(68,"00")</f>
        <v>68</v>
      </c>
      <c r="C7153" s="1" t="str">
        <f t="shared" si="458"/>
        <v>909-68</v>
      </c>
      <c r="D7153" t="s">
        <v>7124</v>
      </c>
      <c r="E7153" t="b">
        <f>IF(COUNTIF(D7153,"*"&amp;'Keyword Search'!$C$5&amp;"*"),TRUE,FALSE)</f>
        <v>1</v>
      </c>
      <c r="G7153" t="str">
        <f t="shared" si="459"/>
        <v>909-68: Maintenance and Repair, Religious Building</v>
      </c>
    </row>
    <row r="7154" spans="1:7" x14ac:dyDescent="0.25">
      <c r="A7154" s="1" t="str">
        <f t="shared" si="461"/>
        <v>909</v>
      </c>
      <c r="B7154" s="1" t="str">
        <f>TEXT(74,"00")</f>
        <v>74</v>
      </c>
      <c r="C7154" s="1" t="str">
        <f t="shared" si="458"/>
        <v>909-74</v>
      </c>
      <c r="D7154" t="s">
        <v>7125</v>
      </c>
      <c r="E7154" t="b">
        <f>IF(COUNTIF(D7154,"*"&amp;'Keyword Search'!$C$5&amp;"*"),TRUE,FALSE)</f>
        <v>1</v>
      </c>
      <c r="G7154" t="str">
        <f t="shared" si="459"/>
        <v>909-74: Site Clean-up, Pre-Contruction</v>
      </c>
    </row>
    <row r="7155" spans="1:7" x14ac:dyDescent="0.25">
      <c r="A7155" s="1" t="str">
        <f t="shared" si="461"/>
        <v>909</v>
      </c>
      <c r="B7155" s="1" t="str">
        <f>TEXT(75,"00")</f>
        <v>75</v>
      </c>
      <c r="C7155" s="1" t="str">
        <f t="shared" si="458"/>
        <v>909-75</v>
      </c>
      <c r="D7155" t="s">
        <v>7126</v>
      </c>
      <c r="E7155" t="b">
        <f>IF(COUNTIF(D7155,"*"&amp;'Keyword Search'!$C$5&amp;"*"),TRUE,FALSE)</f>
        <v>1</v>
      </c>
      <c r="G7155" t="str">
        <f t="shared" si="459"/>
        <v>909-75: Site Clean-up, Post-Construction</v>
      </c>
    </row>
    <row r="7156" spans="1:7" x14ac:dyDescent="0.25">
      <c r="A7156" s="1" t="str">
        <f t="shared" si="461"/>
        <v>909</v>
      </c>
      <c r="B7156" s="1" t="str">
        <f>TEXT(76,"00")</f>
        <v>76</v>
      </c>
      <c r="C7156" s="1" t="str">
        <f t="shared" si="458"/>
        <v>909-76</v>
      </c>
      <c r="D7156" t="s">
        <v>7127</v>
      </c>
      <c r="E7156" t="b">
        <f>IF(COUNTIF(D7156,"*"&amp;'Keyword Search'!$C$5&amp;"*"),TRUE,FALSE)</f>
        <v>1</v>
      </c>
      <c r="G7156" t="str">
        <f t="shared" si="459"/>
        <v>909-76: Site Work</v>
      </c>
    </row>
    <row r="7157" spans="1:7" x14ac:dyDescent="0.25">
      <c r="A7157" s="1" t="str">
        <f t="shared" si="461"/>
        <v>909</v>
      </c>
      <c r="B7157" s="1" t="str">
        <f>TEXT(77,"00")</f>
        <v>77</v>
      </c>
      <c r="C7157" s="1" t="str">
        <f t="shared" si="458"/>
        <v>909-77</v>
      </c>
      <c r="D7157" t="s">
        <v>7128</v>
      </c>
      <c r="E7157" t="b">
        <f>IF(COUNTIF(D7157,"*"&amp;'Keyword Search'!$C$5&amp;"*"),TRUE,FALSE)</f>
        <v>1</v>
      </c>
      <c r="G7157" t="str">
        <f t="shared" si="459"/>
        <v>909-77: Special Construction: Observatory, Security, Special Rooms, etc.</v>
      </c>
    </row>
    <row r="7158" spans="1:7" x14ac:dyDescent="0.25">
      <c r="A7158" s="1" t="str">
        <f t="shared" si="461"/>
        <v>909</v>
      </c>
      <c r="B7158" s="1" t="str">
        <f>TEXT(79,"00")</f>
        <v>79</v>
      </c>
      <c r="C7158" s="1" t="str">
        <f t="shared" si="458"/>
        <v>909-79</v>
      </c>
      <c r="D7158" t="s">
        <v>7129</v>
      </c>
      <c r="E7158" t="b">
        <f>IF(COUNTIF(D7158,"*"&amp;'Keyword Search'!$C$5&amp;"*"),TRUE,FALSE)</f>
        <v>1</v>
      </c>
      <c r="G7158" t="str">
        <f t="shared" si="459"/>
        <v>909-79: Specialties: Chalkboards, Fireplace, Storage, etc.</v>
      </c>
    </row>
    <row r="7159" spans="1:7" x14ac:dyDescent="0.25">
      <c r="A7159" s="1" t="str">
        <f t="shared" si="461"/>
        <v>909</v>
      </c>
      <c r="B7159" s="1" t="str">
        <f>TEXT(80,"00")</f>
        <v>80</v>
      </c>
      <c r="C7159" s="1" t="str">
        <f t="shared" si="458"/>
        <v>909-80</v>
      </c>
      <c r="D7159" t="s">
        <v>7130</v>
      </c>
      <c r="E7159" t="b">
        <f>IF(COUNTIF(D7159,"*"&amp;'Keyword Search'!$C$5&amp;"*"),TRUE,FALSE)</f>
        <v>1</v>
      </c>
      <c r="G7159" t="str">
        <f t="shared" si="459"/>
        <v>909-80: Special Equipment: Bank Vaults, Darkrooms, etc.</v>
      </c>
    </row>
    <row r="7160" spans="1:7" x14ac:dyDescent="0.25">
      <c r="A7160" s="1" t="str">
        <f t="shared" si="461"/>
        <v>909</v>
      </c>
      <c r="B7160" s="1" t="str">
        <f>TEXT(84,"00")</f>
        <v>84</v>
      </c>
      <c r="C7160" s="1" t="str">
        <f t="shared" si="458"/>
        <v>909-84</v>
      </c>
      <c r="D7160" t="s">
        <v>7131</v>
      </c>
      <c r="E7160" t="b">
        <f>IF(COUNTIF(D7160,"*"&amp;'Keyword Search'!$C$5&amp;"*"),TRUE,FALSE)</f>
        <v>1</v>
      </c>
      <c r="G7160" t="str">
        <f t="shared" si="459"/>
        <v>909-84: Thermal and Moisture Protection Services</v>
      </c>
    </row>
    <row r="7161" spans="1:7" x14ac:dyDescent="0.25">
      <c r="A7161" s="5" t="str">
        <f t="shared" ref="A7161:A7224" si="462">TEXT(910,"000")</f>
        <v>910</v>
      </c>
      <c r="B7161" s="5" t="str">
        <f>TEXT(0,"00")</f>
        <v>00</v>
      </c>
      <c r="C7161" s="1"/>
      <c r="D7161" s="2" t="s">
        <v>7132</v>
      </c>
    </row>
    <row r="7162" spans="1:7" x14ac:dyDescent="0.25">
      <c r="A7162" s="1" t="str">
        <f t="shared" si="462"/>
        <v>910</v>
      </c>
      <c r="B7162" s="1" t="str">
        <f>TEXT(1,"00")</f>
        <v>01</v>
      </c>
      <c r="C7162" s="1" t="str">
        <f t="shared" si="458"/>
        <v>910-01</v>
      </c>
      <c r="D7162" t="s">
        <v>7133</v>
      </c>
      <c r="E7162" t="b">
        <f>IF(COUNTIF(D7162,"*"&amp;'Keyword Search'!$C$5&amp;"*"),TRUE,FALSE)</f>
        <v>1</v>
      </c>
      <c r="G7162" t="str">
        <f t="shared" si="459"/>
        <v>910-01: Acoustical Ceilings and Walls: Cleaning, Installation, Restoration, Maintenance and Repair Services, Including Panel Wall Systems</v>
      </c>
    </row>
    <row r="7163" spans="1:7" x14ac:dyDescent="0.25">
      <c r="A7163" s="1" t="str">
        <f t="shared" si="462"/>
        <v>910</v>
      </c>
      <c r="B7163" s="1" t="str">
        <f>TEXT(2,"00")</f>
        <v>02</v>
      </c>
      <c r="C7163" s="1" t="str">
        <f t="shared" si="458"/>
        <v>910-02</v>
      </c>
      <c r="D7163" t="s">
        <v>7134</v>
      </c>
      <c r="E7163" t="b">
        <f>IF(COUNTIF(D7163,"*"&amp;'Keyword Search'!$C$5&amp;"*"),TRUE,FALSE)</f>
        <v>1</v>
      </c>
      <c r="G7163" t="str">
        <f t="shared" si="459"/>
        <v>910-02: Background Music Maintenance and Repair Services</v>
      </c>
    </row>
    <row r="7164" spans="1:7" x14ac:dyDescent="0.25">
      <c r="A7164" s="1" t="str">
        <f t="shared" si="462"/>
        <v>910</v>
      </c>
      <c r="B7164" s="1" t="str">
        <f>TEXT(3,"00")</f>
        <v>03</v>
      </c>
      <c r="C7164" s="1" t="str">
        <f t="shared" si="458"/>
        <v>910-03</v>
      </c>
      <c r="D7164" t="s">
        <v>7135</v>
      </c>
      <c r="E7164" t="b">
        <f>IF(COUNTIF(D7164,"*"&amp;'Keyword Search'!$C$5&amp;"*"),TRUE,FALSE)</f>
        <v>1</v>
      </c>
      <c r="G7164" t="str">
        <f t="shared" si="459"/>
        <v>910-03: Building Cleaning Services, Exterior</v>
      </c>
    </row>
    <row r="7165" spans="1:7" x14ac:dyDescent="0.25">
      <c r="A7165" s="1" t="str">
        <f t="shared" si="462"/>
        <v>910</v>
      </c>
      <c r="B7165" s="1" t="str">
        <f>TEXT(4,"00")</f>
        <v>04</v>
      </c>
      <c r="C7165" s="1" t="str">
        <f t="shared" si="458"/>
        <v>910-04</v>
      </c>
      <c r="D7165" t="s">
        <v>7136</v>
      </c>
      <c r="E7165" t="b">
        <f>IF(COUNTIF(D7165,"*"&amp;'Keyword Search'!$C$5&amp;"*"),TRUE,FALSE)</f>
        <v>1</v>
      </c>
      <c r="G7165" t="str">
        <f t="shared" si="459"/>
        <v>910-04: Air Duct Cleaning Services</v>
      </c>
    </row>
    <row r="7166" spans="1:7" x14ac:dyDescent="0.25">
      <c r="A7166" s="1" t="str">
        <f t="shared" si="462"/>
        <v>910</v>
      </c>
      <c r="B7166" s="1" t="str">
        <f>TEXT(5,"00")</f>
        <v>05</v>
      </c>
      <c r="C7166" s="1" t="str">
        <f t="shared" si="458"/>
        <v>910-05</v>
      </c>
      <c r="D7166" t="s">
        <v>7137</v>
      </c>
      <c r="E7166" t="b">
        <f>IF(COUNTIF(D7166,"*"&amp;'Keyword Search'!$C$5&amp;"*"),TRUE,FALSE)</f>
        <v>1</v>
      </c>
      <c r="G7166" t="str">
        <f t="shared" si="459"/>
        <v>910-05: Building and House Leveling Services</v>
      </c>
    </row>
    <row r="7167" spans="1:7" x14ac:dyDescent="0.25">
      <c r="A7167" s="1" t="str">
        <f t="shared" si="462"/>
        <v>910</v>
      </c>
      <c r="B7167" s="1" t="str">
        <f>TEXT(6,"00")</f>
        <v>06</v>
      </c>
      <c r="C7167" s="1" t="str">
        <f t="shared" si="458"/>
        <v>910-06</v>
      </c>
      <c r="D7167" t="s">
        <v>7138</v>
      </c>
      <c r="E7167" t="b">
        <f>IF(COUNTIF(D7167,"*"&amp;'Keyword Search'!$C$5&amp;"*"),TRUE,FALSE)</f>
        <v>1</v>
      </c>
      <c r="G7167" t="str">
        <f t="shared" si="459"/>
        <v>910-06: Carpentry Maintenance and Repair Services</v>
      </c>
    </row>
    <row r="7168" spans="1:7" x14ac:dyDescent="0.25">
      <c r="A7168" s="1" t="str">
        <f t="shared" si="462"/>
        <v>910</v>
      </c>
      <c r="B7168" s="1" t="str">
        <f>TEXT(7,"00")</f>
        <v>07</v>
      </c>
      <c r="C7168" s="1" t="str">
        <f t="shared" si="458"/>
        <v>910-07</v>
      </c>
      <c r="D7168" t="s">
        <v>7139</v>
      </c>
      <c r="E7168" t="b">
        <f>IF(COUNTIF(D7168,"*"&amp;'Keyword Search'!$C$5&amp;"*"),TRUE,FALSE)</f>
        <v>1</v>
      </c>
      <c r="G7168" t="str">
        <f t="shared" si="459"/>
        <v>910-07: Chute Installation Services</v>
      </c>
    </row>
    <row r="7169" spans="1:7" x14ac:dyDescent="0.25">
      <c r="A7169" s="1" t="str">
        <f t="shared" si="462"/>
        <v>910</v>
      </c>
      <c r="B7169" s="1" t="str">
        <f>TEXT(8,"00")</f>
        <v>08</v>
      </c>
      <c r="C7169" s="1" t="str">
        <f t="shared" si="458"/>
        <v>910-08</v>
      </c>
      <c r="D7169" t="s">
        <v>7140</v>
      </c>
      <c r="E7169" t="b">
        <f>IF(COUNTIF(D7169,"*"&amp;'Keyword Search'!$C$5&amp;"*"),TRUE,FALSE)</f>
        <v>1</v>
      </c>
      <c r="G7169" t="str">
        <f t="shared" si="459"/>
        <v>910-08: Concrete Raising and Undersealing Services</v>
      </c>
    </row>
    <row r="7170" spans="1:7" x14ac:dyDescent="0.25">
      <c r="A7170" s="1" t="str">
        <f t="shared" si="462"/>
        <v>910</v>
      </c>
      <c r="B7170" s="1" t="str">
        <f>TEXT(9,"00")</f>
        <v>09</v>
      </c>
      <c r="C7170" s="1" t="str">
        <f t="shared" si="458"/>
        <v>910-09</v>
      </c>
      <c r="D7170" t="s">
        <v>7141</v>
      </c>
      <c r="E7170" t="b">
        <f>IF(COUNTIF(D7170,"*"&amp;'Keyword Search'!$C$5&amp;"*"),TRUE,FALSE)</f>
        <v>1</v>
      </c>
      <c r="G7170" t="str">
        <f t="shared" si="459"/>
        <v>910-09: Carpet Cleaning, Dyeing, Installation and Repair Services</v>
      </c>
    </row>
    <row r="7171" spans="1:7" x14ac:dyDescent="0.25">
      <c r="A7171" s="1" t="str">
        <f t="shared" si="462"/>
        <v>910</v>
      </c>
      <c r="B7171" s="1" t="str">
        <f>TEXT(10,"00")</f>
        <v>10</v>
      </c>
      <c r="C7171" s="1" t="str">
        <f t="shared" ref="C7171:C7234" si="463">CONCATENATE(A7171,"-",B7171)</f>
        <v>910-10</v>
      </c>
      <c r="D7171" t="s">
        <v>7142</v>
      </c>
      <c r="E7171" t="b">
        <f>IF(COUNTIF(D7171,"*"&amp;'Keyword Search'!$C$5&amp;"*"),TRUE,FALSE)</f>
        <v>1</v>
      </c>
      <c r="G7171" t="str">
        <f t="shared" si="459"/>
        <v>910-10: Chimney Installation, Maintenance and Repair Services</v>
      </c>
    </row>
    <row r="7172" spans="1:7" x14ac:dyDescent="0.25">
      <c r="A7172" s="1" t="str">
        <f t="shared" si="462"/>
        <v>910</v>
      </c>
      <c r="B7172" s="1" t="str">
        <f>TEXT(11,"00")</f>
        <v>11</v>
      </c>
      <c r="C7172" s="1" t="str">
        <f t="shared" si="463"/>
        <v>910-11</v>
      </c>
      <c r="D7172" t="s">
        <v>7143</v>
      </c>
      <c r="E7172" t="b">
        <f>IF(COUNTIF(D7172,"*"&amp;'Keyword Search'!$C$5&amp;"*"),TRUE,FALSE)</f>
        <v>1</v>
      </c>
      <c r="G7172" t="str">
        <f t="shared" ref="G7172:G7235" si="464">CONCATENATE(C7172,": ",D7172)</f>
        <v>910-11: Drapery and Curtain Installation, Maintenance and Repair Services</v>
      </c>
    </row>
    <row r="7173" spans="1:7" x14ac:dyDescent="0.25">
      <c r="A7173" s="1" t="str">
        <f t="shared" si="462"/>
        <v>910</v>
      </c>
      <c r="B7173" s="1" t="str">
        <f>TEXT(12,"00")</f>
        <v>12</v>
      </c>
      <c r="C7173" s="1" t="str">
        <f t="shared" si="463"/>
        <v>910-12</v>
      </c>
      <c r="D7173" t="s">
        <v>7144</v>
      </c>
      <c r="E7173" t="b">
        <f>IF(COUNTIF(D7173,"*"&amp;'Keyword Search'!$C$5&amp;"*"),TRUE,FALSE)</f>
        <v>1</v>
      </c>
      <c r="G7173" t="str">
        <f t="shared" si="464"/>
        <v>910-12: Drapery and Curtain Fabrication Services</v>
      </c>
    </row>
    <row r="7174" spans="1:7" x14ac:dyDescent="0.25">
      <c r="A7174" s="1" t="str">
        <f t="shared" si="462"/>
        <v>910</v>
      </c>
      <c r="B7174" s="1" t="str">
        <f>TEXT(13,"00")</f>
        <v>13</v>
      </c>
      <c r="C7174" s="1" t="str">
        <f t="shared" si="463"/>
        <v>910-13</v>
      </c>
      <c r="D7174" t="s">
        <v>7145</v>
      </c>
      <c r="E7174" t="b">
        <f>IF(COUNTIF(D7174,"*"&amp;'Keyword Search'!$C$5&amp;"*"),TRUE,FALSE)</f>
        <v>1</v>
      </c>
      <c r="G7174" t="str">
        <f t="shared" si="464"/>
        <v>910-13: Elevator Installation, Maintenance, Repair and Inspection Services</v>
      </c>
    </row>
    <row r="7175" spans="1:7" x14ac:dyDescent="0.25">
      <c r="A7175" s="1" t="str">
        <f t="shared" si="462"/>
        <v>910</v>
      </c>
      <c r="B7175" s="1" t="str">
        <f>TEXT(14,"00")</f>
        <v>14</v>
      </c>
      <c r="C7175" s="1" t="str">
        <f t="shared" si="463"/>
        <v>910-14</v>
      </c>
      <c r="D7175" t="s">
        <v>7146</v>
      </c>
      <c r="E7175" t="b">
        <f>IF(COUNTIF(D7175,"*"&amp;'Keyword Search'!$C$5&amp;"*"),TRUE,FALSE)</f>
        <v>1</v>
      </c>
      <c r="G7175" t="str">
        <f t="shared" si="464"/>
        <v>910-14: Door Installation, Metal, Maintenance and Repair Services</v>
      </c>
    </row>
    <row r="7176" spans="1:7" x14ac:dyDescent="0.25">
      <c r="A7176" s="1" t="str">
        <f t="shared" si="462"/>
        <v>910</v>
      </c>
      <c r="B7176" s="1" t="str">
        <f>TEXT(15,"00")</f>
        <v>15</v>
      </c>
      <c r="C7176" s="1" t="str">
        <f t="shared" si="463"/>
        <v>910-15</v>
      </c>
      <c r="D7176" t="s">
        <v>7147</v>
      </c>
      <c r="E7176" t="b">
        <f>IF(COUNTIF(D7176,"*"&amp;'Keyword Search'!$C$5&amp;"*"),TRUE,FALSE)</f>
        <v>1</v>
      </c>
      <c r="G7176" t="str">
        <f t="shared" si="464"/>
        <v>910-15: Door Installation, Wood, Maintenance and Repair Services</v>
      </c>
    </row>
    <row r="7177" spans="1:7" x14ac:dyDescent="0.25">
      <c r="A7177" s="1" t="str">
        <f t="shared" si="462"/>
        <v>910</v>
      </c>
      <c r="B7177" s="1" t="str">
        <f>TEXT(16,"00")</f>
        <v>16</v>
      </c>
      <c r="C7177" s="1" t="str">
        <f t="shared" si="463"/>
        <v>910-16</v>
      </c>
      <c r="D7177" t="s">
        <v>7148</v>
      </c>
      <c r="E7177" t="b">
        <f>IF(COUNTIF(D7177,"*"&amp;'Keyword Search'!$C$5&amp;"*"),TRUE,FALSE)</f>
        <v>1</v>
      </c>
      <c r="G7177" t="str">
        <f t="shared" si="464"/>
        <v>910-16: Energy Conservation Services, Including Audits</v>
      </c>
    </row>
    <row r="7178" spans="1:7" x14ac:dyDescent="0.25">
      <c r="A7178" s="1" t="str">
        <f t="shared" si="462"/>
        <v>910</v>
      </c>
      <c r="B7178" s="1" t="str">
        <f>TEXT(17,"00")</f>
        <v>17</v>
      </c>
      <c r="C7178" s="1" t="str">
        <f t="shared" si="463"/>
        <v>910-17</v>
      </c>
      <c r="D7178" t="s">
        <v>7149</v>
      </c>
      <c r="E7178" t="b">
        <f>IF(COUNTIF(D7178,"*"&amp;'Keyword Search'!$C$5&amp;"*"),TRUE,FALSE)</f>
        <v>1</v>
      </c>
      <c r="G7178" t="str">
        <f t="shared" si="464"/>
        <v>910-17: Energy Computerized Control System, HVAC, Lighting, Utilities, etc., Installation, Maintenance and Repair Services</v>
      </c>
    </row>
    <row r="7179" spans="1:7" x14ac:dyDescent="0.25">
      <c r="A7179" s="1" t="str">
        <f t="shared" si="462"/>
        <v>910</v>
      </c>
      <c r="B7179" s="1" t="str">
        <f>TEXT(18,"00")</f>
        <v>18</v>
      </c>
      <c r="C7179" s="1" t="str">
        <f t="shared" si="463"/>
        <v>910-18</v>
      </c>
      <c r="D7179" t="s">
        <v>7150</v>
      </c>
      <c r="E7179" t="b">
        <f>IF(COUNTIF(D7179,"*"&amp;'Keyword Search'!$C$5&amp;"*"),TRUE,FALSE)</f>
        <v>1</v>
      </c>
      <c r="G7179" t="str">
        <f t="shared" si="464"/>
        <v>910-18: Energy Systems, Solar, Installation Services (Inactive, please see commodity code 939-38 effective January 1, 2016)</v>
      </c>
    </row>
    <row r="7180" spans="1:7" x14ac:dyDescent="0.25">
      <c r="A7180" s="1" t="str">
        <f t="shared" si="462"/>
        <v>910</v>
      </c>
      <c r="B7180" s="1" t="str">
        <f>TEXT(20,"00")</f>
        <v>20</v>
      </c>
      <c r="C7180" s="1" t="str">
        <f t="shared" si="463"/>
        <v>910-20</v>
      </c>
      <c r="D7180" t="s">
        <v>7151</v>
      </c>
      <c r="E7180" t="b">
        <f>IF(COUNTIF(D7180,"*"&amp;'Keyword Search'!$C$5&amp;"*"),TRUE,FALSE)</f>
        <v>1</v>
      </c>
      <c r="G7180" t="str">
        <f t="shared" si="464"/>
        <v>910-20: Escalator and Moving Walkway, Installation, Maintenance and Repair Services</v>
      </c>
    </row>
    <row r="7181" spans="1:7" x14ac:dyDescent="0.25">
      <c r="A7181" s="1" t="str">
        <f t="shared" si="462"/>
        <v>910</v>
      </c>
      <c r="B7181" s="1" t="str">
        <f>TEXT(22,"00")</f>
        <v>22</v>
      </c>
      <c r="C7181" s="1" t="str">
        <f t="shared" si="463"/>
        <v>910-22</v>
      </c>
      <c r="D7181" t="s">
        <v>7152</v>
      </c>
      <c r="E7181" t="b">
        <f>IF(COUNTIF(D7181,"*"&amp;'Keyword Search'!$C$5&amp;"*"),TRUE,FALSE)</f>
        <v>1</v>
      </c>
      <c r="G7181" t="str">
        <f t="shared" si="464"/>
        <v>910-22: Fireproofing Services, Spray-On Type</v>
      </c>
    </row>
    <row r="7182" spans="1:7" x14ac:dyDescent="0.25">
      <c r="A7182" s="1" t="str">
        <f t="shared" si="462"/>
        <v>910</v>
      </c>
      <c r="B7182" s="1" t="str">
        <f>TEXT(23,"00")</f>
        <v>23</v>
      </c>
      <c r="C7182" s="1" t="str">
        <f t="shared" si="463"/>
        <v>910-23</v>
      </c>
      <c r="D7182" t="s">
        <v>7153</v>
      </c>
      <c r="E7182" t="b">
        <f>IF(COUNTIF(D7182,"*"&amp;'Keyword Search'!$C$5&amp;"*"),TRUE,FALSE)</f>
        <v>1</v>
      </c>
      <c r="G7182" t="str">
        <f t="shared" si="464"/>
        <v>910-23: Firestop Systems, Including Installation and Fireproofing Services</v>
      </c>
    </row>
    <row r="7183" spans="1:7" x14ac:dyDescent="0.25">
      <c r="A7183" s="1" t="str">
        <f t="shared" si="462"/>
        <v>910</v>
      </c>
      <c r="B7183" s="1" t="str">
        <f>TEXT(24,"00")</f>
        <v>24</v>
      </c>
      <c r="C7183" s="1" t="str">
        <f t="shared" si="463"/>
        <v>910-24</v>
      </c>
      <c r="D7183" t="s">
        <v>7154</v>
      </c>
      <c r="E7183" t="b">
        <f>IF(COUNTIF(D7183,"*"&amp;'Keyword Search'!$C$5&amp;"*"),TRUE,FALSE)</f>
        <v>1</v>
      </c>
      <c r="G7183" t="str">
        <f t="shared" si="464"/>
        <v>910-24: Fire and or Water Damage Restoration Services</v>
      </c>
    </row>
    <row r="7184" spans="1:7" x14ac:dyDescent="0.25">
      <c r="A7184" s="1" t="str">
        <f t="shared" si="462"/>
        <v>910</v>
      </c>
      <c r="B7184" s="1" t="str">
        <f>TEXT(25,"00")</f>
        <v>25</v>
      </c>
      <c r="C7184" s="1" t="str">
        <f t="shared" si="463"/>
        <v>910-25</v>
      </c>
      <c r="D7184" t="s">
        <v>7155</v>
      </c>
      <c r="E7184" t="b">
        <f>IF(COUNTIF(D7184,"*"&amp;'Keyword Search'!$C$5&amp;"*"),TRUE,FALSE)</f>
        <v>1</v>
      </c>
      <c r="G7184" t="str">
        <f t="shared" si="464"/>
        <v>910-25: Flooring Maintenance and Repair, Including Refinishing and Sealing Services</v>
      </c>
    </row>
    <row r="7185" spans="1:7" x14ac:dyDescent="0.25">
      <c r="A7185" s="1" t="str">
        <f t="shared" si="462"/>
        <v>910</v>
      </c>
      <c r="B7185" s="1" t="str">
        <f>TEXT(26,"00")</f>
        <v>26</v>
      </c>
      <c r="C7185" s="1" t="str">
        <f t="shared" si="463"/>
        <v>910-26</v>
      </c>
      <c r="D7185" t="s">
        <v>7156</v>
      </c>
      <c r="E7185" t="b">
        <f>IF(COUNTIF(D7185,"*"&amp;'Keyword Search'!$C$5&amp;"*"),TRUE,FALSE)</f>
        <v>1</v>
      </c>
      <c r="G7185" t="str">
        <f t="shared" si="464"/>
        <v>910-26: Furnace Maintenance and Repair Services</v>
      </c>
    </row>
    <row r="7186" spans="1:7" x14ac:dyDescent="0.25">
      <c r="A7186" s="1" t="str">
        <f t="shared" si="462"/>
        <v>910</v>
      </c>
      <c r="B7186" s="1" t="str">
        <f>TEXT(27,"00")</f>
        <v>27</v>
      </c>
      <c r="C7186" s="1" t="str">
        <f t="shared" si="463"/>
        <v>910-27</v>
      </c>
      <c r="D7186" t="s">
        <v>7157</v>
      </c>
      <c r="E7186" t="b">
        <f>IF(COUNTIF(D7186,"*"&amp;'Keyword Search'!$C$5&amp;"*"),TRUE,FALSE)</f>
        <v>1</v>
      </c>
      <c r="G7186" t="str">
        <f t="shared" si="464"/>
        <v>910-27: Garbage and Trash Removal, Disposal and or Treatment Services</v>
      </c>
    </row>
    <row r="7187" spans="1:7" x14ac:dyDescent="0.25">
      <c r="A7187" s="1" t="str">
        <f t="shared" si="462"/>
        <v>910</v>
      </c>
      <c r="B7187" s="1" t="str">
        <f>TEXT(30,"00")</f>
        <v>30</v>
      </c>
      <c r="C7187" s="1" t="str">
        <f t="shared" si="463"/>
        <v>910-30</v>
      </c>
      <c r="D7187" t="s">
        <v>7158</v>
      </c>
      <c r="E7187" t="b">
        <f>IF(COUNTIF(D7187,"*"&amp;'Keyword Search'!$C$5&amp;"*"),TRUE,FALSE)</f>
        <v>1</v>
      </c>
      <c r="G7187" t="str">
        <f t="shared" si="464"/>
        <v>910-30: Glass Replacement, Maintenance and Repair Services</v>
      </c>
    </row>
    <row r="7188" spans="1:7" x14ac:dyDescent="0.25">
      <c r="A7188" s="1" t="str">
        <f t="shared" si="462"/>
        <v>910</v>
      </c>
      <c r="B7188" s="1" t="str">
        <f>TEXT(36,"00")</f>
        <v>36</v>
      </c>
      <c r="C7188" s="1" t="str">
        <f t="shared" si="463"/>
        <v>910-36</v>
      </c>
      <c r="D7188" t="s">
        <v>7159</v>
      </c>
      <c r="E7188" t="b">
        <f>IF(COUNTIF(D7188,"*"&amp;'Keyword Search'!$C$5&amp;"*"),TRUE,FALSE)</f>
        <v>1</v>
      </c>
      <c r="G7188" t="str">
        <f t="shared" si="464"/>
        <v>910-36: Heating, Air Conditioning, and Ventilation Maintenance, Repair and Installation Services</v>
      </c>
    </row>
    <row r="7189" spans="1:7" x14ac:dyDescent="0.25">
      <c r="A7189" s="1" t="str">
        <f t="shared" si="462"/>
        <v>910</v>
      </c>
      <c r="B7189" s="1" t="str">
        <f>TEXT(37,"00")</f>
        <v>37</v>
      </c>
      <c r="C7189" s="1" t="str">
        <f t="shared" si="463"/>
        <v>910-37</v>
      </c>
      <c r="D7189" t="s">
        <v>7160</v>
      </c>
      <c r="E7189" t="b">
        <f>IF(COUNTIF(D7189,"*"&amp;'Keyword Search'!$C$5&amp;"*"),TRUE,FALSE)</f>
        <v>1</v>
      </c>
      <c r="G7189" t="str">
        <f t="shared" si="464"/>
        <v>910-37: Incinerator Maintenance and Repair Services</v>
      </c>
    </row>
    <row r="7190" spans="1:7" x14ac:dyDescent="0.25">
      <c r="A7190" s="1" t="str">
        <f t="shared" si="462"/>
        <v>910</v>
      </c>
      <c r="B7190" s="1" t="str">
        <f>TEXT(38,"00")</f>
        <v>38</v>
      </c>
      <c r="C7190" s="1" t="str">
        <f t="shared" si="463"/>
        <v>910-38</v>
      </c>
      <c r="D7190" t="s">
        <v>7161</v>
      </c>
      <c r="E7190" t="b">
        <f>IF(COUNTIF(D7190,"*"&amp;'Keyword Search'!$C$5&amp;"*"),TRUE,FALSE)</f>
        <v>1</v>
      </c>
      <c r="G7190" t="str">
        <f t="shared" si="464"/>
        <v>910-38: Insulation and Asbestos Installation, Maintenance, Repair and Removal Services, Including Spray-On Insulation</v>
      </c>
    </row>
    <row r="7191" spans="1:7" x14ac:dyDescent="0.25">
      <c r="A7191" s="1" t="str">
        <f t="shared" si="462"/>
        <v>910</v>
      </c>
      <c r="B7191" s="1" t="str">
        <f>TEXT(39,"00")</f>
        <v>39</v>
      </c>
      <c r="C7191" s="1" t="str">
        <f t="shared" si="463"/>
        <v>910-39</v>
      </c>
      <c r="D7191" t="s">
        <v>7162</v>
      </c>
      <c r="E7191" t="b">
        <f>IF(COUNTIF(D7191,"*"&amp;'Keyword Search'!$C$5&amp;"*"),TRUE,FALSE)</f>
        <v>1</v>
      </c>
      <c r="G7191" t="str">
        <f t="shared" si="464"/>
        <v>910-39: Janitorial and Custodial Services</v>
      </c>
    </row>
    <row r="7192" spans="1:7" x14ac:dyDescent="0.25">
      <c r="A7192" s="1" t="str">
        <f t="shared" si="462"/>
        <v>910</v>
      </c>
      <c r="B7192" s="1" t="str">
        <f>TEXT(40,"00")</f>
        <v>40</v>
      </c>
      <c r="C7192" s="1" t="str">
        <f t="shared" si="463"/>
        <v>910-40</v>
      </c>
      <c r="D7192" t="s">
        <v>7163</v>
      </c>
      <c r="E7192" t="b">
        <f>IF(COUNTIF(D7192,"*"&amp;'Keyword Search'!$C$5&amp;"*"),TRUE,FALSE)</f>
        <v>1</v>
      </c>
      <c r="G7192" t="str">
        <f t="shared" si="464"/>
        <v>910-40: Inspection, Monitoring of Insulation and Asbestos Installation and Removal Services</v>
      </c>
    </row>
    <row r="7193" spans="1:7" x14ac:dyDescent="0.25">
      <c r="A7193" s="1" t="str">
        <f t="shared" si="462"/>
        <v>910</v>
      </c>
      <c r="B7193" s="1" t="str">
        <f>TEXT(42,"00")</f>
        <v>42</v>
      </c>
      <c r="C7193" s="1" t="str">
        <f t="shared" si="463"/>
        <v>910-42</v>
      </c>
      <c r="D7193" t="s">
        <v>7164</v>
      </c>
      <c r="E7193" t="b">
        <f>IF(COUNTIF(D7193,"*"&amp;'Keyword Search'!$C$5&amp;"*"),TRUE,FALSE)</f>
        <v>1</v>
      </c>
      <c r="G7193" t="str">
        <f t="shared" si="464"/>
        <v>910-42: Kitchen and Bathroom Fixture Repair Services, Not Plumbing: Bathtubs, Sinks, Cabinets, Counter Tops, etc.</v>
      </c>
    </row>
    <row r="7194" spans="1:7" x14ac:dyDescent="0.25">
      <c r="A7194" s="1" t="str">
        <f t="shared" si="462"/>
        <v>910</v>
      </c>
      <c r="B7194" s="1" t="str">
        <f>TEXT(45,"00")</f>
        <v>45</v>
      </c>
      <c r="C7194" s="1" t="str">
        <f t="shared" si="463"/>
        <v>910-45</v>
      </c>
      <c r="D7194" t="s">
        <v>7165</v>
      </c>
      <c r="E7194" t="b">
        <f>IF(COUNTIF(D7194,"*"&amp;'Keyword Search'!$C$5&amp;"*"),TRUE,FALSE)</f>
        <v>1</v>
      </c>
      <c r="G7194" t="str">
        <f t="shared" si="464"/>
        <v>910-45: Lathing and Plastering Maintenance and Repair Services</v>
      </c>
    </row>
    <row r="7195" spans="1:7" x14ac:dyDescent="0.25">
      <c r="A7195" s="1" t="str">
        <f t="shared" si="462"/>
        <v>910</v>
      </c>
      <c r="B7195" s="1" t="str">
        <f>TEXT(46,"00")</f>
        <v>46</v>
      </c>
      <c r="C7195" s="1" t="str">
        <f t="shared" si="463"/>
        <v>910-46</v>
      </c>
      <c r="D7195" t="s">
        <v>7166</v>
      </c>
      <c r="E7195" t="b">
        <f>IF(COUNTIF(D7195,"*"&amp;'Keyword Search'!$C$5&amp;"*"),TRUE,FALSE)</f>
        <v>1</v>
      </c>
      <c r="G7195" t="str">
        <f t="shared" si="464"/>
        <v>910-46: Lead Poisoning Control and Reduction</v>
      </c>
    </row>
    <row r="7196" spans="1:7" x14ac:dyDescent="0.25">
      <c r="A7196" s="1" t="str">
        <f t="shared" si="462"/>
        <v>910</v>
      </c>
      <c r="B7196" s="1" t="str">
        <f>TEXT(47,"00")</f>
        <v>47</v>
      </c>
      <c r="C7196" s="1" t="str">
        <f t="shared" si="463"/>
        <v>910-47</v>
      </c>
      <c r="D7196" t="s">
        <v>7167</v>
      </c>
      <c r="E7196" t="b">
        <f>IF(COUNTIF(D7196,"*"&amp;'Keyword Search'!$C$5&amp;"*"),TRUE,FALSE)</f>
        <v>1</v>
      </c>
      <c r="G7196" t="str">
        <f t="shared" si="464"/>
        <v>910-47: Lead Abatement Services</v>
      </c>
    </row>
    <row r="7197" spans="1:7" x14ac:dyDescent="0.25">
      <c r="A7197" s="1" t="str">
        <f t="shared" si="462"/>
        <v>910</v>
      </c>
      <c r="B7197" s="1" t="str">
        <f>TEXT(48,"00")</f>
        <v>48</v>
      </c>
      <c r="C7197" s="1" t="str">
        <f t="shared" si="463"/>
        <v>910-48</v>
      </c>
      <c r="D7197" t="s">
        <v>7168</v>
      </c>
      <c r="E7197" t="b">
        <f>IF(COUNTIF(D7197,"*"&amp;'Keyword Search'!$C$5&amp;"*"),TRUE,FALSE)</f>
        <v>1</v>
      </c>
      <c r="G7197" t="str">
        <f t="shared" si="464"/>
        <v>910-48: Locksmith Services</v>
      </c>
    </row>
    <row r="7198" spans="1:7" x14ac:dyDescent="0.25">
      <c r="A7198" s="1" t="str">
        <f t="shared" si="462"/>
        <v>910</v>
      </c>
      <c r="B7198" s="1" t="str">
        <f>TEXT(49,"00")</f>
        <v>49</v>
      </c>
      <c r="C7198" s="1" t="str">
        <f t="shared" si="463"/>
        <v>910-49</v>
      </c>
      <c r="D7198" t="s">
        <v>7169</v>
      </c>
      <c r="E7198" t="b">
        <f>IF(COUNTIF(D7198,"*"&amp;'Keyword Search'!$C$5&amp;"*"),TRUE,FALSE)</f>
        <v>1</v>
      </c>
      <c r="G7198" t="str">
        <f t="shared" si="464"/>
        <v>910-49: Loading Dock and Associated Accessories Maintenance and Repair Services</v>
      </c>
    </row>
    <row r="7199" spans="1:7" x14ac:dyDescent="0.25">
      <c r="A7199" s="1" t="str">
        <f t="shared" si="462"/>
        <v>910</v>
      </c>
      <c r="B7199" s="1" t="str">
        <f>TEXT(51,"00")</f>
        <v>51</v>
      </c>
      <c r="C7199" s="1" t="str">
        <f t="shared" si="463"/>
        <v>910-51</v>
      </c>
      <c r="D7199" t="s">
        <v>7170</v>
      </c>
      <c r="E7199" t="b">
        <f>IF(COUNTIF(D7199,"*"&amp;'Keyword Search'!$C$5&amp;"*"),TRUE,FALSE)</f>
        <v>1</v>
      </c>
      <c r="G7199" t="str">
        <f t="shared" si="464"/>
        <v>910-51: Masonry, Concrete, and Stucco Maintenance, Finishing, and Repair Services Including Inside Concrete Sawing and Grouting Work</v>
      </c>
    </row>
    <row r="7200" spans="1:7" x14ac:dyDescent="0.25">
      <c r="A7200" s="1" t="str">
        <f t="shared" si="462"/>
        <v>910</v>
      </c>
      <c r="B7200" s="1" t="str">
        <f>TEXT(52,"00")</f>
        <v>52</v>
      </c>
      <c r="C7200" s="1" t="str">
        <f t="shared" si="463"/>
        <v>910-52</v>
      </c>
      <c r="D7200" t="s">
        <v>7171</v>
      </c>
      <c r="E7200" t="b">
        <f>IF(COUNTIF(D7200,"*"&amp;'Keyword Search'!$C$5&amp;"*"),TRUE,FALSE)</f>
        <v>1</v>
      </c>
      <c r="G7200" t="str">
        <f t="shared" si="464"/>
        <v>910-52: Maintenance and Repair Services, Building (Not Otherwise Classified)</v>
      </c>
    </row>
    <row r="7201" spans="1:7" x14ac:dyDescent="0.25">
      <c r="A7201" s="1" t="str">
        <f t="shared" si="462"/>
        <v>910</v>
      </c>
      <c r="B7201" s="1" t="str">
        <f>TEXT(53,"00")</f>
        <v>53</v>
      </c>
      <c r="C7201" s="1" t="str">
        <f t="shared" si="463"/>
        <v>910-53</v>
      </c>
      <c r="D7201" t="s">
        <v>7172</v>
      </c>
      <c r="E7201" t="b">
        <f>IF(COUNTIF(D7201,"*"&amp;'Keyword Search'!$C$5&amp;"*"),TRUE,FALSE)</f>
        <v>1</v>
      </c>
      <c r="G7201" t="str">
        <f t="shared" si="464"/>
        <v>910-53: Metal Work Maintenance and Repair Services, Including Metal Refinishing Services</v>
      </c>
    </row>
    <row r="7202" spans="1:7" x14ac:dyDescent="0.25">
      <c r="A7202" s="1" t="str">
        <f t="shared" si="462"/>
        <v>910</v>
      </c>
      <c r="B7202" s="1" t="str">
        <f>TEXT(54,"00")</f>
        <v>54</v>
      </c>
      <c r="C7202" s="1" t="str">
        <f t="shared" si="463"/>
        <v>910-54</v>
      </c>
      <c r="D7202" t="s">
        <v>7173</v>
      </c>
      <c r="E7202" t="b">
        <f>IF(COUNTIF(D7202,"*"&amp;'Keyword Search'!$C$5&amp;"*"),TRUE,FALSE)</f>
        <v>1</v>
      </c>
      <c r="G7202" t="str">
        <f t="shared" si="464"/>
        <v>910-54: Painting, Maintenance and Repair Services, Including Caulking</v>
      </c>
    </row>
    <row r="7203" spans="1:7" x14ac:dyDescent="0.25">
      <c r="A7203" s="1" t="str">
        <f t="shared" si="462"/>
        <v>910</v>
      </c>
      <c r="B7203" s="1" t="str">
        <f>TEXT(55,"00")</f>
        <v>55</v>
      </c>
      <c r="C7203" s="1" t="str">
        <f t="shared" si="463"/>
        <v>910-55</v>
      </c>
      <c r="D7203" t="s">
        <v>7174</v>
      </c>
      <c r="E7203" t="b">
        <f>IF(COUNTIF(D7203,"*"&amp;'Keyword Search'!$C$5&amp;"*"),TRUE,FALSE)</f>
        <v>1</v>
      </c>
      <c r="G7203" t="str">
        <f t="shared" si="464"/>
        <v>910-55: Overhead Door Installation, Maintenance, and Repair Services</v>
      </c>
    </row>
    <row r="7204" spans="1:7" x14ac:dyDescent="0.25">
      <c r="A7204" s="1" t="str">
        <f t="shared" si="462"/>
        <v>910</v>
      </c>
      <c r="B7204" s="1" t="str">
        <f>TEXT(56,"00")</f>
        <v>56</v>
      </c>
      <c r="C7204" s="1" t="str">
        <f t="shared" si="463"/>
        <v>910-56</v>
      </c>
      <c r="D7204" t="s">
        <v>7175</v>
      </c>
      <c r="E7204" t="b">
        <f>IF(COUNTIF(D7204,"*"&amp;'Keyword Search'!$C$5&amp;"*"),TRUE,FALSE)</f>
        <v>1</v>
      </c>
      <c r="G7204" t="str">
        <f t="shared" si="464"/>
        <v>910-56: Panel Wall Systems Installation, Maintenance and Repair Services</v>
      </c>
    </row>
    <row r="7205" spans="1:7" x14ac:dyDescent="0.25">
      <c r="A7205" s="1" t="str">
        <f t="shared" si="462"/>
        <v>910</v>
      </c>
      <c r="B7205" s="1" t="str">
        <f>TEXT(59,"00")</f>
        <v>59</v>
      </c>
      <c r="C7205" s="1" t="str">
        <f t="shared" si="463"/>
        <v>910-59</v>
      </c>
      <c r="D7205" t="s">
        <v>7176</v>
      </c>
      <c r="E7205" t="b">
        <f>IF(COUNTIF(D7205,"*"&amp;'Keyword Search'!$C$5&amp;"*"),TRUE,FALSE)</f>
        <v>1</v>
      </c>
      <c r="G7205" t="str">
        <f t="shared" si="464"/>
        <v>910-59: Pest Control Services: Termite Inspection and Control, Bird Proofing, Animal Trapping, Rodent Control, Exterminating and Fumigation</v>
      </c>
    </row>
    <row r="7206" spans="1:7" x14ac:dyDescent="0.25">
      <c r="A7206" s="1" t="str">
        <f t="shared" si="462"/>
        <v>910</v>
      </c>
      <c r="B7206" s="1" t="str">
        <f>TEXT(60,"00")</f>
        <v>60</v>
      </c>
      <c r="C7206" s="1" t="str">
        <f t="shared" si="463"/>
        <v>910-60</v>
      </c>
      <c r="D7206" t="s">
        <v>7177</v>
      </c>
      <c r="E7206" t="b">
        <f>IF(COUNTIF(D7206,"*"&amp;'Keyword Search'!$C$5&amp;"*"),TRUE,FALSE)</f>
        <v>1</v>
      </c>
      <c r="G7206" t="str">
        <f t="shared" si="464"/>
        <v>910-60: Plumbing Maintenance and Repair Services: Pressure Tapping Services, Pipe Freezes, Toilets, etc.</v>
      </c>
    </row>
    <row r="7207" spans="1:7" x14ac:dyDescent="0.25">
      <c r="A7207" s="1" t="str">
        <f t="shared" si="462"/>
        <v>910</v>
      </c>
      <c r="B7207" s="1" t="str">
        <f>TEXT(61,"00")</f>
        <v>61</v>
      </c>
      <c r="C7207" s="1" t="str">
        <f t="shared" si="463"/>
        <v>910-61</v>
      </c>
      <c r="D7207" t="s">
        <v>7178</v>
      </c>
      <c r="E7207" t="b">
        <f>IF(COUNTIF(D7207,"*"&amp;'Keyword Search'!$C$5&amp;"*"),TRUE,FALSE)</f>
        <v>1</v>
      </c>
      <c r="G7207" t="str">
        <f t="shared" si="464"/>
        <v>910-61: Plant Maintenance Services , Indoor</v>
      </c>
    </row>
    <row r="7208" spans="1:7" x14ac:dyDescent="0.25">
      <c r="A7208" s="1" t="str">
        <f t="shared" si="462"/>
        <v>910</v>
      </c>
      <c r="B7208" s="1" t="str">
        <f>TEXT(62,"00")</f>
        <v>62</v>
      </c>
      <c r="C7208" s="1" t="str">
        <f t="shared" si="463"/>
        <v>910-62</v>
      </c>
      <c r="D7208" t="s">
        <v>7179</v>
      </c>
      <c r="E7208" t="b">
        <f>IF(COUNTIF(D7208,"*"&amp;'Keyword Search'!$C$5&amp;"*"),TRUE,FALSE)</f>
        <v>1</v>
      </c>
      <c r="G7208" t="str">
        <f t="shared" si="464"/>
        <v>910-62: Protection of Building, Weather or Vandalism</v>
      </c>
    </row>
    <row r="7209" spans="1:7" x14ac:dyDescent="0.25">
      <c r="A7209" s="1" t="str">
        <f t="shared" si="462"/>
        <v>910</v>
      </c>
      <c r="B7209" s="1" t="str">
        <f>TEXT(63,"00")</f>
        <v>63</v>
      </c>
      <c r="C7209" s="1" t="str">
        <f t="shared" si="463"/>
        <v>910-63</v>
      </c>
      <c r="D7209" t="s">
        <v>7180</v>
      </c>
      <c r="E7209" t="b">
        <f>IF(COUNTIF(D7209,"*"&amp;'Keyword Search'!$C$5&amp;"*"),TRUE,FALSE)</f>
        <v>1</v>
      </c>
      <c r="G7209" t="str">
        <f t="shared" si="464"/>
        <v>910-63: Public Utilities: Water, Sewer and Gas Maintenance and Repair Services</v>
      </c>
    </row>
    <row r="7210" spans="1:7" x14ac:dyDescent="0.25">
      <c r="A7210" s="1" t="str">
        <f t="shared" si="462"/>
        <v>910</v>
      </c>
      <c r="B7210" s="1" t="str">
        <f>TEXT(64,"00")</f>
        <v>64</v>
      </c>
      <c r="C7210" s="1" t="str">
        <f t="shared" si="463"/>
        <v>910-64</v>
      </c>
      <c r="D7210" t="s">
        <v>7181</v>
      </c>
      <c r="E7210" t="b">
        <f>IF(COUNTIF(D7210,"*"&amp;'Keyword Search'!$C$5&amp;"*"),TRUE,FALSE)</f>
        <v>1</v>
      </c>
      <c r="G7210" t="str">
        <f t="shared" si="464"/>
        <v>910-64: Relocation, Building</v>
      </c>
    </row>
    <row r="7211" spans="1:7" x14ac:dyDescent="0.25">
      <c r="A7211" s="1" t="str">
        <f t="shared" si="462"/>
        <v>910</v>
      </c>
      <c r="B7211" s="1" t="str">
        <f>TEXT(65,"00")</f>
        <v>65</v>
      </c>
      <c r="C7211" s="1" t="str">
        <f t="shared" si="463"/>
        <v>910-65</v>
      </c>
      <c r="D7211" t="s">
        <v>7182</v>
      </c>
      <c r="E7211" t="b">
        <f>IF(COUNTIF(D7211,"*"&amp;'Keyword Search'!$C$5&amp;"*"),TRUE,FALSE)</f>
        <v>1</v>
      </c>
      <c r="G7211" t="str">
        <f t="shared" si="464"/>
        <v>910-65: Remodeling and Alteration Services</v>
      </c>
    </row>
    <row r="7212" spans="1:7" x14ac:dyDescent="0.25">
      <c r="A7212" s="1" t="str">
        <f t="shared" si="462"/>
        <v>910</v>
      </c>
      <c r="B7212" s="1" t="str">
        <f>TEXT(66,"00")</f>
        <v>66</v>
      </c>
      <c r="C7212" s="1" t="str">
        <f t="shared" si="463"/>
        <v>910-66</v>
      </c>
      <c r="D7212" t="s">
        <v>7183</v>
      </c>
      <c r="E7212" t="b">
        <f>IF(COUNTIF(D7212,"*"&amp;'Keyword Search'!$C$5&amp;"*"),TRUE,FALSE)</f>
        <v>1</v>
      </c>
      <c r="G7212" t="str">
        <f t="shared" si="464"/>
        <v>910-66: Roofing, Gutters, and Downspouts Maintenance and Repair Services</v>
      </c>
    </row>
    <row r="7213" spans="1:7" x14ac:dyDescent="0.25">
      <c r="A7213" s="1" t="str">
        <f t="shared" si="462"/>
        <v>910</v>
      </c>
      <c r="B7213" s="1" t="str">
        <f>TEXT(67,"00")</f>
        <v>67</v>
      </c>
      <c r="C7213" s="1" t="str">
        <f t="shared" si="463"/>
        <v>910-67</v>
      </c>
      <c r="D7213" t="s">
        <v>7184</v>
      </c>
      <c r="E7213" t="b">
        <f>IF(COUNTIF(D7213,"*"&amp;'Keyword Search'!$C$5&amp;"*"),TRUE,FALSE)</f>
        <v>1</v>
      </c>
      <c r="G7213" t="str">
        <f t="shared" si="464"/>
        <v>910-67: Security Lock-Bar Installation, Maintenance and Repair Services</v>
      </c>
    </row>
    <row r="7214" spans="1:7" x14ac:dyDescent="0.25">
      <c r="A7214" s="1" t="str">
        <f t="shared" si="462"/>
        <v>910</v>
      </c>
      <c r="B7214" s="1" t="str">
        <f>TEXT(68,"00")</f>
        <v>68</v>
      </c>
      <c r="C7214" s="1" t="str">
        <f t="shared" si="463"/>
        <v>910-68</v>
      </c>
      <c r="D7214" t="s">
        <v>7185</v>
      </c>
      <c r="E7214" t="b">
        <f>IF(COUNTIF(D7214,"*"&amp;'Keyword Search'!$C$5&amp;"*"),TRUE,FALSE)</f>
        <v>1</v>
      </c>
      <c r="G7214" t="str">
        <f t="shared" si="464"/>
        <v>910-68: Septic Tank Maintenance and Repair Services, Including Absorption and Leach Field Construction</v>
      </c>
    </row>
    <row r="7215" spans="1:7" x14ac:dyDescent="0.25">
      <c r="A7215" s="1" t="str">
        <f t="shared" si="462"/>
        <v>910</v>
      </c>
      <c r="B7215" s="1" t="str">
        <f>TEXT(69,"00")</f>
        <v>69</v>
      </c>
      <c r="C7215" s="1" t="str">
        <f t="shared" si="463"/>
        <v>910-69</v>
      </c>
      <c r="D7215" t="s">
        <v>7186</v>
      </c>
      <c r="E7215" t="b">
        <f>IF(COUNTIF(D7215,"*"&amp;'Keyword Search'!$C$5&amp;"*"),TRUE,FALSE)</f>
        <v>1</v>
      </c>
      <c r="G7215" t="str">
        <f t="shared" si="464"/>
        <v>910-69: Shelters, Carports, Portable Buildings, etc. Maintenance and Repair Services</v>
      </c>
    </row>
    <row r="7216" spans="1:7" x14ac:dyDescent="0.25">
      <c r="A7216" s="1" t="str">
        <f t="shared" si="462"/>
        <v>910</v>
      </c>
      <c r="B7216" s="1" t="str">
        <f>TEXT(70,"00")</f>
        <v>70</v>
      </c>
      <c r="C7216" s="1" t="str">
        <f t="shared" si="463"/>
        <v>910-70</v>
      </c>
      <c r="D7216" t="s">
        <v>7187</v>
      </c>
      <c r="E7216" t="b">
        <f>IF(COUNTIF(D7216,"*"&amp;'Keyword Search'!$C$5&amp;"*"),TRUE,FALSE)</f>
        <v>1</v>
      </c>
      <c r="G7216" t="str">
        <f t="shared" si="464"/>
        <v>910-70: Sludge Removal Services, Building, Including Grease Trap Cleaning</v>
      </c>
    </row>
    <row r="7217" spans="1:7" x14ac:dyDescent="0.25">
      <c r="A7217" s="1" t="str">
        <f t="shared" si="462"/>
        <v>910</v>
      </c>
      <c r="B7217" s="1" t="str">
        <f>TEXT(71,"00")</f>
        <v>71</v>
      </c>
      <c r="C7217" s="1" t="str">
        <f t="shared" si="463"/>
        <v>910-71</v>
      </c>
      <c r="D7217" t="s">
        <v>7188</v>
      </c>
      <c r="E7217" t="b">
        <f>IF(COUNTIF(D7217,"*"&amp;'Keyword Search'!$C$5&amp;"*"),TRUE,FALSE)</f>
        <v>1</v>
      </c>
      <c r="G7217" t="str">
        <f t="shared" si="464"/>
        <v>910-71: Shoring and Reinforcement Services</v>
      </c>
    </row>
    <row r="7218" spans="1:7" x14ac:dyDescent="0.25">
      <c r="A7218" s="1" t="str">
        <f t="shared" si="462"/>
        <v>910</v>
      </c>
      <c r="B7218" s="1" t="str">
        <f>TEXT(72,"00")</f>
        <v>72</v>
      </c>
      <c r="C7218" s="1" t="str">
        <f t="shared" si="463"/>
        <v>910-72</v>
      </c>
      <c r="D7218" t="s">
        <v>7189</v>
      </c>
      <c r="E7218" t="b">
        <f>IF(COUNTIF(D7218,"*"&amp;'Keyword Search'!$C$5&amp;"*"),TRUE,FALSE)</f>
        <v>1</v>
      </c>
      <c r="G7218" t="str">
        <f t="shared" si="464"/>
        <v>910-72: Tinting Services, Window</v>
      </c>
    </row>
    <row r="7219" spans="1:7" x14ac:dyDescent="0.25">
      <c r="A7219" s="1" t="str">
        <f t="shared" si="462"/>
        <v>910</v>
      </c>
      <c r="B7219" s="1" t="str">
        <f>TEXT(73,"00")</f>
        <v>73</v>
      </c>
      <c r="C7219" s="1" t="str">
        <f t="shared" si="463"/>
        <v>910-73</v>
      </c>
      <c r="D7219" t="s">
        <v>7190</v>
      </c>
      <c r="E7219" t="b">
        <f>IF(COUNTIF(D7219,"*"&amp;'Keyword Search'!$C$5&amp;"*"),TRUE,FALSE)</f>
        <v>1</v>
      </c>
      <c r="G7219" t="str">
        <f t="shared" si="464"/>
        <v>910-73: Tile and Stone Restoration, Refurbishing, Maintenance and Repair Services: Granite, Marble, and Terrazzo</v>
      </c>
    </row>
    <row r="7220" spans="1:7" x14ac:dyDescent="0.25">
      <c r="A7220" s="1" t="str">
        <f t="shared" si="462"/>
        <v>910</v>
      </c>
      <c r="B7220" s="1" t="str">
        <f>TEXT(74,"00")</f>
        <v>74</v>
      </c>
      <c r="C7220" s="1" t="str">
        <f t="shared" si="463"/>
        <v>910-74</v>
      </c>
      <c r="D7220" t="s">
        <v>7191</v>
      </c>
      <c r="E7220" t="b">
        <f>IF(COUNTIF(D7220,"*"&amp;'Keyword Search'!$C$5&amp;"*"),TRUE,FALSE)</f>
        <v>1</v>
      </c>
      <c r="G7220" t="str">
        <f t="shared" si="464"/>
        <v>910-74: Wallpapering Services, Including Maintenance and Repair Services</v>
      </c>
    </row>
    <row r="7221" spans="1:7" x14ac:dyDescent="0.25">
      <c r="A7221" s="1" t="str">
        <f t="shared" si="462"/>
        <v>910</v>
      </c>
      <c r="B7221" s="1" t="str">
        <f>TEXT(75,"00")</f>
        <v>75</v>
      </c>
      <c r="C7221" s="1" t="str">
        <f t="shared" si="463"/>
        <v>910-75</v>
      </c>
      <c r="D7221" t="s">
        <v>7192</v>
      </c>
      <c r="E7221" t="b">
        <f>IF(COUNTIF(D7221,"*"&amp;'Keyword Search'!$C$5&amp;"*"),TRUE,FALSE)</f>
        <v>1</v>
      </c>
      <c r="G7221" t="str">
        <f t="shared" si="464"/>
        <v>910-75: Wall and Ceiling Maintenance, Repair and Replacement Services, Including Drywalling</v>
      </c>
    </row>
    <row r="7222" spans="1:7" x14ac:dyDescent="0.25">
      <c r="A7222" s="1" t="str">
        <f t="shared" si="462"/>
        <v>910</v>
      </c>
      <c r="B7222" s="1" t="str">
        <f>TEXT(76,"00")</f>
        <v>76</v>
      </c>
      <c r="C7222" s="1" t="str">
        <f t="shared" si="463"/>
        <v>910-76</v>
      </c>
      <c r="D7222" t="s">
        <v>7193</v>
      </c>
      <c r="E7222" t="b">
        <f>IF(COUNTIF(D7222,"*"&amp;'Keyword Search'!$C$5&amp;"*"),TRUE,FALSE)</f>
        <v>1</v>
      </c>
      <c r="G7222" t="str">
        <f t="shared" si="464"/>
        <v>910-76: Welding Maintenance and Repair Services: Brazing, Casting, and Soldering</v>
      </c>
    </row>
    <row r="7223" spans="1:7" x14ac:dyDescent="0.25">
      <c r="A7223" s="1" t="str">
        <f t="shared" si="462"/>
        <v>910</v>
      </c>
      <c r="B7223" s="1" t="str">
        <f>TEXT(77,"00")</f>
        <v>77</v>
      </c>
      <c r="C7223" s="1" t="str">
        <f t="shared" si="463"/>
        <v>910-77</v>
      </c>
      <c r="D7223" t="s">
        <v>7194</v>
      </c>
      <c r="E7223" t="b">
        <f>IF(COUNTIF(D7223,"*"&amp;'Keyword Search'!$C$5&amp;"*"),TRUE,FALSE)</f>
        <v>1</v>
      </c>
      <c r="G7223" t="str">
        <f t="shared" si="464"/>
        <v>910-77: Water Purification and Softening Services</v>
      </c>
    </row>
    <row r="7224" spans="1:7" x14ac:dyDescent="0.25">
      <c r="A7224" s="1" t="str">
        <f t="shared" si="462"/>
        <v>910</v>
      </c>
      <c r="B7224" s="1" t="str">
        <f>TEXT(78,"00")</f>
        <v>78</v>
      </c>
      <c r="C7224" s="1" t="str">
        <f t="shared" si="463"/>
        <v>910-78</v>
      </c>
      <c r="D7224" t="s">
        <v>7195</v>
      </c>
      <c r="E7224" t="b">
        <f>IF(COUNTIF(D7224,"*"&amp;'Keyword Search'!$C$5&amp;"*"),TRUE,FALSE)</f>
        <v>1</v>
      </c>
      <c r="G7224" t="str">
        <f t="shared" si="464"/>
        <v>910-78: Weatherization, Weather and Waterproofing Maintenance and Repair Services</v>
      </c>
    </row>
    <row r="7225" spans="1:7" x14ac:dyDescent="0.25">
      <c r="A7225" s="1" t="str">
        <f t="shared" ref="A7225:A7232" si="465">TEXT(910,"000")</f>
        <v>910</v>
      </c>
      <c r="B7225" s="1" t="str">
        <f>TEXT(79,"00")</f>
        <v>79</v>
      </c>
      <c r="C7225" s="1" t="str">
        <f t="shared" si="463"/>
        <v>910-79</v>
      </c>
      <c r="D7225" t="s">
        <v>7196</v>
      </c>
      <c r="E7225" t="b">
        <f>IF(COUNTIF(D7225,"*"&amp;'Keyword Search'!$C$5&amp;"*"),TRUE,FALSE)</f>
        <v>1</v>
      </c>
      <c r="G7225" t="str">
        <f t="shared" si="464"/>
        <v>910-79: Windows, Metal, Installation, Maintenance and Repair Services</v>
      </c>
    </row>
    <row r="7226" spans="1:7" x14ac:dyDescent="0.25">
      <c r="A7226" s="1" t="str">
        <f t="shared" si="465"/>
        <v>910</v>
      </c>
      <c r="B7226" s="1" t="str">
        <f>TEXT(80,"00")</f>
        <v>80</v>
      </c>
      <c r="C7226" s="1" t="str">
        <f t="shared" si="463"/>
        <v>910-80</v>
      </c>
      <c r="D7226" t="s">
        <v>7197</v>
      </c>
      <c r="E7226" t="b">
        <f>IF(COUNTIF(D7226,"*"&amp;'Keyword Search'!$C$5&amp;"*"),TRUE,FALSE)</f>
        <v>1</v>
      </c>
      <c r="G7226" t="str">
        <f t="shared" si="464"/>
        <v>910-80: Windows, Wood,  Installation, Maintenance, and Repair Services</v>
      </c>
    </row>
    <row r="7227" spans="1:7" x14ac:dyDescent="0.25">
      <c r="A7227" s="1" t="str">
        <f t="shared" si="465"/>
        <v>910</v>
      </c>
      <c r="B7227" s="1" t="str">
        <f>TEXT(81,"00")</f>
        <v>81</v>
      </c>
      <c r="C7227" s="1" t="str">
        <f t="shared" si="463"/>
        <v>910-81</v>
      </c>
      <c r="D7227" t="s">
        <v>7198</v>
      </c>
      <c r="E7227" t="b">
        <f>IF(COUNTIF(D7227,"*"&amp;'Keyword Search'!$C$5&amp;"*"),TRUE,FALSE)</f>
        <v>1</v>
      </c>
      <c r="G7227" t="str">
        <f t="shared" si="464"/>
        <v>910-81: Window Washing Services</v>
      </c>
    </row>
    <row r="7228" spans="1:7" x14ac:dyDescent="0.25">
      <c r="A7228" s="1" t="str">
        <f t="shared" si="465"/>
        <v>910</v>
      </c>
      <c r="B7228" s="1" t="str">
        <f>TEXT(82,"00")</f>
        <v>82</v>
      </c>
      <c r="C7228" s="1" t="str">
        <f t="shared" si="463"/>
        <v>910-82</v>
      </c>
      <c r="D7228" t="s">
        <v>7199</v>
      </c>
      <c r="E7228" t="b">
        <f>IF(COUNTIF(D7228,"*"&amp;'Keyword Search'!$C$5&amp;"*"),TRUE,FALSE)</f>
        <v>1</v>
      </c>
      <c r="G7228" t="str">
        <f t="shared" si="464"/>
        <v>910-82: Wiring and Other Electrical Maintenance and Repair Services</v>
      </c>
    </row>
    <row r="7229" spans="1:7" x14ac:dyDescent="0.25">
      <c r="A7229" s="1" t="str">
        <f t="shared" si="465"/>
        <v>910</v>
      </c>
      <c r="B7229" s="1" t="str">
        <f>TEXT(83,"00")</f>
        <v>83</v>
      </c>
      <c r="C7229" s="1" t="str">
        <f t="shared" si="463"/>
        <v>910-83</v>
      </c>
      <c r="D7229" t="s">
        <v>7200</v>
      </c>
      <c r="E7229" t="b">
        <f>IF(COUNTIF(D7229,"*"&amp;'Keyword Search'!$C$5&amp;"*"),TRUE,FALSE)</f>
        <v>1</v>
      </c>
      <c r="G7229" t="str">
        <f t="shared" si="464"/>
        <v>910-83: Sandblasting Services, Buildings (See 968-67 for All Other Types)</v>
      </c>
    </row>
    <row r="7230" spans="1:7" x14ac:dyDescent="0.25">
      <c r="A7230" s="1" t="str">
        <f t="shared" si="465"/>
        <v>910</v>
      </c>
      <c r="B7230" s="1" t="str">
        <f>TEXT(84,"00")</f>
        <v>84</v>
      </c>
      <c r="C7230" s="1" t="str">
        <f t="shared" si="463"/>
        <v>910-84</v>
      </c>
      <c r="D7230" t="s">
        <v>7201</v>
      </c>
      <c r="E7230" t="b">
        <f>IF(COUNTIF(D7230,"*"&amp;'Keyword Search'!$C$5&amp;"*"),TRUE,FALSE)</f>
        <v>1</v>
      </c>
      <c r="G7230" t="str">
        <f t="shared" si="464"/>
        <v>910-84: Shutter Installation, Maintenance and Repair Services</v>
      </c>
    </row>
    <row r="7231" spans="1:7" x14ac:dyDescent="0.25">
      <c r="A7231" s="1" t="str">
        <f t="shared" si="465"/>
        <v>910</v>
      </c>
      <c r="B7231" s="1" t="str">
        <f>TEXT(85,"00")</f>
        <v>85</v>
      </c>
      <c r="C7231" s="1" t="str">
        <f t="shared" si="463"/>
        <v>910-85</v>
      </c>
      <c r="D7231" t="s">
        <v>7202</v>
      </c>
      <c r="E7231" t="b">
        <f>IF(COUNTIF(D7231,"*"&amp;'Keyword Search'!$C$5&amp;"*"),TRUE,FALSE)</f>
        <v>1</v>
      </c>
      <c r="G7231" t="str">
        <f t="shared" si="464"/>
        <v>910-85: Skylight Installation Services</v>
      </c>
    </row>
    <row r="7232" spans="1:7" x14ac:dyDescent="0.25">
      <c r="A7232" s="1" t="str">
        <f t="shared" si="465"/>
        <v>910</v>
      </c>
      <c r="B7232" s="1" t="str">
        <f>TEXT(86,"00")</f>
        <v>86</v>
      </c>
      <c r="C7232" s="1" t="str">
        <f t="shared" si="463"/>
        <v>910-86</v>
      </c>
      <c r="D7232" t="s">
        <v>7203</v>
      </c>
      <c r="E7232" t="b">
        <f>IF(COUNTIF(D7232,"*"&amp;'Keyword Search'!$C$5&amp;"*"),TRUE,FALSE)</f>
        <v>1</v>
      </c>
      <c r="G7232" t="str">
        <f t="shared" si="464"/>
        <v>910-86: Siding Installation and Repair Services</v>
      </c>
    </row>
    <row r="7233" spans="1:7" x14ac:dyDescent="0.25">
      <c r="A7233" s="5" t="str">
        <f t="shared" ref="A7233:A7292" si="466">TEXT(911,"000")</f>
        <v>911</v>
      </c>
      <c r="B7233" s="5" t="str">
        <f>TEXT(0,"00")</f>
        <v>00</v>
      </c>
      <c r="C7233" s="1"/>
      <c r="D7233" s="2" t="s">
        <v>7204</v>
      </c>
    </row>
    <row r="7234" spans="1:7" x14ac:dyDescent="0.25">
      <c r="A7234" s="1" t="str">
        <f t="shared" si="466"/>
        <v>911</v>
      </c>
      <c r="B7234" s="1" t="str">
        <f>TEXT(1,"00")</f>
        <v>01</v>
      </c>
      <c r="C7234" s="1" t="str">
        <f t="shared" si="463"/>
        <v>911-01</v>
      </c>
      <c r="D7234" t="s">
        <v>7205</v>
      </c>
      <c r="E7234" t="b">
        <f>IF(COUNTIF(D7234,"*"&amp;'Keyword Search'!$C$5&amp;"*"),TRUE,FALSE)</f>
        <v>1</v>
      </c>
      <c r="G7234" t="str">
        <f t="shared" si="464"/>
        <v>911-01: C.I.P., Advertising</v>
      </c>
    </row>
    <row r="7235" spans="1:7" x14ac:dyDescent="0.25">
      <c r="A7235" s="1" t="str">
        <f t="shared" si="466"/>
        <v>911</v>
      </c>
      <c r="B7235" s="1" t="str">
        <f>TEXT(2,"00")</f>
        <v>02</v>
      </c>
      <c r="C7235" s="1" t="str">
        <f t="shared" ref="C7235:C7298" si="467">CONCATENATE(A7235,"-",B7235)</f>
        <v>911-02</v>
      </c>
      <c r="D7235" t="s">
        <v>7206</v>
      </c>
      <c r="E7235" t="b">
        <f>IF(COUNTIF(D7235,"*"&amp;'Keyword Search'!$C$5&amp;"*"),TRUE,FALSE)</f>
        <v>1</v>
      </c>
      <c r="G7235" t="str">
        <f t="shared" si="464"/>
        <v>911-02: C.I.P., A/E Miscellaneous</v>
      </c>
    </row>
    <row r="7236" spans="1:7" x14ac:dyDescent="0.25">
      <c r="A7236" s="1" t="str">
        <f t="shared" si="466"/>
        <v>911</v>
      </c>
      <c r="B7236" s="1" t="str">
        <f>TEXT(3,"00")</f>
        <v>03</v>
      </c>
      <c r="C7236" s="1" t="str">
        <f t="shared" si="467"/>
        <v>911-03</v>
      </c>
      <c r="D7236" t="s">
        <v>7207</v>
      </c>
      <c r="E7236" t="b">
        <f>IF(COUNTIF(D7236,"*"&amp;'Keyword Search'!$C$5&amp;"*"),TRUE,FALSE)</f>
        <v>1</v>
      </c>
      <c r="G7236" t="str">
        <f t="shared" ref="G7236:G7299" si="468">CONCATENATE(C7236,": ",D7236)</f>
        <v>911-03: C.I.P., Archeological and Environment Surveys</v>
      </c>
    </row>
    <row r="7237" spans="1:7" x14ac:dyDescent="0.25">
      <c r="A7237" s="1" t="str">
        <f t="shared" si="466"/>
        <v>911</v>
      </c>
      <c r="B7237" s="1" t="str">
        <f>TEXT(4,"00")</f>
        <v>04</v>
      </c>
      <c r="C7237" s="1" t="str">
        <f t="shared" si="467"/>
        <v>911-04</v>
      </c>
      <c r="D7237" t="s">
        <v>7208</v>
      </c>
      <c r="E7237" t="b">
        <f>IF(COUNTIF(D7237,"*"&amp;'Keyword Search'!$C$5&amp;"*"),TRUE,FALSE)</f>
        <v>1</v>
      </c>
      <c r="G7237" t="str">
        <f t="shared" si="468"/>
        <v>911-04: C.I.P., Architect/Engineer Extra Services</v>
      </c>
    </row>
    <row r="7238" spans="1:7" x14ac:dyDescent="0.25">
      <c r="A7238" s="1" t="str">
        <f t="shared" si="466"/>
        <v>911</v>
      </c>
      <c r="B7238" s="1" t="str">
        <f>TEXT(6,"00")</f>
        <v>06</v>
      </c>
      <c r="C7238" s="1" t="str">
        <f t="shared" si="467"/>
        <v>911-06</v>
      </c>
      <c r="D7238" t="s">
        <v>7209</v>
      </c>
      <c r="E7238" t="b">
        <f>IF(COUNTIF(D7238,"*"&amp;'Keyword Search'!$C$5&amp;"*"),TRUE,FALSE)</f>
        <v>1</v>
      </c>
      <c r="G7238" t="str">
        <f t="shared" si="468"/>
        <v>911-06: C.I.P., Archeological</v>
      </c>
    </row>
    <row r="7239" spans="1:7" x14ac:dyDescent="0.25">
      <c r="A7239" s="1" t="str">
        <f t="shared" si="466"/>
        <v>911</v>
      </c>
      <c r="B7239" s="1" t="str">
        <f>TEXT(7,"00")</f>
        <v>07</v>
      </c>
      <c r="C7239" s="1" t="str">
        <f t="shared" si="467"/>
        <v>911-07</v>
      </c>
      <c r="D7239" t="s">
        <v>7210</v>
      </c>
      <c r="E7239" t="b">
        <f>IF(COUNTIF(D7239,"*"&amp;'Keyword Search'!$C$5&amp;"*"),TRUE,FALSE)</f>
        <v>1</v>
      </c>
      <c r="G7239" t="str">
        <f t="shared" si="468"/>
        <v>911-07: C.I.P., Architectural and Engineering Services</v>
      </c>
    </row>
    <row r="7240" spans="1:7" x14ac:dyDescent="0.25">
      <c r="A7240" s="1" t="str">
        <f t="shared" si="466"/>
        <v>911</v>
      </c>
      <c r="B7240" s="1" t="str">
        <f>TEXT(8,"00")</f>
        <v>08</v>
      </c>
      <c r="C7240" s="1" t="str">
        <f t="shared" si="467"/>
        <v>911-08</v>
      </c>
      <c r="D7240" t="s">
        <v>7211</v>
      </c>
      <c r="E7240" t="b">
        <f>IF(COUNTIF(D7240,"*"&amp;'Keyword Search'!$C$5&amp;"*"),TRUE,FALSE)</f>
        <v>1</v>
      </c>
      <c r="G7240" t="str">
        <f t="shared" si="468"/>
        <v>911-08: C.I.P., Asbestos</v>
      </c>
    </row>
    <row r="7241" spans="1:7" x14ac:dyDescent="0.25">
      <c r="A7241" s="1" t="str">
        <f t="shared" si="466"/>
        <v>911</v>
      </c>
      <c r="B7241" s="1" t="str">
        <f>TEXT(9,"00")</f>
        <v>09</v>
      </c>
      <c r="C7241" s="1" t="str">
        <f t="shared" si="467"/>
        <v>911-09</v>
      </c>
      <c r="D7241" t="s">
        <v>7212</v>
      </c>
      <c r="E7241" t="b">
        <f>IF(COUNTIF(D7241,"*"&amp;'Keyword Search'!$C$5&amp;"*"),TRUE,FALSE)</f>
        <v>1</v>
      </c>
      <c r="G7241" t="str">
        <f t="shared" si="468"/>
        <v>911-09: C.I.P., Audio Visual Equipment, Capital</v>
      </c>
    </row>
    <row r="7242" spans="1:7" x14ac:dyDescent="0.25">
      <c r="A7242" s="1" t="str">
        <f t="shared" si="466"/>
        <v>911</v>
      </c>
      <c r="B7242" s="1" t="str">
        <f>TEXT(10,"00")</f>
        <v>10</v>
      </c>
      <c r="C7242" s="1" t="str">
        <f t="shared" si="467"/>
        <v>911-10</v>
      </c>
      <c r="D7242" t="s">
        <v>7213</v>
      </c>
      <c r="E7242" t="b">
        <f>IF(COUNTIF(D7242,"*"&amp;'Keyword Search'!$C$5&amp;"*"),TRUE,FALSE)</f>
        <v>1</v>
      </c>
      <c r="G7242" t="str">
        <f t="shared" si="468"/>
        <v>911-10: C.I.P., Audio Visual Equipment, Expense</v>
      </c>
    </row>
    <row r="7243" spans="1:7" x14ac:dyDescent="0.25">
      <c r="A7243" s="1" t="str">
        <f t="shared" si="466"/>
        <v>911</v>
      </c>
      <c r="B7243" s="1" t="str">
        <f>TEXT(12,"00")</f>
        <v>12</v>
      </c>
      <c r="C7243" s="1" t="str">
        <f t="shared" si="467"/>
        <v>911-12</v>
      </c>
      <c r="D7243" t="s">
        <v>7214</v>
      </c>
      <c r="E7243" t="b">
        <f>IF(COUNTIF(D7243,"*"&amp;'Keyword Search'!$C$5&amp;"*"),TRUE,FALSE)</f>
        <v>1</v>
      </c>
      <c r="G7243" t="str">
        <f t="shared" si="468"/>
        <v>911-12: C.I.P., Building Studies</v>
      </c>
    </row>
    <row r="7244" spans="1:7" x14ac:dyDescent="0.25">
      <c r="A7244" s="1" t="str">
        <f t="shared" si="466"/>
        <v>911</v>
      </c>
      <c r="B7244" s="1" t="str">
        <f>TEXT(13,"00")</f>
        <v>13</v>
      </c>
      <c r="C7244" s="1" t="str">
        <f t="shared" si="467"/>
        <v>911-13</v>
      </c>
      <c r="D7244" t="s">
        <v>7215</v>
      </c>
      <c r="E7244" t="b">
        <f>IF(COUNTIF(D7244,"*"&amp;'Keyword Search'!$C$5&amp;"*"),TRUE,FALSE)</f>
        <v>1</v>
      </c>
      <c r="G7244" t="str">
        <f t="shared" si="468"/>
        <v>911-13: C.I.P., Commissioning</v>
      </c>
    </row>
    <row r="7245" spans="1:7" x14ac:dyDescent="0.25">
      <c r="A7245" s="1" t="str">
        <f t="shared" si="466"/>
        <v>911</v>
      </c>
      <c r="B7245" s="1" t="str">
        <f>TEXT(14,"00")</f>
        <v>14</v>
      </c>
      <c r="C7245" s="1" t="str">
        <f t="shared" si="467"/>
        <v>911-14</v>
      </c>
      <c r="D7245" t="s">
        <v>7216</v>
      </c>
      <c r="E7245" t="b">
        <f>IF(COUNTIF(D7245,"*"&amp;'Keyword Search'!$C$5&amp;"*"),TRUE,FALSE)</f>
        <v>1</v>
      </c>
      <c r="G7245" t="str">
        <f t="shared" si="468"/>
        <v>911-14: C.I.P., Construction Contingency</v>
      </c>
    </row>
    <row r="7246" spans="1:7" x14ac:dyDescent="0.25">
      <c r="A7246" s="1" t="str">
        <f t="shared" si="466"/>
        <v>911</v>
      </c>
      <c r="B7246" s="1" t="str">
        <f>TEXT(15,"00")</f>
        <v>15</v>
      </c>
      <c r="C7246" s="1" t="str">
        <f t="shared" si="467"/>
        <v>911-15</v>
      </c>
      <c r="D7246" t="s">
        <v>7217</v>
      </c>
      <c r="E7246" t="b">
        <f>IF(COUNTIF(D7246,"*"&amp;'Keyword Search'!$C$5&amp;"*"),TRUE,FALSE)</f>
        <v>1</v>
      </c>
      <c r="G7246" t="str">
        <f t="shared" si="468"/>
        <v>911-15: C.I.P., Construction and Rehabilitation, Other than Buildings</v>
      </c>
    </row>
    <row r="7247" spans="1:7" x14ac:dyDescent="0.25">
      <c r="A7247" s="1" t="str">
        <f t="shared" si="466"/>
        <v>911</v>
      </c>
      <c r="B7247" s="1" t="str">
        <f>TEXT(16,"00")</f>
        <v>16</v>
      </c>
      <c r="C7247" s="1" t="str">
        <f t="shared" si="467"/>
        <v>911-16</v>
      </c>
      <c r="D7247" t="s">
        <v>7218</v>
      </c>
      <c r="E7247" t="b">
        <f>IF(COUNTIF(D7247,"*"&amp;'Keyword Search'!$C$5&amp;"*"),TRUE,FALSE)</f>
        <v>1</v>
      </c>
      <c r="G7247" t="str">
        <f t="shared" si="468"/>
        <v>911-16: C.I.P., Construction and Rehabilitation, Buildings</v>
      </c>
    </row>
    <row r="7248" spans="1:7" x14ac:dyDescent="0.25">
      <c r="A7248" s="1" t="str">
        <f t="shared" si="466"/>
        <v>911</v>
      </c>
      <c r="B7248" s="1" t="str">
        <f>TEXT(17,"00")</f>
        <v>17</v>
      </c>
      <c r="C7248" s="1" t="str">
        <f t="shared" si="467"/>
        <v>911-17</v>
      </c>
      <c r="D7248" t="s">
        <v>7219</v>
      </c>
      <c r="E7248" t="b">
        <f>IF(COUNTIF(D7248,"*"&amp;'Keyword Search'!$C$5&amp;"*"),TRUE,FALSE)</f>
        <v>1</v>
      </c>
      <c r="G7248" t="str">
        <f t="shared" si="468"/>
        <v>911-17: C.I.P., Construction, Roads</v>
      </c>
    </row>
    <row r="7249" spans="1:7" x14ac:dyDescent="0.25">
      <c r="A7249" s="1" t="str">
        <f t="shared" si="466"/>
        <v>911</v>
      </c>
      <c r="B7249" s="1" t="str">
        <f>TEXT(18,"00")</f>
        <v>18</v>
      </c>
      <c r="C7249" s="1" t="str">
        <f t="shared" si="467"/>
        <v>911-18</v>
      </c>
      <c r="D7249" t="s">
        <v>7220</v>
      </c>
      <c r="E7249" t="b">
        <f>IF(COUNTIF(D7249,"*"&amp;'Keyword Search'!$C$5&amp;"*"),TRUE,FALSE)</f>
        <v>1</v>
      </c>
      <c r="G7249" t="str">
        <f t="shared" si="468"/>
        <v>911-18: C.I.P., Construction Testing</v>
      </c>
    </row>
    <row r="7250" spans="1:7" x14ac:dyDescent="0.25">
      <c r="A7250" s="1" t="str">
        <f t="shared" si="466"/>
        <v>911</v>
      </c>
      <c r="B7250" s="1" t="str">
        <f>TEXT(19,"00")</f>
        <v>19</v>
      </c>
      <c r="C7250" s="1" t="str">
        <f t="shared" si="467"/>
        <v>911-19</v>
      </c>
      <c r="D7250" t="s">
        <v>7221</v>
      </c>
      <c r="E7250" t="b">
        <f>IF(COUNTIF(D7250,"*"&amp;'Keyword Search'!$C$5&amp;"*"),TRUE,FALSE)</f>
        <v>1</v>
      </c>
      <c r="G7250" t="str">
        <f t="shared" si="468"/>
        <v>911-19: C.I.P., Cost Estimate Verification</v>
      </c>
    </row>
    <row r="7251" spans="1:7" x14ac:dyDescent="0.25">
      <c r="A7251" s="1" t="str">
        <f t="shared" si="466"/>
        <v>911</v>
      </c>
      <c r="B7251" s="1" t="str">
        <f>TEXT(20,"00")</f>
        <v>20</v>
      </c>
      <c r="C7251" s="1" t="str">
        <f t="shared" si="467"/>
        <v>911-20</v>
      </c>
      <c r="D7251" t="s">
        <v>7222</v>
      </c>
      <c r="E7251" t="b">
        <f>IF(COUNTIF(D7251,"*"&amp;'Keyword Search'!$C$5&amp;"*"),TRUE,FALSE)</f>
        <v>1</v>
      </c>
      <c r="G7251" t="str">
        <f t="shared" si="468"/>
        <v>911-20: C.I.P., Demolition Contingency</v>
      </c>
    </row>
    <row r="7252" spans="1:7" x14ac:dyDescent="0.25">
      <c r="A7252" s="1" t="str">
        <f t="shared" si="466"/>
        <v>911</v>
      </c>
      <c r="B7252" s="1" t="str">
        <f>TEXT(22,"00")</f>
        <v>22</v>
      </c>
      <c r="C7252" s="1" t="str">
        <f t="shared" si="467"/>
        <v>911-22</v>
      </c>
      <c r="D7252" t="s">
        <v>7223</v>
      </c>
      <c r="E7252" t="b">
        <f>IF(COUNTIF(D7252,"*"&amp;'Keyword Search'!$C$5&amp;"*"),TRUE,FALSE)</f>
        <v>1</v>
      </c>
      <c r="G7252" t="str">
        <f t="shared" si="468"/>
        <v>911-22: C.I.P., Demolition Contract</v>
      </c>
    </row>
    <row r="7253" spans="1:7" x14ac:dyDescent="0.25">
      <c r="A7253" s="1" t="str">
        <f t="shared" si="466"/>
        <v>911</v>
      </c>
      <c r="B7253" s="1" t="str">
        <f>TEXT(24,"00")</f>
        <v>24</v>
      </c>
      <c r="C7253" s="1" t="str">
        <f t="shared" si="467"/>
        <v>911-24</v>
      </c>
      <c r="D7253" t="s">
        <v>7224</v>
      </c>
      <c r="E7253" t="b">
        <f>IF(COUNTIF(D7253,"*"&amp;'Keyword Search'!$C$5&amp;"*"),TRUE,FALSE)</f>
        <v>1</v>
      </c>
      <c r="G7253" t="str">
        <f t="shared" si="468"/>
        <v>911-24: C.I.P., Endangered Species</v>
      </c>
    </row>
    <row r="7254" spans="1:7" x14ac:dyDescent="0.25">
      <c r="A7254" s="1" t="str">
        <f t="shared" si="466"/>
        <v>911</v>
      </c>
      <c r="B7254" s="1" t="str">
        <f>TEXT(25,"00")</f>
        <v>25</v>
      </c>
      <c r="C7254" s="1" t="str">
        <f t="shared" si="467"/>
        <v>911-25</v>
      </c>
      <c r="D7254" t="s">
        <v>7225</v>
      </c>
      <c r="E7254" t="b">
        <f>IF(COUNTIF(D7254,"*"&amp;'Keyword Search'!$C$5&amp;"*"),TRUE,FALSE)</f>
        <v>1</v>
      </c>
      <c r="G7254" t="str">
        <f t="shared" si="468"/>
        <v>911-25: C.I.P., Energy Management System</v>
      </c>
    </row>
    <row r="7255" spans="1:7" x14ac:dyDescent="0.25">
      <c r="A7255" s="1" t="str">
        <f t="shared" si="466"/>
        <v>911</v>
      </c>
      <c r="B7255" s="1" t="str">
        <f>TEXT(26,"00")</f>
        <v>26</v>
      </c>
      <c r="C7255" s="1" t="str">
        <f t="shared" si="467"/>
        <v>911-26</v>
      </c>
      <c r="D7255" t="s">
        <v>7226</v>
      </c>
      <c r="E7255" t="b">
        <f>IF(COUNTIF(D7255,"*"&amp;'Keyword Search'!$C$5&amp;"*"),TRUE,FALSE)</f>
        <v>1</v>
      </c>
      <c r="G7255" t="str">
        <f t="shared" si="468"/>
        <v>911-26: C.I.P., Environmental Factors</v>
      </c>
    </row>
    <row r="7256" spans="1:7" x14ac:dyDescent="0.25">
      <c r="A7256" s="1" t="str">
        <f t="shared" si="466"/>
        <v>911</v>
      </c>
      <c r="B7256" s="1" t="str">
        <f>TEXT(27,"00")</f>
        <v>27</v>
      </c>
      <c r="C7256" s="1" t="str">
        <f t="shared" si="467"/>
        <v>911-27</v>
      </c>
      <c r="D7256" t="s">
        <v>7227</v>
      </c>
      <c r="E7256" t="b">
        <f>IF(COUNTIF(D7256,"*"&amp;'Keyword Search'!$C$5&amp;"*"),TRUE,FALSE)</f>
        <v>1</v>
      </c>
      <c r="G7256" t="str">
        <f t="shared" si="468"/>
        <v>911-27: C.I.P., Equipment, Capitalized</v>
      </c>
    </row>
    <row r="7257" spans="1:7" x14ac:dyDescent="0.25">
      <c r="A7257" s="1" t="str">
        <f t="shared" si="466"/>
        <v>911</v>
      </c>
      <c r="B7257" s="1" t="str">
        <f>TEXT(28,"00")</f>
        <v>28</v>
      </c>
      <c r="C7257" s="1" t="str">
        <f t="shared" si="467"/>
        <v>911-28</v>
      </c>
      <c r="D7257" t="s">
        <v>7228</v>
      </c>
      <c r="E7257" t="b">
        <f>IF(COUNTIF(D7257,"*"&amp;'Keyword Search'!$C$5&amp;"*"),TRUE,FALSE)</f>
        <v>1</v>
      </c>
      <c r="G7257" t="str">
        <f t="shared" si="468"/>
        <v>911-28: C.I.P., Equipment, Controlled</v>
      </c>
    </row>
    <row r="7258" spans="1:7" x14ac:dyDescent="0.25">
      <c r="A7258" s="1" t="str">
        <f t="shared" si="466"/>
        <v>911</v>
      </c>
      <c r="B7258" s="1" t="str">
        <f>TEXT(29,"00")</f>
        <v>29</v>
      </c>
      <c r="C7258" s="1" t="str">
        <f t="shared" si="467"/>
        <v>911-29</v>
      </c>
      <c r="D7258" t="s">
        <v>7229</v>
      </c>
      <c r="E7258" t="b">
        <f>IF(COUNTIF(D7258,"*"&amp;'Keyword Search'!$C$5&amp;"*"),TRUE,FALSE)</f>
        <v>1</v>
      </c>
      <c r="G7258" t="str">
        <f t="shared" si="468"/>
        <v>911-29: C.I.P., Equipment, Expensed</v>
      </c>
    </row>
    <row r="7259" spans="1:7" x14ac:dyDescent="0.25">
      <c r="A7259" s="1" t="str">
        <f t="shared" si="466"/>
        <v>911</v>
      </c>
      <c r="B7259" s="1" t="str">
        <f>TEXT(30,"00")</f>
        <v>30</v>
      </c>
      <c r="C7259" s="1" t="str">
        <f t="shared" si="467"/>
        <v>911-30</v>
      </c>
      <c r="D7259" t="s">
        <v>7230</v>
      </c>
      <c r="E7259" t="b">
        <f>IF(COUNTIF(D7259,"*"&amp;'Keyword Search'!$C$5&amp;"*"),TRUE,FALSE)</f>
        <v>1</v>
      </c>
      <c r="G7259" t="str">
        <f t="shared" si="468"/>
        <v>911-30: C.I.P., Fabrication of Equipment</v>
      </c>
    </row>
    <row r="7260" spans="1:7" x14ac:dyDescent="0.25">
      <c r="A7260" s="1" t="str">
        <f t="shared" si="466"/>
        <v>911</v>
      </c>
      <c r="B7260" s="1" t="str">
        <f>TEXT(31,"00")</f>
        <v>31</v>
      </c>
      <c r="C7260" s="1" t="str">
        <f t="shared" si="467"/>
        <v>911-31</v>
      </c>
      <c r="D7260" t="s">
        <v>7231</v>
      </c>
      <c r="E7260" t="b">
        <f>IF(COUNTIF(D7260,"*"&amp;'Keyword Search'!$C$5&amp;"*"),TRUE,FALSE)</f>
        <v>1</v>
      </c>
      <c r="G7260" t="str">
        <f t="shared" si="468"/>
        <v>911-31: C.I.P., Fiber optics</v>
      </c>
    </row>
    <row r="7261" spans="1:7" x14ac:dyDescent="0.25">
      <c r="A7261" s="1" t="str">
        <f t="shared" si="466"/>
        <v>911</v>
      </c>
      <c r="B7261" s="1" t="str">
        <f>TEXT(32,"00")</f>
        <v>32</v>
      </c>
      <c r="C7261" s="1" t="str">
        <f t="shared" si="467"/>
        <v>911-32</v>
      </c>
      <c r="D7261" t="s">
        <v>7232</v>
      </c>
      <c r="E7261" t="b">
        <f>IF(COUNTIF(D7261,"*"&amp;'Keyword Search'!$C$5&amp;"*"),TRUE,FALSE)</f>
        <v>1</v>
      </c>
      <c r="G7261" t="str">
        <f t="shared" si="468"/>
        <v>911-32: C.I.P., Fire Alarm System</v>
      </c>
    </row>
    <row r="7262" spans="1:7" x14ac:dyDescent="0.25">
      <c r="A7262" s="1" t="str">
        <f t="shared" si="466"/>
        <v>911</v>
      </c>
      <c r="B7262" s="1" t="str">
        <f>TEXT(35,"00")</f>
        <v>35</v>
      </c>
      <c r="C7262" s="1" t="str">
        <f t="shared" si="467"/>
        <v>911-35</v>
      </c>
      <c r="D7262" t="s">
        <v>7233</v>
      </c>
      <c r="E7262" t="b">
        <f>IF(COUNTIF(D7262,"*"&amp;'Keyword Search'!$C$5&amp;"*"),TRUE,FALSE)</f>
        <v>1</v>
      </c>
      <c r="G7262" t="str">
        <f t="shared" si="468"/>
        <v>911-35: C.I.P., Hazardous Materials</v>
      </c>
    </row>
    <row r="7263" spans="1:7" x14ac:dyDescent="0.25">
      <c r="A7263" s="1" t="str">
        <f t="shared" si="466"/>
        <v>911</v>
      </c>
      <c r="B7263" s="1" t="str">
        <f>TEXT(36,"00")</f>
        <v>36</v>
      </c>
      <c r="C7263" s="1" t="str">
        <f t="shared" si="467"/>
        <v>911-36</v>
      </c>
      <c r="D7263" t="s">
        <v>7234</v>
      </c>
      <c r="E7263" t="b">
        <f>IF(COUNTIF(D7263,"*"&amp;'Keyword Search'!$C$5&amp;"*"),TRUE,FALSE)</f>
        <v>1</v>
      </c>
      <c r="G7263" t="str">
        <f t="shared" si="468"/>
        <v>911-36: C.I.P., HVAC Balancing Services</v>
      </c>
    </row>
    <row r="7264" spans="1:7" x14ac:dyDescent="0.25">
      <c r="A7264" s="1" t="str">
        <f t="shared" si="466"/>
        <v>911</v>
      </c>
      <c r="B7264" s="1" t="str">
        <f>TEXT(40,"00")</f>
        <v>40</v>
      </c>
      <c r="C7264" s="1" t="str">
        <f t="shared" si="467"/>
        <v>911-40</v>
      </c>
      <c r="D7264" t="s">
        <v>7235</v>
      </c>
      <c r="E7264" t="b">
        <f>IF(COUNTIF(D7264,"*"&amp;'Keyword Search'!$C$5&amp;"*"),TRUE,FALSE)</f>
        <v>1</v>
      </c>
      <c r="G7264" t="str">
        <f t="shared" si="468"/>
        <v>911-40: C.I.P., Land Surveying Services</v>
      </c>
    </row>
    <row r="7265" spans="1:7" x14ac:dyDescent="0.25">
      <c r="A7265" s="1" t="str">
        <f t="shared" si="466"/>
        <v>911</v>
      </c>
      <c r="B7265" s="1" t="str">
        <f>TEXT(41,"00")</f>
        <v>41</v>
      </c>
      <c r="C7265" s="1" t="str">
        <f t="shared" si="467"/>
        <v>911-41</v>
      </c>
      <c r="D7265" t="s">
        <v>7236</v>
      </c>
      <c r="E7265" t="b">
        <f>IF(COUNTIF(D7265,"*"&amp;'Keyword Search'!$C$5&amp;"*"),TRUE,FALSE)</f>
        <v>1</v>
      </c>
      <c r="G7265" t="str">
        <f t="shared" si="468"/>
        <v>911-41: C.I.P., Landscaping</v>
      </c>
    </row>
    <row r="7266" spans="1:7" x14ac:dyDescent="0.25">
      <c r="A7266" s="1" t="str">
        <f t="shared" si="466"/>
        <v>911</v>
      </c>
      <c r="B7266" s="1" t="str">
        <f>TEXT(43,"00")</f>
        <v>43</v>
      </c>
      <c r="C7266" s="1" t="str">
        <f t="shared" si="467"/>
        <v>911-43</v>
      </c>
      <c r="D7266" t="s">
        <v>7237</v>
      </c>
      <c r="E7266" t="b">
        <f>IF(COUNTIF(D7266,"*"&amp;'Keyword Search'!$C$5&amp;"*"),TRUE,FALSE)</f>
        <v>1</v>
      </c>
      <c r="G7266" t="str">
        <f t="shared" si="468"/>
        <v>911-43: C.I.P., Movable Furnishings</v>
      </c>
    </row>
    <row r="7267" spans="1:7" x14ac:dyDescent="0.25">
      <c r="A7267" s="1" t="str">
        <f t="shared" si="466"/>
        <v>911</v>
      </c>
      <c r="B7267" s="1" t="str">
        <f>TEXT(45,"00")</f>
        <v>45</v>
      </c>
      <c r="C7267" s="1" t="str">
        <f t="shared" si="467"/>
        <v>911-45</v>
      </c>
      <c r="D7267" t="s">
        <v>7238</v>
      </c>
      <c r="E7267" t="b">
        <f>IF(COUNTIF(D7267,"*"&amp;'Keyword Search'!$C$5&amp;"*"),TRUE,FALSE)</f>
        <v>1</v>
      </c>
      <c r="G7267" t="str">
        <f t="shared" si="468"/>
        <v>911-45: C.I.P., Movable Furnishings Contingency</v>
      </c>
    </row>
    <row r="7268" spans="1:7" x14ac:dyDescent="0.25">
      <c r="A7268" s="1" t="str">
        <f t="shared" si="466"/>
        <v>911</v>
      </c>
      <c r="B7268" s="1" t="str">
        <f>TEXT(46,"00")</f>
        <v>46</v>
      </c>
      <c r="C7268" s="1" t="str">
        <f t="shared" si="467"/>
        <v>911-46</v>
      </c>
      <c r="D7268" t="s">
        <v>7239</v>
      </c>
      <c r="E7268" t="b">
        <f>IF(COUNTIF(D7268,"*"&amp;'Keyword Search'!$C$5&amp;"*"),TRUE,FALSE)</f>
        <v>1</v>
      </c>
      <c r="G7268" t="str">
        <f t="shared" si="468"/>
        <v>911-46: C.I.P., Other Services</v>
      </c>
    </row>
    <row r="7269" spans="1:7" x14ac:dyDescent="0.25">
      <c r="A7269" s="1" t="str">
        <f t="shared" si="466"/>
        <v>911</v>
      </c>
      <c r="B7269" s="1" t="str">
        <f>TEXT(47,"00")</f>
        <v>47</v>
      </c>
      <c r="C7269" s="1" t="str">
        <f t="shared" si="467"/>
        <v>911-47</v>
      </c>
      <c r="D7269" t="s">
        <v>7240</v>
      </c>
      <c r="E7269" t="b">
        <f>IF(COUNTIF(D7269,"*"&amp;'Keyword Search'!$C$5&amp;"*"),TRUE,FALSE)</f>
        <v>1</v>
      </c>
      <c r="G7269" t="str">
        <f t="shared" si="468"/>
        <v>911-47: C.I.P., Preconstruction Reimbursable</v>
      </c>
    </row>
    <row r="7270" spans="1:7" x14ac:dyDescent="0.25">
      <c r="A7270" s="1" t="str">
        <f t="shared" si="466"/>
        <v>911</v>
      </c>
      <c r="B7270" s="1" t="str">
        <f>TEXT(48,"00")</f>
        <v>48</v>
      </c>
      <c r="C7270" s="1" t="str">
        <f t="shared" si="467"/>
        <v>911-48</v>
      </c>
      <c r="D7270" t="s">
        <v>7241</v>
      </c>
      <c r="E7270" t="b">
        <f>IF(COUNTIF(D7270,"*"&amp;'Keyword Search'!$C$5&amp;"*"),TRUE,FALSE)</f>
        <v>1</v>
      </c>
      <c r="G7270" t="str">
        <f t="shared" si="468"/>
        <v>911-48: C.I.P., Preconstruction Services</v>
      </c>
    </row>
    <row r="7271" spans="1:7" x14ac:dyDescent="0.25">
      <c r="A7271" s="1" t="str">
        <f t="shared" si="466"/>
        <v>911</v>
      </c>
      <c r="B7271" s="1" t="str">
        <f>TEXT(49,"00")</f>
        <v>49</v>
      </c>
      <c r="C7271" s="1" t="str">
        <f t="shared" si="467"/>
        <v>911-49</v>
      </c>
      <c r="D7271" t="s">
        <v>7242</v>
      </c>
      <c r="E7271" t="b">
        <f>IF(COUNTIF(D7271,"*"&amp;'Keyword Search'!$C$5&amp;"*"),TRUE,FALSE)</f>
        <v>1</v>
      </c>
      <c r="G7271" t="str">
        <f t="shared" si="468"/>
        <v>911-49: C.I.P., Program of Requirements</v>
      </c>
    </row>
    <row r="7272" spans="1:7" x14ac:dyDescent="0.25">
      <c r="A7272" s="1" t="str">
        <f t="shared" si="466"/>
        <v>911</v>
      </c>
      <c r="B7272" s="1" t="str">
        <f>TEXT(50,"00")</f>
        <v>50</v>
      </c>
      <c r="C7272" s="1" t="str">
        <f t="shared" si="467"/>
        <v>911-50</v>
      </c>
      <c r="D7272" t="s">
        <v>7243</v>
      </c>
      <c r="E7272" t="b">
        <f>IF(COUNTIF(D7272,"*"&amp;'Keyword Search'!$C$5&amp;"*"),TRUE,FALSE)</f>
        <v>1</v>
      </c>
      <c r="G7272" t="str">
        <f t="shared" si="468"/>
        <v>911-50: C.I.P., Project Management and Administration, Move Furniture</v>
      </c>
    </row>
    <row r="7273" spans="1:7" x14ac:dyDescent="0.25">
      <c r="A7273" s="1" t="str">
        <f t="shared" si="466"/>
        <v>911</v>
      </c>
      <c r="B7273" s="1" t="str">
        <f>TEXT(51,"00")</f>
        <v>51</v>
      </c>
      <c r="C7273" s="1" t="str">
        <f t="shared" si="467"/>
        <v>911-51</v>
      </c>
      <c r="D7273" t="s">
        <v>7244</v>
      </c>
      <c r="E7273" t="b">
        <f>IF(COUNTIF(D7273,"*"&amp;'Keyword Search'!$C$5&amp;"*"),TRUE,FALSE)</f>
        <v>1</v>
      </c>
      <c r="G7273" t="str">
        <f t="shared" si="468"/>
        <v>911-51: C.I.P., Project Management and Administration</v>
      </c>
    </row>
    <row r="7274" spans="1:7" x14ac:dyDescent="0.25">
      <c r="A7274" s="1" t="str">
        <f t="shared" si="466"/>
        <v>911</v>
      </c>
      <c r="B7274" s="1" t="str">
        <f>TEXT(52,"00")</f>
        <v>52</v>
      </c>
      <c r="C7274" s="1" t="str">
        <f t="shared" si="467"/>
        <v>911-52</v>
      </c>
      <c r="D7274" t="s">
        <v>7245</v>
      </c>
      <c r="E7274" t="b">
        <f>IF(COUNTIF(D7274,"*"&amp;'Keyword Search'!$C$5&amp;"*"),TRUE,FALSE)</f>
        <v>1</v>
      </c>
      <c r="G7274" t="str">
        <f t="shared" si="468"/>
        <v>911-52: C.I.P., Project Management and Administration Surveys</v>
      </c>
    </row>
    <row r="7275" spans="1:7" x14ac:dyDescent="0.25">
      <c r="A7275" s="1" t="str">
        <f t="shared" si="466"/>
        <v>911</v>
      </c>
      <c r="B7275" s="1" t="str">
        <f>TEXT(55,"00")</f>
        <v>55</v>
      </c>
      <c r="C7275" s="1" t="str">
        <f t="shared" si="467"/>
        <v>911-55</v>
      </c>
      <c r="D7275" t="s">
        <v>7246</v>
      </c>
      <c r="E7275" t="b">
        <f>IF(COUNTIF(D7275,"*"&amp;'Keyword Search'!$C$5&amp;"*"),TRUE,FALSE)</f>
        <v>1</v>
      </c>
      <c r="G7275" t="str">
        <f t="shared" si="468"/>
        <v>911-55: C.I.P., Security System</v>
      </c>
    </row>
    <row r="7276" spans="1:7" x14ac:dyDescent="0.25">
      <c r="A7276" s="1" t="str">
        <f t="shared" si="466"/>
        <v>911</v>
      </c>
      <c r="B7276" s="1" t="str">
        <f>TEXT(56,"00")</f>
        <v>56</v>
      </c>
      <c r="C7276" s="1" t="str">
        <f t="shared" si="467"/>
        <v>911-56</v>
      </c>
      <c r="D7276" t="s">
        <v>7247</v>
      </c>
      <c r="E7276" t="b">
        <f>IF(COUNTIF(D7276,"*"&amp;'Keyword Search'!$C$5&amp;"*"),TRUE,FALSE)</f>
        <v>1</v>
      </c>
      <c r="G7276" t="str">
        <f t="shared" si="468"/>
        <v>911-56: C.I.P., Site Evaluation Analysis</v>
      </c>
    </row>
    <row r="7277" spans="1:7" x14ac:dyDescent="0.25">
      <c r="A7277" s="1" t="str">
        <f t="shared" si="466"/>
        <v>911</v>
      </c>
      <c r="B7277" s="1" t="str">
        <f>TEXT(57,"00")</f>
        <v>57</v>
      </c>
      <c r="C7277" s="1" t="str">
        <f t="shared" si="467"/>
        <v>911-57</v>
      </c>
      <c r="D7277" t="s">
        <v>7248</v>
      </c>
      <c r="E7277" t="b">
        <f>IF(COUNTIF(D7277,"*"&amp;'Keyword Search'!$C$5&amp;"*"),TRUE,FALSE)</f>
        <v>1</v>
      </c>
      <c r="G7277" t="str">
        <f t="shared" si="468"/>
        <v>911-57: C.I.P., Soil Investigation</v>
      </c>
    </row>
    <row r="7278" spans="1:7" x14ac:dyDescent="0.25">
      <c r="A7278" s="1" t="str">
        <f t="shared" si="466"/>
        <v>911</v>
      </c>
      <c r="B7278" s="1" t="str">
        <f>TEXT(58,"00")</f>
        <v>58</v>
      </c>
      <c r="C7278" s="1" t="str">
        <f t="shared" si="467"/>
        <v>911-58</v>
      </c>
      <c r="D7278" t="s">
        <v>7249</v>
      </c>
      <c r="E7278" t="b">
        <f>IF(COUNTIF(D7278,"*"&amp;'Keyword Search'!$C$5&amp;"*"),TRUE,FALSE)</f>
        <v>1</v>
      </c>
      <c r="G7278" t="str">
        <f t="shared" si="468"/>
        <v>911-58: C.I.P., Special Consultants</v>
      </c>
    </row>
    <row r="7279" spans="1:7" x14ac:dyDescent="0.25">
      <c r="A7279" s="1" t="str">
        <f t="shared" si="466"/>
        <v>911</v>
      </c>
      <c r="B7279" s="1" t="str">
        <f>TEXT(64,"00")</f>
        <v>64</v>
      </c>
      <c r="C7279" s="1" t="str">
        <f t="shared" si="467"/>
        <v>911-64</v>
      </c>
      <c r="D7279" t="s">
        <v>7250</v>
      </c>
      <c r="E7279" t="b">
        <f>IF(COUNTIF(D7279,"*"&amp;'Keyword Search'!$C$5&amp;"*"),TRUE,FALSE)</f>
        <v>1</v>
      </c>
      <c r="G7279" t="str">
        <f t="shared" si="468"/>
        <v>911-64: C.I.P., Utilities</v>
      </c>
    </row>
    <row r="7280" spans="1:7" x14ac:dyDescent="0.25">
      <c r="A7280" s="1" t="str">
        <f t="shared" si="466"/>
        <v>911</v>
      </c>
      <c r="B7280" s="1" t="str">
        <f>TEXT(67,"00")</f>
        <v>67</v>
      </c>
      <c r="C7280" s="1" t="str">
        <f t="shared" si="467"/>
        <v>911-67</v>
      </c>
      <c r="D7280" t="s">
        <v>7251</v>
      </c>
      <c r="E7280" t="b">
        <f>IF(COUNTIF(D7280,"*"&amp;'Keyword Search'!$C$5&amp;"*"),TRUE,FALSE)</f>
        <v>1</v>
      </c>
      <c r="G7280" t="str">
        <f t="shared" si="468"/>
        <v>911-67: C.I.P., Wind Tunnel Testing</v>
      </c>
    </row>
    <row r="7281" spans="1:7" x14ac:dyDescent="0.25">
      <c r="A7281" s="1" t="str">
        <f t="shared" si="466"/>
        <v>911</v>
      </c>
      <c r="B7281" s="1" t="str">
        <f>TEXT(70,"00")</f>
        <v>70</v>
      </c>
      <c r="C7281" s="1" t="str">
        <f t="shared" si="467"/>
        <v>911-70</v>
      </c>
      <c r="D7281" t="s">
        <v>7252</v>
      </c>
      <c r="E7281" t="b">
        <f>IF(COUNTIF(D7281,"*"&amp;'Keyword Search'!$C$5&amp;"*"),TRUE,FALSE)</f>
        <v>1</v>
      </c>
      <c r="G7281" t="str">
        <f t="shared" si="468"/>
        <v>911-70: Capitalized Construction Interest</v>
      </c>
    </row>
    <row r="7282" spans="1:7" x14ac:dyDescent="0.25">
      <c r="A7282" s="1" t="str">
        <f t="shared" si="466"/>
        <v>911</v>
      </c>
      <c r="B7282" s="1" t="str">
        <f>TEXT(72,"00")</f>
        <v>72</v>
      </c>
      <c r="C7282" s="1" t="str">
        <f t="shared" si="467"/>
        <v>911-72</v>
      </c>
      <c r="D7282" t="s">
        <v>7253</v>
      </c>
      <c r="E7282" t="b">
        <f>IF(COUNTIF(D7282,"*"&amp;'Keyword Search'!$C$5&amp;"*"),TRUE,FALSE)</f>
        <v>1</v>
      </c>
      <c r="G7282" t="str">
        <f t="shared" si="468"/>
        <v>911-72: Design / Bid Contingency</v>
      </c>
    </row>
    <row r="7283" spans="1:7" x14ac:dyDescent="0.25">
      <c r="A7283" s="1" t="str">
        <f t="shared" si="466"/>
        <v>911</v>
      </c>
      <c r="B7283" s="1" t="str">
        <f>TEXT(73,"00")</f>
        <v>73</v>
      </c>
      <c r="C7283" s="1" t="str">
        <f t="shared" si="467"/>
        <v>911-73</v>
      </c>
      <c r="D7283" t="s">
        <v>7254</v>
      </c>
      <c r="E7283" t="b">
        <f>IF(COUNTIF(D7283,"*"&amp;'Keyword Search'!$C$5&amp;"*"),TRUE,FALSE)</f>
        <v>1</v>
      </c>
      <c r="G7283" t="str">
        <f t="shared" si="468"/>
        <v>911-73: Domestic Hot Water</v>
      </c>
    </row>
    <row r="7284" spans="1:7" x14ac:dyDescent="0.25">
      <c r="A7284" s="1" t="str">
        <f t="shared" si="466"/>
        <v>911</v>
      </c>
      <c r="B7284" s="1" t="str">
        <f>TEXT(75,"00")</f>
        <v>75</v>
      </c>
      <c r="C7284" s="1" t="str">
        <f t="shared" si="467"/>
        <v>911-75</v>
      </c>
      <c r="D7284" t="s">
        <v>7255</v>
      </c>
      <c r="E7284" t="b">
        <f>IF(COUNTIF(D7284,"*"&amp;'Keyword Search'!$C$5&amp;"*"),TRUE,FALSE)</f>
        <v>1</v>
      </c>
      <c r="G7284" t="str">
        <f t="shared" si="468"/>
        <v>911-75: Electricity Contracts</v>
      </c>
    </row>
    <row r="7285" spans="1:7" x14ac:dyDescent="0.25">
      <c r="A7285" s="1" t="str">
        <f t="shared" si="466"/>
        <v>911</v>
      </c>
      <c r="B7285" s="1" t="str">
        <f>TEXT(77,"00")</f>
        <v>77</v>
      </c>
      <c r="C7285" s="1" t="str">
        <f t="shared" si="467"/>
        <v>911-77</v>
      </c>
      <c r="D7285" t="s">
        <v>7256</v>
      </c>
      <c r="E7285" t="b">
        <f>IF(COUNTIF(D7285,"*"&amp;'Keyword Search'!$C$5&amp;"*"),TRUE,FALSE)</f>
        <v>1</v>
      </c>
      <c r="G7285" t="str">
        <f t="shared" si="468"/>
        <v>911-77: Facilities and Other Improvements</v>
      </c>
    </row>
    <row r="7286" spans="1:7" x14ac:dyDescent="0.25">
      <c r="A7286" s="1" t="str">
        <f t="shared" si="466"/>
        <v>911</v>
      </c>
      <c r="B7286" s="1" t="str">
        <f>TEXT(79,"00")</f>
        <v>79</v>
      </c>
      <c r="C7286" s="1" t="str">
        <f t="shared" si="467"/>
        <v>911-79</v>
      </c>
      <c r="D7286" t="s">
        <v>7257</v>
      </c>
      <c r="E7286" t="b">
        <f>IF(COUNTIF(D7286,"*"&amp;'Keyword Search'!$C$5&amp;"*"),TRUE,FALSE)</f>
        <v>1</v>
      </c>
      <c r="G7286" t="str">
        <f t="shared" si="468"/>
        <v>911-79: Gas Contracts</v>
      </c>
    </row>
    <row r="7287" spans="1:7" x14ac:dyDescent="0.25">
      <c r="A7287" s="1" t="str">
        <f t="shared" si="466"/>
        <v>911</v>
      </c>
      <c r="B7287" s="1" t="str">
        <f>TEXT(80,"00")</f>
        <v>80</v>
      </c>
      <c r="C7287" s="1" t="str">
        <f t="shared" si="467"/>
        <v>911-80</v>
      </c>
      <c r="D7287" t="s">
        <v>7258</v>
      </c>
      <c r="E7287" t="b">
        <f>IF(COUNTIF(D7287,"*"&amp;'Keyword Search'!$C$5&amp;"*"),TRUE,FALSE)</f>
        <v>1</v>
      </c>
      <c r="G7287" t="str">
        <f t="shared" si="468"/>
        <v>911-80: Heat</v>
      </c>
    </row>
    <row r="7288" spans="1:7" x14ac:dyDescent="0.25">
      <c r="A7288" s="1" t="str">
        <f t="shared" si="466"/>
        <v>911</v>
      </c>
      <c r="B7288" s="1" t="str">
        <f>TEXT(81,"00")</f>
        <v>81</v>
      </c>
      <c r="C7288" s="1" t="str">
        <f t="shared" si="467"/>
        <v>911-81</v>
      </c>
      <c r="D7288" t="s">
        <v>7259</v>
      </c>
      <c r="E7288" t="b">
        <f>IF(COUNTIF(D7288,"*"&amp;'Keyword Search'!$C$5&amp;"*"),TRUE,FALSE)</f>
        <v>1</v>
      </c>
      <c r="G7288" t="str">
        <f t="shared" si="468"/>
        <v>911-81: Heavy Construction Resold to Departments</v>
      </c>
    </row>
    <row r="7289" spans="1:7" x14ac:dyDescent="0.25">
      <c r="A7289" s="1" t="str">
        <f t="shared" si="466"/>
        <v>911</v>
      </c>
      <c r="B7289" s="1" t="str">
        <f>TEXT(85,"00")</f>
        <v>85</v>
      </c>
      <c r="C7289" s="1" t="str">
        <f t="shared" si="467"/>
        <v>911-85</v>
      </c>
      <c r="D7289" t="s">
        <v>7260</v>
      </c>
      <c r="E7289" t="b">
        <f>IF(COUNTIF(D7289,"*"&amp;'Keyword Search'!$C$5&amp;"*"),TRUE,FALSE)</f>
        <v>1</v>
      </c>
      <c r="G7289" t="str">
        <f t="shared" si="468"/>
        <v>911-85: Special Trade Construction, Power Plant</v>
      </c>
    </row>
    <row r="7290" spans="1:7" x14ac:dyDescent="0.25">
      <c r="A7290" s="1" t="str">
        <f t="shared" si="466"/>
        <v>911</v>
      </c>
      <c r="B7290" s="1" t="str">
        <f>TEXT(86,"00")</f>
        <v>86</v>
      </c>
      <c r="C7290" s="1" t="str">
        <f t="shared" si="467"/>
        <v>911-86</v>
      </c>
      <c r="D7290" t="s">
        <v>7261</v>
      </c>
      <c r="E7290" t="b">
        <f>IF(COUNTIF(D7290,"*"&amp;'Keyword Search'!$C$5&amp;"*"),TRUE,FALSE)</f>
        <v>1</v>
      </c>
      <c r="G7290" t="str">
        <f t="shared" si="468"/>
        <v>911-86: Steam</v>
      </c>
    </row>
    <row r="7291" spans="1:7" x14ac:dyDescent="0.25">
      <c r="A7291" s="1" t="str">
        <f t="shared" si="466"/>
        <v>911</v>
      </c>
      <c r="B7291" s="1" t="str">
        <f>TEXT(87,"00")</f>
        <v>87</v>
      </c>
      <c r="C7291" s="1" t="str">
        <f t="shared" si="467"/>
        <v>911-87</v>
      </c>
      <c r="D7291" t="s">
        <v>7262</v>
      </c>
      <c r="E7291" t="b">
        <f>IF(COUNTIF(D7291,"*"&amp;'Keyword Search'!$C$5&amp;"*"),TRUE,FALSE)</f>
        <v>1</v>
      </c>
      <c r="G7291" t="str">
        <f t="shared" si="468"/>
        <v>911-87: Storm Drainage</v>
      </c>
    </row>
    <row r="7292" spans="1:7" x14ac:dyDescent="0.25">
      <c r="A7292" s="1" t="str">
        <f t="shared" si="466"/>
        <v>911</v>
      </c>
      <c r="B7292" s="1" t="str">
        <f>TEXT(95,"00")</f>
        <v>95</v>
      </c>
      <c r="C7292" s="1" t="str">
        <f t="shared" si="467"/>
        <v>911-95</v>
      </c>
      <c r="D7292" t="s">
        <v>7263</v>
      </c>
      <c r="E7292" t="b">
        <f>IF(COUNTIF(D7292,"*"&amp;'Keyword Search'!$C$5&amp;"*"),TRUE,FALSE)</f>
        <v>1</v>
      </c>
      <c r="G7292" t="str">
        <f t="shared" si="468"/>
        <v>911-95: Waived Utility Expense.</v>
      </c>
    </row>
    <row r="7293" spans="1:7" x14ac:dyDescent="0.25">
      <c r="A7293" s="5" t="str">
        <f t="shared" ref="A7293:A7325" si="469">TEXT(912,"000")</f>
        <v>912</v>
      </c>
      <c r="B7293" s="5" t="str">
        <f>TEXT(0,"00")</f>
        <v>00</v>
      </c>
      <c r="C7293" s="1"/>
      <c r="D7293" s="2" t="s">
        <v>7264</v>
      </c>
    </row>
    <row r="7294" spans="1:7" x14ac:dyDescent="0.25">
      <c r="A7294" s="1" t="str">
        <f t="shared" si="469"/>
        <v>912</v>
      </c>
      <c r="B7294" s="1" t="str">
        <f>TEXT(16,"00")</f>
        <v>16</v>
      </c>
      <c r="C7294" s="1" t="str">
        <f t="shared" si="467"/>
        <v>912-16</v>
      </c>
      <c r="D7294" t="s">
        <v>7265</v>
      </c>
      <c r="E7294" t="b">
        <f>IF(COUNTIF(D7294,"*"&amp;'Keyword Search'!$C$5&amp;"*"),TRUE,FALSE)</f>
        <v>1</v>
      </c>
      <c r="G7294" t="str">
        <f t="shared" si="468"/>
        <v>912-16: Boring, Drilling, Testing, and Soundings Services, Including Concrete Coring</v>
      </c>
    </row>
    <row r="7295" spans="1:7" x14ac:dyDescent="0.25">
      <c r="A7295" s="1" t="str">
        <f t="shared" si="469"/>
        <v>912</v>
      </c>
      <c r="B7295" s="1" t="str">
        <f>TEXT(19,"00")</f>
        <v>19</v>
      </c>
      <c r="C7295" s="1" t="str">
        <f t="shared" si="467"/>
        <v>912-19</v>
      </c>
      <c r="D7295" t="s">
        <v>7266</v>
      </c>
      <c r="E7295" t="b">
        <f>IF(COUNTIF(D7295,"*"&amp;'Keyword Search'!$C$5&amp;"*"),TRUE,FALSE)</f>
        <v>1</v>
      </c>
      <c r="G7295" t="str">
        <f t="shared" si="468"/>
        <v>912-19: Clearing and Grubbing Services</v>
      </c>
    </row>
    <row r="7296" spans="1:7" x14ac:dyDescent="0.25">
      <c r="A7296" s="1" t="str">
        <f t="shared" si="469"/>
        <v>912</v>
      </c>
      <c r="B7296" s="1" t="str">
        <f>TEXT(20,"00")</f>
        <v>20</v>
      </c>
      <c r="C7296" s="1" t="str">
        <f t="shared" si="467"/>
        <v>912-20</v>
      </c>
      <c r="D7296" t="s">
        <v>7267</v>
      </c>
      <c r="E7296" t="b">
        <f>IF(COUNTIF(D7296,"*"&amp;'Keyword Search'!$C$5&amp;"*"),TRUE,FALSE)</f>
        <v>1</v>
      </c>
      <c r="G7296" t="str">
        <f t="shared" si="468"/>
        <v>912-20: Construction, Fire Protection: Fire Escapes, Fire and Smoke Barriers, Firestops</v>
      </c>
    </row>
    <row r="7297" spans="1:7" x14ac:dyDescent="0.25">
      <c r="A7297" s="1" t="str">
        <f t="shared" si="469"/>
        <v>912</v>
      </c>
      <c r="B7297" s="1" t="str">
        <f>TEXT(21,"00")</f>
        <v>21</v>
      </c>
      <c r="C7297" s="1" t="str">
        <f t="shared" si="467"/>
        <v>912-21</v>
      </c>
      <c r="D7297" t="s">
        <v>7268</v>
      </c>
      <c r="E7297" t="b">
        <f>IF(COUNTIF(D7297,"*"&amp;'Keyword Search'!$C$5&amp;"*"),TRUE,FALSE)</f>
        <v>1</v>
      </c>
      <c r="G7297" t="str">
        <f t="shared" si="468"/>
        <v>912-21: Construction, Energy Related, All Types</v>
      </c>
    </row>
    <row r="7298" spans="1:7" x14ac:dyDescent="0.25">
      <c r="A7298" s="1" t="str">
        <f t="shared" si="469"/>
        <v>912</v>
      </c>
      <c r="B7298" s="1" t="str">
        <f>TEXT(22,"00")</f>
        <v>22</v>
      </c>
      <c r="C7298" s="1" t="str">
        <f t="shared" si="467"/>
        <v>912-22</v>
      </c>
      <c r="D7298" t="s">
        <v>7269</v>
      </c>
      <c r="E7298" t="b">
        <f>IF(COUNTIF(D7298,"*"&amp;'Keyword Search'!$C$5&amp;"*"),TRUE,FALSE)</f>
        <v>1</v>
      </c>
      <c r="G7298" t="str">
        <f t="shared" si="468"/>
        <v>912-22: Construction, Equestrian Arena</v>
      </c>
    </row>
    <row r="7299" spans="1:7" x14ac:dyDescent="0.25">
      <c r="A7299" s="1" t="str">
        <f t="shared" si="469"/>
        <v>912</v>
      </c>
      <c r="B7299" s="1" t="str">
        <f>TEXT(23,"00")</f>
        <v>23</v>
      </c>
      <c r="C7299" s="1" t="str">
        <f t="shared" ref="C7299:C7362" si="470">CONCATENATE(A7299,"-",B7299)</f>
        <v>912-23</v>
      </c>
      <c r="D7299" t="s">
        <v>7270</v>
      </c>
      <c r="E7299" t="b">
        <f>IF(COUNTIF(D7299,"*"&amp;'Keyword Search'!$C$5&amp;"*"),TRUE,FALSE)</f>
        <v>1</v>
      </c>
      <c r="G7299" t="str">
        <f t="shared" si="468"/>
        <v>912-23: Construction, General: Backfill Services, Digging, Ditching, Road Grading, Rock Stabilization, etc.</v>
      </c>
    </row>
    <row r="7300" spans="1:7" x14ac:dyDescent="0.25">
      <c r="A7300" s="1" t="str">
        <f t="shared" si="469"/>
        <v>912</v>
      </c>
      <c r="B7300" s="1" t="str">
        <f>TEXT(25,"00")</f>
        <v>25</v>
      </c>
      <c r="C7300" s="1" t="str">
        <f t="shared" si="470"/>
        <v>912-25</v>
      </c>
      <c r="D7300" t="s">
        <v>7271</v>
      </c>
      <c r="E7300" t="b">
        <f>IF(COUNTIF(D7300,"*"&amp;'Keyword Search'!$C$5&amp;"*"),TRUE,FALSE)</f>
        <v>1</v>
      </c>
      <c r="G7300" t="str">
        <f t="shared" ref="G7300:G7363" si="471">CONCATENATE(C7300,": ",D7300)</f>
        <v>912-25: Construction, Golf Course</v>
      </c>
    </row>
    <row r="7301" spans="1:7" x14ac:dyDescent="0.25">
      <c r="A7301" s="1" t="str">
        <f t="shared" si="469"/>
        <v>912</v>
      </c>
      <c r="B7301" s="1" t="str">
        <f>TEXT(26,"00")</f>
        <v>26</v>
      </c>
      <c r="C7301" s="1" t="str">
        <f t="shared" si="470"/>
        <v>912-26</v>
      </c>
      <c r="D7301" t="s">
        <v>7272</v>
      </c>
      <c r="E7301" t="b">
        <f>IF(COUNTIF(D7301,"*"&amp;'Keyword Search'!$C$5&amp;"*"),TRUE,FALSE)</f>
        <v>1</v>
      </c>
      <c r="G7301" t="str">
        <f t="shared" si="471"/>
        <v>912-26: Construction, Hike and Bike Trail</v>
      </c>
    </row>
    <row r="7302" spans="1:7" x14ac:dyDescent="0.25">
      <c r="A7302" s="1" t="str">
        <f t="shared" si="469"/>
        <v>912</v>
      </c>
      <c r="B7302" s="1" t="str">
        <f>TEXT(27,"00")</f>
        <v>27</v>
      </c>
      <c r="C7302" s="1" t="str">
        <f t="shared" si="470"/>
        <v>912-27</v>
      </c>
      <c r="D7302" t="s">
        <v>7273</v>
      </c>
      <c r="E7302" t="b">
        <f>IF(COUNTIF(D7302,"*"&amp;'Keyword Search'!$C$5&amp;"*"),TRUE,FALSE)</f>
        <v>1</v>
      </c>
      <c r="G7302" t="str">
        <f t="shared" si="471"/>
        <v>912-27: Construction, Irrigation System</v>
      </c>
    </row>
    <row r="7303" spans="1:7" x14ac:dyDescent="0.25">
      <c r="A7303" s="1" t="str">
        <f t="shared" si="469"/>
        <v>912</v>
      </c>
      <c r="B7303" s="1" t="str">
        <f>TEXT(29,"00")</f>
        <v>29</v>
      </c>
      <c r="C7303" s="1" t="str">
        <f t="shared" si="470"/>
        <v>912-29</v>
      </c>
      <c r="D7303" t="s">
        <v>7274</v>
      </c>
      <c r="E7303" t="b">
        <f>IF(COUNTIF(D7303,"*"&amp;'Keyword Search'!$C$5&amp;"*"),TRUE,FALSE)</f>
        <v>1</v>
      </c>
      <c r="G7303" t="str">
        <f t="shared" si="471"/>
        <v>912-29: Construction, Oil and Gas Refinery</v>
      </c>
    </row>
    <row r="7304" spans="1:7" x14ac:dyDescent="0.25">
      <c r="A7304" s="1" t="str">
        <f t="shared" si="469"/>
        <v>912</v>
      </c>
      <c r="B7304" s="1" t="str">
        <f>TEXT(30,"00")</f>
        <v>30</v>
      </c>
      <c r="C7304" s="1" t="str">
        <f t="shared" si="470"/>
        <v>912-30</v>
      </c>
      <c r="D7304" t="s">
        <v>7275</v>
      </c>
      <c r="E7304" t="b">
        <f>IF(COUNTIF(D7304,"*"&amp;'Keyword Search'!$C$5&amp;"*"),TRUE,FALSE)</f>
        <v>1</v>
      </c>
      <c r="G7304" t="str">
        <f t="shared" si="471"/>
        <v>912-30: Construction, Power Plant</v>
      </c>
    </row>
    <row r="7305" spans="1:7" x14ac:dyDescent="0.25">
      <c r="A7305" s="1" t="str">
        <f t="shared" si="469"/>
        <v>912</v>
      </c>
      <c r="B7305" s="1" t="str">
        <f>TEXT(31,"00")</f>
        <v>31</v>
      </c>
      <c r="C7305" s="1" t="str">
        <f t="shared" si="470"/>
        <v>912-31</v>
      </c>
      <c r="D7305" t="s">
        <v>7276</v>
      </c>
      <c r="E7305" t="b">
        <f>IF(COUNTIF(D7305,"*"&amp;'Keyword Search'!$C$5&amp;"*"),TRUE,FALSE)</f>
        <v>1</v>
      </c>
      <c r="G7305" t="str">
        <f t="shared" si="471"/>
        <v>912-31: Construction, Statues and Monuments</v>
      </c>
    </row>
    <row r="7306" spans="1:7" x14ac:dyDescent="0.25">
      <c r="A7306" s="1" t="str">
        <f t="shared" si="469"/>
        <v>912</v>
      </c>
      <c r="B7306" s="1" t="str">
        <f>TEXT(32,"00")</f>
        <v>32</v>
      </c>
      <c r="C7306" s="1" t="str">
        <f t="shared" si="470"/>
        <v>912-32</v>
      </c>
      <c r="D7306" t="s">
        <v>7277</v>
      </c>
      <c r="E7306" t="b">
        <f>IF(COUNTIF(D7306,"*"&amp;'Keyword Search'!$C$5&amp;"*"),TRUE,FALSE)</f>
        <v>1</v>
      </c>
      <c r="G7306" t="str">
        <f t="shared" si="471"/>
        <v>912-32: Construction, Street Lighting</v>
      </c>
    </row>
    <row r="7307" spans="1:7" x14ac:dyDescent="0.25">
      <c r="A7307" s="1" t="str">
        <f t="shared" si="469"/>
        <v>912</v>
      </c>
      <c r="B7307" s="1" t="str">
        <f>TEXT(33,"00")</f>
        <v>33</v>
      </c>
      <c r="C7307" s="1" t="str">
        <f t="shared" si="470"/>
        <v>912-33</v>
      </c>
      <c r="D7307" t="s">
        <v>7278</v>
      </c>
      <c r="E7307" t="b">
        <f>IF(COUNTIF(D7307,"*"&amp;'Keyword Search'!$C$5&amp;"*"),TRUE,FALSE)</f>
        <v>1</v>
      </c>
      <c r="G7307" t="str">
        <f t="shared" si="471"/>
        <v>912-33: Construction, Swimming Pool</v>
      </c>
    </row>
    <row r="7308" spans="1:7" x14ac:dyDescent="0.25">
      <c r="A7308" s="1" t="str">
        <f t="shared" si="469"/>
        <v>912</v>
      </c>
      <c r="B7308" s="1" t="str">
        <f>TEXT(35,"00")</f>
        <v>35</v>
      </c>
      <c r="C7308" s="1" t="str">
        <f t="shared" si="470"/>
        <v>912-35</v>
      </c>
      <c r="D7308" t="s">
        <v>7279</v>
      </c>
      <c r="E7308" t="b">
        <f>IF(COUNTIF(D7308,"*"&amp;'Keyword Search'!$C$5&amp;"*"),TRUE,FALSE)</f>
        <v>1</v>
      </c>
      <c r="G7308" t="str">
        <f t="shared" si="471"/>
        <v>912-35: Construction, Tennis and Sports Court</v>
      </c>
    </row>
    <row r="7309" spans="1:7" x14ac:dyDescent="0.25">
      <c r="A7309" s="1" t="str">
        <f t="shared" si="469"/>
        <v>912</v>
      </c>
      <c r="B7309" s="1" t="str">
        <f>TEXT(38,"00")</f>
        <v>38</v>
      </c>
      <c r="C7309" s="1" t="str">
        <f t="shared" si="470"/>
        <v>912-38</v>
      </c>
      <c r="D7309" t="s">
        <v>7280</v>
      </c>
      <c r="E7309" t="b">
        <f>IF(COUNTIF(D7309,"*"&amp;'Keyword Search'!$C$5&amp;"*"),TRUE,FALSE)</f>
        <v>1</v>
      </c>
      <c r="G7309" t="str">
        <f t="shared" si="471"/>
        <v>912-38: Construction Services, Hazardous Waste, Including Site Management</v>
      </c>
    </row>
    <row r="7310" spans="1:7" x14ac:dyDescent="0.25">
      <c r="A7310" s="1" t="str">
        <f t="shared" si="469"/>
        <v>912</v>
      </c>
      <c r="B7310" s="1" t="str">
        <f>TEXT(40,"00")</f>
        <v>40</v>
      </c>
      <c r="C7310" s="1" t="str">
        <f t="shared" si="470"/>
        <v>912-40</v>
      </c>
      <c r="D7310" t="s">
        <v>7281</v>
      </c>
      <c r="E7310" t="b">
        <f>IF(COUNTIF(D7310,"*"&amp;'Keyword Search'!$C$5&amp;"*"),TRUE,FALSE)</f>
        <v>1</v>
      </c>
      <c r="G7310" t="str">
        <f t="shared" si="471"/>
        <v>912-40: Demolition Services</v>
      </c>
    </row>
    <row r="7311" spans="1:7" x14ac:dyDescent="0.25">
      <c r="A7311" s="1" t="str">
        <f t="shared" si="469"/>
        <v>912</v>
      </c>
      <c r="B7311" s="1" t="str">
        <f>TEXT(42,"00")</f>
        <v>42</v>
      </c>
      <c r="C7311" s="1" t="str">
        <f t="shared" si="470"/>
        <v>912-42</v>
      </c>
      <c r="D7311" t="s">
        <v>7282</v>
      </c>
      <c r="E7311" t="b">
        <f>IF(COUNTIF(D7311,"*"&amp;'Keyword Search'!$C$5&amp;"*"),TRUE,FALSE)</f>
        <v>1</v>
      </c>
      <c r="G7311" t="str">
        <f t="shared" si="471"/>
        <v>912-42: Drilling and Boring Services, Horizontal Directional (HDD and HDB)</v>
      </c>
    </row>
    <row r="7312" spans="1:7" x14ac:dyDescent="0.25">
      <c r="A7312" s="1" t="str">
        <f t="shared" si="469"/>
        <v>912</v>
      </c>
      <c r="B7312" s="1" t="str">
        <f>TEXT(44,"00")</f>
        <v>44</v>
      </c>
      <c r="C7312" s="1" t="str">
        <f t="shared" si="470"/>
        <v>912-44</v>
      </c>
      <c r="D7312" t="s">
        <v>7283</v>
      </c>
      <c r="E7312" t="b">
        <f>IF(COUNTIF(D7312,"*"&amp;'Keyword Search'!$C$5&amp;"*"),TRUE,FALSE)</f>
        <v>1</v>
      </c>
      <c r="G7312" t="str">
        <f t="shared" si="471"/>
        <v>912-44: Excavation Services</v>
      </c>
    </row>
    <row r="7313" spans="1:7" x14ac:dyDescent="0.25">
      <c r="A7313" s="1" t="str">
        <f t="shared" si="469"/>
        <v>912</v>
      </c>
      <c r="B7313" s="1" t="str">
        <f>TEXT(50,"00")</f>
        <v>50</v>
      </c>
      <c r="C7313" s="1" t="str">
        <f t="shared" si="470"/>
        <v>912-50</v>
      </c>
      <c r="D7313" t="s">
        <v>7284</v>
      </c>
      <c r="E7313" t="b">
        <f>IF(COUNTIF(D7313,"*"&amp;'Keyword Search'!$C$5&amp;"*"),TRUE,FALSE)</f>
        <v>1</v>
      </c>
      <c r="G7313" t="str">
        <f t="shared" si="471"/>
        <v>912-50: Maintenance and Repair, Golf Course</v>
      </c>
    </row>
    <row r="7314" spans="1:7" x14ac:dyDescent="0.25">
      <c r="A7314" s="1" t="str">
        <f t="shared" si="469"/>
        <v>912</v>
      </c>
      <c r="B7314" s="1" t="str">
        <f>TEXT(52,"00")</f>
        <v>52</v>
      </c>
      <c r="C7314" s="1" t="str">
        <f t="shared" si="470"/>
        <v>912-52</v>
      </c>
      <c r="D7314" t="s">
        <v>7285</v>
      </c>
      <c r="E7314" t="b">
        <f>IF(COUNTIF(D7314,"*"&amp;'Keyword Search'!$C$5&amp;"*"),TRUE,FALSE)</f>
        <v>1</v>
      </c>
      <c r="G7314" t="str">
        <f t="shared" si="471"/>
        <v>912-52: Maintenance and Repair, Hike and Bike Trails</v>
      </c>
    </row>
    <row r="7315" spans="1:7" x14ac:dyDescent="0.25">
      <c r="A7315" s="1" t="str">
        <f t="shared" si="469"/>
        <v>912</v>
      </c>
      <c r="B7315" s="1" t="str">
        <f>TEXT(54,"00")</f>
        <v>54</v>
      </c>
      <c r="C7315" s="1" t="str">
        <f t="shared" si="470"/>
        <v>912-54</v>
      </c>
      <c r="D7315" t="s">
        <v>7286</v>
      </c>
      <c r="E7315" t="b">
        <f>IF(COUNTIF(D7315,"*"&amp;'Keyword Search'!$C$5&amp;"*"),TRUE,FALSE)</f>
        <v>1</v>
      </c>
      <c r="G7315" t="str">
        <f t="shared" si="471"/>
        <v>912-54: Maintenance and Repair, Oil and Gas Refinery</v>
      </c>
    </row>
    <row r="7316" spans="1:7" x14ac:dyDescent="0.25">
      <c r="A7316" s="1" t="str">
        <f t="shared" si="469"/>
        <v>912</v>
      </c>
      <c r="B7316" s="1" t="str">
        <f>TEXT(56,"00")</f>
        <v>56</v>
      </c>
      <c r="C7316" s="1" t="str">
        <f t="shared" si="470"/>
        <v>912-56</v>
      </c>
      <c r="D7316" t="s">
        <v>7287</v>
      </c>
      <c r="E7316" t="b">
        <f>IF(COUNTIF(D7316,"*"&amp;'Keyword Search'!$C$5&amp;"*"),TRUE,FALSE)</f>
        <v>1</v>
      </c>
      <c r="G7316" t="str">
        <f t="shared" si="471"/>
        <v>912-56: Maintenance and Repair, Power Plant</v>
      </c>
    </row>
    <row r="7317" spans="1:7" x14ac:dyDescent="0.25">
      <c r="A7317" s="1" t="str">
        <f t="shared" si="469"/>
        <v>912</v>
      </c>
      <c r="B7317" s="1" t="str">
        <f>TEXT(59,"00")</f>
        <v>59</v>
      </c>
      <c r="C7317" s="1" t="str">
        <f t="shared" si="470"/>
        <v>912-59</v>
      </c>
      <c r="D7317" t="s">
        <v>7288</v>
      </c>
      <c r="E7317" t="b">
        <f>IF(COUNTIF(D7317,"*"&amp;'Keyword Search'!$C$5&amp;"*"),TRUE,FALSE)</f>
        <v>1</v>
      </c>
      <c r="G7317" t="str">
        <f t="shared" si="471"/>
        <v>912-59: Maintenance and Repair, Statues and Monuments</v>
      </c>
    </row>
    <row r="7318" spans="1:7" x14ac:dyDescent="0.25">
      <c r="A7318" s="1" t="str">
        <f t="shared" si="469"/>
        <v>912</v>
      </c>
      <c r="B7318" s="1" t="str">
        <f>TEXT(60,"00")</f>
        <v>60</v>
      </c>
      <c r="C7318" s="1" t="str">
        <f t="shared" si="470"/>
        <v>912-60</v>
      </c>
      <c r="D7318" t="s">
        <v>7289</v>
      </c>
      <c r="E7318" t="b">
        <f>IF(COUNTIF(D7318,"*"&amp;'Keyword Search'!$C$5&amp;"*"),TRUE,FALSE)</f>
        <v>1</v>
      </c>
      <c r="G7318" t="str">
        <f t="shared" si="471"/>
        <v>912-60: Maintenance and Repair, Street Lighting</v>
      </c>
    </row>
    <row r="7319" spans="1:7" x14ac:dyDescent="0.25">
      <c r="A7319" s="1" t="str">
        <f t="shared" si="469"/>
        <v>912</v>
      </c>
      <c r="B7319" s="1" t="str">
        <f>TEXT(63,"00")</f>
        <v>63</v>
      </c>
      <c r="C7319" s="1" t="str">
        <f t="shared" si="470"/>
        <v>912-63</v>
      </c>
      <c r="D7319" t="s">
        <v>7290</v>
      </c>
      <c r="E7319" t="b">
        <f>IF(COUNTIF(D7319,"*"&amp;'Keyword Search'!$C$5&amp;"*"),TRUE,FALSE)</f>
        <v>1</v>
      </c>
      <c r="G7319" t="str">
        <f t="shared" si="471"/>
        <v>912-63: Maintenance and Repair, Swimming Pool, Including, Swimming Pool Water Treatment Services</v>
      </c>
    </row>
    <row r="7320" spans="1:7" x14ac:dyDescent="0.25">
      <c r="A7320" s="1" t="str">
        <f t="shared" si="469"/>
        <v>912</v>
      </c>
      <c r="B7320" s="1" t="str">
        <f>TEXT(65,"00")</f>
        <v>65</v>
      </c>
      <c r="C7320" s="1" t="str">
        <f t="shared" si="470"/>
        <v>912-65</v>
      </c>
      <c r="D7320" t="s">
        <v>7291</v>
      </c>
      <c r="E7320" t="b">
        <f>IF(COUNTIF(D7320,"*"&amp;'Keyword Search'!$C$5&amp;"*"),TRUE,FALSE)</f>
        <v>1</v>
      </c>
      <c r="G7320" t="str">
        <f t="shared" si="471"/>
        <v>912-65: Maintenance and Repair, Tennis and Sport Court</v>
      </c>
    </row>
    <row r="7321" spans="1:7" x14ac:dyDescent="0.25">
      <c r="A7321" s="1" t="str">
        <f t="shared" si="469"/>
        <v>912</v>
      </c>
      <c r="B7321" s="1" t="str">
        <f>TEXT(68,"00")</f>
        <v>68</v>
      </c>
      <c r="C7321" s="1" t="str">
        <f t="shared" si="470"/>
        <v>912-68</v>
      </c>
      <c r="D7321" t="s">
        <v>7292</v>
      </c>
      <c r="E7321" t="b">
        <f>IF(COUNTIF(D7321,"*"&amp;'Keyword Search'!$C$5&amp;"*"),TRUE,FALSE)</f>
        <v>1</v>
      </c>
      <c r="G7321" t="str">
        <f t="shared" si="471"/>
        <v>912-68: Monitoring Services, Structural</v>
      </c>
    </row>
    <row r="7322" spans="1:7" x14ac:dyDescent="0.25">
      <c r="A7322" s="1" t="str">
        <f t="shared" si="469"/>
        <v>912</v>
      </c>
      <c r="B7322" s="1" t="str">
        <f>TEXT(73,"00")</f>
        <v>73</v>
      </c>
      <c r="C7322" s="1" t="str">
        <f t="shared" si="470"/>
        <v>912-73</v>
      </c>
      <c r="D7322" t="s">
        <v>7293</v>
      </c>
      <c r="E7322" t="b">
        <f>IF(COUNTIF(D7322,"*"&amp;'Keyword Search'!$C$5&amp;"*"),TRUE,FALSE)</f>
        <v>1</v>
      </c>
      <c r="G7322" t="str">
        <f t="shared" si="471"/>
        <v>912-73: Paver Block Installation</v>
      </c>
    </row>
    <row r="7323" spans="1:7" x14ac:dyDescent="0.25">
      <c r="A7323" s="1" t="str">
        <f t="shared" si="469"/>
        <v>912</v>
      </c>
      <c r="B7323" s="1" t="str">
        <f>TEXT(75,"00")</f>
        <v>75</v>
      </c>
      <c r="C7323" s="1" t="str">
        <f t="shared" si="470"/>
        <v>912-75</v>
      </c>
      <c r="D7323" t="s">
        <v>7294</v>
      </c>
      <c r="E7323" t="b">
        <f>IF(COUNTIF(D7323,"*"&amp;'Keyword Search'!$C$5&amp;"*"),TRUE,FALSE)</f>
        <v>1</v>
      </c>
      <c r="G7323" t="str">
        <f t="shared" si="471"/>
        <v>912-75: Quality Control Testing Services for Construction</v>
      </c>
    </row>
    <row r="7324" spans="1:7" x14ac:dyDescent="0.25">
      <c r="A7324" s="1" t="str">
        <f t="shared" si="469"/>
        <v>912</v>
      </c>
      <c r="B7324" s="1" t="str">
        <f>TEXT(76,"00")</f>
        <v>76</v>
      </c>
      <c r="C7324" s="1" t="str">
        <f t="shared" si="470"/>
        <v>912-76</v>
      </c>
      <c r="D7324" t="s">
        <v>7295</v>
      </c>
      <c r="E7324" t="b">
        <f>IF(COUNTIF(D7324,"*"&amp;'Keyword Search'!$C$5&amp;"*"),TRUE,FALSE)</f>
        <v>1</v>
      </c>
      <c r="G7324" t="str">
        <f t="shared" si="471"/>
        <v>912-76: Striping: Streets, Parking Facilities, Lane Divisions, Paint, etc.</v>
      </c>
    </row>
    <row r="7325" spans="1:7" x14ac:dyDescent="0.25">
      <c r="A7325" s="1" t="str">
        <f t="shared" si="469"/>
        <v>912</v>
      </c>
      <c r="B7325" s="1" t="str">
        <f>TEXT(77,"00")</f>
        <v>77</v>
      </c>
      <c r="C7325" s="1" t="str">
        <f t="shared" si="470"/>
        <v>912-77</v>
      </c>
      <c r="D7325" t="s">
        <v>7296</v>
      </c>
      <c r="E7325" t="b">
        <f>IF(COUNTIF(D7325,"*"&amp;'Keyword Search'!$C$5&amp;"*"),TRUE,FALSE)</f>
        <v>1</v>
      </c>
      <c r="G7325" t="str">
        <f t="shared" si="471"/>
        <v>912-77: Real Estate Developers (Inactive, please see commodity code 918-89 effective January 1, 2016)</v>
      </c>
    </row>
    <row r="7326" spans="1:7" x14ac:dyDescent="0.25">
      <c r="A7326" s="5" t="str">
        <f t="shared" ref="A7326:A7374" si="472">TEXT(913,"000")</f>
        <v>913</v>
      </c>
      <c r="B7326" s="5" t="str">
        <f>TEXT(0,"00")</f>
        <v>00</v>
      </c>
      <c r="C7326" s="1"/>
      <c r="D7326" s="2" t="s">
        <v>7297</v>
      </c>
    </row>
    <row r="7327" spans="1:7" x14ac:dyDescent="0.25">
      <c r="A7327" s="1" t="str">
        <f t="shared" si="472"/>
        <v>913</v>
      </c>
      <c r="B7327" s="1" t="str">
        <f>TEXT(10,"00")</f>
        <v>10</v>
      </c>
      <c r="C7327" s="1" t="str">
        <f t="shared" si="470"/>
        <v>913-10</v>
      </c>
      <c r="D7327" t="s">
        <v>7298</v>
      </c>
      <c r="E7327" t="b">
        <f>IF(COUNTIF(D7327,"*"&amp;'Keyword Search'!$C$5&amp;"*"),TRUE,FALSE)</f>
        <v>1</v>
      </c>
      <c r="G7327" t="str">
        <f t="shared" si="471"/>
        <v>913-10: Construction: Airport Roadway, Runway and Taxiway</v>
      </c>
    </row>
    <row r="7328" spans="1:7" x14ac:dyDescent="0.25">
      <c r="A7328" s="1" t="str">
        <f t="shared" si="472"/>
        <v>913</v>
      </c>
      <c r="B7328" s="1" t="str">
        <f>TEXT(13,"00")</f>
        <v>13</v>
      </c>
      <c r="C7328" s="1" t="str">
        <f t="shared" si="470"/>
        <v>913-13</v>
      </c>
      <c r="D7328" t="s">
        <v>7299</v>
      </c>
      <c r="E7328" t="b">
        <f>IF(COUNTIF(D7328,"*"&amp;'Keyword Search'!$C$5&amp;"*"),TRUE,FALSE)</f>
        <v>1</v>
      </c>
      <c r="G7328" t="str">
        <f t="shared" si="471"/>
        <v>913-13: Construction, Bridge and Drawbridge, Including Reconstruction and Rehabilitation</v>
      </c>
    </row>
    <row r="7329" spans="1:7" x14ac:dyDescent="0.25">
      <c r="A7329" s="1" t="str">
        <f t="shared" si="472"/>
        <v>913</v>
      </c>
      <c r="B7329" s="1" t="str">
        <f>TEXT(15,"00")</f>
        <v>15</v>
      </c>
      <c r="C7329" s="1" t="str">
        <f t="shared" si="470"/>
        <v>913-15</v>
      </c>
      <c r="D7329" t="s">
        <v>7300</v>
      </c>
      <c r="E7329" t="b">
        <f>IF(COUNTIF(D7329,"*"&amp;'Keyword Search'!$C$5&amp;"*"),TRUE,FALSE)</f>
        <v>1</v>
      </c>
      <c r="G7329" t="str">
        <f t="shared" si="471"/>
        <v>913-15: Construction, Canal or Aquaduct</v>
      </c>
    </row>
    <row r="7330" spans="1:7" x14ac:dyDescent="0.25">
      <c r="A7330" s="1" t="str">
        <f t="shared" si="472"/>
        <v>913</v>
      </c>
      <c r="B7330" s="1" t="str">
        <f>TEXT(16,"00")</f>
        <v>16</v>
      </c>
      <c r="C7330" s="1" t="str">
        <f t="shared" si="470"/>
        <v>913-16</v>
      </c>
      <c r="D7330" t="s">
        <v>7301</v>
      </c>
      <c r="E7330" t="b">
        <f>IF(COUNTIF(D7330,"*"&amp;'Keyword Search'!$C$5&amp;"*"),TRUE,FALSE)</f>
        <v>1</v>
      </c>
      <c r="G7330" t="str">
        <f t="shared" si="471"/>
        <v>913-16: Construction, Communication Equipment, Including Antenna Towers</v>
      </c>
    </row>
    <row r="7331" spans="1:7" x14ac:dyDescent="0.25">
      <c r="A7331" s="1" t="str">
        <f t="shared" si="472"/>
        <v>913</v>
      </c>
      <c r="B7331" s="1" t="str">
        <f>TEXT(19,"00")</f>
        <v>19</v>
      </c>
      <c r="C7331" s="1" t="str">
        <f t="shared" si="470"/>
        <v>913-19</v>
      </c>
      <c r="D7331" t="s">
        <v>7302</v>
      </c>
      <c r="E7331" t="b">
        <f>IF(COUNTIF(D7331,"*"&amp;'Keyword Search'!$C$5&amp;"*"),TRUE,FALSE)</f>
        <v>1</v>
      </c>
      <c r="G7331" t="str">
        <f t="shared" si="471"/>
        <v>913-19: Construction, Curb and Gutter, Including Maintenance, Repair, and Removal Services</v>
      </c>
    </row>
    <row r="7332" spans="1:7" x14ac:dyDescent="0.25">
      <c r="A7332" s="1" t="str">
        <f t="shared" si="472"/>
        <v>913</v>
      </c>
      <c r="B7332" s="1" t="str">
        <f>TEXT(23,"00")</f>
        <v>23</v>
      </c>
      <c r="C7332" s="1" t="str">
        <f t="shared" si="470"/>
        <v>913-23</v>
      </c>
      <c r="D7332" t="s">
        <v>7303</v>
      </c>
      <c r="E7332" t="b">
        <f>IF(COUNTIF(D7332,"*"&amp;'Keyword Search'!$C$5&amp;"*"),TRUE,FALSE)</f>
        <v>1</v>
      </c>
      <c r="G7332" t="str">
        <f t="shared" si="471"/>
        <v>913-23: Construction, Defense and Military Structure</v>
      </c>
    </row>
    <row r="7333" spans="1:7" x14ac:dyDescent="0.25">
      <c r="A7333" s="1" t="str">
        <f t="shared" si="472"/>
        <v>913</v>
      </c>
      <c r="B7333" s="1" t="str">
        <f>TEXT(27,"00")</f>
        <v>27</v>
      </c>
      <c r="C7333" s="1" t="str">
        <f t="shared" si="470"/>
        <v>913-27</v>
      </c>
      <c r="D7333" t="s">
        <v>7304</v>
      </c>
      <c r="E7333" t="b">
        <f>IF(COUNTIF(D7333,"*"&amp;'Keyword Search'!$C$5&amp;"*"),TRUE,FALSE)</f>
        <v>1</v>
      </c>
      <c r="G7333" t="str">
        <f t="shared" si="471"/>
        <v>913-27: Construction, Highway and Road</v>
      </c>
    </row>
    <row r="7334" spans="1:7" x14ac:dyDescent="0.25">
      <c r="A7334" s="1" t="str">
        <f t="shared" si="472"/>
        <v>913</v>
      </c>
      <c r="B7334" s="1" t="str">
        <f>TEXT(30,"00")</f>
        <v>30</v>
      </c>
      <c r="C7334" s="1" t="str">
        <f t="shared" si="470"/>
        <v>913-30</v>
      </c>
      <c r="D7334" t="s">
        <v>7305</v>
      </c>
      <c r="E7334" t="b">
        <f>IF(COUNTIF(D7334,"*"&amp;'Keyword Search'!$C$5&amp;"*"),TRUE,FALSE)</f>
        <v>1</v>
      </c>
      <c r="G7334" t="str">
        <f t="shared" si="471"/>
        <v>913-30: Construction, Industrial Pipeline Insulation, Including Maintenance, Repair and Installation</v>
      </c>
    </row>
    <row r="7335" spans="1:7" x14ac:dyDescent="0.25">
      <c r="A7335" s="1" t="str">
        <f t="shared" si="472"/>
        <v>913</v>
      </c>
      <c r="B7335" s="1" t="str">
        <f>TEXT(36,"00")</f>
        <v>36</v>
      </c>
      <c r="C7335" s="1" t="str">
        <f t="shared" si="470"/>
        <v>913-36</v>
      </c>
      <c r="D7335" t="s">
        <v>7306</v>
      </c>
      <c r="E7335" t="b">
        <f>IF(COUNTIF(D7335,"*"&amp;'Keyword Search'!$C$5&amp;"*"),TRUE,FALSE)</f>
        <v>1</v>
      </c>
      <c r="G7335" t="str">
        <f t="shared" si="471"/>
        <v>913-36: Construction, Parking Lot and Alley</v>
      </c>
    </row>
    <row r="7336" spans="1:7" x14ac:dyDescent="0.25">
      <c r="A7336" s="1" t="str">
        <f t="shared" si="472"/>
        <v>913</v>
      </c>
      <c r="B7336" s="1" t="str">
        <f>TEXT(38,"00")</f>
        <v>38</v>
      </c>
      <c r="C7336" s="1" t="str">
        <f t="shared" si="470"/>
        <v>913-38</v>
      </c>
      <c r="D7336" t="s">
        <v>7307</v>
      </c>
      <c r="E7336" t="b">
        <f>IF(COUNTIF(D7336,"*"&amp;'Keyword Search'!$C$5&amp;"*"),TRUE,FALSE)</f>
        <v>1</v>
      </c>
      <c r="G7336" t="str">
        <f t="shared" si="471"/>
        <v>913-38: Construction, Chilled Water Pipe Installation</v>
      </c>
    </row>
    <row r="7337" spans="1:7" x14ac:dyDescent="0.25">
      <c r="A7337" s="1" t="str">
        <f t="shared" si="472"/>
        <v>913</v>
      </c>
      <c r="B7337" s="1" t="str">
        <f>TEXT(39,"00")</f>
        <v>39</v>
      </c>
      <c r="C7337" s="1" t="str">
        <f t="shared" si="470"/>
        <v>913-39</v>
      </c>
      <c r="D7337" t="s">
        <v>7308</v>
      </c>
      <c r="E7337" t="b">
        <f>IF(COUNTIF(D7337,"*"&amp;'Keyword Search'!$C$5&amp;"*"),TRUE,FALSE)</f>
        <v>1</v>
      </c>
      <c r="G7337" t="str">
        <f t="shared" si="471"/>
        <v>913-39: Construction, Pipe Culvert</v>
      </c>
    </row>
    <row r="7338" spans="1:7" x14ac:dyDescent="0.25">
      <c r="A7338" s="1" t="str">
        <f t="shared" si="472"/>
        <v>913</v>
      </c>
      <c r="B7338" s="1" t="str">
        <f>TEXT(40,"00")</f>
        <v>40</v>
      </c>
      <c r="C7338" s="1" t="str">
        <f t="shared" si="470"/>
        <v>913-40</v>
      </c>
      <c r="D7338" t="s">
        <v>7309</v>
      </c>
      <c r="E7338" t="b">
        <f>IF(COUNTIF(D7338,"*"&amp;'Keyword Search'!$C$5&amp;"*"),TRUE,FALSE)</f>
        <v>1</v>
      </c>
      <c r="G7338" t="str">
        <f t="shared" si="471"/>
        <v>913-40: Construction, Pipeline, Including Aerial Crossings</v>
      </c>
    </row>
    <row r="7339" spans="1:7" x14ac:dyDescent="0.25">
      <c r="A7339" s="1" t="str">
        <f t="shared" si="472"/>
        <v>913</v>
      </c>
      <c r="B7339" s="1" t="str">
        <f>TEXT(41,"00")</f>
        <v>41</v>
      </c>
      <c r="C7339" s="1" t="str">
        <f t="shared" si="470"/>
        <v>913-41</v>
      </c>
      <c r="D7339" t="s">
        <v>7310</v>
      </c>
      <c r="E7339" t="b">
        <f>IF(COUNTIF(D7339,"*"&amp;'Keyword Search'!$C$5&amp;"*"),TRUE,FALSE)</f>
        <v>1</v>
      </c>
      <c r="G7339" t="str">
        <f t="shared" si="471"/>
        <v>913-41: Construction, Power Lines, Including Installation, Maintenance and Repair Services</v>
      </c>
    </row>
    <row r="7340" spans="1:7" x14ac:dyDescent="0.25">
      <c r="A7340" s="1" t="str">
        <f t="shared" si="472"/>
        <v>913</v>
      </c>
      <c r="B7340" s="1" t="str">
        <f>TEXT(44,"00")</f>
        <v>44</v>
      </c>
      <c r="C7340" s="1" t="str">
        <f t="shared" si="470"/>
        <v>913-44</v>
      </c>
      <c r="D7340" t="s">
        <v>7311</v>
      </c>
      <c r="E7340" t="b">
        <f>IF(COUNTIF(D7340,"*"&amp;'Keyword Search'!$C$5&amp;"*"),TRUE,FALSE)</f>
        <v>1</v>
      </c>
      <c r="G7340" t="str">
        <f t="shared" si="471"/>
        <v>913-44: Construction, Railroad</v>
      </c>
    </row>
    <row r="7341" spans="1:7" x14ac:dyDescent="0.25">
      <c r="A7341" s="1" t="str">
        <f t="shared" si="472"/>
        <v>913</v>
      </c>
      <c r="B7341" s="1" t="str">
        <f>TEXT(45,"00")</f>
        <v>45</v>
      </c>
      <c r="C7341" s="1" t="str">
        <f t="shared" si="470"/>
        <v>913-45</v>
      </c>
      <c r="D7341" t="s">
        <v>7312</v>
      </c>
      <c r="E7341" t="b">
        <f>IF(COUNTIF(D7341,"*"&amp;'Keyword Search'!$C$5&amp;"*"),TRUE,FALSE)</f>
        <v>1</v>
      </c>
      <c r="G7341" t="str">
        <f t="shared" si="471"/>
        <v>913-45: Construction, Sewer and Storm Drain</v>
      </c>
    </row>
    <row r="7342" spans="1:7" x14ac:dyDescent="0.25">
      <c r="A7342" s="1" t="str">
        <f t="shared" si="472"/>
        <v>913</v>
      </c>
      <c r="B7342" s="1" t="str">
        <f>TEXT(47,"00")</f>
        <v>47</v>
      </c>
      <c r="C7342" s="1" t="str">
        <f t="shared" si="470"/>
        <v>913-47</v>
      </c>
      <c r="D7342" t="s">
        <v>7313</v>
      </c>
      <c r="E7342" t="b">
        <f>IF(COUNTIF(D7342,"*"&amp;'Keyword Search'!$C$5&amp;"*"),TRUE,FALSE)</f>
        <v>1</v>
      </c>
      <c r="G7342" t="str">
        <f t="shared" si="471"/>
        <v>913-47: Construction, Sidewalk and Driveway, Including Pedestrian and Handicap Ramps</v>
      </c>
    </row>
    <row r="7343" spans="1:7" x14ac:dyDescent="0.25">
      <c r="A7343" s="1" t="str">
        <f t="shared" si="472"/>
        <v>913</v>
      </c>
      <c r="B7343" s="1" t="str">
        <f>TEXT(48,"00")</f>
        <v>48</v>
      </c>
      <c r="C7343" s="1" t="str">
        <f t="shared" si="470"/>
        <v>913-48</v>
      </c>
      <c r="D7343" t="s">
        <v>7314</v>
      </c>
      <c r="E7343" t="b">
        <f>IF(COUNTIF(D7343,"*"&amp;'Keyword Search'!$C$5&amp;"*"),TRUE,FALSE)</f>
        <v>1</v>
      </c>
      <c r="G7343" t="str">
        <f t="shared" si="471"/>
        <v>913-48: Construction, Special Foundation</v>
      </c>
    </row>
    <row r="7344" spans="1:7" x14ac:dyDescent="0.25">
      <c r="A7344" s="1" t="str">
        <f t="shared" si="472"/>
        <v>913</v>
      </c>
      <c r="B7344" s="1" t="str">
        <f>TEXT(50,"00")</f>
        <v>50</v>
      </c>
      <c r="C7344" s="1" t="str">
        <f t="shared" si="470"/>
        <v>913-50</v>
      </c>
      <c r="D7344" t="s">
        <v>7315</v>
      </c>
      <c r="E7344" t="b">
        <f>IF(COUNTIF(D7344,"*"&amp;'Keyword Search'!$C$5&amp;"*"),TRUE,FALSE)</f>
        <v>1</v>
      </c>
      <c r="G7344" t="str">
        <f t="shared" si="471"/>
        <v>913-50: Construction, Streets, Major and Residential, Including Reconstruction</v>
      </c>
    </row>
    <row r="7345" spans="1:7" x14ac:dyDescent="0.25">
      <c r="A7345" s="1" t="str">
        <f t="shared" si="472"/>
        <v>913</v>
      </c>
      <c r="B7345" s="1" t="str">
        <f>TEXT(55,"00")</f>
        <v>55</v>
      </c>
      <c r="C7345" s="1" t="str">
        <f t="shared" si="470"/>
        <v>913-55</v>
      </c>
      <c r="D7345" t="s">
        <v>7316</v>
      </c>
      <c r="E7345" t="b">
        <f>IF(COUNTIF(D7345,"*"&amp;'Keyword Search'!$C$5&amp;"*"),TRUE,FALSE)</f>
        <v>1</v>
      </c>
      <c r="G7345" t="str">
        <f t="shared" si="471"/>
        <v>913-55: Construction, Tunnel</v>
      </c>
    </row>
    <row r="7346" spans="1:7" x14ac:dyDescent="0.25">
      <c r="A7346" s="1" t="str">
        <f t="shared" si="472"/>
        <v>913</v>
      </c>
      <c r="B7346" s="1" t="str">
        <f>TEXT(56,"00")</f>
        <v>56</v>
      </c>
      <c r="C7346" s="1" t="str">
        <f t="shared" si="470"/>
        <v>913-56</v>
      </c>
      <c r="D7346" t="s">
        <v>7317</v>
      </c>
      <c r="E7346" t="b">
        <f>IF(COUNTIF(D7346,"*"&amp;'Keyword Search'!$C$5&amp;"*"),TRUE,FALSE)</f>
        <v>1</v>
      </c>
      <c r="G7346" t="str">
        <f t="shared" si="471"/>
        <v>913-56: Construction, Utility and Underground Projects</v>
      </c>
    </row>
    <row r="7347" spans="1:7" x14ac:dyDescent="0.25">
      <c r="A7347" s="1" t="str">
        <f t="shared" si="472"/>
        <v>913</v>
      </c>
      <c r="B7347" s="1" t="str">
        <f>TEXT(57,"00")</f>
        <v>57</v>
      </c>
      <c r="C7347" s="1" t="str">
        <f t="shared" si="470"/>
        <v>913-57</v>
      </c>
      <c r="D7347" t="s">
        <v>7318</v>
      </c>
      <c r="E7347" t="b">
        <f>IF(COUNTIF(D7347,"*"&amp;'Keyword Search'!$C$5&amp;"*"),TRUE,FALSE)</f>
        <v>1</v>
      </c>
      <c r="G7347" t="str">
        <f t="shared" si="471"/>
        <v>913-57: Construction, Vaulted Sidewalk</v>
      </c>
    </row>
    <row r="7348" spans="1:7" x14ac:dyDescent="0.25">
      <c r="A7348" s="1" t="str">
        <f t="shared" si="472"/>
        <v>913</v>
      </c>
      <c r="B7348" s="1" t="str">
        <f>TEXT(58,"00")</f>
        <v>58</v>
      </c>
      <c r="C7348" s="1" t="str">
        <f t="shared" si="470"/>
        <v>913-58</v>
      </c>
      <c r="D7348" t="s">
        <v>7319</v>
      </c>
      <c r="E7348" t="b">
        <f>IF(COUNTIF(D7348,"*"&amp;'Keyword Search'!$C$5&amp;"*"),TRUE,FALSE)</f>
        <v>1</v>
      </c>
      <c r="G7348" t="str">
        <f t="shared" si="471"/>
        <v>913-58: Construction, Viaduct (Includes Reconstruction)</v>
      </c>
    </row>
    <row r="7349" spans="1:7" x14ac:dyDescent="0.25">
      <c r="A7349" s="1" t="str">
        <f t="shared" si="472"/>
        <v>913</v>
      </c>
      <c r="B7349" s="1" t="str">
        <f>TEXT(59,"00")</f>
        <v>59</v>
      </c>
      <c r="C7349" s="1" t="str">
        <f t="shared" si="470"/>
        <v>913-59</v>
      </c>
      <c r="D7349" t="s">
        <v>7320</v>
      </c>
      <c r="E7349" t="b">
        <f>IF(COUNTIF(D7349,"*"&amp;'Keyword Search'!$C$5&amp;"*"),TRUE,FALSE)</f>
        <v>1</v>
      </c>
      <c r="G7349" t="str">
        <f t="shared" si="471"/>
        <v>913-59: Construction and Upgrades, Wastewater Treatment Plant</v>
      </c>
    </row>
    <row r="7350" spans="1:7" x14ac:dyDescent="0.25">
      <c r="A7350" s="1" t="str">
        <f t="shared" si="472"/>
        <v>913</v>
      </c>
      <c r="B7350" s="1" t="str">
        <f>TEXT(60,"00")</f>
        <v>60</v>
      </c>
      <c r="C7350" s="1" t="str">
        <f t="shared" si="470"/>
        <v>913-60</v>
      </c>
      <c r="D7350" t="s">
        <v>7321</v>
      </c>
      <c r="E7350" t="b">
        <f>IF(COUNTIF(D7350,"*"&amp;'Keyword Search'!$C$5&amp;"*"),TRUE,FALSE)</f>
        <v>1</v>
      </c>
      <c r="G7350" t="str">
        <f t="shared" si="471"/>
        <v>913-60: Construction, Water System, Plants, Main and Service Line</v>
      </c>
    </row>
    <row r="7351" spans="1:7" x14ac:dyDescent="0.25">
      <c r="A7351" s="1" t="str">
        <f t="shared" si="472"/>
        <v>913</v>
      </c>
      <c r="B7351" s="1" t="str">
        <f>TEXT(61,"00")</f>
        <v>61</v>
      </c>
      <c r="C7351" s="1" t="str">
        <f t="shared" si="470"/>
        <v>913-61</v>
      </c>
      <c r="D7351" t="s">
        <v>7322</v>
      </c>
      <c r="E7351" t="b">
        <f>IF(COUNTIF(D7351,"*"&amp;'Keyword Search'!$C$5&amp;"*"),TRUE,FALSE)</f>
        <v>1</v>
      </c>
      <c r="G7351" t="str">
        <f t="shared" si="471"/>
        <v>913-61: Construction, Vertical, Concrete, Pour-In-Place, Form, Place, Finish</v>
      </c>
    </row>
    <row r="7352" spans="1:7" x14ac:dyDescent="0.25">
      <c r="A7352" s="1" t="str">
        <f t="shared" si="472"/>
        <v>913</v>
      </c>
      <c r="B7352" s="1" t="str">
        <f>TEXT(62,"00")</f>
        <v>62</v>
      </c>
      <c r="C7352" s="1" t="str">
        <f t="shared" si="470"/>
        <v>913-62</v>
      </c>
      <c r="D7352" t="s">
        <v>7323</v>
      </c>
      <c r="E7352" t="b">
        <f>IF(COUNTIF(D7352,"*"&amp;'Keyword Search'!$C$5&amp;"*"),TRUE,FALSE)</f>
        <v>1</v>
      </c>
      <c r="G7352" t="str">
        <f t="shared" si="471"/>
        <v>913-62: Construction, Concrete, Pour-In-Place, Form, Place, Finish</v>
      </c>
    </row>
    <row r="7353" spans="1:7" x14ac:dyDescent="0.25">
      <c r="A7353" s="1" t="str">
        <f t="shared" si="472"/>
        <v>913</v>
      </c>
      <c r="B7353" s="1" t="str">
        <f>TEXT(63,"00")</f>
        <v>63</v>
      </c>
      <c r="C7353" s="1" t="str">
        <f t="shared" si="470"/>
        <v>913-63</v>
      </c>
      <c r="D7353" t="s">
        <v>7324</v>
      </c>
      <c r="E7353" t="b">
        <f>IF(COUNTIF(D7353,"*"&amp;'Keyword Search'!$C$5&amp;"*"),TRUE,FALSE)</f>
        <v>1</v>
      </c>
      <c r="G7353" t="str">
        <f t="shared" si="471"/>
        <v>913-63: Lime Slurry Removal Services</v>
      </c>
    </row>
    <row r="7354" spans="1:7" x14ac:dyDescent="0.25">
      <c r="A7354" s="1" t="str">
        <f t="shared" si="472"/>
        <v>913</v>
      </c>
      <c r="B7354" s="1" t="str">
        <f>TEXT(64,"00")</f>
        <v>64</v>
      </c>
      <c r="C7354" s="1" t="str">
        <f t="shared" si="470"/>
        <v>913-64</v>
      </c>
      <c r="D7354" t="s">
        <v>7325</v>
      </c>
      <c r="E7354" t="b">
        <f>IF(COUNTIF(D7354,"*"&amp;'Keyword Search'!$C$5&amp;"*"),TRUE,FALSE)</f>
        <v>1</v>
      </c>
      <c r="G7354" t="str">
        <f t="shared" si="471"/>
        <v>913-64: Maintenance and Repair: Airport Roadway, Runway and Taxiway</v>
      </c>
    </row>
    <row r="7355" spans="1:7" x14ac:dyDescent="0.25">
      <c r="A7355" s="1" t="str">
        <f t="shared" si="472"/>
        <v>913</v>
      </c>
      <c r="B7355" s="1" t="str">
        <f>TEXT(65,"00")</f>
        <v>65</v>
      </c>
      <c r="C7355" s="1" t="str">
        <f t="shared" si="470"/>
        <v>913-65</v>
      </c>
      <c r="D7355" t="s">
        <v>7326</v>
      </c>
      <c r="E7355" t="b">
        <f>IF(COUNTIF(D7355,"*"&amp;'Keyword Search'!$C$5&amp;"*"),TRUE,FALSE)</f>
        <v>1</v>
      </c>
      <c r="G7355" t="str">
        <f t="shared" si="471"/>
        <v>913-65: Maintenance, Repair, and Removal Services, Antenna Tower and other Communication Equipment</v>
      </c>
    </row>
    <row r="7356" spans="1:7" x14ac:dyDescent="0.25">
      <c r="A7356" s="1" t="str">
        <f t="shared" si="472"/>
        <v>913</v>
      </c>
      <c r="B7356" s="1" t="str">
        <f>TEXT(66,"00")</f>
        <v>66</v>
      </c>
      <c r="C7356" s="1" t="str">
        <f t="shared" si="470"/>
        <v>913-66</v>
      </c>
      <c r="D7356" t="s">
        <v>7327</v>
      </c>
      <c r="E7356" t="b">
        <f>IF(COUNTIF(D7356,"*"&amp;'Keyword Search'!$C$5&amp;"*"),TRUE,FALSE)</f>
        <v>1</v>
      </c>
      <c r="G7356" t="str">
        <f t="shared" si="471"/>
        <v>913-66: Maintenance and Repair, Bridges</v>
      </c>
    </row>
    <row r="7357" spans="1:7" x14ac:dyDescent="0.25">
      <c r="A7357" s="1" t="str">
        <f t="shared" si="472"/>
        <v>913</v>
      </c>
      <c r="B7357" s="1" t="str">
        <f>TEXT(67,"00")</f>
        <v>67</v>
      </c>
      <c r="C7357" s="1" t="str">
        <f t="shared" si="470"/>
        <v>913-67</v>
      </c>
      <c r="D7357" t="s">
        <v>7328</v>
      </c>
      <c r="E7357" t="b">
        <f>IF(COUNTIF(D7357,"*"&amp;'Keyword Search'!$C$5&amp;"*"),TRUE,FALSE)</f>
        <v>1</v>
      </c>
      <c r="G7357" t="str">
        <f t="shared" si="471"/>
        <v>913-67: Maintenance, Repair, and Operation of Drawbridges</v>
      </c>
    </row>
    <row r="7358" spans="1:7" x14ac:dyDescent="0.25">
      <c r="A7358" s="1" t="str">
        <f t="shared" si="472"/>
        <v>913</v>
      </c>
      <c r="B7358" s="1" t="str">
        <f>TEXT(68,"00")</f>
        <v>68</v>
      </c>
      <c r="C7358" s="1" t="str">
        <f t="shared" si="470"/>
        <v>913-68</v>
      </c>
      <c r="D7358" t="s">
        <v>7329</v>
      </c>
      <c r="E7358" t="b">
        <f>IF(COUNTIF(D7358,"*"&amp;'Keyword Search'!$C$5&amp;"*"),TRUE,FALSE)</f>
        <v>1</v>
      </c>
      <c r="G7358" t="str">
        <f t="shared" si="471"/>
        <v>913-68: Maintenance and Repair, Canal</v>
      </c>
    </row>
    <row r="7359" spans="1:7" x14ac:dyDescent="0.25">
      <c r="A7359" s="1" t="str">
        <f t="shared" si="472"/>
        <v>913</v>
      </c>
      <c r="B7359" s="1" t="str">
        <f>TEXT(69,"00")</f>
        <v>69</v>
      </c>
      <c r="C7359" s="1" t="str">
        <f t="shared" si="470"/>
        <v>913-69</v>
      </c>
      <c r="D7359" t="s">
        <v>7330</v>
      </c>
      <c r="E7359" t="b">
        <f>IF(COUNTIF(D7359,"*"&amp;'Keyword Search'!$C$5&amp;"*"),TRUE,FALSE)</f>
        <v>1</v>
      </c>
      <c r="G7359" t="str">
        <f t="shared" si="471"/>
        <v>913-69: Maintenance and Repair, Defense and Military Structure</v>
      </c>
    </row>
    <row r="7360" spans="1:7" x14ac:dyDescent="0.25">
      <c r="A7360" s="1" t="str">
        <f t="shared" si="472"/>
        <v>913</v>
      </c>
      <c r="B7360" s="1" t="str">
        <f>TEXT(71,"00")</f>
        <v>71</v>
      </c>
      <c r="C7360" s="1" t="str">
        <f t="shared" si="470"/>
        <v>913-71</v>
      </c>
      <c r="D7360" t="s">
        <v>7331</v>
      </c>
      <c r="E7360" t="b">
        <f>IF(COUNTIF(D7360,"*"&amp;'Keyword Search'!$C$5&amp;"*"),TRUE,FALSE)</f>
        <v>1</v>
      </c>
      <c r="G7360" t="str">
        <f t="shared" si="471"/>
        <v>913-71: Maintenance and Repair, Highway and Roads, Including Removal of Asphalt, Concrete, Bitumens, etc.</v>
      </c>
    </row>
    <row r="7361" spans="1:7" x14ac:dyDescent="0.25">
      <c r="A7361" s="1" t="str">
        <f t="shared" si="472"/>
        <v>913</v>
      </c>
      <c r="B7361" s="1" t="str">
        <f>TEXT(75,"00")</f>
        <v>75</v>
      </c>
      <c r="C7361" s="1" t="str">
        <f t="shared" si="470"/>
        <v>913-75</v>
      </c>
      <c r="D7361" t="s">
        <v>7332</v>
      </c>
      <c r="E7361" t="b">
        <f>IF(COUNTIF(D7361,"*"&amp;'Keyword Search'!$C$5&amp;"*"),TRUE,FALSE)</f>
        <v>1</v>
      </c>
      <c r="G7361" t="str">
        <f t="shared" si="471"/>
        <v>913-75: Maintenance and Repair, Parking Lot and Alley</v>
      </c>
    </row>
    <row r="7362" spans="1:7" x14ac:dyDescent="0.25">
      <c r="A7362" s="1" t="str">
        <f t="shared" si="472"/>
        <v>913</v>
      </c>
      <c r="B7362" s="1" t="str">
        <f>TEXT(77,"00")</f>
        <v>77</v>
      </c>
      <c r="C7362" s="1" t="str">
        <f t="shared" si="470"/>
        <v>913-77</v>
      </c>
      <c r="D7362" t="s">
        <v>7333</v>
      </c>
      <c r="E7362" t="b">
        <f>IF(COUNTIF(D7362,"*"&amp;'Keyword Search'!$C$5&amp;"*"),TRUE,FALSE)</f>
        <v>1</v>
      </c>
      <c r="G7362" t="str">
        <f t="shared" si="471"/>
        <v>913-77: Maintenance and Repair, Pipe Culvert</v>
      </c>
    </row>
    <row r="7363" spans="1:7" x14ac:dyDescent="0.25">
      <c r="A7363" s="1" t="str">
        <f t="shared" si="472"/>
        <v>913</v>
      </c>
      <c r="B7363" s="1" t="str">
        <f>TEXT(78,"00")</f>
        <v>78</v>
      </c>
      <c r="C7363" s="1" t="str">
        <f t="shared" ref="C7363:C7426" si="473">CONCATENATE(A7363,"-",B7363)</f>
        <v>913-78</v>
      </c>
      <c r="D7363" t="s">
        <v>7334</v>
      </c>
      <c r="E7363" t="b">
        <f>IF(COUNTIF(D7363,"*"&amp;'Keyword Search'!$C$5&amp;"*"),TRUE,FALSE)</f>
        <v>1</v>
      </c>
      <c r="G7363" t="str">
        <f t="shared" si="471"/>
        <v>913-78: Maintenance and Repair, Pipeline, Including  Removal and Relocation</v>
      </c>
    </row>
    <row r="7364" spans="1:7" x14ac:dyDescent="0.25">
      <c r="A7364" s="1" t="str">
        <f t="shared" si="472"/>
        <v>913</v>
      </c>
      <c r="B7364" s="1" t="str">
        <f>TEXT(81,"00")</f>
        <v>81</v>
      </c>
      <c r="C7364" s="1" t="str">
        <f t="shared" si="473"/>
        <v>913-81</v>
      </c>
      <c r="D7364" t="s">
        <v>7335</v>
      </c>
      <c r="E7364" t="b">
        <f>IF(COUNTIF(D7364,"*"&amp;'Keyword Search'!$C$5&amp;"*"),TRUE,FALSE)</f>
        <v>1</v>
      </c>
      <c r="G7364" t="str">
        <f t="shared" ref="G7364:G7427" si="474">CONCATENATE(C7364,": ",D7364)</f>
        <v>913-81: Maintenance and Repair, Sewer and Storm Drain, Including Removal</v>
      </c>
    </row>
    <row r="7365" spans="1:7" x14ac:dyDescent="0.25">
      <c r="A7365" s="1" t="str">
        <f t="shared" si="472"/>
        <v>913</v>
      </c>
      <c r="B7365" s="1" t="str">
        <f>TEXT(82,"00")</f>
        <v>82</v>
      </c>
      <c r="C7365" s="1" t="str">
        <f t="shared" si="473"/>
        <v>913-82</v>
      </c>
      <c r="D7365" t="s">
        <v>7336</v>
      </c>
      <c r="E7365" t="b">
        <f>IF(COUNTIF(D7365,"*"&amp;'Keyword Search'!$C$5&amp;"*"),TRUE,FALSE)</f>
        <v>1</v>
      </c>
      <c r="G7365" t="str">
        <f t="shared" si="474"/>
        <v>913-82: Maintenance and Repair, Sidewalk and Driveway, Including Removal</v>
      </c>
    </row>
    <row r="7366" spans="1:7" x14ac:dyDescent="0.25">
      <c r="A7366" s="1" t="str">
        <f t="shared" si="472"/>
        <v>913</v>
      </c>
      <c r="B7366" s="1" t="str">
        <f>TEXT(84,"00")</f>
        <v>84</v>
      </c>
      <c r="C7366" s="1" t="str">
        <f t="shared" si="473"/>
        <v>913-84</v>
      </c>
      <c r="D7366" t="s">
        <v>7337</v>
      </c>
      <c r="E7366" t="b">
        <f>IF(COUNTIF(D7366,"*"&amp;'Keyword Search'!$C$5&amp;"*"),TRUE,FALSE)</f>
        <v>1</v>
      </c>
      <c r="G7366" t="str">
        <f t="shared" si="474"/>
        <v>913-84: Maintenance and Repair, Streets, Major and Residential</v>
      </c>
    </row>
    <row r="7367" spans="1:7" x14ac:dyDescent="0.25">
      <c r="A7367" s="1" t="str">
        <f t="shared" si="472"/>
        <v>913</v>
      </c>
      <c r="B7367" s="1" t="str">
        <f>TEXT(88,"00")</f>
        <v>88</v>
      </c>
      <c r="C7367" s="1" t="str">
        <f t="shared" si="473"/>
        <v>913-88</v>
      </c>
      <c r="D7367" t="s">
        <v>7338</v>
      </c>
      <c r="E7367" t="b">
        <f>IF(COUNTIF(D7367,"*"&amp;'Keyword Search'!$C$5&amp;"*"),TRUE,FALSE)</f>
        <v>1</v>
      </c>
      <c r="G7367" t="str">
        <f t="shared" si="474"/>
        <v>913-88: Maintenance and Repair, Tunnel</v>
      </c>
    </row>
    <row r="7368" spans="1:7" x14ac:dyDescent="0.25">
      <c r="A7368" s="1" t="str">
        <f t="shared" si="472"/>
        <v>913</v>
      </c>
      <c r="B7368" s="1" t="str">
        <f>TEXT(89,"00")</f>
        <v>89</v>
      </c>
      <c r="C7368" s="1" t="str">
        <f t="shared" si="473"/>
        <v>913-89</v>
      </c>
      <c r="D7368" t="s">
        <v>7339</v>
      </c>
      <c r="E7368" t="b">
        <f>IF(COUNTIF(D7368,"*"&amp;'Keyword Search'!$C$5&amp;"*"),TRUE,FALSE)</f>
        <v>1</v>
      </c>
      <c r="G7368" t="str">
        <f t="shared" si="474"/>
        <v>913-89: Maintenance and Repair, Utility and Underground Projects</v>
      </c>
    </row>
    <row r="7369" spans="1:7" x14ac:dyDescent="0.25">
      <c r="A7369" s="1" t="str">
        <f t="shared" si="472"/>
        <v>913</v>
      </c>
      <c r="B7369" s="1" t="str">
        <f>TEXT(90,"00")</f>
        <v>90</v>
      </c>
      <c r="C7369" s="1" t="str">
        <f t="shared" si="473"/>
        <v>913-90</v>
      </c>
      <c r="D7369" t="s">
        <v>7340</v>
      </c>
      <c r="E7369" t="b">
        <f>IF(COUNTIF(D7369,"*"&amp;'Keyword Search'!$C$5&amp;"*"),TRUE,FALSE)</f>
        <v>1</v>
      </c>
      <c r="G7369" t="str">
        <f t="shared" si="474"/>
        <v>913-90: Maintenance and Repair, Viaduct</v>
      </c>
    </row>
    <row r="7370" spans="1:7" x14ac:dyDescent="0.25">
      <c r="A7370" s="1" t="str">
        <f t="shared" si="472"/>
        <v>913</v>
      </c>
      <c r="B7370" s="1" t="str">
        <f>TEXT(91,"00")</f>
        <v>91</v>
      </c>
      <c r="C7370" s="1" t="str">
        <f t="shared" si="473"/>
        <v>913-91</v>
      </c>
      <c r="D7370" t="s">
        <v>7341</v>
      </c>
      <c r="E7370" t="b">
        <f>IF(COUNTIF(D7370,"*"&amp;'Keyword Search'!$C$5&amp;"*"),TRUE,FALSE)</f>
        <v>1</v>
      </c>
      <c r="G7370" t="str">
        <f t="shared" si="474"/>
        <v>913-91: Maintenance and Repair, Wastewater Treatment Plant</v>
      </c>
    </row>
    <row r="7371" spans="1:7" x14ac:dyDescent="0.25">
      <c r="A7371" s="1" t="str">
        <f t="shared" si="472"/>
        <v>913</v>
      </c>
      <c r="B7371" s="1" t="str">
        <f>TEXT(92,"00")</f>
        <v>92</v>
      </c>
      <c r="C7371" s="1" t="str">
        <f t="shared" si="473"/>
        <v>913-92</v>
      </c>
      <c r="D7371" t="s">
        <v>7342</v>
      </c>
      <c r="E7371" t="b">
        <f>IF(COUNTIF(D7371,"*"&amp;'Keyword Search'!$C$5&amp;"*"),TRUE,FALSE)</f>
        <v>1</v>
      </c>
      <c r="G7371" t="str">
        <f t="shared" si="474"/>
        <v>913-92: Maintenance and Repair, Water System, Main and Service Line</v>
      </c>
    </row>
    <row r="7372" spans="1:7" x14ac:dyDescent="0.25">
      <c r="A7372" s="1" t="str">
        <f t="shared" si="472"/>
        <v>913</v>
      </c>
      <c r="B7372" s="1" t="str">
        <f>TEXT(94,"00")</f>
        <v>94</v>
      </c>
      <c r="C7372" s="1" t="str">
        <f t="shared" si="473"/>
        <v>913-94</v>
      </c>
      <c r="D7372" t="s">
        <v>7343</v>
      </c>
      <c r="E7372" t="b">
        <f>IF(COUNTIF(D7372,"*"&amp;'Keyword Search'!$C$5&amp;"*"),TRUE,FALSE)</f>
        <v>1</v>
      </c>
      <c r="G7372" t="str">
        <f t="shared" si="474"/>
        <v>913-94: Paving and Resurfacing, Alley and Parking Lot</v>
      </c>
    </row>
    <row r="7373" spans="1:7" x14ac:dyDescent="0.25">
      <c r="A7373" s="1" t="str">
        <f t="shared" si="472"/>
        <v>913</v>
      </c>
      <c r="B7373" s="1" t="str">
        <f>TEXT(95,"00")</f>
        <v>95</v>
      </c>
      <c r="C7373" s="1" t="str">
        <f t="shared" si="473"/>
        <v>913-95</v>
      </c>
      <c r="D7373" t="s">
        <v>7344</v>
      </c>
      <c r="E7373" t="b">
        <f>IF(COUNTIF(D7373,"*"&amp;'Keyword Search'!$C$5&amp;"*"),TRUE,FALSE)</f>
        <v>1</v>
      </c>
      <c r="G7373" t="str">
        <f t="shared" si="474"/>
        <v>913-95: Paving and Resurfacing, Highway and Road</v>
      </c>
    </row>
    <row r="7374" spans="1:7" x14ac:dyDescent="0.25">
      <c r="A7374" s="1" t="str">
        <f t="shared" si="472"/>
        <v>913</v>
      </c>
      <c r="B7374" s="1" t="str">
        <f>TEXT(96,"00")</f>
        <v>96</v>
      </c>
      <c r="C7374" s="1" t="str">
        <f t="shared" si="473"/>
        <v>913-96</v>
      </c>
      <c r="D7374" t="s">
        <v>7345</v>
      </c>
      <c r="E7374" t="b">
        <f>IF(COUNTIF(D7374,"*"&amp;'Keyword Search'!$C$5&amp;"*"),TRUE,FALSE)</f>
        <v>1</v>
      </c>
      <c r="G7374" t="str">
        <f t="shared" si="474"/>
        <v>913-96: Paving and Resurfacing, Streets, Major and Residential</v>
      </c>
    </row>
    <row r="7375" spans="1:7" x14ac:dyDescent="0.25">
      <c r="A7375" s="5" t="str">
        <f t="shared" ref="A7375:A7402" si="475">TEXT(914,"000")</f>
        <v>914</v>
      </c>
      <c r="B7375" s="5" t="str">
        <f>TEXT(0,"00")</f>
        <v>00</v>
      </c>
      <c r="C7375" s="1"/>
      <c r="D7375" s="2" t="s">
        <v>7346</v>
      </c>
    </row>
    <row r="7376" spans="1:7" x14ac:dyDescent="0.25">
      <c r="A7376" s="1" t="str">
        <f t="shared" si="475"/>
        <v>914</v>
      </c>
      <c r="B7376" s="1" t="str">
        <f>TEXT(10,"00")</f>
        <v>10</v>
      </c>
      <c r="C7376" s="1" t="str">
        <f t="shared" si="473"/>
        <v>914-10</v>
      </c>
      <c r="D7376" t="s">
        <v>7347</v>
      </c>
      <c r="E7376" t="b">
        <f>IF(COUNTIF(D7376,"*"&amp;'Keyword Search'!$C$5&amp;"*"),TRUE,FALSE)</f>
        <v>1</v>
      </c>
      <c r="G7376" t="str">
        <f t="shared" si="474"/>
        <v>914-10: *Building Documentation Services</v>
      </c>
    </row>
    <row r="7377" spans="1:7" x14ac:dyDescent="0.25">
      <c r="A7377" s="1" t="str">
        <f t="shared" si="475"/>
        <v>914</v>
      </c>
      <c r="B7377" s="1" t="str">
        <f>TEXT(27,"00")</f>
        <v>27</v>
      </c>
      <c r="C7377" s="1" t="str">
        <f t="shared" si="473"/>
        <v>914-27</v>
      </c>
      <c r="D7377" t="s">
        <v>7348</v>
      </c>
      <c r="E7377" t="b">
        <f>IF(COUNTIF(D7377,"*"&amp;'Keyword Search'!$C$5&amp;"*"),TRUE,FALSE)</f>
        <v>1</v>
      </c>
      <c r="G7377" t="str">
        <f t="shared" si="474"/>
        <v>914-27: Carpentry</v>
      </c>
    </row>
    <row r="7378" spans="1:7" x14ac:dyDescent="0.25">
      <c r="A7378" s="1" t="str">
        <f t="shared" si="475"/>
        <v>914</v>
      </c>
      <c r="B7378" s="1" t="str">
        <f>TEXT(28,"00")</f>
        <v>28</v>
      </c>
      <c r="C7378" s="1" t="str">
        <f t="shared" si="473"/>
        <v>914-28</v>
      </c>
      <c r="D7378" t="s">
        <v>7349</v>
      </c>
      <c r="E7378" t="b">
        <f>IF(COUNTIF(D7378,"*"&amp;'Keyword Search'!$C$5&amp;"*"),TRUE,FALSE)</f>
        <v>1</v>
      </c>
      <c r="G7378" t="str">
        <f t="shared" si="474"/>
        <v>914-28: Cleaning, Interior and Exterior, New Construction</v>
      </c>
    </row>
    <row r="7379" spans="1:7" x14ac:dyDescent="0.25">
      <c r="A7379" s="1" t="str">
        <f t="shared" si="475"/>
        <v>914</v>
      </c>
      <c r="B7379" s="1" t="str">
        <f>TEXT(29,"00")</f>
        <v>29</v>
      </c>
      <c r="C7379" s="1" t="str">
        <f t="shared" si="473"/>
        <v>914-29</v>
      </c>
      <c r="D7379" t="s">
        <v>7350</v>
      </c>
      <c r="E7379" t="b">
        <f>IF(COUNTIF(D7379,"*"&amp;'Keyword Search'!$C$5&amp;"*"),TRUE,FALSE)</f>
        <v>1</v>
      </c>
      <c r="G7379" t="str">
        <f t="shared" si="474"/>
        <v>914-29: Communication Systems, Including Infrastructure</v>
      </c>
    </row>
    <row r="7380" spans="1:7" x14ac:dyDescent="0.25">
      <c r="A7380" s="1" t="str">
        <f t="shared" si="475"/>
        <v>914</v>
      </c>
      <c r="B7380" s="1" t="str">
        <f>TEXT(30,"00")</f>
        <v>30</v>
      </c>
      <c r="C7380" s="1" t="str">
        <f t="shared" si="473"/>
        <v>914-30</v>
      </c>
      <c r="D7380" t="s">
        <v>7351</v>
      </c>
      <c r="E7380" t="b">
        <f>IF(COUNTIF(D7380,"*"&amp;'Keyword Search'!$C$5&amp;"*"),TRUE,FALSE)</f>
        <v>1</v>
      </c>
      <c r="G7380" t="str">
        <f t="shared" si="474"/>
        <v>914-30: Concrete</v>
      </c>
    </row>
    <row r="7381" spans="1:7" x14ac:dyDescent="0.25">
      <c r="A7381" s="1" t="str">
        <f t="shared" si="475"/>
        <v>914</v>
      </c>
      <c r="B7381" s="1" t="str">
        <f>TEXT(31,"00")</f>
        <v>31</v>
      </c>
      <c r="C7381" s="1" t="str">
        <f t="shared" si="473"/>
        <v>914-31</v>
      </c>
      <c r="D7381" t="s">
        <v>7352</v>
      </c>
      <c r="E7381" t="b">
        <f>IF(COUNTIF(D7381,"*"&amp;'Keyword Search'!$C$5&amp;"*"),TRUE,FALSE)</f>
        <v>1</v>
      </c>
      <c r="G7381" t="str">
        <f t="shared" si="474"/>
        <v>914-31: Composites</v>
      </c>
    </row>
    <row r="7382" spans="1:7" x14ac:dyDescent="0.25">
      <c r="A7382" s="1" t="str">
        <f t="shared" si="475"/>
        <v>914</v>
      </c>
      <c r="B7382" s="1" t="str">
        <f>TEXT(38,"00")</f>
        <v>38</v>
      </c>
      <c r="C7382" s="1" t="str">
        <f t="shared" si="473"/>
        <v>914-38</v>
      </c>
      <c r="D7382" t="s">
        <v>7353</v>
      </c>
      <c r="E7382" t="b">
        <f>IF(COUNTIF(D7382,"*"&amp;'Keyword Search'!$C$5&amp;"*"),TRUE,FALSE)</f>
        <v>1</v>
      </c>
      <c r="G7382" t="str">
        <f t="shared" si="474"/>
        <v>914-38: Electrical</v>
      </c>
    </row>
    <row r="7383" spans="1:7" x14ac:dyDescent="0.25">
      <c r="A7383" s="1" t="str">
        <f t="shared" si="475"/>
        <v>914</v>
      </c>
      <c r="B7383" s="1" t="str">
        <f>TEXT(39,"00")</f>
        <v>39</v>
      </c>
      <c r="C7383" s="1" t="str">
        <f t="shared" si="473"/>
        <v>914-39</v>
      </c>
      <c r="D7383" t="s">
        <v>7354</v>
      </c>
      <c r="E7383" t="b">
        <f>IF(COUNTIF(D7383,"*"&amp;'Keyword Search'!$C$5&amp;"*"),TRUE,FALSE)</f>
        <v>1</v>
      </c>
      <c r="G7383" t="str">
        <f t="shared" si="474"/>
        <v>914-39: Facility Fuel Systems</v>
      </c>
    </row>
    <row r="7384" spans="1:7" x14ac:dyDescent="0.25">
      <c r="A7384" s="1" t="str">
        <f t="shared" si="475"/>
        <v>914</v>
      </c>
      <c r="B7384" s="1" t="str">
        <f>TEXT(44,"00")</f>
        <v>44</v>
      </c>
      <c r="C7384" s="1" t="str">
        <f t="shared" si="473"/>
        <v>914-44</v>
      </c>
      <c r="D7384" t="s">
        <v>7355</v>
      </c>
      <c r="E7384" t="b">
        <f>IF(COUNTIF(D7384,"*"&amp;'Keyword Search'!$C$5&amp;"*"),TRUE,FALSE)</f>
        <v>1</v>
      </c>
      <c r="G7384" t="str">
        <f t="shared" si="474"/>
        <v>914-44: Flooring</v>
      </c>
    </row>
    <row r="7385" spans="1:7" x14ac:dyDescent="0.25">
      <c r="A7385" s="1" t="str">
        <f t="shared" si="475"/>
        <v>914</v>
      </c>
      <c r="B7385" s="1" t="str">
        <f>TEXT(47,"00")</f>
        <v>47</v>
      </c>
      <c r="C7385" s="1" t="str">
        <f t="shared" si="473"/>
        <v>914-47</v>
      </c>
      <c r="D7385" t="s">
        <v>7356</v>
      </c>
      <c r="E7385" t="b">
        <f>IF(COUNTIF(D7385,"*"&amp;'Keyword Search'!$C$5&amp;"*"),TRUE,FALSE)</f>
        <v>1</v>
      </c>
      <c r="G7385" t="str">
        <f t="shared" si="474"/>
        <v>914-47: Glass and Glazing</v>
      </c>
    </row>
    <row r="7386" spans="1:7" x14ac:dyDescent="0.25">
      <c r="A7386" s="1" t="str">
        <f t="shared" si="475"/>
        <v>914</v>
      </c>
      <c r="B7386" s="1" t="str">
        <f>TEXT(50,"00")</f>
        <v>50</v>
      </c>
      <c r="C7386" s="1" t="str">
        <f t="shared" si="473"/>
        <v>914-50</v>
      </c>
      <c r="D7386" t="s">
        <v>7357</v>
      </c>
      <c r="E7386" t="b">
        <f>IF(COUNTIF(D7386,"*"&amp;'Keyword Search'!$C$5&amp;"*"),TRUE,FALSE)</f>
        <v>1</v>
      </c>
      <c r="G7386" t="str">
        <f t="shared" si="474"/>
        <v>914-50: Heating, Ventilating and Air Conditioning (HVAC)</v>
      </c>
    </row>
    <row r="7387" spans="1:7" x14ac:dyDescent="0.25">
      <c r="A7387" s="1" t="str">
        <f t="shared" si="475"/>
        <v>914</v>
      </c>
      <c r="B7387" s="1" t="str">
        <f>TEXT(53,"00")</f>
        <v>53</v>
      </c>
      <c r="C7387" s="1" t="str">
        <f t="shared" si="473"/>
        <v>914-53</v>
      </c>
      <c r="D7387" t="s">
        <v>7358</v>
      </c>
      <c r="E7387" t="b">
        <f>IF(COUNTIF(D7387,"*"&amp;'Keyword Search'!$C$5&amp;"*"),TRUE,FALSE)</f>
        <v>1</v>
      </c>
      <c r="G7387" t="str">
        <f t="shared" si="474"/>
        <v>914-53: Insulation</v>
      </c>
    </row>
    <row r="7388" spans="1:7" x14ac:dyDescent="0.25">
      <c r="A7388" s="1" t="str">
        <f t="shared" si="475"/>
        <v>914</v>
      </c>
      <c r="B7388" s="1" t="str">
        <f>TEXT(55,"00")</f>
        <v>55</v>
      </c>
      <c r="C7388" s="1" t="str">
        <f t="shared" si="473"/>
        <v>914-55</v>
      </c>
      <c r="D7388" t="s">
        <v>7359</v>
      </c>
      <c r="E7388" t="b">
        <f>IF(COUNTIF(D7388,"*"&amp;'Keyword Search'!$C$5&amp;"*"),TRUE,FALSE)</f>
        <v>1</v>
      </c>
      <c r="G7388" t="str">
        <f t="shared" si="474"/>
        <v>914-55: Masonry</v>
      </c>
    </row>
    <row r="7389" spans="1:7" x14ac:dyDescent="0.25">
      <c r="A7389" s="1" t="str">
        <f t="shared" si="475"/>
        <v>914</v>
      </c>
      <c r="B7389" s="1" t="str">
        <f>TEXT(57,"00")</f>
        <v>57</v>
      </c>
      <c r="C7389" s="1" t="str">
        <f t="shared" si="473"/>
        <v>914-57</v>
      </c>
      <c r="D7389" t="s">
        <v>7360</v>
      </c>
      <c r="E7389" t="b">
        <f>IF(COUNTIF(D7389,"*"&amp;'Keyword Search'!$C$5&amp;"*"),TRUE,FALSE)</f>
        <v>1</v>
      </c>
      <c r="G7389" t="str">
        <f t="shared" si="474"/>
        <v>914-57: Metal Work</v>
      </c>
    </row>
    <row r="7390" spans="1:7" x14ac:dyDescent="0.25">
      <c r="A7390" s="1" t="str">
        <f t="shared" si="475"/>
        <v>914</v>
      </c>
      <c r="B7390" s="1" t="str">
        <f>TEXT(58,"00")</f>
        <v>58</v>
      </c>
      <c r="C7390" s="1" t="str">
        <f t="shared" si="473"/>
        <v>914-58</v>
      </c>
      <c r="D7390" t="s">
        <v>7361</v>
      </c>
      <c r="E7390" t="b">
        <f>IF(COUNTIF(D7390,"*"&amp;'Keyword Search'!$C$5&amp;"*"),TRUE,FALSE)</f>
        <v>1</v>
      </c>
      <c r="G7390" t="str">
        <f t="shared" si="474"/>
        <v>914-58: Metal Work, Miscellaneous Metals  (Inactive, please see commodity code 914-57 effective January 1, 2016)</v>
      </c>
    </row>
    <row r="7391" spans="1:7" x14ac:dyDescent="0.25">
      <c r="A7391" s="1" t="str">
        <f t="shared" si="475"/>
        <v>914</v>
      </c>
      <c r="B7391" s="1" t="str">
        <f>TEXT(60,"00")</f>
        <v>60</v>
      </c>
      <c r="C7391" s="1" t="str">
        <f t="shared" si="473"/>
        <v>914-60</v>
      </c>
      <c r="D7391" t="s">
        <v>7362</v>
      </c>
      <c r="E7391" t="b">
        <f>IF(COUNTIF(D7391,"*"&amp;'Keyword Search'!$C$5&amp;"*"),TRUE,FALSE)</f>
        <v>1</v>
      </c>
      <c r="G7391" t="str">
        <f t="shared" si="474"/>
        <v>914-60: *Millwright</v>
      </c>
    </row>
    <row r="7392" spans="1:7" x14ac:dyDescent="0.25">
      <c r="A7392" s="1" t="str">
        <f t="shared" si="475"/>
        <v>914</v>
      </c>
      <c r="B7392" s="1" t="str">
        <f>TEXT(61,"00")</f>
        <v>61</v>
      </c>
      <c r="C7392" s="1" t="str">
        <f t="shared" si="473"/>
        <v>914-61</v>
      </c>
      <c r="D7392" t="s">
        <v>7363</v>
      </c>
      <c r="E7392" t="b">
        <f>IF(COUNTIF(D7392,"*"&amp;'Keyword Search'!$C$5&amp;"*"),TRUE,FALSE)</f>
        <v>1</v>
      </c>
      <c r="G7392" t="str">
        <f t="shared" si="474"/>
        <v>914-61: Painting and Wallpapering</v>
      </c>
    </row>
    <row r="7393" spans="1:7" x14ac:dyDescent="0.25">
      <c r="A7393" s="1" t="str">
        <f t="shared" si="475"/>
        <v>914</v>
      </c>
      <c r="B7393" s="1" t="str">
        <f>TEXT(64,"00")</f>
        <v>64</v>
      </c>
      <c r="C7393" s="1" t="str">
        <f t="shared" si="473"/>
        <v>914-64</v>
      </c>
      <c r="D7393" t="s">
        <v>7364</v>
      </c>
      <c r="E7393" t="b">
        <f>IF(COUNTIF(D7393,"*"&amp;'Keyword Search'!$C$5&amp;"*"),TRUE,FALSE)</f>
        <v>1</v>
      </c>
      <c r="G7393" t="str">
        <f t="shared" si="474"/>
        <v>914-64: Plastering</v>
      </c>
    </row>
    <row r="7394" spans="1:7" x14ac:dyDescent="0.25">
      <c r="A7394" s="1" t="str">
        <f t="shared" si="475"/>
        <v>914</v>
      </c>
      <c r="B7394" s="1" t="str">
        <f>TEXT(65,"00")</f>
        <v>65</v>
      </c>
      <c r="C7394" s="1" t="str">
        <f t="shared" si="473"/>
        <v>914-65</v>
      </c>
      <c r="D7394" t="s">
        <v>7365</v>
      </c>
      <c r="E7394" t="b">
        <f>IF(COUNTIF(D7394,"*"&amp;'Keyword Search'!$C$5&amp;"*"),TRUE,FALSE)</f>
        <v>1</v>
      </c>
      <c r="G7394" t="str">
        <f t="shared" si="474"/>
        <v>914-65: Plastics</v>
      </c>
    </row>
    <row r="7395" spans="1:7" x14ac:dyDescent="0.25">
      <c r="A7395" s="1" t="str">
        <f t="shared" si="475"/>
        <v>914</v>
      </c>
      <c r="B7395" s="1" t="str">
        <f>TEXT(68,"00")</f>
        <v>68</v>
      </c>
      <c r="C7395" s="1" t="str">
        <f t="shared" si="473"/>
        <v>914-68</v>
      </c>
      <c r="D7395" t="s">
        <v>7366</v>
      </c>
      <c r="E7395" t="b">
        <f>IF(COUNTIF(D7395,"*"&amp;'Keyword Search'!$C$5&amp;"*"),TRUE,FALSE)</f>
        <v>1</v>
      </c>
      <c r="G7395" t="str">
        <f t="shared" si="474"/>
        <v>914-68: Plumbing</v>
      </c>
    </row>
    <row r="7396" spans="1:7" x14ac:dyDescent="0.25">
      <c r="A7396" s="1" t="str">
        <f t="shared" si="475"/>
        <v>914</v>
      </c>
      <c r="B7396" s="1" t="str">
        <f>TEXT(73,"00")</f>
        <v>73</v>
      </c>
      <c r="C7396" s="1" t="str">
        <f t="shared" si="473"/>
        <v>914-73</v>
      </c>
      <c r="D7396" t="s">
        <v>7367</v>
      </c>
      <c r="E7396" t="b">
        <f>IF(COUNTIF(D7396,"*"&amp;'Keyword Search'!$C$5&amp;"*"),TRUE,FALSE)</f>
        <v>1</v>
      </c>
      <c r="G7396" t="str">
        <f t="shared" si="474"/>
        <v>914-73: Roofing and Siding</v>
      </c>
    </row>
    <row r="7397" spans="1:7" x14ac:dyDescent="0.25">
      <c r="A7397" s="1" t="str">
        <f t="shared" si="475"/>
        <v>914</v>
      </c>
      <c r="B7397" s="1" t="str">
        <f>TEXT(79,"00")</f>
        <v>79</v>
      </c>
      <c r="C7397" s="1" t="str">
        <f t="shared" si="473"/>
        <v>914-79</v>
      </c>
      <c r="D7397" t="s">
        <v>7368</v>
      </c>
      <c r="E7397" t="b">
        <f>IF(COUNTIF(D7397,"*"&amp;'Keyword Search'!$C$5&amp;"*"),TRUE,FALSE)</f>
        <v>1</v>
      </c>
      <c r="G7397" t="str">
        <f t="shared" si="474"/>
        <v>914-79: Structural and Reinforcement Metal Work (Inactive, please see commodity code 914-57 effective January 1, 2016)</v>
      </c>
    </row>
    <row r="7398" spans="1:7" x14ac:dyDescent="0.25">
      <c r="A7398" s="1" t="str">
        <f t="shared" si="475"/>
        <v>914</v>
      </c>
      <c r="B7398" s="1" t="str">
        <f>TEXT(80,"00")</f>
        <v>80</v>
      </c>
      <c r="C7398" s="1" t="str">
        <f t="shared" si="473"/>
        <v>914-80</v>
      </c>
      <c r="D7398" t="s">
        <v>1002</v>
      </c>
      <c r="E7398" t="b">
        <f>IF(COUNTIF(D7398,"*"&amp;'Keyword Search'!$C$5&amp;"*"),TRUE,FALSE)</f>
        <v>1</v>
      </c>
      <c r="G7398" t="str">
        <f t="shared" si="474"/>
        <v>914-80: Stucco</v>
      </c>
    </row>
    <row r="7399" spans="1:7" x14ac:dyDescent="0.25">
      <c r="A7399" s="1" t="str">
        <f t="shared" si="475"/>
        <v>914</v>
      </c>
      <c r="B7399" s="1" t="str">
        <f>TEXT(83,"00")</f>
        <v>83</v>
      </c>
      <c r="C7399" s="1" t="str">
        <f t="shared" si="473"/>
        <v>914-83</v>
      </c>
      <c r="D7399" t="s">
        <v>7369</v>
      </c>
      <c r="E7399" t="b">
        <f>IF(COUNTIF(D7399,"*"&amp;'Keyword Search'!$C$5&amp;"*"),TRUE,FALSE)</f>
        <v>1</v>
      </c>
      <c r="G7399" t="str">
        <f t="shared" si="474"/>
        <v>914-83: Tile and Marble Work, All Types</v>
      </c>
    </row>
    <row r="7400" spans="1:7" x14ac:dyDescent="0.25">
      <c r="A7400" s="1" t="str">
        <f t="shared" si="475"/>
        <v>914</v>
      </c>
      <c r="B7400" s="1" t="str">
        <f>TEXT(84,"00")</f>
        <v>84</v>
      </c>
      <c r="C7400" s="1" t="str">
        <f t="shared" si="473"/>
        <v>914-84</v>
      </c>
      <c r="D7400" t="s">
        <v>7370</v>
      </c>
      <c r="E7400" t="b">
        <f>IF(COUNTIF(D7400,"*"&amp;'Keyword Search'!$C$5&amp;"*"),TRUE,FALSE)</f>
        <v>1</v>
      </c>
      <c r="G7400" t="str">
        <f t="shared" si="474"/>
        <v>914-84: Trade Services, Construction, (Not Otherwise Classified)</v>
      </c>
    </row>
    <row r="7401" spans="1:7" x14ac:dyDescent="0.25">
      <c r="A7401" s="1" t="str">
        <f t="shared" si="475"/>
        <v>914</v>
      </c>
      <c r="B7401" s="1" t="str">
        <f>TEXT(85,"00")</f>
        <v>85</v>
      </c>
      <c r="C7401" s="1" t="str">
        <f t="shared" si="473"/>
        <v>914-85</v>
      </c>
      <c r="D7401" t="s">
        <v>7371</v>
      </c>
      <c r="E7401" t="b">
        <f>IF(COUNTIF(D7401,"*"&amp;'Keyword Search'!$C$5&amp;"*"),TRUE,FALSE)</f>
        <v>1</v>
      </c>
      <c r="G7401" t="str">
        <f t="shared" si="474"/>
        <v>914-85: Welding</v>
      </c>
    </row>
    <row r="7402" spans="1:7" x14ac:dyDescent="0.25">
      <c r="A7402" s="1" t="str">
        <f t="shared" si="475"/>
        <v>914</v>
      </c>
      <c r="B7402" s="1" t="str">
        <f>TEXT(88,"00")</f>
        <v>88</v>
      </c>
      <c r="C7402" s="1" t="str">
        <f t="shared" si="473"/>
        <v>914-88</v>
      </c>
      <c r="D7402" t="s">
        <v>7372</v>
      </c>
      <c r="E7402" t="b">
        <f>IF(COUNTIF(D7402,"*"&amp;'Keyword Search'!$C$5&amp;"*"),TRUE,FALSE)</f>
        <v>1</v>
      </c>
      <c r="G7402" t="str">
        <f t="shared" si="474"/>
        <v>914-88: Wood, Includes Architectural Woodwork</v>
      </c>
    </row>
    <row r="7403" spans="1:7" x14ac:dyDescent="0.25">
      <c r="A7403" s="5" t="str">
        <f t="shared" ref="A7403:A7464" si="476">TEXT(915,"000")</f>
        <v>915</v>
      </c>
      <c r="B7403" s="5" t="str">
        <f>TEXT(0,"00")</f>
        <v>00</v>
      </c>
      <c r="C7403" s="1"/>
      <c r="D7403" s="2" t="s">
        <v>7373</v>
      </c>
    </row>
    <row r="7404" spans="1:7" x14ac:dyDescent="0.25">
      <c r="A7404" s="1" t="str">
        <f t="shared" si="476"/>
        <v>915</v>
      </c>
      <c r="B7404" s="1" t="str">
        <f>TEXT(1,"00")</f>
        <v>01</v>
      </c>
      <c r="C7404" s="1" t="str">
        <f t="shared" si="473"/>
        <v>915-01</v>
      </c>
      <c r="D7404" t="s">
        <v>7374</v>
      </c>
      <c r="E7404" t="b">
        <f>IF(COUNTIF(D7404,"*"&amp;'Keyword Search'!$C$5&amp;"*"),TRUE,FALSE)</f>
        <v>1</v>
      </c>
      <c r="G7404" t="str">
        <f t="shared" si="474"/>
        <v>915-01: Advertising Agency Services</v>
      </c>
    </row>
    <row r="7405" spans="1:7" x14ac:dyDescent="0.25">
      <c r="A7405" s="1" t="str">
        <f t="shared" si="476"/>
        <v>915</v>
      </c>
      <c r="B7405" s="1" t="str">
        <f>TEXT(2,"00")</f>
        <v>02</v>
      </c>
      <c r="C7405" s="1" t="str">
        <f t="shared" si="473"/>
        <v>915-02</v>
      </c>
      <c r="D7405" t="s">
        <v>7375</v>
      </c>
      <c r="E7405" t="b">
        <f>IF(COUNTIF(D7405,"*"&amp;'Keyword Search'!$C$5&amp;"*"),TRUE,FALSE)</f>
        <v>1</v>
      </c>
      <c r="G7405" t="str">
        <f t="shared" si="474"/>
        <v>915-02: Advertising Services, Including Notice of Bid Solicitation, Statutory Notices, Legal</v>
      </c>
    </row>
    <row r="7406" spans="1:7" x14ac:dyDescent="0.25">
      <c r="A7406" s="1" t="str">
        <f t="shared" si="476"/>
        <v>915</v>
      </c>
      <c r="B7406" s="1" t="str">
        <f>TEXT(3,"00")</f>
        <v>03</v>
      </c>
      <c r="C7406" s="1" t="str">
        <f t="shared" si="473"/>
        <v>915-03</v>
      </c>
      <c r="D7406" t="s">
        <v>7376</v>
      </c>
      <c r="E7406" t="b">
        <f>IF(COUNTIF(D7406,"*"&amp;'Keyword Search'!$C$5&amp;"*"),TRUE,FALSE)</f>
        <v>1</v>
      </c>
      <c r="G7406" t="str">
        <f t="shared" si="474"/>
        <v>915-03: Advertising and Public Relations, Including Skywriting</v>
      </c>
    </row>
    <row r="7407" spans="1:7" x14ac:dyDescent="0.25">
      <c r="A7407" s="1" t="str">
        <f t="shared" si="476"/>
        <v>915</v>
      </c>
      <c r="B7407" s="1" t="str">
        <f>TEXT(4,"00")</f>
        <v>04</v>
      </c>
      <c r="C7407" s="1" t="str">
        <f t="shared" si="473"/>
        <v>915-04</v>
      </c>
      <c r="D7407" t="s">
        <v>7377</v>
      </c>
      <c r="E7407" t="b">
        <f>IF(COUNTIF(D7407,"*"&amp;'Keyword Search'!$C$5&amp;"*"),TRUE,FALSE)</f>
        <v>1</v>
      </c>
      <c r="G7407" t="str">
        <f t="shared" si="474"/>
        <v>915-04: Advertising Services, Outdoor Billboard, etc.</v>
      </c>
    </row>
    <row r="7408" spans="1:7" x14ac:dyDescent="0.25">
      <c r="A7408" s="1" t="str">
        <f t="shared" si="476"/>
        <v>915</v>
      </c>
      <c r="B7408" s="1" t="str">
        <f>TEXT(5,"00")</f>
        <v>05</v>
      </c>
      <c r="C7408" s="1" t="str">
        <f t="shared" si="473"/>
        <v>915-05</v>
      </c>
      <c r="D7408" t="s">
        <v>7378</v>
      </c>
      <c r="E7408" t="b">
        <f>IF(COUNTIF(D7408,"*"&amp;'Keyword Search'!$C$5&amp;"*"),TRUE,FALSE)</f>
        <v>1</v>
      </c>
      <c r="G7408" t="str">
        <f t="shared" si="474"/>
        <v>915-05: *Answering and Paging Services</v>
      </c>
    </row>
    <row r="7409" spans="1:7" x14ac:dyDescent="0.25">
      <c r="A7409" s="1" t="str">
        <f t="shared" si="476"/>
        <v>915</v>
      </c>
      <c r="B7409" s="1" t="str">
        <f>TEXT(6,"00")</f>
        <v>06</v>
      </c>
      <c r="C7409" s="1" t="str">
        <f t="shared" si="473"/>
        <v>915-06</v>
      </c>
      <c r="D7409" t="s">
        <v>7379</v>
      </c>
      <c r="E7409" t="b">
        <f>IF(COUNTIF(D7409,"*"&amp;'Keyword Search'!$C$5&amp;"*"),TRUE,FALSE)</f>
        <v>1</v>
      </c>
      <c r="G7409" t="str">
        <f t="shared" si="474"/>
        <v>915-06: Audio Production Services</v>
      </c>
    </row>
    <row r="7410" spans="1:7" x14ac:dyDescent="0.25">
      <c r="A7410" s="1" t="str">
        <f t="shared" si="476"/>
        <v>915</v>
      </c>
      <c r="B7410" s="1" t="str">
        <f>TEXT(7,"00")</f>
        <v>07</v>
      </c>
      <c r="C7410" s="1" t="str">
        <f t="shared" si="473"/>
        <v>915-07</v>
      </c>
      <c r="D7410" t="s">
        <v>7380</v>
      </c>
      <c r="E7410" t="b">
        <f>IF(COUNTIF(D7410,"*"&amp;'Keyword Search'!$C$5&amp;"*"),TRUE,FALSE)</f>
        <v>1</v>
      </c>
      <c r="G7410" t="str">
        <f t="shared" si="474"/>
        <v>915-07: Audio Recording Services</v>
      </c>
    </row>
    <row r="7411" spans="1:7" x14ac:dyDescent="0.25">
      <c r="A7411" s="1" t="str">
        <f t="shared" si="476"/>
        <v>915</v>
      </c>
      <c r="B7411" s="1" t="str">
        <f>TEXT(8,"00")</f>
        <v>08</v>
      </c>
      <c r="C7411" s="1" t="str">
        <f t="shared" si="473"/>
        <v>915-08</v>
      </c>
      <c r="D7411" t="s">
        <v>7381</v>
      </c>
      <c r="E7411" t="b">
        <f>IF(COUNTIF(D7411,"*"&amp;'Keyword Search'!$C$5&amp;"*"),TRUE,FALSE)</f>
        <v>1</v>
      </c>
      <c r="G7411" t="str">
        <f t="shared" si="474"/>
        <v>915-08: Audio Media Duplicating Services, Including Cassettes, CD ROMs, Tapes, etc.</v>
      </c>
    </row>
    <row r="7412" spans="1:7" x14ac:dyDescent="0.25">
      <c r="A7412" s="1" t="str">
        <f t="shared" si="476"/>
        <v>915</v>
      </c>
      <c r="B7412" s="1" t="str">
        <f>TEXT(9,"00")</f>
        <v>09</v>
      </c>
      <c r="C7412" s="1" t="str">
        <f t="shared" si="473"/>
        <v>915-09</v>
      </c>
      <c r="D7412" t="s">
        <v>7382</v>
      </c>
      <c r="E7412" t="b">
        <f>IF(COUNTIF(D7412,"*"&amp;'Keyword Search'!$C$5&amp;"*"),TRUE,FALSE)</f>
        <v>1</v>
      </c>
      <c r="G7412" t="str">
        <f t="shared" si="474"/>
        <v>915-09: Audio and Video Production Services</v>
      </c>
    </row>
    <row r="7413" spans="1:7" x14ac:dyDescent="0.25">
      <c r="A7413" s="1" t="str">
        <f t="shared" si="476"/>
        <v>915</v>
      </c>
      <c r="B7413" s="1" t="str">
        <f>TEXT(10,"00")</f>
        <v>10</v>
      </c>
      <c r="C7413" s="1" t="str">
        <f t="shared" si="473"/>
        <v>915-10</v>
      </c>
      <c r="D7413" t="s">
        <v>7383</v>
      </c>
      <c r="E7413" t="b">
        <f>IF(COUNTIF(D7413,"*"&amp;'Keyword Search'!$C$5&amp;"*"),TRUE,FALSE)</f>
        <v>1</v>
      </c>
      <c r="G7413" t="str">
        <f t="shared" si="474"/>
        <v>915-10: *Advertising, Digital</v>
      </c>
    </row>
    <row r="7414" spans="1:7" x14ac:dyDescent="0.25">
      <c r="A7414" s="1" t="str">
        <f t="shared" si="476"/>
        <v>915</v>
      </c>
      <c r="B7414" s="1" t="str">
        <f>TEXT(11,"00")</f>
        <v>11</v>
      </c>
      <c r="C7414" s="1" t="str">
        <f t="shared" si="473"/>
        <v>915-11</v>
      </c>
      <c r="D7414" t="s">
        <v>7384</v>
      </c>
      <c r="E7414" t="b">
        <f>IF(COUNTIF(D7414,"*"&amp;'Keyword Search'!$C$5&amp;"*"),TRUE,FALSE)</f>
        <v>1</v>
      </c>
      <c r="G7414" t="str">
        <f t="shared" si="474"/>
        <v>915-11: Background Music Services, Including Messaging on Hold, etc.</v>
      </c>
    </row>
    <row r="7415" spans="1:7" x14ac:dyDescent="0.25">
      <c r="A7415" s="1" t="str">
        <f t="shared" si="476"/>
        <v>915</v>
      </c>
      <c r="B7415" s="1" t="str">
        <f>TEXT(14,"00")</f>
        <v>14</v>
      </c>
      <c r="C7415" s="1" t="str">
        <f t="shared" si="473"/>
        <v>915-14</v>
      </c>
      <c r="D7415" t="s">
        <v>7385</v>
      </c>
      <c r="E7415" t="b">
        <f>IF(COUNTIF(D7415,"*"&amp;'Keyword Search'!$C$5&amp;"*"),TRUE,FALSE)</f>
        <v>1</v>
      </c>
      <c r="G7415" t="str">
        <f t="shared" si="474"/>
        <v>915-14: Broadcasting Services, Radio</v>
      </c>
    </row>
    <row r="7416" spans="1:7" x14ac:dyDescent="0.25">
      <c r="A7416" s="1" t="str">
        <f t="shared" si="476"/>
        <v>915</v>
      </c>
      <c r="B7416" s="1" t="str">
        <f>TEXT(15,"00")</f>
        <v>15</v>
      </c>
      <c r="C7416" s="1" t="str">
        <f t="shared" si="473"/>
        <v>915-15</v>
      </c>
      <c r="D7416" t="s">
        <v>7386</v>
      </c>
      <c r="E7416" t="b">
        <f>IF(COUNTIF(D7416,"*"&amp;'Keyword Search'!$C$5&amp;"*"),TRUE,FALSE)</f>
        <v>1</v>
      </c>
      <c r="G7416" t="str">
        <f t="shared" si="474"/>
        <v>915-15: Broadcasting Services, Television</v>
      </c>
    </row>
    <row r="7417" spans="1:7" x14ac:dyDescent="0.25">
      <c r="A7417" s="1" t="str">
        <f t="shared" si="476"/>
        <v>915</v>
      </c>
      <c r="B7417" s="1" t="str">
        <f>TEXT(20,"00")</f>
        <v>20</v>
      </c>
      <c r="C7417" s="1" t="str">
        <f t="shared" si="473"/>
        <v>915-20</v>
      </c>
      <c r="D7417" t="s">
        <v>7387</v>
      </c>
      <c r="E7417" t="b">
        <f>IF(COUNTIF(D7417,"*"&amp;'Keyword Search'!$C$5&amp;"*"),TRUE,FALSE)</f>
        <v>1</v>
      </c>
      <c r="G7417" t="str">
        <f t="shared" si="474"/>
        <v>915-20: Call Center Services</v>
      </c>
    </row>
    <row r="7418" spans="1:7" x14ac:dyDescent="0.25">
      <c r="A7418" s="1" t="str">
        <f t="shared" si="476"/>
        <v>915</v>
      </c>
      <c r="B7418" s="1" t="str">
        <f>TEXT(22,"00")</f>
        <v>22</v>
      </c>
      <c r="C7418" s="1" t="str">
        <f t="shared" si="473"/>
        <v>915-22</v>
      </c>
      <c r="D7418" t="s">
        <v>7388</v>
      </c>
      <c r="E7418" t="b">
        <f>IF(COUNTIF(D7418,"*"&amp;'Keyword Search'!$C$5&amp;"*"),TRUE,FALSE)</f>
        <v>1</v>
      </c>
      <c r="G7418" t="str">
        <f t="shared" si="474"/>
        <v>915-22: Communications Marketing Services</v>
      </c>
    </row>
    <row r="7419" spans="1:7" x14ac:dyDescent="0.25">
      <c r="A7419" s="1" t="str">
        <f t="shared" si="476"/>
        <v>915</v>
      </c>
      <c r="B7419" s="1" t="str">
        <f>TEXT(23,"00")</f>
        <v>23</v>
      </c>
      <c r="C7419" s="1" t="str">
        <f t="shared" si="473"/>
        <v>915-23</v>
      </c>
      <c r="D7419" t="s">
        <v>7389</v>
      </c>
      <c r="E7419" t="b">
        <f>IF(COUNTIF(D7419,"*"&amp;'Keyword Search'!$C$5&amp;"*"),TRUE,FALSE)</f>
        <v>1</v>
      </c>
      <c r="G7419" t="str">
        <f t="shared" si="474"/>
        <v>915-23: Conference Coordinating and Planning Services</v>
      </c>
    </row>
    <row r="7420" spans="1:7" x14ac:dyDescent="0.25">
      <c r="A7420" s="1" t="str">
        <f t="shared" si="476"/>
        <v>915</v>
      </c>
      <c r="B7420" s="1" t="str">
        <f>TEXT(24,"00")</f>
        <v>24</v>
      </c>
      <c r="C7420" s="1" t="str">
        <f t="shared" si="473"/>
        <v>915-24</v>
      </c>
      <c r="D7420" t="s">
        <v>7390</v>
      </c>
      <c r="E7420" t="b">
        <f>IF(COUNTIF(D7420,"*"&amp;'Keyword Search'!$C$5&amp;"*"),TRUE,FALSE)</f>
        <v>1</v>
      </c>
      <c r="G7420" t="str">
        <f t="shared" si="474"/>
        <v>915-24: Cable Television Services, Including Pay-Per-View Services</v>
      </c>
    </row>
    <row r="7421" spans="1:7" x14ac:dyDescent="0.25">
      <c r="A7421" s="1" t="str">
        <f t="shared" si="476"/>
        <v>915</v>
      </c>
      <c r="B7421" s="1" t="str">
        <f>TEXT(25,"00")</f>
        <v>25</v>
      </c>
      <c r="C7421" s="1" t="str">
        <f t="shared" si="473"/>
        <v>915-25</v>
      </c>
      <c r="D7421" t="s">
        <v>7391</v>
      </c>
      <c r="E7421" t="b">
        <f>IF(COUNTIF(D7421,"*"&amp;'Keyword Search'!$C$5&amp;"*"),TRUE,FALSE)</f>
        <v>1</v>
      </c>
      <c r="G7421" t="str">
        <f t="shared" si="474"/>
        <v>915-25: *Captioned Services for the Hearing Impaired  (See 915-85 for Telecommunication Relay Services)</v>
      </c>
    </row>
    <row r="7422" spans="1:7" x14ac:dyDescent="0.25">
      <c r="A7422" s="1" t="str">
        <f t="shared" si="476"/>
        <v>915</v>
      </c>
      <c r="B7422" s="1" t="str">
        <f>TEXT(26,"00")</f>
        <v>26</v>
      </c>
      <c r="C7422" s="1" t="str">
        <f t="shared" si="473"/>
        <v>915-26</v>
      </c>
      <c r="D7422" t="s">
        <v>7392</v>
      </c>
      <c r="E7422" t="b">
        <f>IF(COUNTIF(D7422,"*"&amp;'Keyword Search'!$C$5&amp;"*"),TRUE,FALSE)</f>
        <v>1</v>
      </c>
      <c r="G7422" t="str">
        <f t="shared" si="474"/>
        <v>915-26: *EDI, Electronic Data Interchange, VAN, Value Added Network Services</v>
      </c>
    </row>
    <row r="7423" spans="1:7" x14ac:dyDescent="0.25">
      <c r="A7423" s="1" t="str">
        <f t="shared" si="476"/>
        <v>915</v>
      </c>
      <c r="B7423" s="1" t="str">
        <f>TEXT(27,"00")</f>
        <v>27</v>
      </c>
      <c r="C7423" s="1" t="str">
        <f t="shared" si="473"/>
        <v>915-27</v>
      </c>
      <c r="D7423" t="s">
        <v>7393</v>
      </c>
      <c r="E7423" t="b">
        <f>IF(COUNTIF(D7423,"*"&amp;'Keyword Search'!$C$5&amp;"*"),TRUE,FALSE)</f>
        <v>1</v>
      </c>
      <c r="G7423" t="str">
        <f t="shared" si="474"/>
        <v>915-27: Editorial Services</v>
      </c>
    </row>
    <row r="7424" spans="1:7" x14ac:dyDescent="0.25">
      <c r="A7424" s="1" t="str">
        <f t="shared" si="476"/>
        <v>915</v>
      </c>
      <c r="B7424" s="1" t="str">
        <f>TEXT(28,"00")</f>
        <v>28</v>
      </c>
      <c r="C7424" s="1" t="str">
        <f t="shared" si="473"/>
        <v>915-28</v>
      </c>
      <c r="D7424" t="s">
        <v>7394</v>
      </c>
      <c r="E7424" t="b">
        <f>IF(COUNTIF(D7424,"*"&amp;'Keyword Search'!$C$5&amp;"*"),TRUE,FALSE)</f>
        <v>1</v>
      </c>
      <c r="G7424" t="str">
        <f t="shared" si="474"/>
        <v>915-28: *Electronic Information and Mailing Services</v>
      </c>
    </row>
    <row r="7425" spans="1:7" x14ac:dyDescent="0.25">
      <c r="A7425" s="1" t="str">
        <f t="shared" si="476"/>
        <v>915</v>
      </c>
      <c r="B7425" s="1" t="str">
        <f>TEXT(30,"00")</f>
        <v>30</v>
      </c>
      <c r="C7425" s="1" t="str">
        <f t="shared" si="473"/>
        <v>915-30</v>
      </c>
      <c r="D7425" t="s">
        <v>7395</v>
      </c>
      <c r="E7425" t="b">
        <f>IF(COUNTIF(D7425,"*"&amp;'Keyword Search'!$C$5&amp;"*"),TRUE,FALSE)</f>
        <v>1</v>
      </c>
      <c r="G7425" t="str">
        <f t="shared" si="474"/>
        <v>915-30: DVD Duplicating Services</v>
      </c>
    </row>
    <row r="7426" spans="1:7" x14ac:dyDescent="0.25">
      <c r="A7426" s="1" t="str">
        <f t="shared" si="476"/>
        <v>915</v>
      </c>
      <c r="B7426" s="1" t="str">
        <f>TEXT(36,"00")</f>
        <v>36</v>
      </c>
      <c r="C7426" s="1" t="str">
        <f t="shared" si="473"/>
        <v>915-36</v>
      </c>
      <c r="D7426" t="s">
        <v>7396</v>
      </c>
      <c r="E7426" t="b">
        <f>IF(COUNTIF(D7426,"*"&amp;'Keyword Search'!$C$5&amp;"*"),TRUE,FALSE)</f>
        <v>1</v>
      </c>
      <c r="G7426" t="str">
        <f t="shared" si="474"/>
        <v>915-36: *Facsimile, Fax Services</v>
      </c>
    </row>
    <row r="7427" spans="1:7" x14ac:dyDescent="0.25">
      <c r="A7427" s="1" t="str">
        <f t="shared" si="476"/>
        <v>915</v>
      </c>
      <c r="B7427" s="1" t="str">
        <f>TEXT(38,"00")</f>
        <v>38</v>
      </c>
      <c r="C7427" s="1" t="str">
        <f t="shared" ref="C7427:C7490" si="477">CONCATENATE(A7427,"-",B7427)</f>
        <v>915-38</v>
      </c>
      <c r="D7427" t="s">
        <v>7397</v>
      </c>
      <c r="E7427" t="b">
        <f>IF(COUNTIF(D7427,"*"&amp;'Keyword Search'!$C$5&amp;"*"),TRUE,FALSE)</f>
        <v>1</v>
      </c>
      <c r="G7427" t="str">
        <f t="shared" si="474"/>
        <v>915-38: Film and Slide Processing, Duplicating and Touch Up Services</v>
      </c>
    </row>
    <row r="7428" spans="1:7" x14ac:dyDescent="0.25">
      <c r="A7428" s="1" t="str">
        <f t="shared" si="476"/>
        <v>915</v>
      </c>
      <c r="B7428" s="1" t="str">
        <f>TEXT(42,"00")</f>
        <v>42</v>
      </c>
      <c r="C7428" s="1" t="str">
        <f t="shared" si="477"/>
        <v>915-42</v>
      </c>
      <c r="D7428" t="s">
        <v>7398</v>
      </c>
      <c r="E7428" t="b">
        <f>IF(COUNTIF(D7428,"*"&amp;'Keyword Search'!$C$5&amp;"*"),TRUE,FALSE)</f>
        <v>1</v>
      </c>
      <c r="G7428" t="str">
        <f t="shared" ref="G7428:G7491" si="478">CONCATENATE(C7428,": ",D7428)</f>
        <v>915-42: Film, Slide and Tape Production Services</v>
      </c>
    </row>
    <row r="7429" spans="1:7" x14ac:dyDescent="0.25">
      <c r="A7429" s="1" t="str">
        <f t="shared" si="476"/>
        <v>915</v>
      </c>
      <c r="B7429" s="1" t="str">
        <f>TEXT(44,"00")</f>
        <v>44</v>
      </c>
      <c r="C7429" s="1" t="str">
        <f t="shared" si="477"/>
        <v>915-44</v>
      </c>
      <c r="D7429" t="s">
        <v>7399</v>
      </c>
      <c r="E7429" t="b">
        <f>IF(COUNTIF(D7429,"*"&amp;'Keyword Search'!$C$5&amp;"*"),TRUE,FALSE)</f>
        <v>1</v>
      </c>
      <c r="G7429" t="str">
        <f t="shared" si="478"/>
        <v>915-44: *Fulfillment, Including Data Processing, Packaging, Labeling and Mailing of Literature as a Package</v>
      </c>
    </row>
    <row r="7430" spans="1:7" x14ac:dyDescent="0.25">
      <c r="A7430" s="1" t="str">
        <f t="shared" si="476"/>
        <v>915</v>
      </c>
      <c r="B7430" s="1" t="str">
        <f>TEXT(45,"00")</f>
        <v>45</v>
      </c>
      <c r="C7430" s="1" t="str">
        <f t="shared" si="477"/>
        <v>915-45</v>
      </c>
      <c r="D7430" t="s">
        <v>7400</v>
      </c>
      <c r="E7430" t="b">
        <f>IF(COUNTIF(D7430,"*"&amp;'Keyword Search'!$C$5&amp;"*"),TRUE,FALSE)</f>
        <v>1</v>
      </c>
      <c r="G7430" t="str">
        <f t="shared" si="478"/>
        <v>915-45: Fulfillment, Inventory and Storage Services</v>
      </c>
    </row>
    <row r="7431" spans="1:7" x14ac:dyDescent="0.25">
      <c r="A7431" s="1" t="str">
        <f t="shared" si="476"/>
        <v>915</v>
      </c>
      <c r="B7431" s="1" t="str">
        <f>TEXT(48,"00")</f>
        <v>48</v>
      </c>
      <c r="C7431" s="1" t="str">
        <f t="shared" si="477"/>
        <v>915-48</v>
      </c>
      <c r="D7431" t="s">
        <v>7401</v>
      </c>
      <c r="E7431" t="b">
        <f>IF(COUNTIF(D7431,"*"&amp;'Keyword Search'!$C$5&amp;"*"),TRUE,FALSE)</f>
        <v>1</v>
      </c>
      <c r="G7431" t="str">
        <f t="shared" si="478"/>
        <v>915-48: Graphic Arts Services, Not Printing</v>
      </c>
    </row>
    <row r="7432" spans="1:7" x14ac:dyDescent="0.25">
      <c r="A7432" s="1" t="str">
        <f t="shared" si="476"/>
        <v>915</v>
      </c>
      <c r="B7432" s="1" t="str">
        <f>TEXT(49,"00")</f>
        <v>49</v>
      </c>
      <c r="C7432" s="1" t="str">
        <f t="shared" si="477"/>
        <v>915-49</v>
      </c>
      <c r="D7432" t="s">
        <v>7402</v>
      </c>
      <c r="E7432" t="b">
        <f>IF(COUNTIF(D7432,"*"&amp;'Keyword Search'!$C$5&amp;"*"),TRUE,FALSE)</f>
        <v>1</v>
      </c>
      <c r="G7432" t="str">
        <f t="shared" si="478"/>
        <v>915-49: *High Volume, Telephone Call Answering Services (See 915-05 for Low Volume Services)</v>
      </c>
    </row>
    <row r="7433" spans="1:7" x14ac:dyDescent="0.25">
      <c r="A7433" s="1" t="str">
        <f t="shared" si="476"/>
        <v>915</v>
      </c>
      <c r="B7433" s="1" t="str">
        <f>TEXT(51,"00")</f>
        <v>51</v>
      </c>
      <c r="C7433" s="1" t="str">
        <f t="shared" si="477"/>
        <v>915-51</v>
      </c>
      <c r="D7433" t="s">
        <v>7403</v>
      </c>
      <c r="E7433" t="b">
        <f>IF(COUNTIF(D7433,"*"&amp;'Keyword Search'!$C$5&amp;"*"),TRUE,FALSE)</f>
        <v>1</v>
      </c>
      <c r="G7433" t="str">
        <f t="shared" si="478"/>
        <v>915-51: *Information Highway Electronic Services: Internet, Ethernet, World Wide Web, Virtual Tours, Including Construction Renderings, etc.</v>
      </c>
    </row>
    <row r="7434" spans="1:7" x14ac:dyDescent="0.25">
      <c r="A7434" s="1" t="str">
        <f t="shared" si="476"/>
        <v>915</v>
      </c>
      <c r="B7434" s="1" t="str">
        <f>TEXT(52,"00")</f>
        <v>52</v>
      </c>
      <c r="C7434" s="1" t="str">
        <f t="shared" si="477"/>
        <v>915-52</v>
      </c>
      <c r="D7434" t="s">
        <v>7404</v>
      </c>
      <c r="E7434" t="b">
        <f>IF(COUNTIF(D7434,"*"&amp;'Keyword Search'!$C$5&amp;"*"),TRUE,FALSE)</f>
        <v>1</v>
      </c>
      <c r="G7434" t="str">
        <f t="shared" si="478"/>
        <v>915-52: Journalistic Services, Including Page Print Services</v>
      </c>
    </row>
    <row r="7435" spans="1:7" x14ac:dyDescent="0.25">
      <c r="A7435" s="1" t="str">
        <f t="shared" si="476"/>
        <v>915</v>
      </c>
      <c r="B7435" s="1" t="str">
        <f>TEXT(57,"00")</f>
        <v>57</v>
      </c>
      <c r="C7435" s="1" t="str">
        <f t="shared" si="477"/>
        <v>915-57</v>
      </c>
      <c r="D7435" t="s">
        <v>7405</v>
      </c>
      <c r="E7435" t="b">
        <f>IF(COUNTIF(D7435,"*"&amp;'Keyword Search'!$C$5&amp;"*"),TRUE,FALSE)</f>
        <v>1</v>
      </c>
      <c r="G7435" t="str">
        <f t="shared" si="478"/>
        <v>915-57: Mailing, Postage and Shipping Services, Electronic</v>
      </c>
    </row>
    <row r="7436" spans="1:7" x14ac:dyDescent="0.25">
      <c r="A7436" s="1" t="str">
        <f t="shared" si="476"/>
        <v>915</v>
      </c>
      <c r="B7436" s="1" t="str">
        <f>TEXT(58,"00")</f>
        <v>58</v>
      </c>
      <c r="C7436" s="1" t="str">
        <f t="shared" si="477"/>
        <v>915-58</v>
      </c>
      <c r="D7436" t="s">
        <v>7406</v>
      </c>
      <c r="E7436" t="b">
        <f>IF(COUNTIF(D7436,"*"&amp;'Keyword Search'!$C$5&amp;"*"),TRUE,FALSE)</f>
        <v>1</v>
      </c>
      <c r="G7436" t="str">
        <f t="shared" si="478"/>
        <v>915-58: Mailing Services: Addressing, Collating, Packaging, Sorting and Delivery</v>
      </c>
    </row>
    <row r="7437" spans="1:7" x14ac:dyDescent="0.25">
      <c r="A7437" s="1" t="str">
        <f t="shared" si="476"/>
        <v>915</v>
      </c>
      <c r="B7437" s="1" t="str">
        <f>TEXT(59,"00")</f>
        <v>59</v>
      </c>
      <c r="C7437" s="1" t="str">
        <f t="shared" si="477"/>
        <v>915-59</v>
      </c>
      <c r="D7437" t="s">
        <v>7407</v>
      </c>
      <c r="E7437" t="b">
        <f>IF(COUNTIF(D7437,"*"&amp;'Keyword Search'!$C$5&amp;"*"),TRUE,FALSE)</f>
        <v>1</v>
      </c>
      <c r="G7437" t="str">
        <f t="shared" si="478"/>
        <v>915-59: Mail Services, Express</v>
      </c>
    </row>
    <row r="7438" spans="1:7" x14ac:dyDescent="0.25">
      <c r="A7438" s="1" t="str">
        <f t="shared" si="476"/>
        <v>915</v>
      </c>
      <c r="B7438" s="1" t="str">
        <f>TEXT(60,"00")</f>
        <v>60</v>
      </c>
      <c r="C7438" s="1" t="str">
        <f t="shared" si="477"/>
        <v>915-60</v>
      </c>
      <c r="D7438" t="s">
        <v>7408</v>
      </c>
      <c r="E7438" t="b">
        <f>IF(COUNTIF(D7438,"*"&amp;'Keyword Search'!$C$5&amp;"*"),TRUE,FALSE)</f>
        <v>1</v>
      </c>
      <c r="G7438" t="str">
        <f t="shared" si="478"/>
        <v>915-60: Magazine Distribution Services</v>
      </c>
    </row>
    <row r="7439" spans="1:7" x14ac:dyDescent="0.25">
      <c r="A7439" s="1" t="str">
        <f t="shared" si="476"/>
        <v>915</v>
      </c>
      <c r="B7439" s="1" t="str">
        <f>TEXT(64,"00")</f>
        <v>64</v>
      </c>
      <c r="C7439" s="1" t="str">
        <f t="shared" si="477"/>
        <v>915-64</v>
      </c>
      <c r="D7439" t="s">
        <v>7409</v>
      </c>
      <c r="E7439" t="b">
        <f>IF(COUNTIF(D7439,"*"&amp;'Keyword Search'!$C$5&amp;"*"),TRUE,FALSE)</f>
        <v>1</v>
      </c>
      <c r="G7439" t="str">
        <f t="shared" si="478"/>
        <v>915-64: Media Clippings, Outtakes, Critiques, Summaries, Legislative Bill Tracking Services, etc., Including State, Local, Out-of-State and International</v>
      </c>
    </row>
    <row r="7440" spans="1:7" x14ac:dyDescent="0.25">
      <c r="A7440" s="1" t="str">
        <f t="shared" si="476"/>
        <v>915</v>
      </c>
      <c r="B7440" s="1" t="str">
        <f>TEXT(65,"00")</f>
        <v>65</v>
      </c>
      <c r="C7440" s="1" t="str">
        <f t="shared" si="477"/>
        <v>915-65</v>
      </c>
      <c r="D7440" t="s">
        <v>7410</v>
      </c>
      <c r="E7440" t="b">
        <f>IF(COUNTIF(D7440,"*"&amp;'Keyword Search'!$C$5&amp;"*"),TRUE,FALSE)</f>
        <v>1</v>
      </c>
      <c r="G7440" t="str">
        <f t="shared" si="478"/>
        <v>915-65: Photograph Services, Including Reprinting and Usage</v>
      </c>
    </row>
    <row r="7441" spans="1:7" x14ac:dyDescent="0.25">
      <c r="A7441" s="1" t="str">
        <f t="shared" si="476"/>
        <v>915</v>
      </c>
      <c r="B7441" s="1" t="str">
        <f>TEXT(67,"00")</f>
        <v>67</v>
      </c>
      <c r="C7441" s="1" t="str">
        <f t="shared" si="477"/>
        <v>915-67</v>
      </c>
      <c r="D7441" t="s">
        <v>7411</v>
      </c>
      <c r="E7441" t="b">
        <f>IF(COUNTIF(D7441,"*"&amp;'Keyword Search'!$C$5&amp;"*"),TRUE,FALSE)</f>
        <v>1</v>
      </c>
      <c r="G7441" t="str">
        <f t="shared" si="478"/>
        <v>915-67: Monitoring Services, Critical Equipment and Site, Wireless, Web-based</v>
      </c>
    </row>
    <row r="7442" spans="1:7" x14ac:dyDescent="0.25">
      <c r="A7442" s="1" t="str">
        <f t="shared" si="476"/>
        <v>915</v>
      </c>
      <c r="B7442" s="1" t="str">
        <f>TEXT(68,"00")</f>
        <v>68</v>
      </c>
      <c r="C7442" s="1" t="str">
        <f t="shared" si="477"/>
        <v>915-68</v>
      </c>
      <c r="D7442" t="s">
        <v>7412</v>
      </c>
      <c r="E7442" t="b">
        <f>IF(COUNTIF(D7442,"*"&amp;'Keyword Search'!$C$5&amp;"*"),TRUE,FALSE)</f>
        <v>1</v>
      </c>
      <c r="G7442" t="str">
        <f t="shared" si="478"/>
        <v>915-68: Microfiche and Microfilming Services</v>
      </c>
    </row>
    <row r="7443" spans="1:7" x14ac:dyDescent="0.25">
      <c r="A7443" s="1" t="str">
        <f t="shared" si="476"/>
        <v>915</v>
      </c>
      <c r="B7443" s="1" t="str">
        <f>TEXT(69,"00")</f>
        <v>69</v>
      </c>
      <c r="C7443" s="1" t="str">
        <f t="shared" si="477"/>
        <v>915-69</v>
      </c>
      <c r="D7443" t="s">
        <v>7413</v>
      </c>
      <c r="E7443" t="b">
        <f>IF(COUNTIF(D7443,"*"&amp;'Keyword Search'!$C$5&amp;"*"),TRUE,FALSE)</f>
        <v>1</v>
      </c>
      <c r="G7443" t="str">
        <f t="shared" si="478"/>
        <v>915-69: Motion Picture Production and Distribution Services</v>
      </c>
    </row>
    <row r="7444" spans="1:7" x14ac:dyDescent="0.25">
      <c r="A7444" s="1" t="str">
        <f t="shared" si="476"/>
        <v>915</v>
      </c>
      <c r="B7444" s="1" t="str">
        <f>TEXT(70,"00")</f>
        <v>70</v>
      </c>
      <c r="C7444" s="1" t="str">
        <f t="shared" si="477"/>
        <v>915-70</v>
      </c>
      <c r="D7444" t="s">
        <v>7414</v>
      </c>
      <c r="E7444" t="b">
        <f>IF(COUNTIF(D7444,"*"&amp;'Keyword Search'!$C$5&amp;"*"),TRUE,FALSE)</f>
        <v>1</v>
      </c>
      <c r="G7444" t="str">
        <f t="shared" si="478"/>
        <v>915-70: *Monitoring Services: Parolee, Patient, Convict, etc.</v>
      </c>
    </row>
    <row r="7445" spans="1:7" x14ac:dyDescent="0.25">
      <c r="A7445" s="1" t="str">
        <f t="shared" si="476"/>
        <v>915</v>
      </c>
      <c r="B7445" s="1" t="str">
        <f>TEXT(71,"00")</f>
        <v>71</v>
      </c>
      <c r="C7445" s="1" t="str">
        <f t="shared" si="477"/>
        <v>915-71</v>
      </c>
      <c r="D7445" t="s">
        <v>7415</v>
      </c>
      <c r="E7445" t="b">
        <f>IF(COUNTIF(D7445,"*"&amp;'Keyword Search'!$C$5&amp;"*"),TRUE,FALSE)</f>
        <v>1</v>
      </c>
      <c r="G7445" t="str">
        <f t="shared" si="478"/>
        <v>915-71: Newspaper and Publication Advertising, Non-legal</v>
      </c>
    </row>
    <row r="7446" spans="1:7" x14ac:dyDescent="0.25">
      <c r="A7446" s="1" t="str">
        <f t="shared" si="476"/>
        <v>915</v>
      </c>
      <c r="B7446" s="1" t="str">
        <f>TEXT(72,"00")</f>
        <v>72</v>
      </c>
      <c r="C7446" s="1" t="str">
        <f t="shared" si="477"/>
        <v>915-72</v>
      </c>
      <c r="D7446" t="s">
        <v>7416</v>
      </c>
      <c r="E7446" t="b">
        <f>IF(COUNTIF(D7446,"*"&amp;'Keyword Search'!$C$5&amp;"*"),TRUE,FALSE)</f>
        <v>1</v>
      </c>
      <c r="G7446" t="str">
        <f t="shared" si="478"/>
        <v>915-72: Photography Services, Not Including Aerial Photography</v>
      </c>
    </row>
    <row r="7447" spans="1:7" x14ac:dyDescent="0.25">
      <c r="A7447" s="1" t="str">
        <f t="shared" si="476"/>
        <v>915</v>
      </c>
      <c r="B7447" s="1" t="str">
        <f>TEXT(73,"00")</f>
        <v>73</v>
      </c>
      <c r="C7447" s="1" t="str">
        <f t="shared" si="477"/>
        <v>915-73</v>
      </c>
      <c r="D7447" t="s">
        <v>7417</v>
      </c>
      <c r="E7447" t="b">
        <f>IF(COUNTIF(D7447,"*"&amp;'Keyword Search'!$C$5&amp;"*"),TRUE,FALSE)</f>
        <v>1</v>
      </c>
      <c r="G7447" t="str">
        <f t="shared" si="478"/>
        <v>915-73: Public Information Services, Including Press Releases</v>
      </c>
    </row>
    <row r="7448" spans="1:7" x14ac:dyDescent="0.25">
      <c r="A7448" s="1" t="str">
        <f t="shared" si="476"/>
        <v>915</v>
      </c>
      <c r="B7448" s="1" t="str">
        <f>TEXT(74,"00")</f>
        <v>74</v>
      </c>
      <c r="C7448" s="1" t="str">
        <f t="shared" si="477"/>
        <v>915-74</v>
      </c>
      <c r="D7448" t="s">
        <v>7418</v>
      </c>
      <c r="E7448" t="b">
        <f>IF(COUNTIF(D7448,"*"&amp;'Keyword Search'!$C$5&amp;"*"),TRUE,FALSE)</f>
        <v>1</v>
      </c>
      <c r="G7448" t="str">
        <f t="shared" si="478"/>
        <v>915-74: Radio Commercial Production Services</v>
      </c>
    </row>
    <row r="7449" spans="1:7" x14ac:dyDescent="0.25">
      <c r="A7449" s="1" t="str">
        <f t="shared" si="476"/>
        <v>915</v>
      </c>
      <c r="B7449" s="1" t="str">
        <f>TEXT(75,"00")</f>
        <v>75</v>
      </c>
      <c r="C7449" s="1" t="str">
        <f t="shared" si="477"/>
        <v>915-75</v>
      </c>
      <c r="D7449" t="s">
        <v>7419</v>
      </c>
      <c r="E7449" t="b">
        <f>IF(COUNTIF(D7449,"*"&amp;'Keyword Search'!$C$5&amp;"*"),TRUE,FALSE)</f>
        <v>1</v>
      </c>
      <c r="G7449" t="str">
        <f t="shared" si="478"/>
        <v>915-75: *Telephone Services, Cellular</v>
      </c>
    </row>
    <row r="7450" spans="1:7" x14ac:dyDescent="0.25">
      <c r="A7450" s="1" t="str">
        <f t="shared" si="476"/>
        <v>915</v>
      </c>
      <c r="B7450" s="1" t="str">
        <f>TEXT(76,"00")</f>
        <v>76</v>
      </c>
      <c r="C7450" s="1" t="str">
        <f t="shared" si="477"/>
        <v>915-76</v>
      </c>
      <c r="D7450" t="s">
        <v>7420</v>
      </c>
      <c r="E7450" t="b">
        <f>IF(COUNTIF(D7450,"*"&amp;'Keyword Search'!$C$5&amp;"*"),TRUE,FALSE)</f>
        <v>1</v>
      </c>
      <c r="G7450" t="str">
        <f t="shared" si="478"/>
        <v>915-76: *Telephone Services,  Including Installation, Moves, Changes, Adds, Programming, Removal, Training, etc.,  Including Pay Telephones</v>
      </c>
    </row>
    <row r="7451" spans="1:7" x14ac:dyDescent="0.25">
      <c r="A7451" s="1" t="str">
        <f t="shared" si="476"/>
        <v>915</v>
      </c>
      <c r="B7451" s="1" t="str">
        <f>TEXT(77,"00")</f>
        <v>77</v>
      </c>
      <c r="C7451" s="1" t="str">
        <f t="shared" si="477"/>
        <v>915-77</v>
      </c>
      <c r="D7451" t="s">
        <v>7421</v>
      </c>
      <c r="E7451" t="b">
        <f>IF(COUNTIF(D7451,"*"&amp;'Keyword Search'!$C$5&amp;"*"),TRUE,FALSE)</f>
        <v>1</v>
      </c>
      <c r="G7451" t="str">
        <f t="shared" si="478"/>
        <v>915-77: *Telephone Services, Long Distance and Local, Including 800, Telex, Watts Services, and Offender Telephone Systems</v>
      </c>
    </row>
    <row r="7452" spans="1:7" x14ac:dyDescent="0.25">
      <c r="A7452" s="1" t="str">
        <f t="shared" si="476"/>
        <v>915</v>
      </c>
      <c r="B7452" s="1" t="str">
        <f>TEXT(78,"00")</f>
        <v>78</v>
      </c>
      <c r="C7452" s="1" t="str">
        <f t="shared" si="477"/>
        <v>915-78</v>
      </c>
      <c r="D7452" t="s">
        <v>7422</v>
      </c>
      <c r="E7452" t="b">
        <f>IF(COUNTIF(D7452,"*"&amp;'Keyword Search'!$C$5&amp;"*"),TRUE,FALSE)</f>
        <v>1</v>
      </c>
      <c r="G7452" t="str">
        <f t="shared" si="478"/>
        <v>915-78: Television Commercial Production Services</v>
      </c>
    </row>
    <row r="7453" spans="1:7" x14ac:dyDescent="0.25">
      <c r="A7453" s="1" t="str">
        <f t="shared" si="476"/>
        <v>915</v>
      </c>
      <c r="B7453" s="1" t="str">
        <f>TEXT(79,"00")</f>
        <v>79</v>
      </c>
      <c r="C7453" s="1" t="str">
        <f t="shared" si="477"/>
        <v>915-79</v>
      </c>
      <c r="D7453" t="s">
        <v>7423</v>
      </c>
      <c r="E7453" t="b">
        <f>IF(COUNTIF(D7453,"*"&amp;'Keyword Search'!$C$5&amp;"*"),TRUE,FALSE)</f>
        <v>1</v>
      </c>
      <c r="G7453" t="str">
        <f t="shared" si="478"/>
        <v>915-79: *Telecommunication Services (Not Otherwise Classified)</v>
      </c>
    </row>
    <row r="7454" spans="1:7" x14ac:dyDescent="0.25">
      <c r="A7454" s="1" t="str">
        <f t="shared" si="476"/>
        <v>915</v>
      </c>
      <c r="B7454" s="1" t="str">
        <f>TEXT(80,"00")</f>
        <v>80</v>
      </c>
      <c r="C7454" s="1" t="str">
        <f t="shared" si="477"/>
        <v>915-80</v>
      </c>
      <c r="D7454" t="s">
        <v>7424</v>
      </c>
      <c r="E7454" t="b">
        <f>IF(COUNTIF(D7454,"*"&amp;'Keyword Search'!$C$5&amp;"*"),TRUE,FALSE)</f>
        <v>1</v>
      </c>
      <c r="G7454" t="str">
        <f t="shared" si="478"/>
        <v>915-80: Typing and Word Processing Services</v>
      </c>
    </row>
    <row r="7455" spans="1:7" x14ac:dyDescent="0.25">
      <c r="A7455" s="1" t="str">
        <f t="shared" si="476"/>
        <v>915</v>
      </c>
      <c r="B7455" s="1" t="str">
        <f>TEXT(81,"00")</f>
        <v>81</v>
      </c>
      <c r="C7455" s="1" t="str">
        <f t="shared" si="477"/>
        <v>915-81</v>
      </c>
      <c r="D7455" t="s">
        <v>7425</v>
      </c>
      <c r="E7455" t="b">
        <f>IF(COUNTIF(D7455,"*"&amp;'Keyword Search'!$C$5&amp;"*"),TRUE,FALSE)</f>
        <v>1</v>
      </c>
      <c r="G7455" t="str">
        <f t="shared" si="478"/>
        <v>915-81: Telegram and Telegraph Services</v>
      </c>
    </row>
    <row r="7456" spans="1:7" x14ac:dyDescent="0.25">
      <c r="A7456" s="1" t="str">
        <f t="shared" si="476"/>
        <v>915</v>
      </c>
      <c r="B7456" s="1" t="str">
        <f>TEXT(82,"00")</f>
        <v>82</v>
      </c>
      <c r="C7456" s="1" t="str">
        <f t="shared" si="477"/>
        <v>915-82</v>
      </c>
      <c r="D7456" t="s">
        <v>7426</v>
      </c>
      <c r="E7456" t="b">
        <f>IF(COUNTIF(D7456,"*"&amp;'Keyword Search'!$C$5&amp;"*"),TRUE,FALSE)</f>
        <v>1</v>
      </c>
      <c r="G7456" t="str">
        <f t="shared" si="478"/>
        <v>915-82: Video Production Services</v>
      </c>
    </row>
    <row r="7457" spans="1:7" x14ac:dyDescent="0.25">
      <c r="A7457" s="1" t="str">
        <f t="shared" si="476"/>
        <v>915</v>
      </c>
      <c r="B7457" s="1" t="str">
        <f>TEXT(83,"00")</f>
        <v>83</v>
      </c>
      <c r="C7457" s="1" t="str">
        <f t="shared" si="477"/>
        <v>915-83</v>
      </c>
      <c r="D7457" t="s">
        <v>7427</v>
      </c>
      <c r="E7457" t="b">
        <f>IF(COUNTIF(D7457,"*"&amp;'Keyword Search'!$C$5&amp;"*"),TRUE,FALSE)</f>
        <v>1</v>
      </c>
      <c r="G7457" t="str">
        <f t="shared" si="478"/>
        <v>915-83: Television Services, Satellite</v>
      </c>
    </row>
    <row r="7458" spans="1:7" x14ac:dyDescent="0.25">
      <c r="A7458" s="1" t="str">
        <f t="shared" si="476"/>
        <v>915</v>
      </c>
      <c r="B7458" s="1" t="str">
        <f>TEXT(84,"00")</f>
        <v>84</v>
      </c>
      <c r="C7458" s="1" t="str">
        <f t="shared" si="477"/>
        <v>915-84</v>
      </c>
      <c r="D7458" t="s">
        <v>7428</v>
      </c>
      <c r="E7458" t="b">
        <f>IF(COUNTIF(D7458,"*"&amp;'Keyword Search'!$C$5&amp;"*"),TRUE,FALSE)</f>
        <v>1</v>
      </c>
      <c r="G7458" t="str">
        <f t="shared" si="478"/>
        <v>915-84: Video Recording Services</v>
      </c>
    </row>
    <row r="7459" spans="1:7" x14ac:dyDescent="0.25">
      <c r="A7459" s="1" t="str">
        <f t="shared" si="476"/>
        <v>915</v>
      </c>
      <c r="B7459" s="1" t="str">
        <f>TEXT(85,"00")</f>
        <v>85</v>
      </c>
      <c r="C7459" s="1" t="str">
        <f t="shared" si="477"/>
        <v>915-85</v>
      </c>
      <c r="D7459" t="s">
        <v>7429</v>
      </c>
      <c r="E7459" t="b">
        <f>IF(COUNTIF(D7459,"*"&amp;'Keyword Search'!$C$5&amp;"*"),TRUE,FALSE)</f>
        <v>1</v>
      </c>
      <c r="G7459" t="str">
        <f t="shared" si="478"/>
        <v>915-85: *Telecommunication Relay Services: Text Telephone (TTY); Text-To-Voice; Voice Carry Over (VCO); Hearing Carry Over (HCO); Speech-To-Speech Relay; Video Relay; Spanish Relay; 7-1-1 Access to TRS, Short Message Service (SMS)</v>
      </c>
    </row>
    <row r="7460" spans="1:7" x14ac:dyDescent="0.25">
      <c r="A7460" s="1" t="str">
        <f t="shared" si="476"/>
        <v>915</v>
      </c>
      <c r="B7460" s="1" t="str">
        <f>TEXT(90,"00")</f>
        <v>90</v>
      </c>
      <c r="C7460" s="1" t="str">
        <f t="shared" si="477"/>
        <v>915-90</v>
      </c>
      <c r="D7460" t="s">
        <v>7430</v>
      </c>
      <c r="E7460" t="b">
        <f>IF(COUNTIF(D7460,"*"&amp;'Keyword Search'!$C$5&amp;"*"),TRUE,FALSE)</f>
        <v>1</v>
      </c>
      <c r="G7460" t="str">
        <f t="shared" si="478"/>
        <v>915-90: Video Media Duplicating and Production Service, (Including CD ROMs, Tapes, etc.</v>
      </c>
    </row>
    <row r="7461" spans="1:7" x14ac:dyDescent="0.25">
      <c r="A7461" s="1" t="str">
        <f t="shared" si="476"/>
        <v>915</v>
      </c>
      <c r="B7461" s="1" t="str">
        <f>TEXT(93,"00")</f>
        <v>93</v>
      </c>
      <c r="C7461" s="1" t="str">
        <f t="shared" si="477"/>
        <v>915-93</v>
      </c>
      <c r="D7461" t="s">
        <v>7431</v>
      </c>
      <c r="E7461" t="b">
        <f>IF(COUNTIF(D7461,"*"&amp;'Keyword Search'!$C$5&amp;"*"),TRUE,FALSE)</f>
        <v>1</v>
      </c>
      <c r="G7461" t="str">
        <f t="shared" si="478"/>
        <v>915-93: *Voice Mail Services</v>
      </c>
    </row>
    <row r="7462" spans="1:7" x14ac:dyDescent="0.25">
      <c r="A7462" s="1" t="str">
        <f t="shared" si="476"/>
        <v>915</v>
      </c>
      <c r="B7462" s="1" t="str">
        <f>TEXT(95,"00")</f>
        <v>95</v>
      </c>
      <c r="C7462" s="1" t="str">
        <f t="shared" si="477"/>
        <v>915-95</v>
      </c>
      <c r="D7462" t="s">
        <v>7432</v>
      </c>
      <c r="E7462" t="b">
        <f>IF(COUNTIF(D7462,"*"&amp;'Keyword Search'!$C$5&amp;"*"),TRUE,FALSE)</f>
        <v>1</v>
      </c>
      <c r="G7462" t="str">
        <f t="shared" si="478"/>
        <v>915-95: *Warning System Services, Citizen</v>
      </c>
    </row>
    <row r="7463" spans="1:7" x14ac:dyDescent="0.25">
      <c r="A7463" s="1" t="str">
        <f t="shared" si="476"/>
        <v>915</v>
      </c>
      <c r="B7463" s="1" t="str">
        <f>TEXT(96,"00")</f>
        <v>96</v>
      </c>
      <c r="C7463" s="1" t="str">
        <f t="shared" si="477"/>
        <v>915-96</v>
      </c>
      <c r="D7463" t="s">
        <v>7433</v>
      </c>
      <c r="E7463" t="b">
        <f>IF(COUNTIF(D7463,"*"&amp;'Keyword Search'!$C$5&amp;"*"),TRUE,FALSE)</f>
        <v>1</v>
      </c>
      <c r="G7463" t="str">
        <f t="shared" si="478"/>
        <v>915-96: *Web Page Design, Management and Maintenance Services</v>
      </c>
    </row>
    <row r="7464" spans="1:7" x14ac:dyDescent="0.25">
      <c r="A7464" s="1" t="str">
        <f t="shared" si="476"/>
        <v>915</v>
      </c>
      <c r="B7464" s="1" t="str">
        <f>TEXT(97,"00")</f>
        <v>97</v>
      </c>
      <c r="C7464" s="1" t="str">
        <f t="shared" si="477"/>
        <v>915-97</v>
      </c>
      <c r="D7464" t="s">
        <v>7434</v>
      </c>
      <c r="E7464" t="b">
        <f>IF(COUNTIF(D7464,"*"&amp;'Keyword Search'!$C$5&amp;"*"),TRUE,FALSE)</f>
        <v>1</v>
      </c>
      <c r="G7464" t="str">
        <f t="shared" si="478"/>
        <v>915-97: *Wiring Services, Data and Voice</v>
      </c>
    </row>
    <row r="7465" spans="1:7" x14ac:dyDescent="0.25">
      <c r="A7465" s="5" t="str">
        <f>TEXT(916,"000")</f>
        <v>916</v>
      </c>
      <c r="B7465" s="5" t="str">
        <f>TEXT(0,"00")</f>
        <v>00</v>
      </c>
      <c r="C7465" s="1"/>
      <c r="D7465" s="2" t="s">
        <v>7435</v>
      </c>
    </row>
    <row r="7466" spans="1:7" x14ac:dyDescent="0.25">
      <c r="A7466" s="1" t="str">
        <f>TEXT(916,"000")</f>
        <v>916</v>
      </c>
      <c r="B7466" s="1" t="str">
        <f>TEXT(10,"00")</f>
        <v>10</v>
      </c>
      <c r="C7466" s="1" t="str">
        <f t="shared" si="477"/>
        <v>916-10</v>
      </c>
      <c r="D7466" t="s">
        <v>7436</v>
      </c>
      <c r="E7466" t="b">
        <f>IF(COUNTIF(D7466,"*"&amp;'Keyword Search'!$C$5&amp;"*"),TRUE,FALSE)</f>
        <v>1</v>
      </c>
      <c r="G7466" t="str">
        <f t="shared" si="478"/>
        <v>916-10: Computer SW-Int Developed &gt;1 Million</v>
      </c>
    </row>
    <row r="7467" spans="1:7" x14ac:dyDescent="0.25">
      <c r="A7467" s="1" t="str">
        <f>TEXT(916,"000")</f>
        <v>916</v>
      </c>
      <c r="B7467" s="1" t="str">
        <f>TEXT(20,"00")</f>
        <v>20</v>
      </c>
      <c r="C7467" s="1" t="str">
        <f t="shared" si="477"/>
        <v>916-20</v>
      </c>
      <c r="D7467" t="s">
        <v>7437</v>
      </c>
      <c r="E7467" t="b">
        <f>IF(COUNTIF(D7467,"*"&amp;'Keyword Search'!$C$5&amp;"*"),TRUE,FALSE)</f>
        <v>1</v>
      </c>
      <c r="G7467" t="str">
        <f t="shared" si="478"/>
        <v>916-20: Lease Purchase Infrastructure Telecom</v>
      </c>
    </row>
    <row r="7468" spans="1:7" x14ac:dyDescent="0.25">
      <c r="A7468" s="1" t="str">
        <f>TEXT(916,"000")</f>
        <v>916</v>
      </c>
      <c r="B7468" s="1" t="str">
        <f>TEXT(80,"00")</f>
        <v>80</v>
      </c>
      <c r="C7468" s="1" t="str">
        <f t="shared" si="477"/>
        <v>916-80</v>
      </c>
      <c r="D7468" t="s">
        <v>7438</v>
      </c>
      <c r="E7468" t="b">
        <f>IF(COUNTIF(D7468,"*"&amp;'Keyword Search'!$C$5&amp;"*"),TRUE,FALSE)</f>
        <v>1</v>
      </c>
      <c r="G7468" t="str">
        <f t="shared" si="478"/>
        <v>916-80: TTI Network Support Services</v>
      </c>
    </row>
    <row r="7469" spans="1:7" x14ac:dyDescent="0.25">
      <c r="A7469" s="1" t="str">
        <f>TEXT(916,"000")</f>
        <v>916</v>
      </c>
      <c r="B7469" s="1" t="str">
        <f>TEXT(81,"00")</f>
        <v>81</v>
      </c>
      <c r="C7469" s="1" t="str">
        <f t="shared" si="477"/>
        <v>916-81</v>
      </c>
      <c r="D7469" t="s">
        <v>7439</v>
      </c>
      <c r="E7469" t="b">
        <f>IF(COUNTIF(D7469,"*"&amp;'Keyword Search'!$C$5&amp;"*"),TRUE,FALSE)</f>
        <v>1</v>
      </c>
      <c r="G7469" t="str">
        <f t="shared" si="478"/>
        <v>916-81: TTVN Intra-System Communication</v>
      </c>
    </row>
    <row r="7470" spans="1:7" x14ac:dyDescent="0.25">
      <c r="A7470" s="5" t="str">
        <f t="shared" ref="A7470:A7533" si="479">TEXT(917,"000")</f>
        <v>917</v>
      </c>
      <c r="B7470" s="5" t="str">
        <f>TEXT(0,"00")</f>
        <v>00</v>
      </c>
      <c r="C7470" s="1"/>
      <c r="D7470" s="2" t="s">
        <v>7440</v>
      </c>
    </row>
    <row r="7471" spans="1:7" x14ac:dyDescent="0.25">
      <c r="A7471" s="1" t="str">
        <f t="shared" si="479"/>
        <v>917</v>
      </c>
      <c r="B7471" s="1" t="str">
        <f>TEXT(1,"00")</f>
        <v>01</v>
      </c>
      <c r="C7471" s="1" t="str">
        <f t="shared" si="477"/>
        <v>917-01</v>
      </c>
      <c r="D7471" t="s">
        <v>7441</v>
      </c>
      <c r="E7471" t="b">
        <f>IF(COUNTIF(D7471,"*"&amp;'Keyword Search'!$C$5&amp;"*"),TRUE,FALSE)</f>
        <v>1</v>
      </c>
      <c r="G7471" t="str">
        <f t="shared" si="478"/>
        <v>917-01: Accreditation Services</v>
      </c>
    </row>
    <row r="7472" spans="1:7" x14ac:dyDescent="0.25">
      <c r="A7472" s="1" t="str">
        <f t="shared" si="479"/>
        <v>917</v>
      </c>
      <c r="B7472" s="1" t="str">
        <f>TEXT(3,"00")</f>
        <v>03</v>
      </c>
      <c r="C7472" s="1" t="str">
        <f t="shared" si="477"/>
        <v>917-03</v>
      </c>
      <c r="D7472" t="s">
        <v>7442</v>
      </c>
      <c r="E7472" t="b">
        <f>IF(COUNTIF(D7472,"*"&amp;'Keyword Search'!$C$5&amp;"*"),TRUE,FALSE)</f>
        <v>1</v>
      </c>
      <c r="G7472" t="str">
        <f t="shared" si="478"/>
        <v>917-03: Contract Equipment, Capital</v>
      </c>
    </row>
    <row r="7473" spans="1:7" x14ac:dyDescent="0.25">
      <c r="A7473" s="1" t="str">
        <f t="shared" si="479"/>
        <v>917</v>
      </c>
      <c r="B7473" s="1" t="str">
        <f>TEXT(4,"00")</f>
        <v>04</v>
      </c>
      <c r="C7473" s="1" t="str">
        <f t="shared" si="477"/>
        <v>917-04</v>
      </c>
      <c r="D7473" t="s">
        <v>7443</v>
      </c>
      <c r="E7473" t="b">
        <f>IF(COUNTIF(D7473,"*"&amp;'Keyword Search'!$C$5&amp;"*"),TRUE,FALSE)</f>
        <v>1</v>
      </c>
      <c r="G7473" t="str">
        <f t="shared" si="478"/>
        <v>917-04: Contract Equipment, Not Capital</v>
      </c>
    </row>
    <row r="7474" spans="1:7" x14ac:dyDescent="0.25">
      <c r="A7474" s="1" t="str">
        <f t="shared" si="479"/>
        <v>917</v>
      </c>
      <c r="B7474" s="1" t="str">
        <f>TEXT(5,"00")</f>
        <v>05</v>
      </c>
      <c r="C7474" s="1" t="str">
        <f t="shared" si="477"/>
        <v>917-05</v>
      </c>
      <c r="D7474" t="s">
        <v>7444</v>
      </c>
      <c r="E7474" t="b">
        <f>IF(COUNTIF(D7474,"*"&amp;'Keyword Search'!$C$5&amp;"*"),TRUE,FALSE)</f>
        <v>1</v>
      </c>
      <c r="G7474" t="str">
        <f t="shared" si="478"/>
        <v>917-05: Contract Labor</v>
      </c>
    </row>
    <row r="7475" spans="1:7" x14ac:dyDescent="0.25">
      <c r="A7475" s="1" t="str">
        <f t="shared" si="479"/>
        <v>917</v>
      </c>
      <c r="B7475" s="1" t="str">
        <f>TEXT(8,"00")</f>
        <v>08</v>
      </c>
      <c r="C7475" s="1" t="str">
        <f t="shared" si="477"/>
        <v>917-08</v>
      </c>
      <c r="D7475" t="s">
        <v>7445</v>
      </c>
      <c r="E7475" t="b">
        <f>IF(COUNTIF(D7475,"*"&amp;'Keyword Search'!$C$5&amp;"*"),TRUE,FALSE)</f>
        <v>1</v>
      </c>
      <c r="G7475" t="str">
        <f t="shared" si="478"/>
        <v>917-08: Contracted Services, Athletic Scouting</v>
      </c>
    </row>
    <row r="7476" spans="1:7" x14ac:dyDescent="0.25">
      <c r="A7476" s="1" t="str">
        <f t="shared" si="479"/>
        <v>917</v>
      </c>
      <c r="B7476" s="1" t="str">
        <f>TEXT(10,"00")</f>
        <v>10</v>
      </c>
      <c r="C7476" s="1" t="str">
        <f t="shared" si="477"/>
        <v>917-10</v>
      </c>
      <c r="D7476" t="s">
        <v>7446</v>
      </c>
      <c r="E7476" t="b">
        <f>IF(COUNTIF(D7476,"*"&amp;'Keyword Search'!$C$5&amp;"*"),TRUE,FALSE)</f>
        <v>1</v>
      </c>
      <c r="G7476" t="str">
        <f t="shared" si="478"/>
        <v>917-10: Contracted Services, Curriculum Development</v>
      </c>
    </row>
    <row r="7477" spans="1:7" x14ac:dyDescent="0.25">
      <c r="A7477" s="1" t="str">
        <f t="shared" si="479"/>
        <v>917</v>
      </c>
      <c r="B7477" s="1" t="str">
        <f>TEXT(20,"00")</f>
        <v>20</v>
      </c>
      <c r="C7477" s="1" t="str">
        <f t="shared" si="477"/>
        <v>917-20</v>
      </c>
      <c r="D7477" t="s">
        <v>7447</v>
      </c>
      <c r="E7477" t="b">
        <f>IF(COUNTIF(D7477,"*"&amp;'Keyword Search'!$C$5&amp;"*"),TRUE,FALSE)</f>
        <v>1</v>
      </c>
      <c r="G7477" t="str">
        <f t="shared" si="478"/>
        <v>917-20: Contracted Services, Officiating</v>
      </c>
    </row>
    <row r="7478" spans="1:7" x14ac:dyDescent="0.25">
      <c r="A7478" s="1" t="str">
        <f t="shared" si="479"/>
        <v>917</v>
      </c>
      <c r="B7478" s="1" t="str">
        <f>TEXT(21,"00")</f>
        <v>21</v>
      </c>
      <c r="C7478" s="1" t="str">
        <f t="shared" si="477"/>
        <v>917-21</v>
      </c>
      <c r="D7478" t="s">
        <v>7448</v>
      </c>
      <c r="E7478" t="b">
        <f>IF(COUNTIF(D7478,"*"&amp;'Keyword Search'!$C$5&amp;"*"),TRUE,FALSE)</f>
        <v>1</v>
      </c>
      <c r="G7478" t="str">
        <f t="shared" si="478"/>
        <v>917-21: Contracted Services, Physical Plant</v>
      </c>
    </row>
    <row r="7479" spans="1:7" x14ac:dyDescent="0.25">
      <c r="A7479" s="1" t="str">
        <f t="shared" si="479"/>
        <v>917</v>
      </c>
      <c r="B7479" s="1" t="str">
        <f>TEXT(22,"00")</f>
        <v>22</v>
      </c>
      <c r="C7479" s="1" t="str">
        <f t="shared" si="477"/>
        <v>917-22</v>
      </c>
      <c r="D7479" t="s">
        <v>7449</v>
      </c>
      <c r="E7479" t="b">
        <f>IF(COUNTIF(D7479,"*"&amp;'Keyword Search'!$C$5&amp;"*"),TRUE,FALSE)</f>
        <v>1</v>
      </c>
      <c r="G7479" t="str">
        <f t="shared" si="478"/>
        <v>917-22: Contracted Services, Proof, Edit, Illustrate</v>
      </c>
    </row>
    <row r="7480" spans="1:7" x14ac:dyDescent="0.25">
      <c r="A7480" s="1" t="str">
        <f t="shared" si="479"/>
        <v>917</v>
      </c>
      <c r="B7480" s="1" t="str">
        <f>TEXT(25,"00")</f>
        <v>25</v>
      </c>
      <c r="C7480" s="1" t="str">
        <f t="shared" si="477"/>
        <v>917-25</v>
      </c>
      <c r="D7480" t="s">
        <v>7450</v>
      </c>
      <c r="E7480" t="b">
        <f>IF(COUNTIF(D7480,"*"&amp;'Keyword Search'!$C$5&amp;"*"),TRUE,FALSE)</f>
        <v>1</v>
      </c>
      <c r="G7480" t="str">
        <f t="shared" si="478"/>
        <v>917-25: Contracted Services, Research Collaboration</v>
      </c>
    </row>
    <row r="7481" spans="1:7" x14ac:dyDescent="0.25">
      <c r="A7481" s="1" t="str">
        <f t="shared" si="479"/>
        <v>917</v>
      </c>
      <c r="B7481" s="1" t="str">
        <f>TEXT(26,"00")</f>
        <v>26</v>
      </c>
      <c r="C7481" s="1" t="str">
        <f t="shared" si="477"/>
        <v>917-26</v>
      </c>
      <c r="D7481" t="s">
        <v>7451</v>
      </c>
      <c r="E7481" t="b">
        <f>IF(COUNTIF(D7481,"*"&amp;'Keyword Search'!$C$5&amp;"*"),TRUE,FALSE)</f>
        <v>1</v>
      </c>
      <c r="G7481" t="str">
        <f t="shared" si="478"/>
        <v>917-26: Contracted Services, Research Foundation</v>
      </c>
    </row>
    <row r="7482" spans="1:7" x14ac:dyDescent="0.25">
      <c r="A7482" s="1" t="str">
        <f t="shared" si="479"/>
        <v>917</v>
      </c>
      <c r="B7482" s="1" t="str">
        <f>TEXT(27,"00")</f>
        <v>27</v>
      </c>
      <c r="C7482" s="1" t="str">
        <f t="shared" si="477"/>
        <v>917-27</v>
      </c>
      <c r="D7482" t="s">
        <v>7452</v>
      </c>
      <c r="E7482" t="b">
        <f>IF(COUNTIF(D7482,"*"&amp;'Keyword Search'!$C$5&amp;"*"),TRUE,FALSE)</f>
        <v>1</v>
      </c>
      <c r="G7482" t="str">
        <f t="shared" si="478"/>
        <v>917-27: Contracted Services, Research Subject</v>
      </c>
    </row>
    <row r="7483" spans="1:7" x14ac:dyDescent="0.25">
      <c r="A7483" s="1" t="str">
        <f t="shared" si="479"/>
        <v>917</v>
      </c>
      <c r="B7483" s="1" t="str">
        <f>TEXT(28,"00")</f>
        <v>28</v>
      </c>
      <c r="C7483" s="1" t="str">
        <f t="shared" si="477"/>
        <v>917-28</v>
      </c>
      <c r="D7483" t="s">
        <v>7453</v>
      </c>
      <c r="E7483" t="b">
        <f>IF(COUNTIF(D7483,"*"&amp;'Keyword Search'!$C$5&amp;"*"),TRUE,FALSE)</f>
        <v>1</v>
      </c>
      <c r="G7483" t="str">
        <f t="shared" si="478"/>
        <v>917-28: Contracted Services, Sales Commissions</v>
      </c>
    </row>
    <row r="7484" spans="1:7" x14ac:dyDescent="0.25">
      <c r="A7484" s="1" t="str">
        <f t="shared" si="479"/>
        <v>917</v>
      </c>
      <c r="B7484" s="1" t="str">
        <f>TEXT(30,"00")</f>
        <v>30</v>
      </c>
      <c r="C7484" s="1" t="str">
        <f t="shared" si="477"/>
        <v>917-30</v>
      </c>
      <c r="D7484" t="s">
        <v>7454</v>
      </c>
      <c r="E7484" t="b">
        <f>IF(COUNTIF(D7484,"*"&amp;'Keyword Search'!$C$5&amp;"*"),TRUE,FALSE)</f>
        <v>1</v>
      </c>
      <c r="G7484" t="str">
        <f t="shared" si="478"/>
        <v>917-30: Contracted Services, Shodding</v>
      </c>
    </row>
    <row r="7485" spans="1:7" x14ac:dyDescent="0.25">
      <c r="A7485" s="1" t="str">
        <f t="shared" si="479"/>
        <v>917</v>
      </c>
      <c r="B7485" s="1" t="str">
        <f>TEXT(31,"00")</f>
        <v>31</v>
      </c>
      <c r="C7485" s="1" t="str">
        <f t="shared" si="477"/>
        <v>917-31</v>
      </c>
      <c r="D7485" t="s">
        <v>7455</v>
      </c>
      <c r="E7485" t="b">
        <f>IF(COUNTIF(D7485,"*"&amp;'Keyword Search'!$C$5&amp;"*"),TRUE,FALSE)</f>
        <v>1</v>
      </c>
      <c r="G7485" t="str">
        <f t="shared" si="478"/>
        <v>917-31: Contracted Services, System Assessment</v>
      </c>
    </row>
    <row r="7486" spans="1:7" x14ac:dyDescent="0.25">
      <c r="A7486" s="1" t="str">
        <f t="shared" si="479"/>
        <v>917</v>
      </c>
      <c r="B7486" s="1" t="str">
        <f>TEXT(35,"00")</f>
        <v>35</v>
      </c>
      <c r="C7486" s="1" t="str">
        <f t="shared" si="477"/>
        <v>917-35</v>
      </c>
      <c r="D7486" t="s">
        <v>7456</v>
      </c>
      <c r="E7486" t="b">
        <f>IF(COUNTIF(D7486,"*"&amp;'Keyword Search'!$C$5&amp;"*"),TRUE,FALSE)</f>
        <v>1</v>
      </c>
      <c r="G7486" t="str">
        <f t="shared" si="478"/>
        <v>917-35: Contracted Services, Travel, Hotel</v>
      </c>
    </row>
    <row r="7487" spans="1:7" x14ac:dyDescent="0.25">
      <c r="A7487" s="1" t="str">
        <f t="shared" si="479"/>
        <v>917</v>
      </c>
      <c r="B7487" s="1" t="str">
        <f>TEXT(36,"00")</f>
        <v>36</v>
      </c>
      <c r="C7487" s="1" t="str">
        <f t="shared" si="477"/>
        <v>917-36</v>
      </c>
      <c r="D7487" t="s">
        <v>7457</v>
      </c>
      <c r="E7487" t="b">
        <f>IF(COUNTIF(D7487,"*"&amp;'Keyword Search'!$C$5&amp;"*"),TRUE,FALSE)</f>
        <v>1</v>
      </c>
      <c r="G7487" t="str">
        <f t="shared" si="478"/>
        <v>917-36: Contracted Services, Travel, Meals</v>
      </c>
    </row>
    <row r="7488" spans="1:7" x14ac:dyDescent="0.25">
      <c r="A7488" s="1" t="str">
        <f t="shared" si="479"/>
        <v>917</v>
      </c>
      <c r="B7488" s="1" t="str">
        <f>TEXT(37,"00")</f>
        <v>37</v>
      </c>
      <c r="C7488" s="1" t="str">
        <f t="shared" si="477"/>
        <v>917-37</v>
      </c>
      <c r="D7488" t="s">
        <v>7458</v>
      </c>
      <c r="E7488" t="b">
        <f>IF(COUNTIF(D7488,"*"&amp;'Keyword Search'!$C$5&amp;"*"),TRUE,FALSE)</f>
        <v>1</v>
      </c>
      <c r="G7488" t="str">
        <f t="shared" si="478"/>
        <v>917-37: Contracted Services, Travel, Mileage</v>
      </c>
    </row>
    <row r="7489" spans="1:7" x14ac:dyDescent="0.25">
      <c r="A7489" s="1" t="str">
        <f t="shared" si="479"/>
        <v>917</v>
      </c>
      <c r="B7489" s="1" t="str">
        <f>TEXT(38,"00")</f>
        <v>38</v>
      </c>
      <c r="C7489" s="1" t="str">
        <f t="shared" si="477"/>
        <v>917-38</v>
      </c>
      <c r="D7489" t="s">
        <v>7459</v>
      </c>
      <c r="E7489" t="b">
        <f>IF(COUNTIF(D7489,"*"&amp;'Keyword Search'!$C$5&amp;"*"),TRUE,FALSE)</f>
        <v>1</v>
      </c>
      <c r="G7489" t="str">
        <f t="shared" si="478"/>
        <v>917-38: Contracted Services, Travel, Other</v>
      </c>
    </row>
    <row r="7490" spans="1:7" x14ac:dyDescent="0.25">
      <c r="A7490" s="1" t="str">
        <f t="shared" si="479"/>
        <v>917</v>
      </c>
      <c r="B7490" s="1" t="str">
        <f>TEXT(39,"00")</f>
        <v>39</v>
      </c>
      <c r="C7490" s="1" t="str">
        <f t="shared" si="477"/>
        <v>917-39</v>
      </c>
      <c r="D7490" t="s">
        <v>7460</v>
      </c>
      <c r="E7490" t="b">
        <f>IF(COUNTIF(D7490,"*"&amp;'Keyword Search'!$C$5&amp;"*"),TRUE,FALSE)</f>
        <v>1</v>
      </c>
      <c r="G7490" t="str">
        <f t="shared" si="478"/>
        <v>917-39: Contracted Services, Travel, Transportation</v>
      </c>
    </row>
    <row r="7491" spans="1:7" x14ac:dyDescent="0.25">
      <c r="A7491" s="1" t="str">
        <f t="shared" si="479"/>
        <v>917</v>
      </c>
      <c r="B7491" s="1" t="str">
        <f>TEXT(40,"00")</f>
        <v>40</v>
      </c>
      <c r="C7491" s="1" t="str">
        <f t="shared" ref="C7491:C7554" si="480">CONCATENATE(A7491,"-",B7491)</f>
        <v>917-40</v>
      </c>
      <c r="D7491" t="s">
        <v>7461</v>
      </c>
      <c r="E7491" t="b">
        <f>IF(COUNTIF(D7491,"*"&amp;'Keyword Search'!$C$5&amp;"*"),TRUE,FALSE)</f>
        <v>1</v>
      </c>
      <c r="G7491" t="str">
        <f t="shared" si="478"/>
        <v>917-40: Contracted Services, University Plus Instructors</v>
      </c>
    </row>
    <row r="7492" spans="1:7" x14ac:dyDescent="0.25">
      <c r="A7492" s="1" t="str">
        <f t="shared" si="479"/>
        <v>917</v>
      </c>
      <c r="B7492" s="1" t="str">
        <f>TEXT(41,"00")</f>
        <v>41</v>
      </c>
      <c r="C7492" s="1" t="str">
        <f t="shared" si="480"/>
        <v>917-41</v>
      </c>
      <c r="D7492" t="s">
        <v>7462</v>
      </c>
      <c r="E7492" t="b">
        <f>IF(COUNTIF(D7492,"*"&amp;'Keyword Search'!$C$5&amp;"*"),TRUE,FALSE)</f>
        <v>1</v>
      </c>
      <c r="G7492" t="str">
        <f t="shared" ref="G7492:G7555" si="481">CONCATENATE(C7492,": ",D7492)</f>
        <v>917-41: Contracted Services, Utilities</v>
      </c>
    </row>
    <row r="7493" spans="1:7" x14ac:dyDescent="0.25">
      <c r="A7493" s="1" t="str">
        <f t="shared" si="479"/>
        <v>917</v>
      </c>
      <c r="B7493" s="1" t="str">
        <f>TEXT(45,"00")</f>
        <v>45</v>
      </c>
      <c r="C7493" s="1" t="str">
        <f t="shared" si="480"/>
        <v>917-45</v>
      </c>
      <c r="D7493" t="s">
        <v>7463</v>
      </c>
      <c r="E7493" t="b">
        <f>IF(COUNTIF(D7493,"*"&amp;'Keyword Search'!$C$5&amp;"*"),TRUE,FALSE)</f>
        <v>1</v>
      </c>
      <c r="G7493" t="str">
        <f t="shared" si="481"/>
        <v>917-45: Cyclotron Services</v>
      </c>
    </row>
    <row r="7494" spans="1:7" x14ac:dyDescent="0.25">
      <c r="A7494" s="1" t="str">
        <f t="shared" si="479"/>
        <v>917</v>
      </c>
      <c r="B7494" s="1" t="str">
        <f>TEXT(48,"00")</f>
        <v>48</v>
      </c>
      <c r="C7494" s="1" t="str">
        <f t="shared" si="480"/>
        <v>917-48</v>
      </c>
      <c r="D7494" t="s">
        <v>7464</v>
      </c>
      <c r="E7494" t="b">
        <f>IF(COUNTIF(D7494,"*"&amp;'Keyword Search'!$C$5&amp;"*"),TRUE,FALSE)</f>
        <v>1</v>
      </c>
      <c r="G7494" t="str">
        <f t="shared" si="481"/>
        <v>917-48: Data Processing Employment Services, Not CIS</v>
      </c>
    </row>
    <row r="7495" spans="1:7" x14ac:dyDescent="0.25">
      <c r="A7495" s="1" t="str">
        <f t="shared" si="479"/>
        <v>917</v>
      </c>
      <c r="B7495" s="1" t="str">
        <f>TEXT(49,"00")</f>
        <v>49</v>
      </c>
      <c r="C7495" s="1" t="str">
        <f t="shared" si="480"/>
        <v>917-49</v>
      </c>
      <c r="D7495" t="s">
        <v>7465</v>
      </c>
      <c r="E7495" t="b">
        <f>IF(COUNTIF(D7495,"*"&amp;'Keyword Search'!$C$5&amp;"*"),TRUE,FALSE)</f>
        <v>1</v>
      </c>
      <c r="G7495" t="str">
        <f t="shared" si="481"/>
        <v>917-49: Data Processing Employment Services, CIS</v>
      </c>
    </row>
    <row r="7496" spans="1:7" x14ac:dyDescent="0.25">
      <c r="A7496" s="1" t="str">
        <f t="shared" si="479"/>
        <v>917</v>
      </c>
      <c r="B7496" s="1" t="str">
        <f>TEXT(50,"00")</f>
        <v>50</v>
      </c>
      <c r="C7496" s="1" t="str">
        <f t="shared" si="480"/>
        <v>917-50</v>
      </c>
      <c r="D7496" t="s">
        <v>7466</v>
      </c>
      <c r="E7496" t="b">
        <f>IF(COUNTIF(D7496,"*"&amp;'Keyword Search'!$C$5&amp;"*"),TRUE,FALSE)</f>
        <v>1</v>
      </c>
      <c r="G7496" t="str">
        <f t="shared" si="481"/>
        <v>917-50: Data Processing Rental Services, CIS</v>
      </c>
    </row>
    <row r="7497" spans="1:7" x14ac:dyDescent="0.25">
      <c r="A7497" s="1" t="str">
        <f t="shared" si="479"/>
        <v>917</v>
      </c>
      <c r="B7497" s="1" t="str">
        <f>TEXT(51,"00")</f>
        <v>51</v>
      </c>
      <c r="C7497" s="1" t="str">
        <f t="shared" si="480"/>
        <v>917-51</v>
      </c>
      <c r="D7497" t="s">
        <v>7467</v>
      </c>
      <c r="E7497" t="b">
        <f>IF(COUNTIF(D7497,"*"&amp;'Keyword Search'!$C$5&amp;"*"),TRUE,FALSE)</f>
        <v>1</v>
      </c>
      <c r="G7497" t="str">
        <f t="shared" si="481"/>
        <v>917-51: Data Processing Rental Services, Not CIS</v>
      </c>
    </row>
    <row r="7498" spans="1:7" x14ac:dyDescent="0.25">
      <c r="A7498" s="1" t="str">
        <f t="shared" si="479"/>
        <v>917</v>
      </c>
      <c r="B7498" s="1" t="str">
        <f>TEXT(55,"00")</f>
        <v>55</v>
      </c>
      <c r="C7498" s="1" t="str">
        <f t="shared" si="480"/>
        <v>917-55</v>
      </c>
      <c r="D7498" t="s">
        <v>7468</v>
      </c>
      <c r="E7498" t="b">
        <f>IF(COUNTIF(D7498,"*"&amp;'Keyword Search'!$C$5&amp;"*"),TRUE,FALSE)</f>
        <v>1</v>
      </c>
      <c r="G7498" t="str">
        <f t="shared" si="481"/>
        <v>917-55: Information Distribution Services</v>
      </c>
    </row>
    <row r="7499" spans="1:7" x14ac:dyDescent="0.25">
      <c r="A7499" s="1" t="str">
        <f t="shared" si="479"/>
        <v>917</v>
      </c>
      <c r="B7499" s="1" t="str">
        <f>TEXT(56,"00")</f>
        <v>56</v>
      </c>
      <c r="C7499" s="1" t="str">
        <f t="shared" si="480"/>
        <v>917-56</v>
      </c>
      <c r="D7499" t="s">
        <v>7469</v>
      </c>
      <c r="E7499" t="b">
        <f>IF(COUNTIF(D7499,"*"&amp;'Keyword Search'!$C$5&amp;"*"),TRUE,FALSE)</f>
        <v>1</v>
      </c>
      <c r="G7499" t="str">
        <f t="shared" si="481"/>
        <v>917-56: Lease Purchase, Buildings</v>
      </c>
    </row>
    <row r="7500" spans="1:7" x14ac:dyDescent="0.25">
      <c r="A7500" s="1" t="str">
        <f t="shared" si="479"/>
        <v>917</v>
      </c>
      <c r="B7500" s="1" t="str">
        <f>TEXT(57,"00")</f>
        <v>57</v>
      </c>
      <c r="C7500" s="1" t="str">
        <f t="shared" si="480"/>
        <v>917-57</v>
      </c>
      <c r="D7500" t="s">
        <v>7470</v>
      </c>
      <c r="E7500" t="b">
        <f>IF(COUNTIF(D7500,"*"&amp;'Keyword Search'!$C$5&amp;"*"),TRUE,FALSE)</f>
        <v>1</v>
      </c>
      <c r="G7500" t="str">
        <f t="shared" si="481"/>
        <v>917-57: Lease Purchase, Computer Equipment</v>
      </c>
    </row>
    <row r="7501" spans="1:7" x14ac:dyDescent="0.25">
      <c r="A7501" s="1" t="str">
        <f t="shared" si="479"/>
        <v>917</v>
      </c>
      <c r="B7501" s="1" t="str">
        <f>TEXT(59,"00")</f>
        <v>59</v>
      </c>
      <c r="C7501" s="1" t="str">
        <f t="shared" si="480"/>
        <v>917-59</v>
      </c>
      <c r="D7501" t="s">
        <v>7471</v>
      </c>
      <c r="E7501" t="b">
        <f>IF(COUNTIF(D7501,"*"&amp;'Keyword Search'!$C$5&amp;"*"),TRUE,FALSE)</f>
        <v>1</v>
      </c>
      <c r="G7501" t="str">
        <f t="shared" si="481"/>
        <v>917-59: Lease Purchase, Computer Software</v>
      </c>
    </row>
    <row r="7502" spans="1:7" x14ac:dyDescent="0.25">
      <c r="A7502" s="1" t="str">
        <f t="shared" si="479"/>
        <v>917</v>
      </c>
      <c r="B7502" s="1" t="str">
        <f>TEXT(60,"00")</f>
        <v>60</v>
      </c>
      <c r="C7502" s="1" t="str">
        <f t="shared" si="480"/>
        <v>917-60</v>
      </c>
      <c r="D7502" t="s">
        <v>7472</v>
      </c>
      <c r="E7502" t="b">
        <f>IF(COUNTIF(D7502,"*"&amp;'Keyword Search'!$C$5&amp;"*"),TRUE,FALSE)</f>
        <v>1</v>
      </c>
      <c r="G7502" t="str">
        <f t="shared" si="481"/>
        <v>917-60: Lease Purchase, Facilities and Other Improvements</v>
      </c>
    </row>
    <row r="7503" spans="1:7" x14ac:dyDescent="0.25">
      <c r="A7503" s="1" t="str">
        <f t="shared" si="479"/>
        <v>917</v>
      </c>
      <c r="B7503" s="1" t="str">
        <f>TEXT(61,"00")</f>
        <v>61</v>
      </c>
      <c r="C7503" s="1" t="str">
        <f t="shared" si="480"/>
        <v>917-61</v>
      </c>
      <c r="D7503" t="s">
        <v>7473</v>
      </c>
      <c r="E7503" t="b">
        <f>IF(COUNTIF(D7503,"*"&amp;'Keyword Search'!$C$5&amp;"*"),TRUE,FALSE)</f>
        <v>1</v>
      </c>
      <c r="G7503" t="str">
        <f t="shared" si="481"/>
        <v>917-61: Lease Purchase, Farm Equipment</v>
      </c>
    </row>
    <row r="7504" spans="1:7" x14ac:dyDescent="0.25">
      <c r="A7504" s="1" t="str">
        <f t="shared" si="479"/>
        <v>917</v>
      </c>
      <c r="B7504" s="1" t="str">
        <f>TEXT(62,"00")</f>
        <v>62</v>
      </c>
      <c r="C7504" s="1" t="str">
        <f t="shared" si="480"/>
        <v>917-62</v>
      </c>
      <c r="D7504" t="s">
        <v>7474</v>
      </c>
      <c r="E7504" t="b">
        <f>IF(COUNTIF(D7504,"*"&amp;'Keyword Search'!$C$5&amp;"*"),TRUE,FALSE)</f>
        <v>1</v>
      </c>
      <c r="G7504" t="str">
        <f t="shared" si="481"/>
        <v>917-62: Lease Purchase, Furnishings and Equipment</v>
      </c>
    </row>
    <row r="7505" spans="1:7" x14ac:dyDescent="0.25">
      <c r="A7505" s="1" t="str">
        <f t="shared" si="479"/>
        <v>917</v>
      </c>
      <c r="B7505" s="1" t="str">
        <f>TEXT(64,"00")</f>
        <v>64</v>
      </c>
      <c r="C7505" s="1" t="str">
        <f t="shared" si="480"/>
        <v>917-64</v>
      </c>
      <c r="D7505" t="s">
        <v>7475</v>
      </c>
      <c r="E7505" t="b">
        <f>IF(COUNTIF(D7505,"*"&amp;'Keyword Search'!$C$5&amp;"*"),TRUE,FALSE)</f>
        <v>1</v>
      </c>
      <c r="G7505" t="str">
        <f t="shared" si="481"/>
        <v>917-64: Lease Purchase, Motor Vehicle, Other</v>
      </c>
    </row>
    <row r="7506" spans="1:7" x14ac:dyDescent="0.25">
      <c r="A7506" s="1" t="str">
        <f t="shared" si="479"/>
        <v>917</v>
      </c>
      <c r="B7506" s="1" t="str">
        <f>TEXT(65,"00")</f>
        <v>65</v>
      </c>
      <c r="C7506" s="1" t="str">
        <f t="shared" si="480"/>
        <v>917-65</v>
      </c>
      <c r="D7506" t="s">
        <v>7476</v>
      </c>
      <c r="E7506" t="b">
        <f>IF(COUNTIF(D7506,"*"&amp;'Keyword Search'!$C$5&amp;"*"),TRUE,FALSE)</f>
        <v>1</v>
      </c>
      <c r="G7506" t="str">
        <f t="shared" si="481"/>
        <v>917-65: Lease Purchase, Motor Vehicle, Passenger Cars</v>
      </c>
    </row>
    <row r="7507" spans="1:7" x14ac:dyDescent="0.25">
      <c r="A7507" s="1" t="str">
        <f t="shared" si="479"/>
        <v>917</v>
      </c>
      <c r="B7507" s="1" t="str">
        <f>TEXT(66,"00")</f>
        <v>66</v>
      </c>
      <c r="C7507" s="1" t="str">
        <f t="shared" si="480"/>
        <v>917-66</v>
      </c>
      <c r="D7507" t="s">
        <v>7477</v>
      </c>
      <c r="E7507" t="b">
        <f>IF(COUNTIF(D7507,"*"&amp;'Keyword Search'!$C$5&amp;"*"),TRUE,FALSE)</f>
        <v>1</v>
      </c>
      <c r="G7507" t="str">
        <f t="shared" si="481"/>
        <v>917-66: Lease Purchase, Personal Property, Other</v>
      </c>
    </row>
    <row r="7508" spans="1:7" x14ac:dyDescent="0.25">
      <c r="A7508" s="1" t="str">
        <f t="shared" si="479"/>
        <v>917</v>
      </c>
      <c r="B7508" s="1" t="str">
        <f>TEXT(67,"00")</f>
        <v>67</v>
      </c>
      <c r="C7508" s="1" t="str">
        <f t="shared" si="480"/>
        <v>917-67</v>
      </c>
      <c r="D7508" t="s">
        <v>7478</v>
      </c>
      <c r="E7508" t="b">
        <f>IF(COUNTIF(D7508,"*"&amp;'Keyword Search'!$C$5&amp;"*"),TRUE,FALSE)</f>
        <v>1</v>
      </c>
      <c r="G7508" t="str">
        <f t="shared" si="481"/>
        <v>917-67: Maintenance and Repair, Computer Equipment, CIS</v>
      </c>
    </row>
    <row r="7509" spans="1:7" x14ac:dyDescent="0.25">
      <c r="A7509" s="1" t="str">
        <f t="shared" si="479"/>
        <v>917</v>
      </c>
      <c r="B7509" s="1" t="str">
        <f>TEXT(68,"00")</f>
        <v>68</v>
      </c>
      <c r="C7509" s="1" t="str">
        <f t="shared" si="480"/>
        <v>917-68</v>
      </c>
      <c r="D7509" t="s">
        <v>7479</v>
      </c>
      <c r="E7509" t="b">
        <f>IF(COUNTIF(D7509,"*"&amp;'Keyword Search'!$C$5&amp;"*"),TRUE,FALSE)</f>
        <v>1</v>
      </c>
      <c r="G7509" t="str">
        <f t="shared" si="481"/>
        <v>917-68: Maintenance and Repair, Computer Software, CIS</v>
      </c>
    </row>
    <row r="7510" spans="1:7" x14ac:dyDescent="0.25">
      <c r="A7510" s="1" t="str">
        <f t="shared" si="479"/>
        <v>917</v>
      </c>
      <c r="B7510" s="1" t="str">
        <f>TEXT(69,"00")</f>
        <v>69</v>
      </c>
      <c r="C7510" s="1" t="str">
        <f t="shared" si="480"/>
        <v>917-69</v>
      </c>
      <c r="D7510" t="s">
        <v>7480</v>
      </c>
      <c r="E7510" t="b">
        <f>IF(COUNTIF(D7510,"*"&amp;'Keyword Search'!$C$5&amp;"*"),TRUE,FALSE)</f>
        <v>1</v>
      </c>
      <c r="G7510" t="str">
        <f t="shared" si="481"/>
        <v>917-69: Maintenance and Repair, Emission System</v>
      </c>
    </row>
    <row r="7511" spans="1:7" x14ac:dyDescent="0.25">
      <c r="A7511" s="1" t="str">
        <f t="shared" si="479"/>
        <v>917</v>
      </c>
      <c r="B7511" s="1" t="str">
        <f>TEXT(71,"00")</f>
        <v>71</v>
      </c>
      <c r="C7511" s="1" t="str">
        <f t="shared" si="480"/>
        <v>917-71</v>
      </c>
      <c r="D7511" t="s">
        <v>7481</v>
      </c>
      <c r="E7511" t="b">
        <f>IF(COUNTIF(D7511,"*"&amp;'Keyword Search'!$C$5&amp;"*"),TRUE,FALSE)</f>
        <v>1</v>
      </c>
      <c r="G7511" t="str">
        <f t="shared" si="481"/>
        <v>917-71: Maintenance and Repair, Engine Services</v>
      </c>
    </row>
    <row r="7512" spans="1:7" x14ac:dyDescent="0.25">
      <c r="A7512" s="1" t="str">
        <f t="shared" si="479"/>
        <v>917</v>
      </c>
      <c r="B7512" s="1" t="str">
        <f>TEXT(73,"00")</f>
        <v>73</v>
      </c>
      <c r="C7512" s="1" t="str">
        <f t="shared" si="480"/>
        <v>917-73</v>
      </c>
      <c r="D7512" t="s">
        <v>7482</v>
      </c>
      <c r="E7512" t="b">
        <f>IF(COUNTIF(D7512,"*"&amp;'Keyword Search'!$C$5&amp;"*"),TRUE,FALSE)</f>
        <v>1</v>
      </c>
      <c r="G7512" t="str">
        <f t="shared" si="481"/>
        <v>917-73: Maintenance and Repair, Lifting Machines</v>
      </c>
    </row>
    <row r="7513" spans="1:7" x14ac:dyDescent="0.25">
      <c r="A7513" s="1" t="str">
        <f t="shared" si="479"/>
        <v>917</v>
      </c>
      <c r="B7513" s="1" t="str">
        <f>TEXT(74,"00")</f>
        <v>74</v>
      </c>
      <c r="C7513" s="1" t="str">
        <f t="shared" si="480"/>
        <v>917-74</v>
      </c>
      <c r="D7513" t="s">
        <v>7483</v>
      </c>
      <c r="E7513" t="b">
        <f>IF(COUNTIF(D7513,"*"&amp;'Keyword Search'!$C$5&amp;"*"),TRUE,FALSE)</f>
        <v>1</v>
      </c>
      <c r="G7513" t="str">
        <f t="shared" si="481"/>
        <v>917-74: Maintenance and Repair, Non-University Owned Vehicles</v>
      </c>
    </row>
    <row r="7514" spans="1:7" x14ac:dyDescent="0.25">
      <c r="A7514" s="1" t="str">
        <f t="shared" si="479"/>
        <v>917</v>
      </c>
      <c r="B7514" s="1" t="str">
        <f>TEXT(75,"00")</f>
        <v>75</v>
      </c>
      <c r="C7514" s="1" t="str">
        <f t="shared" si="480"/>
        <v>917-75</v>
      </c>
      <c r="D7514" t="s">
        <v>7484</v>
      </c>
      <c r="E7514" t="b">
        <f>IF(COUNTIF(D7514,"*"&amp;'Keyword Search'!$C$5&amp;"*"),TRUE,FALSE)</f>
        <v>1</v>
      </c>
      <c r="G7514" t="str">
        <f t="shared" si="481"/>
        <v>917-75: Maintenance and Repair, Other Infrastructure</v>
      </c>
    </row>
    <row r="7515" spans="1:7" x14ac:dyDescent="0.25">
      <c r="A7515" s="1" t="str">
        <f t="shared" si="479"/>
        <v>917</v>
      </c>
      <c r="B7515" s="1" t="str">
        <f>TEXT(76,"00")</f>
        <v>76</v>
      </c>
      <c r="C7515" s="1" t="str">
        <f t="shared" si="480"/>
        <v>917-76</v>
      </c>
      <c r="D7515" t="s">
        <v>7485</v>
      </c>
      <c r="E7515" t="b">
        <f>IF(COUNTIF(D7515,"*"&amp;'Keyword Search'!$C$5&amp;"*"),TRUE,FALSE)</f>
        <v>1</v>
      </c>
      <c r="G7515" t="str">
        <f t="shared" si="481"/>
        <v>917-76: Maintenance and Repair, Transmission Service</v>
      </c>
    </row>
    <row r="7516" spans="1:7" x14ac:dyDescent="0.25">
      <c r="A7516" s="1" t="str">
        <f t="shared" si="479"/>
        <v>917</v>
      </c>
      <c r="B7516" s="1" t="str">
        <f>TEXT(77,"00")</f>
        <v>77</v>
      </c>
      <c r="C7516" s="1" t="str">
        <f t="shared" si="480"/>
        <v>917-77</v>
      </c>
      <c r="D7516" t="s">
        <v>7486</v>
      </c>
      <c r="E7516" t="b">
        <f>IF(COUNTIF(D7516,"*"&amp;'Keyword Search'!$C$5&amp;"*"),TRUE,FALSE)</f>
        <v>1</v>
      </c>
      <c r="G7516" t="str">
        <f t="shared" si="481"/>
        <v>917-77: Other Contracted Services, Non Exempt</v>
      </c>
    </row>
    <row r="7517" spans="1:7" x14ac:dyDescent="0.25">
      <c r="A7517" s="1" t="str">
        <f t="shared" si="479"/>
        <v>917</v>
      </c>
      <c r="B7517" s="1" t="str">
        <f>TEXT(78,"00")</f>
        <v>78</v>
      </c>
      <c r="C7517" s="1" t="str">
        <f t="shared" si="480"/>
        <v>917-78</v>
      </c>
      <c r="D7517" t="s">
        <v>7487</v>
      </c>
      <c r="E7517" t="b">
        <f>IF(COUNTIF(D7517,"*"&amp;'Keyword Search'!$C$5&amp;"*"),TRUE,FALSE)</f>
        <v>1</v>
      </c>
      <c r="G7517" t="str">
        <f t="shared" si="481"/>
        <v>917-78: Outsource Printing, Graphic Arts Only</v>
      </c>
    </row>
    <row r="7518" spans="1:7" x14ac:dyDescent="0.25">
      <c r="A7518" s="1" t="str">
        <f t="shared" si="479"/>
        <v>917</v>
      </c>
      <c r="B7518" s="1" t="str">
        <f>TEXT(79,"00")</f>
        <v>79</v>
      </c>
      <c r="C7518" s="1" t="str">
        <f t="shared" si="480"/>
        <v>917-79</v>
      </c>
      <c r="D7518" t="s">
        <v>7488</v>
      </c>
      <c r="E7518" t="b">
        <f>IF(COUNTIF(D7518,"*"&amp;'Keyword Search'!$C$5&amp;"*"),TRUE,FALSE)</f>
        <v>1</v>
      </c>
      <c r="G7518" t="str">
        <f t="shared" si="481"/>
        <v>917-79: Postal Services, Campus Mail Service</v>
      </c>
    </row>
    <row r="7519" spans="1:7" x14ac:dyDescent="0.25">
      <c r="A7519" s="1" t="str">
        <f t="shared" si="479"/>
        <v>917</v>
      </c>
      <c r="B7519" s="1" t="str">
        <f>TEXT(80,"00")</f>
        <v>80</v>
      </c>
      <c r="C7519" s="1" t="str">
        <f t="shared" si="480"/>
        <v>917-80</v>
      </c>
      <c r="D7519" t="s">
        <v>7489</v>
      </c>
      <c r="E7519" t="b">
        <f>IF(COUNTIF(D7519,"*"&amp;'Keyword Search'!$C$5&amp;"*"),TRUE,FALSE)</f>
        <v>1</v>
      </c>
      <c r="G7519" t="str">
        <f t="shared" si="481"/>
        <v>917-80: Rent, Exhibit Space Onsite</v>
      </c>
    </row>
    <row r="7520" spans="1:7" x14ac:dyDescent="0.25">
      <c r="A7520" s="1" t="str">
        <f t="shared" si="479"/>
        <v>917</v>
      </c>
      <c r="B7520" s="1" t="str">
        <f>TEXT(81,"00")</f>
        <v>81</v>
      </c>
      <c r="C7520" s="1" t="str">
        <f t="shared" si="480"/>
        <v>917-81</v>
      </c>
      <c r="D7520" t="s">
        <v>7490</v>
      </c>
      <c r="E7520" t="b">
        <f>IF(COUNTIF(D7520,"*"&amp;'Keyword Search'!$C$5&amp;"*"),TRUE,FALSE)</f>
        <v>1</v>
      </c>
      <c r="G7520" t="str">
        <f t="shared" si="481"/>
        <v>917-81: Rent, Other Space Offsite</v>
      </c>
    </row>
    <row r="7521" spans="1:7" x14ac:dyDescent="0.25">
      <c r="A7521" s="1" t="str">
        <f t="shared" si="479"/>
        <v>917</v>
      </c>
      <c r="B7521" s="1" t="str">
        <f>TEXT(82,"00")</f>
        <v>82</v>
      </c>
      <c r="C7521" s="1" t="str">
        <f t="shared" si="480"/>
        <v>917-82</v>
      </c>
      <c r="D7521" t="s">
        <v>7491</v>
      </c>
      <c r="E7521" t="b">
        <f>IF(COUNTIF(D7521,"*"&amp;'Keyword Search'!$C$5&amp;"*"),TRUE,FALSE)</f>
        <v>1</v>
      </c>
      <c r="G7521" t="str">
        <f t="shared" si="481"/>
        <v>917-82: Rent, Other Space Onsite</v>
      </c>
    </row>
    <row r="7522" spans="1:7" x14ac:dyDescent="0.25">
      <c r="A7522" s="1" t="str">
        <f t="shared" si="479"/>
        <v>917</v>
      </c>
      <c r="B7522" s="1" t="str">
        <f>TEXT(83,"00")</f>
        <v>83</v>
      </c>
      <c r="C7522" s="1" t="str">
        <f t="shared" si="480"/>
        <v>917-83</v>
      </c>
      <c r="D7522" t="s">
        <v>7492</v>
      </c>
      <c r="E7522" t="b">
        <f>IF(COUNTIF(D7522,"*"&amp;'Keyword Search'!$C$5&amp;"*"),TRUE,FALSE)</f>
        <v>1</v>
      </c>
      <c r="G7522" t="str">
        <f t="shared" si="481"/>
        <v>917-83: Rent, Service Building Offsite</v>
      </c>
    </row>
    <row r="7523" spans="1:7" x14ac:dyDescent="0.25">
      <c r="A7523" s="1" t="str">
        <f t="shared" si="479"/>
        <v>917</v>
      </c>
      <c r="B7523" s="1" t="str">
        <f>TEXT(84,"00")</f>
        <v>84</v>
      </c>
      <c r="C7523" s="1" t="str">
        <f t="shared" si="480"/>
        <v>917-84</v>
      </c>
      <c r="D7523" t="s">
        <v>7493</v>
      </c>
      <c r="E7523" t="b">
        <f>IF(COUNTIF(D7523,"*"&amp;'Keyword Search'!$C$5&amp;"*"),TRUE,FALSE)</f>
        <v>1</v>
      </c>
      <c r="G7523" t="str">
        <f t="shared" si="481"/>
        <v>917-84: Rent, Service Building Onsite</v>
      </c>
    </row>
    <row r="7524" spans="1:7" x14ac:dyDescent="0.25">
      <c r="A7524" s="1" t="str">
        <f t="shared" si="479"/>
        <v>917</v>
      </c>
      <c r="B7524" s="1" t="str">
        <f>TEXT(85,"00")</f>
        <v>85</v>
      </c>
      <c r="C7524" s="1" t="str">
        <f t="shared" si="480"/>
        <v>917-85</v>
      </c>
      <c r="D7524" t="s">
        <v>7494</v>
      </c>
      <c r="E7524" t="b">
        <f>IF(COUNTIF(D7524,"*"&amp;'Keyword Search'!$C$5&amp;"*"),TRUE,FALSE)</f>
        <v>1</v>
      </c>
      <c r="G7524" t="str">
        <f t="shared" si="481"/>
        <v>917-85: Rent, Storage Space Onsite</v>
      </c>
    </row>
    <row r="7525" spans="1:7" x14ac:dyDescent="0.25">
      <c r="A7525" s="1" t="str">
        <f t="shared" si="479"/>
        <v>917</v>
      </c>
      <c r="B7525" s="1" t="str">
        <f>TEXT(86,"00")</f>
        <v>86</v>
      </c>
      <c r="C7525" s="1" t="str">
        <f t="shared" si="480"/>
        <v>917-86</v>
      </c>
      <c r="D7525" t="s">
        <v>7495</v>
      </c>
      <c r="E7525" t="b">
        <f>IF(COUNTIF(D7525,"*"&amp;'Keyword Search'!$C$5&amp;"*"),TRUE,FALSE)</f>
        <v>1</v>
      </c>
      <c r="G7525" t="str">
        <f t="shared" si="481"/>
        <v>917-86: Rental of Aircraft, Aircraft Pooling</v>
      </c>
    </row>
    <row r="7526" spans="1:7" x14ac:dyDescent="0.25">
      <c r="A7526" s="1" t="str">
        <f t="shared" si="479"/>
        <v>917</v>
      </c>
      <c r="B7526" s="1" t="str">
        <f>TEXT(87,"00")</f>
        <v>87</v>
      </c>
      <c r="C7526" s="1" t="str">
        <f t="shared" si="480"/>
        <v>917-87</v>
      </c>
      <c r="D7526" t="s">
        <v>7496</v>
      </c>
      <c r="E7526" t="b">
        <f>IF(COUNTIF(D7526,"*"&amp;'Keyword Search'!$C$5&amp;"*"),TRUE,FALSE)</f>
        <v>1</v>
      </c>
      <c r="G7526" t="str">
        <f t="shared" si="481"/>
        <v>917-87: Rental of Aircraft, University Exempt</v>
      </c>
    </row>
    <row r="7527" spans="1:7" x14ac:dyDescent="0.25">
      <c r="A7527" s="1" t="str">
        <f t="shared" si="479"/>
        <v>917</v>
      </c>
      <c r="B7527" s="1" t="str">
        <f>TEXT(89,"00")</f>
        <v>89</v>
      </c>
      <c r="C7527" s="1" t="str">
        <f t="shared" si="480"/>
        <v>917-89</v>
      </c>
      <c r="D7527" t="s">
        <v>7497</v>
      </c>
      <c r="E7527" t="b">
        <f>IF(COUNTIF(D7527,"*"&amp;'Keyword Search'!$C$5&amp;"*"),TRUE,FALSE)</f>
        <v>1</v>
      </c>
      <c r="G7527" t="str">
        <f t="shared" si="481"/>
        <v>917-89: Rental of Animals</v>
      </c>
    </row>
    <row r="7528" spans="1:7" x14ac:dyDescent="0.25">
      <c r="A7528" s="1" t="str">
        <f t="shared" si="479"/>
        <v>917</v>
      </c>
      <c r="B7528" s="1" t="str">
        <f>TEXT(90,"00")</f>
        <v>90</v>
      </c>
      <c r="C7528" s="1" t="str">
        <f t="shared" si="480"/>
        <v>917-90</v>
      </c>
      <c r="D7528" t="s">
        <v>7498</v>
      </c>
      <c r="E7528" t="b">
        <f>IF(COUNTIF(D7528,"*"&amp;'Keyword Search'!$C$5&amp;"*"),TRUE,FALSE)</f>
        <v>1</v>
      </c>
      <c r="G7528" t="str">
        <f t="shared" si="481"/>
        <v>917-90: Rental of Containers</v>
      </c>
    </row>
    <row r="7529" spans="1:7" x14ac:dyDescent="0.25">
      <c r="A7529" s="1" t="str">
        <f t="shared" si="479"/>
        <v>917</v>
      </c>
      <c r="B7529" s="1" t="str">
        <f>TEXT(91,"00")</f>
        <v>91</v>
      </c>
      <c r="C7529" s="1" t="str">
        <f t="shared" si="480"/>
        <v>917-91</v>
      </c>
      <c r="D7529" t="s">
        <v>7499</v>
      </c>
      <c r="E7529" t="b">
        <f>IF(COUNTIF(D7529,"*"&amp;'Keyword Search'!$C$5&amp;"*"),TRUE,FALSE)</f>
        <v>1</v>
      </c>
      <c r="G7529" t="str">
        <f t="shared" si="481"/>
        <v>917-91: Rental of Dormitory Furniture</v>
      </c>
    </row>
    <row r="7530" spans="1:7" x14ac:dyDescent="0.25">
      <c r="A7530" s="1" t="str">
        <f t="shared" si="479"/>
        <v>917</v>
      </c>
      <c r="B7530" s="1" t="str">
        <f>TEXT(92,"00")</f>
        <v>92</v>
      </c>
      <c r="C7530" s="1" t="str">
        <f t="shared" si="480"/>
        <v>917-92</v>
      </c>
      <c r="D7530" t="s">
        <v>7500</v>
      </c>
      <c r="E7530" t="b">
        <f>IF(COUNTIF(D7530,"*"&amp;'Keyword Search'!$C$5&amp;"*"),TRUE,FALSE)</f>
        <v>1</v>
      </c>
      <c r="G7530" t="str">
        <f t="shared" si="481"/>
        <v>917-92: Rental of Radio Towers</v>
      </c>
    </row>
    <row r="7531" spans="1:7" x14ac:dyDescent="0.25">
      <c r="A7531" s="1" t="str">
        <f t="shared" si="479"/>
        <v>917</v>
      </c>
      <c r="B7531" s="1" t="str">
        <f>TEXT(93,"00")</f>
        <v>93</v>
      </c>
      <c r="C7531" s="1" t="str">
        <f t="shared" si="480"/>
        <v>917-93</v>
      </c>
      <c r="D7531" t="s">
        <v>7501</v>
      </c>
      <c r="E7531" t="b">
        <f>IF(COUNTIF(D7531,"*"&amp;'Keyword Search'!$C$5&amp;"*"),TRUE,FALSE)</f>
        <v>1</v>
      </c>
      <c r="G7531" t="str">
        <f t="shared" si="481"/>
        <v>917-93: Rental of Space System, Aircraft Only</v>
      </c>
    </row>
    <row r="7532" spans="1:7" x14ac:dyDescent="0.25">
      <c r="A7532" s="1" t="str">
        <f t="shared" si="479"/>
        <v>917</v>
      </c>
      <c r="B7532" s="1" t="str">
        <f>TEXT(94,"00")</f>
        <v>94</v>
      </c>
      <c r="C7532" s="1" t="str">
        <f t="shared" si="480"/>
        <v>917-94</v>
      </c>
      <c r="D7532" t="s">
        <v>7502</v>
      </c>
      <c r="E7532" t="b">
        <f>IF(COUNTIF(D7532,"*"&amp;'Keyword Search'!$C$5&amp;"*"),TRUE,FALSE)</f>
        <v>1</v>
      </c>
      <c r="G7532" t="str">
        <f t="shared" si="481"/>
        <v>917-94: Rental of Video Equipment</v>
      </c>
    </row>
    <row r="7533" spans="1:7" x14ac:dyDescent="0.25">
      <c r="A7533" s="1" t="str">
        <f t="shared" si="479"/>
        <v>917</v>
      </c>
      <c r="B7533" s="1" t="str">
        <f>TEXT(95,"00")</f>
        <v>95</v>
      </c>
      <c r="C7533" s="1" t="str">
        <f t="shared" si="480"/>
        <v>917-95</v>
      </c>
      <c r="D7533" t="s">
        <v>7503</v>
      </c>
      <c r="E7533" t="b">
        <f>IF(COUNTIF(D7533,"*"&amp;'Keyword Search'!$C$5&amp;"*"),TRUE,FALSE)</f>
        <v>1</v>
      </c>
      <c r="G7533" t="str">
        <f t="shared" si="481"/>
        <v>917-95: Use Fee for Equipment Repair and Replacement</v>
      </c>
    </row>
    <row r="7534" spans="1:7" x14ac:dyDescent="0.25">
      <c r="A7534" s="1" t="str">
        <f t="shared" ref="A7534" si="482">TEXT(917,"000")</f>
        <v>917</v>
      </c>
      <c r="B7534" s="1" t="str">
        <f>TEXT(96,"00")</f>
        <v>96</v>
      </c>
      <c r="C7534" s="1" t="str">
        <f t="shared" si="480"/>
        <v>917-96</v>
      </c>
      <c r="D7534" t="s">
        <v>7504</v>
      </c>
      <c r="E7534" t="b">
        <f>IF(COUNTIF(D7534,"*"&amp;'Keyword Search'!$C$5&amp;"*"),TRUE,FALSE)</f>
        <v>1</v>
      </c>
      <c r="G7534" t="str">
        <f t="shared" si="481"/>
        <v>917-96: Wind Tunnel Services</v>
      </c>
    </row>
    <row r="7535" spans="1:7" x14ac:dyDescent="0.25">
      <c r="A7535" s="5" t="str">
        <f t="shared" ref="A7535:A7598" si="483">TEXT(918,"000")</f>
        <v>918</v>
      </c>
      <c r="B7535" s="5" t="str">
        <f>TEXT(0,"00")</f>
        <v>00</v>
      </c>
      <c r="C7535" s="1"/>
      <c r="D7535" s="2" t="s">
        <v>7505</v>
      </c>
    </row>
    <row r="7536" spans="1:7" x14ac:dyDescent="0.25">
      <c r="A7536" s="1" t="str">
        <f t="shared" si="483"/>
        <v>918</v>
      </c>
      <c r="B7536" s="1" t="str">
        <f>TEXT(2,"00")</f>
        <v>02</v>
      </c>
      <c r="C7536" s="1" t="str">
        <f t="shared" si="480"/>
        <v>918-02</v>
      </c>
      <c r="D7536" t="s">
        <v>7506</v>
      </c>
      <c r="E7536" t="b">
        <f>IF(COUNTIF(D7536,"*"&amp;'Keyword Search'!$C$5&amp;"*"),TRUE,FALSE)</f>
        <v>1</v>
      </c>
      <c r="G7536" t="str">
        <f t="shared" si="481"/>
        <v>918-02: Audio and Visual (A/V) Consulting</v>
      </c>
    </row>
    <row r="7537" spans="1:7" x14ac:dyDescent="0.25">
      <c r="A7537" s="1" t="str">
        <f t="shared" si="483"/>
        <v>918</v>
      </c>
      <c r="B7537" s="1" t="str">
        <f>TEXT(3,"00")</f>
        <v>03</v>
      </c>
      <c r="C7537" s="1" t="str">
        <f t="shared" si="480"/>
        <v>918-03</v>
      </c>
      <c r="D7537" t="s">
        <v>7507</v>
      </c>
      <c r="E7537" t="b">
        <f>IF(COUNTIF(D7537,"*"&amp;'Keyword Search'!$C$5&amp;"*"),TRUE,FALSE)</f>
        <v>1</v>
      </c>
      <c r="G7537" t="str">
        <f t="shared" si="481"/>
        <v>918-03: Alcohol and Drug Abuse Consulting</v>
      </c>
    </row>
    <row r="7538" spans="1:7" x14ac:dyDescent="0.25">
      <c r="A7538" s="1" t="str">
        <f t="shared" si="483"/>
        <v>918</v>
      </c>
      <c r="B7538" s="1" t="str">
        <f>TEXT(4,"00")</f>
        <v>04</v>
      </c>
      <c r="C7538" s="1" t="str">
        <f t="shared" si="480"/>
        <v>918-04</v>
      </c>
      <c r="D7538" t="s">
        <v>7508</v>
      </c>
      <c r="E7538" t="b">
        <f>IF(COUNTIF(D7538,"*"&amp;'Keyword Search'!$C$5&amp;"*"),TRUE,FALSE)</f>
        <v>1</v>
      </c>
      <c r="G7538" t="str">
        <f t="shared" si="481"/>
        <v>918-04: Accounting, Auditing, Budget Consulting</v>
      </c>
    </row>
    <row r="7539" spans="1:7" x14ac:dyDescent="0.25">
      <c r="A7539" s="1" t="str">
        <f t="shared" si="483"/>
        <v>918</v>
      </c>
      <c r="B7539" s="1" t="str">
        <f>TEXT(6,"00")</f>
        <v>06</v>
      </c>
      <c r="C7539" s="1" t="str">
        <f t="shared" si="480"/>
        <v>918-06</v>
      </c>
      <c r="D7539" t="s">
        <v>7509</v>
      </c>
      <c r="E7539" t="b">
        <f>IF(COUNTIF(D7539,"*"&amp;'Keyword Search'!$C$5&amp;"*"),TRUE,FALSE)</f>
        <v>1</v>
      </c>
      <c r="G7539" t="str">
        <f t="shared" si="481"/>
        <v>918-06: Administrative Consulting</v>
      </c>
    </row>
    <row r="7540" spans="1:7" x14ac:dyDescent="0.25">
      <c r="A7540" s="1" t="str">
        <f t="shared" si="483"/>
        <v>918</v>
      </c>
      <c r="B7540" s="1" t="str">
        <f>TEXT(7,"00")</f>
        <v>07</v>
      </c>
      <c r="C7540" s="1" t="str">
        <f t="shared" si="480"/>
        <v>918-07</v>
      </c>
      <c r="D7540" t="s">
        <v>7510</v>
      </c>
      <c r="E7540" t="b">
        <f>IF(COUNTIF(D7540,"*"&amp;'Keyword Search'!$C$5&amp;"*"),TRUE,FALSE)</f>
        <v>1</v>
      </c>
      <c r="G7540" t="str">
        <f t="shared" si="481"/>
        <v>918-07: Advertising Consulting</v>
      </c>
    </row>
    <row r="7541" spans="1:7" x14ac:dyDescent="0.25">
      <c r="A7541" s="1" t="str">
        <f t="shared" si="483"/>
        <v>918</v>
      </c>
      <c r="B7541" s="1" t="str">
        <f>TEXT(9,"00")</f>
        <v>09</v>
      </c>
      <c r="C7541" s="1" t="str">
        <f t="shared" si="480"/>
        <v>918-09</v>
      </c>
      <c r="D7541" t="s">
        <v>7511</v>
      </c>
      <c r="E7541" t="b">
        <f>IF(COUNTIF(D7541,"*"&amp;'Keyword Search'!$C$5&amp;"*"),TRUE,FALSE)</f>
        <v>1</v>
      </c>
      <c r="G7541" t="str">
        <f t="shared" si="481"/>
        <v>918-09: Agricultural Consulting</v>
      </c>
    </row>
    <row r="7542" spans="1:7" x14ac:dyDescent="0.25">
      <c r="A7542" s="1" t="str">
        <f t="shared" si="483"/>
        <v>918</v>
      </c>
      <c r="B7542" s="1" t="str">
        <f>TEXT(10,"00")</f>
        <v>10</v>
      </c>
      <c r="C7542" s="1" t="str">
        <f t="shared" si="480"/>
        <v>918-10</v>
      </c>
      <c r="D7542" t="s">
        <v>7512</v>
      </c>
      <c r="E7542" t="b">
        <f>IF(COUNTIF(D7542,"*"&amp;'Keyword Search'!$C$5&amp;"*"),TRUE,FALSE)</f>
        <v>1</v>
      </c>
      <c r="G7542" t="str">
        <f t="shared" si="481"/>
        <v>918-10: Air Quality Consulting</v>
      </c>
    </row>
    <row r="7543" spans="1:7" x14ac:dyDescent="0.25">
      <c r="A7543" s="1" t="str">
        <f t="shared" si="483"/>
        <v>918</v>
      </c>
      <c r="B7543" s="1" t="str">
        <f>TEXT(11,"00")</f>
        <v>11</v>
      </c>
      <c r="C7543" s="1" t="str">
        <f t="shared" si="480"/>
        <v>918-11</v>
      </c>
      <c r="D7543" t="s">
        <v>7513</v>
      </c>
      <c r="E7543" t="b">
        <f>IF(COUNTIF(D7543,"*"&amp;'Keyword Search'!$C$5&amp;"*"),TRUE,FALSE)</f>
        <v>1</v>
      </c>
      <c r="G7543" t="str">
        <f t="shared" si="481"/>
        <v>918-11: Anthropology Consulting</v>
      </c>
    </row>
    <row r="7544" spans="1:7" x14ac:dyDescent="0.25">
      <c r="A7544" s="1" t="str">
        <f t="shared" si="483"/>
        <v>918</v>
      </c>
      <c r="B7544" s="1" t="str">
        <f>TEXT(12,"00")</f>
        <v>12</v>
      </c>
      <c r="C7544" s="1" t="str">
        <f t="shared" si="480"/>
        <v>918-12</v>
      </c>
      <c r="D7544" t="s">
        <v>7514</v>
      </c>
      <c r="E7544" t="b">
        <f>IF(COUNTIF(D7544,"*"&amp;'Keyword Search'!$C$5&amp;"*"),TRUE,FALSE)</f>
        <v>1</v>
      </c>
      <c r="G7544" t="str">
        <f t="shared" si="481"/>
        <v>918-12: Analytical Predictive Studies and Surveys Consulting</v>
      </c>
    </row>
    <row r="7545" spans="1:7" x14ac:dyDescent="0.25">
      <c r="A7545" s="1" t="str">
        <f t="shared" si="483"/>
        <v>918</v>
      </c>
      <c r="B7545" s="1" t="str">
        <f>TEXT(13,"00")</f>
        <v>13</v>
      </c>
      <c r="C7545" s="1" t="str">
        <f t="shared" si="480"/>
        <v>918-13</v>
      </c>
      <c r="D7545" t="s">
        <v>7515</v>
      </c>
      <c r="E7545" t="b">
        <f>IF(COUNTIF(D7545,"*"&amp;'Keyword Search'!$C$5&amp;"*"),TRUE,FALSE)</f>
        <v>1</v>
      </c>
      <c r="G7545" t="str">
        <f t="shared" si="481"/>
        <v>918-13: Asbestos Consulting</v>
      </c>
    </row>
    <row r="7546" spans="1:7" x14ac:dyDescent="0.25">
      <c r="A7546" s="1" t="str">
        <f t="shared" si="483"/>
        <v>918</v>
      </c>
      <c r="B7546" s="1" t="str">
        <f>TEXT(14,"00")</f>
        <v>14</v>
      </c>
      <c r="C7546" s="1" t="str">
        <f t="shared" si="480"/>
        <v>918-14</v>
      </c>
      <c r="D7546" t="s">
        <v>7516</v>
      </c>
      <c r="E7546" t="b">
        <f>IF(COUNTIF(D7546,"*"&amp;'Keyword Search'!$C$5&amp;"*"),TRUE,FALSE)</f>
        <v>1</v>
      </c>
      <c r="G7546" t="str">
        <f t="shared" si="481"/>
        <v>918-14: Appraisals Consulting</v>
      </c>
    </row>
    <row r="7547" spans="1:7" x14ac:dyDescent="0.25">
      <c r="A7547" s="1" t="str">
        <f t="shared" si="483"/>
        <v>918</v>
      </c>
      <c r="B7547" s="1" t="str">
        <f>TEXT(15,"00")</f>
        <v>15</v>
      </c>
      <c r="C7547" s="1" t="str">
        <f t="shared" si="480"/>
        <v>918-15</v>
      </c>
      <c r="D7547" t="s">
        <v>7517</v>
      </c>
      <c r="E7547" t="b">
        <f>IF(COUNTIF(D7547,"*"&amp;'Keyword Search'!$C$5&amp;"*"),TRUE,FALSE)</f>
        <v>1</v>
      </c>
      <c r="G7547" t="str">
        <f t="shared" si="481"/>
        <v>918-15: Architectural Consulting  (Inactive, please see commodity code 906-07 effective January 1, 2016)</v>
      </c>
    </row>
    <row r="7548" spans="1:7" x14ac:dyDescent="0.25">
      <c r="A7548" s="1" t="str">
        <f t="shared" si="483"/>
        <v>918</v>
      </c>
      <c r="B7548" s="1" t="str">
        <f>TEXT(16,"00")</f>
        <v>16</v>
      </c>
      <c r="C7548" s="1" t="str">
        <f t="shared" si="480"/>
        <v>918-16</v>
      </c>
      <c r="D7548" t="s">
        <v>7518</v>
      </c>
      <c r="E7548" t="b">
        <f>IF(COUNTIF(D7548,"*"&amp;'Keyword Search'!$C$5&amp;"*"),TRUE,FALSE)</f>
        <v>1</v>
      </c>
      <c r="G7548" t="str">
        <f t="shared" si="481"/>
        <v>918-16: Archeological Consulting</v>
      </c>
    </row>
    <row r="7549" spans="1:7" x14ac:dyDescent="0.25">
      <c r="A7549" s="1" t="str">
        <f t="shared" si="483"/>
        <v>918</v>
      </c>
      <c r="B7549" s="1" t="str">
        <f>TEXT(17,"00")</f>
        <v>17</v>
      </c>
      <c r="C7549" s="1" t="str">
        <f t="shared" si="480"/>
        <v>918-17</v>
      </c>
      <c r="D7549" t="s">
        <v>7519</v>
      </c>
      <c r="E7549" t="b">
        <f>IF(COUNTIF(D7549,"*"&amp;'Keyword Search'!$C$5&amp;"*"),TRUE,FALSE)</f>
        <v>1</v>
      </c>
      <c r="G7549" t="str">
        <f t="shared" si="481"/>
        <v>918-17: Aviation Consulting</v>
      </c>
    </row>
    <row r="7550" spans="1:7" x14ac:dyDescent="0.25">
      <c r="A7550" s="1" t="str">
        <f t="shared" si="483"/>
        <v>918</v>
      </c>
      <c r="B7550" s="1" t="str">
        <f>TEXT(18,"00")</f>
        <v>18</v>
      </c>
      <c r="C7550" s="1" t="str">
        <f t="shared" si="480"/>
        <v>918-18</v>
      </c>
      <c r="D7550" t="s">
        <v>7520</v>
      </c>
      <c r="E7550" t="b">
        <f>IF(COUNTIF(D7550,"*"&amp;'Keyword Search'!$C$5&amp;"*"),TRUE,FALSE)</f>
        <v>1</v>
      </c>
      <c r="G7550" t="str">
        <f t="shared" si="481"/>
        <v>918-18: Boiler Chemistry Consulting</v>
      </c>
    </row>
    <row r="7551" spans="1:7" x14ac:dyDescent="0.25">
      <c r="A7551" s="1" t="str">
        <f t="shared" si="483"/>
        <v>918</v>
      </c>
      <c r="B7551" s="1" t="str">
        <f>TEXT(19,"00")</f>
        <v>19</v>
      </c>
      <c r="C7551" s="1" t="str">
        <f t="shared" si="480"/>
        <v>918-19</v>
      </c>
      <c r="D7551" t="s">
        <v>7521</v>
      </c>
      <c r="E7551" t="b">
        <f>IF(COUNTIF(D7551,"*"&amp;'Keyword Search'!$C$5&amp;"*"),TRUE,FALSE)</f>
        <v>1</v>
      </c>
      <c r="G7551" t="str">
        <f t="shared" si="481"/>
        <v>918-19: Buildings, Structures and Components Consulting</v>
      </c>
    </row>
    <row r="7552" spans="1:7" x14ac:dyDescent="0.25">
      <c r="A7552" s="1" t="str">
        <f t="shared" si="483"/>
        <v>918</v>
      </c>
      <c r="B7552" s="1" t="str">
        <f>TEXT(20,"00")</f>
        <v>20</v>
      </c>
      <c r="C7552" s="1" t="str">
        <f t="shared" si="480"/>
        <v>918-20</v>
      </c>
      <c r="D7552" t="s">
        <v>7522</v>
      </c>
      <c r="E7552" t="b">
        <f>IF(COUNTIF(D7552,"*"&amp;'Keyword Search'!$C$5&amp;"*"),TRUE,FALSE)</f>
        <v>1</v>
      </c>
      <c r="G7552" t="str">
        <f t="shared" si="481"/>
        <v>918-20: Business Consulting, Small  (Inactive, please see commodity code 918-21 effective January 1, 2016)</v>
      </c>
    </row>
    <row r="7553" spans="1:7" x14ac:dyDescent="0.25">
      <c r="A7553" s="1" t="str">
        <f t="shared" si="483"/>
        <v>918</v>
      </c>
      <c r="B7553" s="1" t="str">
        <f>TEXT(21,"00")</f>
        <v>21</v>
      </c>
      <c r="C7553" s="1" t="str">
        <f t="shared" si="480"/>
        <v>918-21</v>
      </c>
      <c r="D7553" t="s">
        <v>7523</v>
      </c>
      <c r="E7553" t="b">
        <f>IF(COUNTIF(D7553,"*"&amp;'Keyword Search'!$C$5&amp;"*"),TRUE,FALSE)</f>
        <v>1</v>
      </c>
      <c r="G7553" t="str">
        <f t="shared" si="481"/>
        <v>918-21: Business Consulting</v>
      </c>
    </row>
    <row r="7554" spans="1:7" x14ac:dyDescent="0.25">
      <c r="A7554" s="1" t="str">
        <f t="shared" si="483"/>
        <v>918</v>
      </c>
      <c r="B7554" s="1" t="str">
        <f>TEXT(24,"00")</f>
        <v>24</v>
      </c>
      <c r="C7554" s="1" t="str">
        <f t="shared" si="480"/>
        <v>918-24</v>
      </c>
      <c r="D7554" t="s">
        <v>7524</v>
      </c>
      <c r="E7554" t="b">
        <f>IF(COUNTIF(D7554,"*"&amp;'Keyword Search'!$C$5&amp;"*"),TRUE,FALSE)</f>
        <v>1</v>
      </c>
      <c r="G7554" t="str">
        <f t="shared" si="481"/>
        <v>918-24: Communications Consulting</v>
      </c>
    </row>
    <row r="7555" spans="1:7" x14ac:dyDescent="0.25">
      <c r="A7555" s="1" t="str">
        <f t="shared" si="483"/>
        <v>918</v>
      </c>
      <c r="B7555" s="1" t="str">
        <f>TEXT(25,"00")</f>
        <v>25</v>
      </c>
      <c r="C7555" s="1" t="str">
        <f t="shared" ref="C7555:C7618" si="484">CONCATENATE(A7555,"-",B7555)</f>
        <v>918-25</v>
      </c>
      <c r="D7555" t="s">
        <v>7525</v>
      </c>
      <c r="E7555" t="b">
        <f>IF(COUNTIF(D7555,"*"&amp;'Keyword Search'!$C$5&amp;"*"),TRUE,FALSE)</f>
        <v>1</v>
      </c>
      <c r="G7555" t="str">
        <f t="shared" si="481"/>
        <v>918-25: Compliance Consulting, Including American Disabilities Act (ADA)</v>
      </c>
    </row>
    <row r="7556" spans="1:7" x14ac:dyDescent="0.25">
      <c r="A7556" s="1" t="str">
        <f t="shared" si="483"/>
        <v>918</v>
      </c>
      <c r="B7556" s="1" t="str">
        <f>TEXT(26,"00")</f>
        <v>26</v>
      </c>
      <c r="C7556" s="1" t="str">
        <f t="shared" si="484"/>
        <v>918-26</v>
      </c>
      <c r="D7556" t="s">
        <v>7526</v>
      </c>
      <c r="E7556" t="b">
        <f>IF(COUNTIF(D7556,"*"&amp;'Keyword Search'!$C$5&amp;"*"),TRUE,FALSE)</f>
        <v>1</v>
      </c>
      <c r="G7556" t="str">
        <f t="shared" ref="G7556:G7619" si="485">CONCATENATE(C7556,": ",D7556)</f>
        <v>918-26: Public Relations Consulting</v>
      </c>
    </row>
    <row r="7557" spans="1:7" x14ac:dyDescent="0.25">
      <c r="A7557" s="1" t="str">
        <f t="shared" si="483"/>
        <v>918</v>
      </c>
      <c r="B7557" s="1" t="str">
        <f>TEXT(27,"00")</f>
        <v>27</v>
      </c>
      <c r="C7557" s="1" t="str">
        <f t="shared" si="484"/>
        <v>918-27</v>
      </c>
      <c r="D7557" t="s">
        <v>7527</v>
      </c>
      <c r="E7557" t="b">
        <f>IF(COUNTIF(D7557,"*"&amp;'Keyword Search'!$C$5&amp;"*"),TRUE,FALSE)</f>
        <v>1</v>
      </c>
      <c r="G7557" t="str">
        <f t="shared" si="485"/>
        <v>918-27: Community Development Consulting</v>
      </c>
    </row>
    <row r="7558" spans="1:7" x14ac:dyDescent="0.25">
      <c r="A7558" s="1" t="str">
        <f t="shared" si="483"/>
        <v>918</v>
      </c>
      <c r="B7558" s="1" t="str">
        <f>TEXT(28,"00")</f>
        <v>28</v>
      </c>
      <c r="C7558" s="1" t="str">
        <f t="shared" si="484"/>
        <v>918-28</v>
      </c>
      <c r="D7558" t="s">
        <v>7528</v>
      </c>
      <c r="E7558" t="b">
        <f>IF(COUNTIF(D7558,"*"&amp;'Keyword Search'!$C$5&amp;"*"),TRUE,FALSE)</f>
        <v>1</v>
      </c>
      <c r="G7558" t="str">
        <f t="shared" si="485"/>
        <v>918-28: *Computer Hardware Consulting</v>
      </c>
    </row>
    <row r="7559" spans="1:7" x14ac:dyDescent="0.25">
      <c r="A7559" s="1" t="str">
        <f t="shared" si="483"/>
        <v>918</v>
      </c>
      <c r="B7559" s="1" t="str">
        <f>TEXT(29,"00")</f>
        <v>29</v>
      </c>
      <c r="C7559" s="1" t="str">
        <f t="shared" si="484"/>
        <v>918-29</v>
      </c>
      <c r="D7559" t="s">
        <v>7529</v>
      </c>
      <c r="E7559" t="b">
        <f>IF(COUNTIF(D7559,"*"&amp;'Keyword Search'!$C$5&amp;"*"),TRUE,FALSE)</f>
        <v>1</v>
      </c>
      <c r="G7559" t="str">
        <f t="shared" si="485"/>
        <v>918-29: *Computer Software Consulting</v>
      </c>
    </row>
    <row r="7560" spans="1:7" x14ac:dyDescent="0.25">
      <c r="A7560" s="1" t="str">
        <f t="shared" si="483"/>
        <v>918</v>
      </c>
      <c r="B7560" s="1" t="str">
        <f>TEXT(30,"00")</f>
        <v>30</v>
      </c>
      <c r="C7560" s="1" t="str">
        <f t="shared" si="484"/>
        <v>918-30</v>
      </c>
      <c r="D7560" t="s">
        <v>7530</v>
      </c>
      <c r="E7560" t="b">
        <f>IF(COUNTIF(D7560,"*"&amp;'Keyword Search'!$C$5&amp;"*"),TRUE,FALSE)</f>
        <v>1</v>
      </c>
      <c r="G7560" t="str">
        <f t="shared" si="485"/>
        <v>918-30: *Computer Network Consulting</v>
      </c>
    </row>
    <row r="7561" spans="1:7" x14ac:dyDescent="0.25">
      <c r="A7561" s="1" t="str">
        <f t="shared" si="483"/>
        <v>918</v>
      </c>
      <c r="B7561" s="1" t="str">
        <f>TEXT(31,"00")</f>
        <v>31</v>
      </c>
      <c r="C7561" s="1" t="str">
        <f t="shared" si="484"/>
        <v>918-31</v>
      </c>
      <c r="D7561" t="s">
        <v>7531</v>
      </c>
      <c r="E7561" t="b">
        <f>IF(COUNTIF(D7561,"*"&amp;'Keyword Search'!$C$5&amp;"*"),TRUE,FALSE)</f>
        <v>1</v>
      </c>
      <c r="G7561" t="str">
        <f t="shared" si="485"/>
        <v>918-31: Construction Consulting</v>
      </c>
    </row>
    <row r="7562" spans="1:7" x14ac:dyDescent="0.25">
      <c r="A7562" s="1" t="str">
        <f t="shared" si="483"/>
        <v>918</v>
      </c>
      <c r="B7562" s="1" t="str">
        <f>TEXT(32,"00")</f>
        <v>32</v>
      </c>
      <c r="C7562" s="1" t="str">
        <f t="shared" si="484"/>
        <v>918-32</v>
      </c>
      <c r="D7562" t="s">
        <v>7532</v>
      </c>
      <c r="E7562" t="b">
        <f>IF(COUNTIF(D7562,"*"&amp;'Keyword Search'!$C$5&amp;"*"),TRUE,FALSE)</f>
        <v>1</v>
      </c>
      <c r="G7562" t="str">
        <f t="shared" si="485"/>
        <v>918-32: Consulting Services (Not Otherwise Classified)</v>
      </c>
    </row>
    <row r="7563" spans="1:7" x14ac:dyDescent="0.25">
      <c r="A7563" s="1" t="str">
        <f t="shared" si="483"/>
        <v>918</v>
      </c>
      <c r="B7563" s="1" t="str">
        <f>TEXT(35,"00")</f>
        <v>35</v>
      </c>
      <c r="C7563" s="1" t="str">
        <f t="shared" si="484"/>
        <v>918-35</v>
      </c>
      <c r="D7563" t="s">
        <v>7533</v>
      </c>
      <c r="E7563" t="b">
        <f>IF(COUNTIF(D7563,"*"&amp;'Keyword Search'!$C$5&amp;"*"),TRUE,FALSE)</f>
        <v>1</v>
      </c>
      <c r="G7563" t="str">
        <f t="shared" si="485"/>
        <v>918-35: Disadvantaged Business Enterprise (DBE) or Historically Underutilized Business (HUB) Consulting Including Technical Assistance</v>
      </c>
    </row>
    <row r="7564" spans="1:7" x14ac:dyDescent="0.25">
      <c r="A7564" s="1" t="str">
        <f t="shared" si="483"/>
        <v>918</v>
      </c>
      <c r="B7564" s="1" t="str">
        <f>TEXT(36,"00")</f>
        <v>36</v>
      </c>
      <c r="C7564" s="1" t="str">
        <f t="shared" si="484"/>
        <v>918-36</v>
      </c>
      <c r="D7564" t="s">
        <v>7534</v>
      </c>
      <c r="E7564" t="b">
        <f>IF(COUNTIF(D7564,"*"&amp;'Keyword Search'!$C$5&amp;"*"),TRUE,FALSE)</f>
        <v>1</v>
      </c>
      <c r="G7564" t="str">
        <f t="shared" si="485"/>
        <v>918-36: *E-Commerce Consulting</v>
      </c>
    </row>
    <row r="7565" spans="1:7" x14ac:dyDescent="0.25">
      <c r="A7565" s="1" t="str">
        <f t="shared" si="483"/>
        <v>918</v>
      </c>
      <c r="B7565" s="1" t="str">
        <f>TEXT(37,"00")</f>
        <v>37</v>
      </c>
      <c r="C7565" s="1" t="str">
        <f t="shared" si="484"/>
        <v>918-37</v>
      </c>
      <c r="D7565" t="s">
        <v>7535</v>
      </c>
      <c r="E7565" t="b">
        <f>IF(COUNTIF(D7565,"*"&amp;'Keyword Search'!$C$5&amp;"*"),TRUE,FALSE)</f>
        <v>1</v>
      </c>
      <c r="G7565" t="str">
        <f t="shared" si="485"/>
        <v>918-37: Economy Consulting  (Inactive, please see commodity code 918-49 effective January 1, 2016)</v>
      </c>
    </row>
    <row r="7566" spans="1:7" x14ac:dyDescent="0.25">
      <c r="A7566" s="1" t="str">
        <f t="shared" si="483"/>
        <v>918</v>
      </c>
      <c r="B7566" s="1" t="str">
        <f>TEXT(38,"00")</f>
        <v>38</v>
      </c>
      <c r="C7566" s="1" t="str">
        <f t="shared" si="484"/>
        <v>918-38</v>
      </c>
      <c r="D7566" t="s">
        <v>7536</v>
      </c>
      <c r="E7566" t="b">
        <f>IF(COUNTIF(D7566,"*"&amp;'Keyword Search'!$C$5&amp;"*"),TRUE,FALSE)</f>
        <v>1</v>
      </c>
      <c r="G7566" t="str">
        <f t="shared" si="485"/>
        <v>918-38: Education and Training Consulting</v>
      </c>
    </row>
    <row r="7567" spans="1:7" x14ac:dyDescent="0.25">
      <c r="A7567" s="1" t="str">
        <f t="shared" si="483"/>
        <v>918</v>
      </c>
      <c r="B7567" s="1" t="str">
        <f>TEXT(39,"00")</f>
        <v>39</v>
      </c>
      <c r="C7567" s="1" t="str">
        <f t="shared" si="484"/>
        <v>918-39</v>
      </c>
      <c r="D7567" t="s">
        <v>7537</v>
      </c>
      <c r="E7567" t="b">
        <f>IF(COUNTIF(D7567,"*"&amp;'Keyword Search'!$C$5&amp;"*"),TRUE,FALSE)</f>
        <v>1</v>
      </c>
      <c r="G7567" t="str">
        <f t="shared" si="485"/>
        <v>918-39: Elevator, Escalator, Moving Walks Consulting</v>
      </c>
    </row>
    <row r="7568" spans="1:7" x14ac:dyDescent="0.25">
      <c r="A7568" s="1" t="str">
        <f t="shared" si="483"/>
        <v>918</v>
      </c>
      <c r="B7568" s="1" t="str">
        <f>TEXT(40,"00")</f>
        <v>40</v>
      </c>
      <c r="C7568" s="1" t="str">
        <f t="shared" si="484"/>
        <v>918-40</v>
      </c>
      <c r="D7568" t="s">
        <v>7538</v>
      </c>
      <c r="E7568" t="b">
        <f>IF(COUNTIF(D7568,"*"&amp;'Keyword Search'!$C$5&amp;"*"),TRUE,FALSE)</f>
        <v>1</v>
      </c>
      <c r="G7568" t="str">
        <f t="shared" si="485"/>
        <v>918-40: Employee Benefits Consulting</v>
      </c>
    </row>
    <row r="7569" spans="1:7" x14ac:dyDescent="0.25">
      <c r="A7569" s="1" t="str">
        <f t="shared" si="483"/>
        <v>918</v>
      </c>
      <c r="B7569" s="1" t="str">
        <f>TEXT(41,"00")</f>
        <v>41</v>
      </c>
      <c r="C7569" s="1" t="str">
        <f t="shared" si="484"/>
        <v>918-41</v>
      </c>
      <c r="D7569" t="s">
        <v>7539</v>
      </c>
      <c r="E7569" t="b">
        <f>IF(COUNTIF(D7569,"*"&amp;'Keyword Search'!$C$5&amp;"*"),TRUE,FALSE)</f>
        <v>1</v>
      </c>
      <c r="G7569" t="str">
        <f t="shared" si="485"/>
        <v>918-41: Energy Conservation Consulting</v>
      </c>
    </row>
    <row r="7570" spans="1:7" x14ac:dyDescent="0.25">
      <c r="A7570" s="1" t="str">
        <f t="shared" si="483"/>
        <v>918</v>
      </c>
      <c r="B7570" s="1" t="str">
        <f>TEXT(42,"00")</f>
        <v>42</v>
      </c>
      <c r="C7570" s="1" t="str">
        <f t="shared" si="484"/>
        <v>918-42</v>
      </c>
      <c r="D7570" t="s">
        <v>7540</v>
      </c>
      <c r="E7570" t="b">
        <f>IF(COUNTIF(D7570,"*"&amp;'Keyword Search'!$C$5&amp;"*"),TRUE,FALSE)</f>
        <v>1</v>
      </c>
      <c r="G7570" t="str">
        <f t="shared" si="485"/>
        <v>918-42: Engineering Consulting  (Inactive, please see commodity code 907-40 effective January 1, 2016)</v>
      </c>
    </row>
    <row r="7571" spans="1:7" x14ac:dyDescent="0.25">
      <c r="A7571" s="1" t="str">
        <f t="shared" si="483"/>
        <v>918</v>
      </c>
      <c r="B7571" s="1" t="str">
        <f>TEXT(43,"00")</f>
        <v>43</v>
      </c>
      <c r="C7571" s="1" t="str">
        <f t="shared" si="484"/>
        <v>918-43</v>
      </c>
      <c r="D7571" t="s">
        <v>7541</v>
      </c>
      <c r="E7571" t="b">
        <f>IF(COUNTIF(D7571,"*"&amp;'Keyword Search'!$C$5&amp;"*"),TRUE,FALSE)</f>
        <v>1</v>
      </c>
      <c r="G7571" t="str">
        <f t="shared" si="485"/>
        <v>918-43: Environmental Consulting</v>
      </c>
    </row>
    <row r="7572" spans="1:7" x14ac:dyDescent="0.25">
      <c r="A7572" s="1" t="str">
        <f t="shared" si="483"/>
        <v>918</v>
      </c>
      <c r="B7572" s="1" t="str">
        <f>TEXT(44,"00")</f>
        <v>44</v>
      </c>
      <c r="C7572" s="1" t="str">
        <f t="shared" si="484"/>
        <v>918-44</v>
      </c>
      <c r="D7572" t="s">
        <v>7542</v>
      </c>
      <c r="E7572" t="b">
        <f>IF(COUNTIF(D7572,"*"&amp;'Keyword Search'!$C$5&amp;"*"),TRUE,FALSE)</f>
        <v>1</v>
      </c>
      <c r="G7572" t="str">
        <f t="shared" si="485"/>
        <v>918-44: E-Mail Archiving and Records Management Consulting</v>
      </c>
    </row>
    <row r="7573" spans="1:7" x14ac:dyDescent="0.25">
      <c r="A7573" s="1" t="str">
        <f t="shared" si="483"/>
        <v>918</v>
      </c>
      <c r="B7573" s="1" t="str">
        <f>TEXT(45,"00")</f>
        <v>45</v>
      </c>
      <c r="C7573" s="1" t="str">
        <f t="shared" si="484"/>
        <v>918-45</v>
      </c>
      <c r="D7573" t="s">
        <v>7543</v>
      </c>
      <c r="E7573" t="b">
        <f>IF(COUNTIF(D7573,"*"&amp;'Keyword Search'!$C$5&amp;"*"),TRUE,FALSE)</f>
        <v>1</v>
      </c>
      <c r="G7573" t="str">
        <f t="shared" si="485"/>
        <v>918-45: Fashion Consulting</v>
      </c>
    </row>
    <row r="7574" spans="1:7" x14ac:dyDescent="0.25">
      <c r="A7574" s="1" t="str">
        <f t="shared" si="483"/>
        <v>918</v>
      </c>
      <c r="B7574" s="1" t="str">
        <f>TEXT(46,"00")</f>
        <v>46</v>
      </c>
      <c r="C7574" s="1" t="str">
        <f t="shared" si="484"/>
        <v>918-46</v>
      </c>
      <c r="D7574" t="s">
        <v>7544</v>
      </c>
      <c r="E7574" t="b">
        <f>IF(COUNTIF(D7574,"*"&amp;'Keyword Search'!$C$5&amp;"*"),TRUE,FALSE)</f>
        <v>1</v>
      </c>
      <c r="G7574" t="str">
        <f t="shared" si="485"/>
        <v>918-46: *Feasibility Studies, Consulting</v>
      </c>
    </row>
    <row r="7575" spans="1:7" x14ac:dyDescent="0.25">
      <c r="A7575" s="1" t="str">
        <f t="shared" si="483"/>
        <v>918</v>
      </c>
      <c r="B7575" s="1" t="str">
        <f>TEXT(49,"00")</f>
        <v>49</v>
      </c>
      <c r="C7575" s="1" t="str">
        <f t="shared" si="484"/>
        <v>918-49</v>
      </c>
      <c r="D7575" t="s">
        <v>7545</v>
      </c>
      <c r="E7575" t="b">
        <f>IF(COUNTIF(D7575,"*"&amp;'Keyword Search'!$C$5&amp;"*"),TRUE,FALSE)</f>
        <v>1</v>
      </c>
      <c r="G7575" t="str">
        <f t="shared" si="485"/>
        <v>918-49: Finance and Economics Consulting</v>
      </c>
    </row>
    <row r="7576" spans="1:7" x14ac:dyDescent="0.25">
      <c r="A7576" s="1" t="str">
        <f t="shared" si="483"/>
        <v>918</v>
      </c>
      <c r="B7576" s="1" t="str">
        <f>TEXT(52,"00")</f>
        <v>52</v>
      </c>
      <c r="C7576" s="1" t="str">
        <f t="shared" si="484"/>
        <v>918-52</v>
      </c>
      <c r="D7576" t="s">
        <v>7546</v>
      </c>
      <c r="E7576" t="b">
        <f>IF(COUNTIF(D7576,"*"&amp;'Keyword Search'!$C$5&amp;"*"),TRUE,FALSE)</f>
        <v>1</v>
      </c>
      <c r="G7576" t="str">
        <f t="shared" si="485"/>
        <v>918-52: Food Service Consulting</v>
      </c>
    </row>
    <row r="7577" spans="1:7" x14ac:dyDescent="0.25">
      <c r="A7577" s="1" t="str">
        <f t="shared" si="483"/>
        <v>918</v>
      </c>
      <c r="B7577" s="1" t="str">
        <f>TEXT(54,"00")</f>
        <v>54</v>
      </c>
      <c r="C7577" s="1" t="str">
        <f t="shared" si="484"/>
        <v>918-54</v>
      </c>
      <c r="D7577" t="s">
        <v>7547</v>
      </c>
      <c r="E7577" t="b">
        <f>IF(COUNTIF(D7577,"*"&amp;'Keyword Search'!$C$5&amp;"*"),TRUE,FALSE)</f>
        <v>1</v>
      </c>
      <c r="G7577" t="str">
        <f t="shared" si="485"/>
        <v>918-54: Furnishings Consulting</v>
      </c>
    </row>
    <row r="7578" spans="1:7" x14ac:dyDescent="0.25">
      <c r="A7578" s="1" t="str">
        <f t="shared" si="483"/>
        <v>918</v>
      </c>
      <c r="B7578" s="1" t="str">
        <f>TEXT(55,"00")</f>
        <v>55</v>
      </c>
      <c r="C7578" s="1" t="str">
        <f t="shared" si="484"/>
        <v>918-55</v>
      </c>
      <c r="D7578" t="s">
        <v>7548</v>
      </c>
      <c r="E7578" t="b">
        <f>IF(COUNTIF(D7578,"*"&amp;'Keyword Search'!$C$5&amp;"*"),TRUE,FALSE)</f>
        <v>1</v>
      </c>
      <c r="G7578" t="str">
        <f t="shared" si="485"/>
        <v>918-55: Geological Consulting</v>
      </c>
    </row>
    <row r="7579" spans="1:7" x14ac:dyDescent="0.25">
      <c r="A7579" s="1" t="str">
        <f t="shared" si="483"/>
        <v>918</v>
      </c>
      <c r="B7579" s="1" t="str">
        <f>TEXT(58,"00")</f>
        <v>58</v>
      </c>
      <c r="C7579" s="1" t="str">
        <f t="shared" si="484"/>
        <v>918-58</v>
      </c>
      <c r="D7579" t="s">
        <v>7549</v>
      </c>
      <c r="E7579" t="b">
        <f>IF(COUNTIF(D7579,"*"&amp;'Keyword Search'!$C$5&amp;"*"),TRUE,FALSE)</f>
        <v>1</v>
      </c>
      <c r="G7579" t="str">
        <f t="shared" si="485"/>
        <v>918-58: Governmental Consulting</v>
      </c>
    </row>
    <row r="7580" spans="1:7" x14ac:dyDescent="0.25">
      <c r="A7580" s="1" t="str">
        <f t="shared" si="483"/>
        <v>918</v>
      </c>
      <c r="B7580" s="1" t="str">
        <f>TEXT(61,"00")</f>
        <v>61</v>
      </c>
      <c r="C7580" s="1" t="str">
        <f t="shared" si="484"/>
        <v>918-61</v>
      </c>
      <c r="D7580" t="s">
        <v>7550</v>
      </c>
      <c r="E7580" t="b">
        <f>IF(COUNTIF(D7580,"*"&amp;'Keyword Search'!$C$5&amp;"*"),TRUE,FALSE)</f>
        <v>1</v>
      </c>
      <c r="G7580" t="str">
        <f t="shared" si="485"/>
        <v>918-61: *Smart Technology Consulting Services</v>
      </c>
    </row>
    <row r="7581" spans="1:7" x14ac:dyDescent="0.25">
      <c r="A7581" s="1" t="str">
        <f t="shared" si="483"/>
        <v>918</v>
      </c>
      <c r="B7581" s="1" t="str">
        <f>TEXT(62,"00")</f>
        <v>62</v>
      </c>
      <c r="C7581" s="1" t="str">
        <f t="shared" si="484"/>
        <v>918-62</v>
      </c>
      <c r="D7581" t="s">
        <v>7551</v>
      </c>
      <c r="E7581" t="b">
        <f>IF(COUNTIF(D7581,"*"&amp;'Keyword Search'!$C$5&amp;"*"),TRUE,FALSE)</f>
        <v>1</v>
      </c>
      <c r="G7581" t="str">
        <f t="shared" si="485"/>
        <v>918-62: Horticultural Consulting</v>
      </c>
    </row>
    <row r="7582" spans="1:7" x14ac:dyDescent="0.25">
      <c r="A7582" s="1" t="str">
        <f t="shared" si="483"/>
        <v>918</v>
      </c>
      <c r="B7582" s="1" t="str">
        <f>TEXT(63,"00")</f>
        <v>63</v>
      </c>
      <c r="C7582" s="1" t="str">
        <f t="shared" si="484"/>
        <v>918-63</v>
      </c>
      <c r="D7582" t="s">
        <v>7552</v>
      </c>
      <c r="E7582" t="b">
        <f>IF(COUNTIF(D7582,"*"&amp;'Keyword Search'!$C$5&amp;"*"),TRUE,FALSE)</f>
        <v>1</v>
      </c>
      <c r="G7582" t="str">
        <f t="shared" si="485"/>
        <v>918-63: Housing Consulting</v>
      </c>
    </row>
    <row r="7583" spans="1:7" x14ac:dyDescent="0.25">
      <c r="A7583" s="1" t="str">
        <f t="shared" si="483"/>
        <v>918</v>
      </c>
      <c r="B7583" s="1" t="str">
        <f>TEXT(65,"00")</f>
        <v>65</v>
      </c>
      <c r="C7583" s="1" t="str">
        <f t="shared" si="484"/>
        <v>918-65</v>
      </c>
      <c r="D7583" t="s">
        <v>7553</v>
      </c>
      <c r="E7583" t="b">
        <f>IF(COUNTIF(D7583,"*"&amp;'Keyword Search'!$C$5&amp;"*"),TRUE,FALSE)</f>
        <v>1</v>
      </c>
      <c r="G7583" t="str">
        <f t="shared" si="485"/>
        <v>918-65: Human Resources, Relations Consulting</v>
      </c>
    </row>
    <row r="7584" spans="1:7" x14ac:dyDescent="0.25">
      <c r="A7584" s="1" t="str">
        <f t="shared" si="483"/>
        <v>918</v>
      </c>
      <c r="B7584" s="1" t="str">
        <f>TEXT(66,"00")</f>
        <v>66</v>
      </c>
      <c r="C7584" s="1" t="str">
        <f t="shared" si="484"/>
        <v>918-66</v>
      </c>
      <c r="D7584" t="s">
        <v>7554</v>
      </c>
      <c r="E7584" t="b">
        <f>IF(COUNTIF(D7584,"*"&amp;'Keyword Search'!$C$5&amp;"*"),TRUE,FALSE)</f>
        <v>1</v>
      </c>
      <c r="G7584" t="str">
        <f t="shared" si="485"/>
        <v>918-66: Human Resources Consulting  (Inactive, please see commodity code 918-65 effective January 1, 2016)</v>
      </c>
    </row>
    <row r="7585" spans="1:7" x14ac:dyDescent="0.25">
      <c r="A7585" s="1" t="str">
        <f t="shared" si="483"/>
        <v>918</v>
      </c>
      <c r="B7585" s="1" t="str">
        <f>TEXT(67,"00")</f>
        <v>67</v>
      </c>
      <c r="C7585" s="1" t="str">
        <f t="shared" si="484"/>
        <v>918-67</v>
      </c>
      <c r="D7585" t="s">
        <v>7555</v>
      </c>
      <c r="E7585" t="b">
        <f>IF(COUNTIF(D7585,"*"&amp;'Keyword Search'!$C$5&amp;"*"),TRUE,FALSE)</f>
        <v>1</v>
      </c>
      <c r="G7585" t="str">
        <f t="shared" si="485"/>
        <v>918-67: Human Services Consulting, Including Mental Health Consulting</v>
      </c>
    </row>
    <row r="7586" spans="1:7" x14ac:dyDescent="0.25">
      <c r="A7586" s="1" t="str">
        <f t="shared" si="483"/>
        <v>918</v>
      </c>
      <c r="B7586" s="1" t="str">
        <f>TEXT(69,"00")</f>
        <v>69</v>
      </c>
      <c r="C7586" s="1" t="str">
        <f t="shared" si="484"/>
        <v>918-69</v>
      </c>
      <c r="D7586" t="s">
        <v>7556</v>
      </c>
      <c r="E7586" t="b">
        <f>IF(COUNTIF(D7586,"*"&amp;'Keyword Search'!$C$5&amp;"*"),TRUE,FALSE)</f>
        <v>1</v>
      </c>
      <c r="G7586" t="str">
        <f t="shared" si="485"/>
        <v>918-69: Insurance Consulting</v>
      </c>
    </row>
    <row r="7587" spans="1:7" x14ac:dyDescent="0.25">
      <c r="A7587" s="1" t="str">
        <f t="shared" si="483"/>
        <v>918</v>
      </c>
      <c r="B7587" s="1" t="str">
        <f>TEXT(70,"00")</f>
        <v>70</v>
      </c>
      <c r="C7587" s="1" t="str">
        <f t="shared" si="484"/>
        <v>918-70</v>
      </c>
      <c r="D7587" t="s">
        <v>7557</v>
      </c>
      <c r="E7587" t="b">
        <f>IF(COUNTIF(D7587,"*"&amp;'Keyword Search'!$C$5&amp;"*"),TRUE,FALSE)</f>
        <v>1</v>
      </c>
      <c r="G7587" t="str">
        <f t="shared" si="485"/>
        <v>918-70: Inventory Consulting</v>
      </c>
    </row>
    <row r="7588" spans="1:7" x14ac:dyDescent="0.25">
      <c r="A7588" s="1" t="str">
        <f t="shared" si="483"/>
        <v>918</v>
      </c>
      <c r="B7588" s="1" t="str">
        <f>TEXT(71,"00")</f>
        <v>71</v>
      </c>
      <c r="C7588" s="1" t="str">
        <f t="shared" si="484"/>
        <v>918-71</v>
      </c>
      <c r="D7588" t="s">
        <v>7558</v>
      </c>
      <c r="E7588" t="b">
        <f>IF(COUNTIF(D7588,"*"&amp;'Keyword Search'!$C$5&amp;"*"),TRUE,FALSE)</f>
        <v>1</v>
      </c>
      <c r="G7588" t="str">
        <f t="shared" si="485"/>
        <v>918-71: *IT Consulting, (Not Otherwise Classified)</v>
      </c>
    </row>
    <row r="7589" spans="1:7" x14ac:dyDescent="0.25">
      <c r="A7589" s="1" t="str">
        <f t="shared" si="483"/>
        <v>918</v>
      </c>
      <c r="B7589" s="1" t="str">
        <f>TEXT(72,"00")</f>
        <v>72</v>
      </c>
      <c r="C7589" s="1" t="str">
        <f t="shared" si="484"/>
        <v>918-72</v>
      </c>
      <c r="D7589" t="s">
        <v>7559</v>
      </c>
      <c r="E7589" t="b">
        <f>IF(COUNTIF(D7589,"*"&amp;'Keyword Search'!$C$5&amp;"*"),TRUE,FALSE)</f>
        <v>1</v>
      </c>
      <c r="G7589" t="str">
        <f t="shared" si="485"/>
        <v>918-72: Lakes, Rivers, and Other Waterway Management Consulting</v>
      </c>
    </row>
    <row r="7590" spans="1:7" x14ac:dyDescent="0.25">
      <c r="A7590" s="1" t="str">
        <f t="shared" si="483"/>
        <v>918</v>
      </c>
      <c r="B7590" s="1" t="str">
        <f>TEXT(73,"00")</f>
        <v>73</v>
      </c>
      <c r="C7590" s="1" t="str">
        <f t="shared" si="484"/>
        <v>918-73</v>
      </c>
      <c r="D7590" t="s">
        <v>7560</v>
      </c>
      <c r="E7590" t="b">
        <f>IF(COUNTIF(D7590,"*"&amp;'Keyword Search'!$C$5&amp;"*"),TRUE,FALSE)</f>
        <v>1</v>
      </c>
      <c r="G7590" t="str">
        <f t="shared" si="485"/>
        <v>918-73: Landscaping Consulting</v>
      </c>
    </row>
    <row r="7591" spans="1:7" x14ac:dyDescent="0.25">
      <c r="A7591" s="1" t="str">
        <f t="shared" si="483"/>
        <v>918</v>
      </c>
      <c r="B7591" s="1" t="str">
        <f>TEXT(74,"00")</f>
        <v>74</v>
      </c>
      <c r="C7591" s="1" t="str">
        <f t="shared" si="484"/>
        <v>918-74</v>
      </c>
      <c r="D7591" t="s">
        <v>7561</v>
      </c>
      <c r="E7591" t="b">
        <f>IF(COUNTIF(D7591,"*"&amp;'Keyword Search'!$C$5&amp;"*"),TRUE,FALSE)</f>
        <v>1</v>
      </c>
      <c r="G7591" t="str">
        <f t="shared" si="485"/>
        <v>918-74: Legal Consulting</v>
      </c>
    </row>
    <row r="7592" spans="1:7" x14ac:dyDescent="0.25">
      <c r="A7592" s="1" t="str">
        <f t="shared" si="483"/>
        <v>918</v>
      </c>
      <c r="B7592" s="1" t="str">
        <f>TEXT(75,"00")</f>
        <v>75</v>
      </c>
      <c r="C7592" s="1" t="str">
        <f t="shared" si="484"/>
        <v>918-75</v>
      </c>
      <c r="D7592" t="s">
        <v>7562</v>
      </c>
      <c r="E7592" t="b">
        <f>IF(COUNTIF(D7592,"*"&amp;'Keyword Search'!$C$5&amp;"*"),TRUE,FALSE)</f>
        <v>1</v>
      </c>
      <c r="G7592" t="str">
        <f t="shared" si="485"/>
        <v>918-75: Management Consulting</v>
      </c>
    </row>
    <row r="7593" spans="1:7" x14ac:dyDescent="0.25">
      <c r="A7593" s="1" t="str">
        <f t="shared" si="483"/>
        <v>918</v>
      </c>
      <c r="B7593" s="1" t="str">
        <f>TEXT(76,"00")</f>
        <v>76</v>
      </c>
      <c r="C7593" s="1" t="str">
        <f t="shared" si="484"/>
        <v>918-76</v>
      </c>
      <c r="D7593" t="s">
        <v>7563</v>
      </c>
      <c r="E7593" t="b">
        <f>IF(COUNTIF(D7593,"*"&amp;'Keyword Search'!$C$5&amp;"*"),TRUE,FALSE)</f>
        <v>1</v>
      </c>
      <c r="G7593" t="str">
        <f t="shared" si="485"/>
        <v>918-76: Marketing Consulting</v>
      </c>
    </row>
    <row r="7594" spans="1:7" x14ac:dyDescent="0.25">
      <c r="A7594" s="1" t="str">
        <f t="shared" si="483"/>
        <v>918</v>
      </c>
      <c r="B7594" s="1" t="str">
        <f>TEXT(77,"00")</f>
        <v>77</v>
      </c>
      <c r="C7594" s="1" t="str">
        <f t="shared" si="484"/>
        <v>918-77</v>
      </c>
      <c r="D7594" t="s">
        <v>7564</v>
      </c>
      <c r="E7594" t="b">
        <f>IF(COUNTIF(D7594,"*"&amp;'Keyword Search'!$C$5&amp;"*"),TRUE,FALSE)</f>
        <v>1</v>
      </c>
      <c r="G7594" t="str">
        <f t="shared" si="485"/>
        <v>918-77: Mail Consulting</v>
      </c>
    </row>
    <row r="7595" spans="1:7" x14ac:dyDescent="0.25">
      <c r="A7595" s="1" t="str">
        <f t="shared" si="483"/>
        <v>918</v>
      </c>
      <c r="B7595" s="1" t="str">
        <f>TEXT(78,"00")</f>
        <v>78</v>
      </c>
      <c r="C7595" s="1" t="str">
        <f t="shared" si="484"/>
        <v>918-78</v>
      </c>
      <c r="D7595" t="s">
        <v>7565</v>
      </c>
      <c r="E7595" t="b">
        <f>IF(COUNTIF(D7595,"*"&amp;'Keyword Search'!$C$5&amp;"*"),TRUE,FALSE)</f>
        <v>1</v>
      </c>
      <c r="G7595" t="str">
        <f t="shared" si="485"/>
        <v>918-78: Medical Consulting</v>
      </c>
    </row>
    <row r="7596" spans="1:7" x14ac:dyDescent="0.25">
      <c r="A7596" s="1" t="str">
        <f t="shared" si="483"/>
        <v>918</v>
      </c>
      <c r="B7596" s="1" t="str">
        <f>TEXT(79,"00")</f>
        <v>79</v>
      </c>
      <c r="C7596" s="1" t="str">
        <f t="shared" si="484"/>
        <v>918-79</v>
      </c>
      <c r="D7596" t="s">
        <v>7566</v>
      </c>
      <c r="E7596" t="b">
        <f>IF(COUNTIF(D7596,"*"&amp;'Keyword Search'!$C$5&amp;"*"),TRUE,FALSE)</f>
        <v>1</v>
      </c>
      <c r="G7596" t="str">
        <f t="shared" si="485"/>
        <v>918-79: Minority, Women, Veteran and Small Business Consulting</v>
      </c>
    </row>
    <row r="7597" spans="1:7" x14ac:dyDescent="0.25">
      <c r="A7597" s="1" t="str">
        <f t="shared" si="483"/>
        <v>918</v>
      </c>
      <c r="B7597" s="1" t="str">
        <f>TEXT(80,"00")</f>
        <v>80</v>
      </c>
      <c r="C7597" s="1" t="str">
        <f t="shared" si="484"/>
        <v>918-80</v>
      </c>
      <c r="D7597" t="s">
        <v>7567</v>
      </c>
      <c r="E7597" t="b">
        <f>IF(COUNTIF(D7597,"*"&amp;'Keyword Search'!$C$5&amp;"*"),TRUE,FALSE)</f>
        <v>1</v>
      </c>
      <c r="G7597" t="str">
        <f t="shared" si="485"/>
        <v>918-80: Moving and Relocation Consulting</v>
      </c>
    </row>
    <row r="7598" spans="1:7" x14ac:dyDescent="0.25">
      <c r="A7598" s="1" t="str">
        <f t="shared" si="483"/>
        <v>918</v>
      </c>
      <c r="B7598" s="1" t="str">
        <f>TEXT(81,"00")</f>
        <v>81</v>
      </c>
      <c r="C7598" s="1" t="str">
        <f t="shared" si="484"/>
        <v>918-81</v>
      </c>
      <c r="D7598" t="s">
        <v>7568</v>
      </c>
      <c r="E7598" t="b">
        <f>IF(COUNTIF(D7598,"*"&amp;'Keyword Search'!$C$5&amp;"*"),TRUE,FALSE)</f>
        <v>1</v>
      </c>
      <c r="G7598" t="str">
        <f t="shared" si="485"/>
        <v>918-81: Natural Disasters, Fire, Flood, Wind, Quakes, Consulting</v>
      </c>
    </row>
    <row r="7599" spans="1:7" x14ac:dyDescent="0.25">
      <c r="A7599" s="1" t="str">
        <f t="shared" ref="A7599:A7614" si="486">TEXT(918,"000")</f>
        <v>918</v>
      </c>
      <c r="B7599" s="1" t="str">
        <f>TEXT(82,"00")</f>
        <v>82</v>
      </c>
      <c r="C7599" s="1" t="str">
        <f t="shared" si="484"/>
        <v>918-82</v>
      </c>
      <c r="D7599" t="s">
        <v>7569</v>
      </c>
      <c r="E7599" t="b">
        <f>IF(COUNTIF(D7599,"*"&amp;'Keyword Search'!$C$5&amp;"*"),TRUE,FALSE)</f>
        <v>1</v>
      </c>
      <c r="G7599" t="str">
        <f t="shared" si="485"/>
        <v>918-82: Scientific and Technical Consulting</v>
      </c>
    </row>
    <row r="7600" spans="1:7" x14ac:dyDescent="0.25">
      <c r="A7600" s="1" t="str">
        <f t="shared" si="486"/>
        <v>918</v>
      </c>
      <c r="B7600" s="1" t="str">
        <f>TEXT(83,"00")</f>
        <v>83</v>
      </c>
      <c r="C7600" s="1" t="str">
        <f t="shared" si="484"/>
        <v>918-83</v>
      </c>
      <c r="D7600" t="s">
        <v>7570</v>
      </c>
      <c r="E7600" t="b">
        <f>IF(COUNTIF(D7600,"*"&amp;'Keyword Search'!$C$5&amp;"*"),TRUE,FALSE)</f>
        <v>1</v>
      </c>
      <c r="G7600" t="str">
        <f t="shared" si="485"/>
        <v>918-83: Organizational Development Consulting</v>
      </c>
    </row>
    <row r="7601" spans="1:7" x14ac:dyDescent="0.25">
      <c r="A7601" s="1" t="str">
        <f t="shared" si="486"/>
        <v>918</v>
      </c>
      <c r="B7601" s="1" t="str">
        <f>TEXT(84,"00")</f>
        <v>84</v>
      </c>
      <c r="C7601" s="1" t="str">
        <f t="shared" si="484"/>
        <v>918-84</v>
      </c>
      <c r="D7601" t="s">
        <v>7571</v>
      </c>
      <c r="E7601" t="b">
        <f>IF(COUNTIF(D7601,"*"&amp;'Keyword Search'!$C$5&amp;"*"),TRUE,FALSE)</f>
        <v>1</v>
      </c>
      <c r="G7601" t="str">
        <f t="shared" si="485"/>
        <v>918-84: Parking Consulting</v>
      </c>
    </row>
    <row r="7602" spans="1:7" x14ac:dyDescent="0.25">
      <c r="A7602" s="1" t="str">
        <f t="shared" si="486"/>
        <v>918</v>
      </c>
      <c r="B7602" s="1" t="str">
        <f>TEXT(85,"00")</f>
        <v>85</v>
      </c>
      <c r="C7602" s="1" t="str">
        <f t="shared" si="484"/>
        <v>918-85</v>
      </c>
      <c r="D7602" t="s">
        <v>7572</v>
      </c>
      <c r="E7602" t="b">
        <f>IF(COUNTIF(D7602,"*"&amp;'Keyword Search'!$C$5&amp;"*"),TRUE,FALSE)</f>
        <v>1</v>
      </c>
      <c r="G7602" t="str">
        <f t="shared" si="485"/>
        <v>918-85: Personnel and Employment Consulting, Human Resources (Inactive, please see commodity code 918-65 effective January 1, 2016)</v>
      </c>
    </row>
    <row r="7603" spans="1:7" x14ac:dyDescent="0.25">
      <c r="A7603" s="1" t="str">
        <f t="shared" si="486"/>
        <v>918</v>
      </c>
      <c r="B7603" s="1" t="str">
        <f>TEXT(86,"00")</f>
        <v>86</v>
      </c>
      <c r="C7603" s="1" t="str">
        <f t="shared" si="484"/>
        <v>918-86</v>
      </c>
      <c r="D7603" t="s">
        <v>7573</v>
      </c>
      <c r="E7603" t="b">
        <f>IF(COUNTIF(D7603,"*"&amp;'Keyword Search'!$C$5&amp;"*"),TRUE,FALSE)</f>
        <v>1</v>
      </c>
      <c r="G7603" t="str">
        <f t="shared" si="485"/>
        <v>918-86: Public Art Consulting</v>
      </c>
    </row>
    <row r="7604" spans="1:7" x14ac:dyDescent="0.25">
      <c r="A7604" s="1" t="str">
        <f t="shared" si="486"/>
        <v>918</v>
      </c>
      <c r="B7604" s="1" t="str">
        <f>TEXT(87,"00")</f>
        <v>87</v>
      </c>
      <c r="C7604" s="1" t="str">
        <f t="shared" si="484"/>
        <v>918-87</v>
      </c>
      <c r="D7604" t="s">
        <v>7574</v>
      </c>
      <c r="E7604" t="b">
        <f>IF(COUNTIF(D7604,"*"&amp;'Keyword Search'!$C$5&amp;"*"),TRUE,FALSE)</f>
        <v>1</v>
      </c>
      <c r="G7604" t="str">
        <f t="shared" si="485"/>
        <v>918-87: Procurement Consulting, Including Specification Development and Contract Consulting</v>
      </c>
    </row>
    <row r="7605" spans="1:7" x14ac:dyDescent="0.25">
      <c r="A7605" s="1" t="str">
        <f t="shared" si="486"/>
        <v>918</v>
      </c>
      <c r="B7605" s="1" t="str">
        <f>TEXT(88,"00")</f>
        <v>88</v>
      </c>
      <c r="C7605" s="1" t="str">
        <f t="shared" si="484"/>
        <v>918-88</v>
      </c>
      <c r="D7605" t="s">
        <v>7575</v>
      </c>
      <c r="E7605" t="b">
        <f>IF(COUNTIF(D7605,"*"&amp;'Keyword Search'!$C$5&amp;"*"),TRUE,FALSE)</f>
        <v>1</v>
      </c>
      <c r="G7605" t="str">
        <f t="shared" si="485"/>
        <v>918-88: Quality Assurance and Control Consulting</v>
      </c>
    </row>
    <row r="7606" spans="1:7" x14ac:dyDescent="0.25">
      <c r="A7606" s="1" t="str">
        <f t="shared" si="486"/>
        <v>918</v>
      </c>
      <c r="B7606" s="1" t="str">
        <f>TEXT(89,"00")</f>
        <v>89</v>
      </c>
      <c r="C7606" s="1" t="str">
        <f t="shared" si="484"/>
        <v>918-89</v>
      </c>
      <c r="D7606" t="s">
        <v>7576</v>
      </c>
      <c r="E7606" t="b">
        <f>IF(COUNTIF(D7606,"*"&amp;'Keyword Search'!$C$5&amp;"*"),TRUE,FALSE)</f>
        <v>1</v>
      </c>
      <c r="G7606" t="str">
        <f t="shared" si="485"/>
        <v>918-89: Real Estate and Land Consulting, Including Land Survey Consulting and Land Developers</v>
      </c>
    </row>
    <row r="7607" spans="1:7" x14ac:dyDescent="0.25">
      <c r="A7607" s="1" t="str">
        <f t="shared" si="486"/>
        <v>918</v>
      </c>
      <c r="B7607" s="1" t="str">
        <f>TEXT(90,"00")</f>
        <v>90</v>
      </c>
      <c r="C7607" s="1" t="str">
        <f t="shared" si="484"/>
        <v>918-90</v>
      </c>
      <c r="D7607" t="s">
        <v>7577</v>
      </c>
      <c r="E7607" t="b">
        <f>IF(COUNTIF(D7607,"*"&amp;'Keyword Search'!$C$5&amp;"*"),TRUE,FALSE)</f>
        <v>1</v>
      </c>
      <c r="G7607" t="str">
        <f t="shared" si="485"/>
        <v>918-90: *Strategic Planning and Consulting</v>
      </c>
    </row>
    <row r="7608" spans="1:7" x14ac:dyDescent="0.25">
      <c r="A7608" s="1" t="str">
        <f t="shared" si="486"/>
        <v>918</v>
      </c>
      <c r="B7608" s="1" t="str">
        <f>TEXT(91,"00")</f>
        <v>91</v>
      </c>
      <c r="C7608" s="1" t="str">
        <f t="shared" si="484"/>
        <v>918-91</v>
      </c>
      <c r="D7608" t="s">
        <v>7578</v>
      </c>
      <c r="E7608" t="b">
        <f>IF(COUNTIF(D7608,"*"&amp;'Keyword Search'!$C$5&amp;"*"),TRUE,FALSE)</f>
        <v>1</v>
      </c>
      <c r="G7608" t="str">
        <f t="shared" si="485"/>
        <v>918-91: Roofing Consulting</v>
      </c>
    </row>
    <row r="7609" spans="1:7" x14ac:dyDescent="0.25">
      <c r="A7609" s="1" t="str">
        <f t="shared" si="486"/>
        <v>918</v>
      </c>
      <c r="B7609" s="1" t="str">
        <f>TEXT(92,"00")</f>
        <v>92</v>
      </c>
      <c r="C7609" s="1" t="str">
        <f t="shared" si="484"/>
        <v>918-92</v>
      </c>
      <c r="D7609" t="s">
        <v>7579</v>
      </c>
      <c r="E7609" t="b">
        <f>IF(COUNTIF(D7609,"*"&amp;'Keyword Search'!$C$5&amp;"*"),TRUE,FALSE)</f>
        <v>1</v>
      </c>
      <c r="G7609" t="str">
        <f t="shared" si="485"/>
        <v>918-92: Urban Planning Consulting</v>
      </c>
    </row>
    <row r="7610" spans="1:7" x14ac:dyDescent="0.25">
      <c r="A7610" s="1" t="str">
        <f t="shared" si="486"/>
        <v>918</v>
      </c>
      <c r="B7610" s="1" t="str">
        <f>TEXT(93,"00")</f>
        <v>93</v>
      </c>
      <c r="C7610" s="1" t="str">
        <f t="shared" si="484"/>
        <v>918-93</v>
      </c>
      <c r="D7610" t="s">
        <v>7580</v>
      </c>
      <c r="E7610" t="b">
        <f>IF(COUNTIF(D7610,"*"&amp;'Keyword Search'!$C$5&amp;"*"),TRUE,FALSE)</f>
        <v>1</v>
      </c>
      <c r="G7610" t="str">
        <f t="shared" si="485"/>
        <v>918-93: *Security and Safety Consulting</v>
      </c>
    </row>
    <row r="7611" spans="1:7" x14ac:dyDescent="0.25">
      <c r="A7611" s="1" t="str">
        <f t="shared" si="486"/>
        <v>918</v>
      </c>
      <c r="B7611" s="1" t="str">
        <f>TEXT(94,"00")</f>
        <v>94</v>
      </c>
      <c r="C7611" s="1" t="str">
        <f t="shared" si="484"/>
        <v>918-94</v>
      </c>
      <c r="D7611" t="s">
        <v>7581</v>
      </c>
      <c r="E7611" t="b">
        <f>IF(COUNTIF(D7611,"*"&amp;'Keyword Search'!$C$5&amp;"*"),TRUE,FALSE)</f>
        <v>1</v>
      </c>
      <c r="G7611" t="str">
        <f t="shared" si="485"/>
        <v>918-94: Traffic Consulting</v>
      </c>
    </row>
    <row r="7612" spans="1:7" x14ac:dyDescent="0.25">
      <c r="A7612" s="1" t="str">
        <f t="shared" si="486"/>
        <v>918</v>
      </c>
      <c r="B7612" s="1" t="str">
        <f>TEXT(95,"00")</f>
        <v>95</v>
      </c>
      <c r="C7612" s="1" t="str">
        <f t="shared" si="484"/>
        <v>918-95</v>
      </c>
      <c r="D7612" t="s">
        <v>7582</v>
      </c>
      <c r="E7612" t="b">
        <f>IF(COUNTIF(D7612,"*"&amp;'Keyword Search'!$C$5&amp;"*"),TRUE,FALSE)</f>
        <v>1</v>
      </c>
      <c r="G7612" t="str">
        <f t="shared" si="485"/>
        <v>918-95: *Telecommunications Consulting</v>
      </c>
    </row>
    <row r="7613" spans="1:7" x14ac:dyDescent="0.25">
      <c r="A7613" s="1" t="str">
        <f t="shared" si="486"/>
        <v>918</v>
      </c>
      <c r="B7613" s="1" t="str">
        <f>TEXT(96,"00")</f>
        <v>96</v>
      </c>
      <c r="C7613" s="1" t="str">
        <f t="shared" si="484"/>
        <v>918-96</v>
      </c>
      <c r="D7613" t="s">
        <v>7583</v>
      </c>
      <c r="E7613" t="b">
        <f>IF(COUNTIF(D7613,"*"&amp;'Keyword Search'!$C$5&amp;"*"),TRUE,FALSE)</f>
        <v>1</v>
      </c>
      <c r="G7613" t="str">
        <f t="shared" si="485"/>
        <v>918-96: Transportation Consulting</v>
      </c>
    </row>
    <row r="7614" spans="1:7" x14ac:dyDescent="0.25">
      <c r="A7614" s="1" t="str">
        <f t="shared" si="486"/>
        <v>918</v>
      </c>
      <c r="B7614" s="1" t="str">
        <f>TEXT(97,"00")</f>
        <v>97</v>
      </c>
      <c r="C7614" s="1" t="str">
        <f t="shared" si="484"/>
        <v>918-97</v>
      </c>
      <c r="D7614" t="s">
        <v>7584</v>
      </c>
      <c r="E7614" t="b">
        <f>IF(COUNTIF(D7614,"*"&amp;'Keyword Search'!$C$5&amp;"*"),TRUE,FALSE)</f>
        <v>1</v>
      </c>
      <c r="G7614" t="str">
        <f t="shared" si="485"/>
        <v>918-97: Utilities: Gas, Water, Electric Consulting</v>
      </c>
    </row>
    <row r="7615" spans="1:7" x14ac:dyDescent="0.25">
      <c r="A7615" s="5" t="str">
        <f t="shared" ref="A7615:A7672" si="487">TEXT(920,"000")</f>
        <v>920</v>
      </c>
      <c r="B7615" s="5" t="str">
        <f>TEXT(0,"00")</f>
        <v>00</v>
      </c>
      <c r="C7615" s="1"/>
      <c r="D7615" s="2" t="s">
        <v>7585</v>
      </c>
    </row>
    <row r="7616" spans="1:7" x14ac:dyDescent="0.25">
      <c r="A7616" s="1" t="str">
        <f t="shared" si="487"/>
        <v>920</v>
      </c>
      <c r="B7616" s="1" t="str">
        <f>TEXT(2,"00")</f>
        <v>02</v>
      </c>
      <c r="C7616" s="1" t="str">
        <f t="shared" si="484"/>
        <v>920-02</v>
      </c>
      <c r="D7616" t="s">
        <v>7586</v>
      </c>
      <c r="E7616" t="b">
        <f>IF(COUNTIF(D7616,"*"&amp;'Keyword Search'!$C$5&amp;"*"),TRUE,FALSE)</f>
        <v>1</v>
      </c>
      <c r="G7616" t="str">
        <f t="shared" si="485"/>
        <v>920-02: *Access Services, Data</v>
      </c>
    </row>
    <row r="7617" spans="1:7" x14ac:dyDescent="0.25">
      <c r="A7617" s="1" t="str">
        <f t="shared" si="487"/>
        <v>920</v>
      </c>
      <c r="B7617" s="1" t="str">
        <f>TEXT(3,"00")</f>
        <v>03</v>
      </c>
      <c r="C7617" s="1" t="str">
        <f t="shared" si="484"/>
        <v>920-03</v>
      </c>
      <c r="D7617" t="s">
        <v>7587</v>
      </c>
      <c r="E7617" t="b">
        <f>IF(COUNTIF(D7617,"*"&amp;'Keyword Search'!$C$5&amp;"*"),TRUE,FALSE)</f>
        <v>1</v>
      </c>
      <c r="G7617" t="str">
        <f t="shared" si="485"/>
        <v>920-03: *Application Service Provider (ASP), Web Based Hosted</v>
      </c>
    </row>
    <row r="7618" spans="1:7" x14ac:dyDescent="0.25">
      <c r="A7618" s="1" t="str">
        <f t="shared" si="487"/>
        <v>920</v>
      </c>
      <c r="B7618" s="1" t="str">
        <f>TEXT(4,"00")</f>
        <v>04</v>
      </c>
      <c r="C7618" s="1" t="str">
        <f t="shared" si="484"/>
        <v>920-04</v>
      </c>
      <c r="D7618" t="s">
        <v>7588</v>
      </c>
      <c r="E7618" t="b">
        <f>IF(COUNTIF(D7618,"*"&amp;'Keyword Search'!$C$5&amp;"*"),TRUE,FALSE)</f>
        <v>1</v>
      </c>
      <c r="G7618" t="str">
        <f t="shared" si="485"/>
        <v>920-04: *Applications Software, Main Frame Server Systems</v>
      </c>
    </row>
    <row r="7619" spans="1:7" x14ac:dyDescent="0.25">
      <c r="A7619" s="1" t="str">
        <f t="shared" si="487"/>
        <v>920</v>
      </c>
      <c r="B7619" s="1" t="str">
        <f>TEXT(5,"00")</f>
        <v>05</v>
      </c>
      <c r="C7619" s="1" t="str">
        <f t="shared" ref="C7619:C7682" si="488">CONCATENATE(A7619,"-",B7619)</f>
        <v>920-05</v>
      </c>
      <c r="D7619" t="s">
        <v>7589</v>
      </c>
      <c r="E7619" t="b">
        <f>IF(COUNTIF(D7619,"*"&amp;'Keyword Search'!$C$5&amp;"*"),TRUE,FALSE)</f>
        <v>1</v>
      </c>
      <c r="G7619" t="str">
        <f t="shared" si="485"/>
        <v>920-05: *Application, Infrastructure, Hosting, Data Hosting and Cloud Computing Services, Vendor Hosted and Internally Hosted</v>
      </c>
    </row>
    <row r="7620" spans="1:7" x14ac:dyDescent="0.25">
      <c r="A7620" s="1" t="str">
        <f t="shared" si="487"/>
        <v>920</v>
      </c>
      <c r="B7620" s="1" t="str">
        <f>TEXT(7,"00")</f>
        <v>07</v>
      </c>
      <c r="C7620" s="1" t="str">
        <f t="shared" si="488"/>
        <v>920-07</v>
      </c>
      <c r="D7620" t="s">
        <v>7590</v>
      </c>
      <c r="E7620" t="b">
        <f>IF(COUNTIF(D7620,"*"&amp;'Keyword Search'!$C$5&amp;"*"),TRUE,FALSE)</f>
        <v>1</v>
      </c>
      <c r="G7620" t="str">
        <f t="shared" ref="G7620:G7683" si="489">CONCATENATE(C7620,": ",D7620)</f>
        <v>920-07: *Applications Software for Microcomputer Systems: Business, Mathematical and Statistical, Medical, Scientific, etc.</v>
      </c>
    </row>
    <row r="7621" spans="1:7" x14ac:dyDescent="0.25">
      <c r="A7621" s="1" t="str">
        <f t="shared" si="487"/>
        <v>920</v>
      </c>
      <c r="B7621" s="1" t="str">
        <f>TEXT(13,"00")</f>
        <v>13</v>
      </c>
      <c r="C7621" s="1" t="str">
        <f t="shared" si="488"/>
        <v>920-13</v>
      </c>
      <c r="D7621" t="s">
        <v>7591</v>
      </c>
      <c r="E7621" t="b">
        <f>IF(COUNTIF(D7621,"*"&amp;'Keyword Search'!$C$5&amp;"*"),TRUE,FALSE)</f>
        <v>1</v>
      </c>
      <c r="G7621" t="str">
        <f t="shared" si="489"/>
        <v>920-13: *Advanced Authentication System Software Services, Including Maintenance and Repair</v>
      </c>
    </row>
    <row r="7622" spans="1:7" x14ac:dyDescent="0.25">
      <c r="A7622" s="1" t="str">
        <f t="shared" si="487"/>
        <v>920</v>
      </c>
      <c r="B7622" s="1" t="str">
        <f>TEXT(14,"00")</f>
        <v>14</v>
      </c>
      <c r="C7622" s="1" t="str">
        <f t="shared" si="488"/>
        <v>920-14</v>
      </c>
      <c r="D7622" t="s">
        <v>7592</v>
      </c>
      <c r="E7622" t="b">
        <f>IF(COUNTIF(D7622,"*"&amp;'Keyword Search'!$C$5&amp;"*"),TRUE,FALSE)</f>
        <v>1</v>
      </c>
      <c r="G7622" t="str">
        <f t="shared" si="489"/>
        <v>920-14: *Applications Software, Mainframes and Servers</v>
      </c>
    </row>
    <row r="7623" spans="1:7" x14ac:dyDescent="0.25">
      <c r="A7623" s="1" t="str">
        <f t="shared" si="487"/>
        <v>920</v>
      </c>
      <c r="B7623" s="1" t="str">
        <f>TEXT(15,"00")</f>
        <v>15</v>
      </c>
      <c r="C7623" s="1" t="str">
        <f t="shared" si="488"/>
        <v>920-15</v>
      </c>
      <c r="D7623" t="s">
        <v>7593</v>
      </c>
      <c r="E7623" t="b">
        <f>IF(COUNTIF(D7623,"*"&amp;'Keyword Search'!$C$5&amp;"*"),TRUE,FALSE)</f>
        <v>1</v>
      </c>
      <c r="G7623" t="str">
        <f t="shared" si="489"/>
        <v>920-15: *Assessment and Profiling Services of Software</v>
      </c>
    </row>
    <row r="7624" spans="1:7" x14ac:dyDescent="0.25">
      <c r="A7624" s="1" t="str">
        <f t="shared" si="487"/>
        <v>920</v>
      </c>
      <c r="B7624" s="1" t="str">
        <f>TEXT(16,"00")</f>
        <v>16</v>
      </c>
      <c r="C7624" s="1" t="str">
        <f t="shared" si="488"/>
        <v>920-16</v>
      </c>
      <c r="D7624" t="s">
        <v>7594</v>
      </c>
      <c r="E7624" t="b">
        <f>IF(COUNTIF(D7624,"*"&amp;'Keyword Search'!$C$5&amp;"*"),TRUE,FALSE)</f>
        <v>1</v>
      </c>
      <c r="G7624" t="str">
        <f t="shared" si="489"/>
        <v>920-16: *Biometric Authentication System Software Services, Including Maintenance and Repair</v>
      </c>
    </row>
    <row r="7625" spans="1:7" x14ac:dyDescent="0.25">
      <c r="A7625" s="1" t="str">
        <f t="shared" si="487"/>
        <v>920</v>
      </c>
      <c r="B7625" s="1" t="str">
        <f>TEXT(17,"00")</f>
        <v>17</v>
      </c>
      <c r="C7625" s="1" t="str">
        <f t="shared" si="488"/>
        <v>920-17</v>
      </c>
      <c r="D7625" t="s">
        <v>7595</v>
      </c>
      <c r="E7625" t="b">
        <f>IF(COUNTIF(D7625,"*"&amp;'Keyword Search'!$C$5&amp;"*"),TRUE,FALSE)</f>
        <v>1</v>
      </c>
      <c r="G7625" t="str">
        <f t="shared" si="489"/>
        <v>920-17: *Electronic Forms Services</v>
      </c>
    </row>
    <row r="7626" spans="1:7" x14ac:dyDescent="0.25">
      <c r="A7626" s="1" t="str">
        <f t="shared" si="487"/>
        <v>920</v>
      </c>
      <c r="B7626" s="1" t="str">
        <f>TEXT(18,"00")</f>
        <v>18</v>
      </c>
      <c r="C7626" s="1" t="str">
        <f t="shared" si="488"/>
        <v>920-18</v>
      </c>
      <c r="D7626" t="s">
        <v>7596</v>
      </c>
      <c r="E7626" t="b">
        <f>IF(COUNTIF(D7626,"*"&amp;'Keyword Search'!$C$5&amp;"*"),TRUE,FALSE)</f>
        <v>1</v>
      </c>
      <c r="G7626" t="str">
        <f t="shared" si="489"/>
        <v>920-18: *Computer Aided Design (CAD) Services</v>
      </c>
    </row>
    <row r="7627" spans="1:7" x14ac:dyDescent="0.25">
      <c r="A7627" s="1" t="str">
        <f t="shared" si="487"/>
        <v>920</v>
      </c>
      <c r="B7627" s="1" t="str">
        <f>TEXT(19,"00")</f>
        <v>19</v>
      </c>
      <c r="C7627" s="1" t="str">
        <f t="shared" si="488"/>
        <v>920-19</v>
      </c>
      <c r="D7627" t="s">
        <v>7597</v>
      </c>
      <c r="E7627" t="b">
        <f>IF(COUNTIF(D7627,"*"&amp;'Keyword Search'!$C$5&amp;"*"),TRUE,FALSE)</f>
        <v>1</v>
      </c>
      <c r="G7627" t="str">
        <f t="shared" si="489"/>
        <v>920-19: *Computer Digitizing Services</v>
      </c>
    </row>
    <row r="7628" spans="1:7" x14ac:dyDescent="0.25">
      <c r="A7628" s="1" t="str">
        <f t="shared" si="487"/>
        <v>920</v>
      </c>
      <c r="B7628" s="1" t="str">
        <f>TEXT(20,"00")</f>
        <v>20</v>
      </c>
      <c r="C7628" s="1" t="str">
        <f t="shared" si="488"/>
        <v>920-20</v>
      </c>
      <c r="D7628" t="s">
        <v>7598</v>
      </c>
      <c r="E7628" t="b">
        <f>IF(COUNTIF(D7628,"*"&amp;'Keyword Search'!$C$5&amp;"*"),TRUE,FALSE)</f>
        <v>1</v>
      </c>
      <c r="G7628" t="str">
        <f t="shared" si="489"/>
        <v>920-20: *Computer Output to Microfilm/Microfiche  (COM) Processing Services</v>
      </c>
    </row>
    <row r="7629" spans="1:7" x14ac:dyDescent="0.25">
      <c r="A7629" s="1" t="str">
        <f t="shared" si="487"/>
        <v>920</v>
      </c>
      <c r="B7629" s="1" t="str">
        <f>TEXT(21,"00")</f>
        <v>21</v>
      </c>
      <c r="C7629" s="1" t="str">
        <f t="shared" si="488"/>
        <v>920-21</v>
      </c>
      <c r="D7629" t="s">
        <v>7599</v>
      </c>
      <c r="E7629" t="b">
        <f>IF(COUNTIF(D7629,"*"&amp;'Keyword Search'!$C$5&amp;"*"),TRUE,FALSE)</f>
        <v>1</v>
      </c>
      <c r="G7629" t="str">
        <f t="shared" si="489"/>
        <v>920-21: *Data Entry Services</v>
      </c>
    </row>
    <row r="7630" spans="1:7" x14ac:dyDescent="0.25">
      <c r="A7630" s="1" t="str">
        <f t="shared" si="487"/>
        <v>920</v>
      </c>
      <c r="B7630" s="1" t="str">
        <f>TEXT(22,"00")</f>
        <v>22</v>
      </c>
      <c r="C7630" s="1" t="str">
        <f t="shared" si="488"/>
        <v>920-22</v>
      </c>
      <c r="D7630" t="s">
        <v>7600</v>
      </c>
      <c r="E7630" t="b">
        <f>IF(COUNTIF(D7630,"*"&amp;'Keyword Search'!$C$5&amp;"*"),TRUE,FALSE)</f>
        <v>1</v>
      </c>
      <c r="G7630" t="str">
        <f t="shared" si="489"/>
        <v>920-22: *Data Preparation and Processing Services, Including Bates Coding</v>
      </c>
    </row>
    <row r="7631" spans="1:7" x14ac:dyDescent="0.25">
      <c r="A7631" s="1" t="str">
        <f t="shared" si="487"/>
        <v>920</v>
      </c>
      <c r="B7631" s="1" t="str">
        <f>TEXT(23,"00")</f>
        <v>23</v>
      </c>
      <c r="C7631" s="1" t="str">
        <f t="shared" si="488"/>
        <v>920-23</v>
      </c>
      <c r="D7631" t="s">
        <v>7601</v>
      </c>
      <c r="E7631" t="b">
        <f>IF(COUNTIF(D7631,"*"&amp;'Keyword Search'!$C$5&amp;"*"),TRUE,FALSE)</f>
        <v>1</v>
      </c>
      <c r="G7631" t="str">
        <f t="shared" si="489"/>
        <v>920-23: *Data Recovery Services</v>
      </c>
    </row>
    <row r="7632" spans="1:7" x14ac:dyDescent="0.25">
      <c r="A7632" s="1" t="str">
        <f t="shared" si="487"/>
        <v>920</v>
      </c>
      <c r="B7632" s="1" t="str">
        <f>TEXT(24,"00")</f>
        <v>24</v>
      </c>
      <c r="C7632" s="1" t="str">
        <f t="shared" si="488"/>
        <v>920-24</v>
      </c>
      <c r="D7632" t="s">
        <v>7602</v>
      </c>
      <c r="E7632" t="b">
        <f>IF(COUNTIF(D7632,"*"&amp;'Keyword Search'!$C$5&amp;"*"),TRUE,FALSE)</f>
        <v>1</v>
      </c>
      <c r="G7632" t="str">
        <f t="shared" si="489"/>
        <v>920-24: *Data Conversion Services</v>
      </c>
    </row>
    <row r="7633" spans="1:7" x14ac:dyDescent="0.25">
      <c r="A7633" s="1" t="str">
        <f t="shared" si="487"/>
        <v>920</v>
      </c>
      <c r="B7633" s="1" t="str">
        <f>TEXT(25,"00")</f>
        <v>25</v>
      </c>
      <c r="C7633" s="1" t="str">
        <f t="shared" si="488"/>
        <v>920-25</v>
      </c>
      <c r="D7633" t="s">
        <v>7603</v>
      </c>
      <c r="E7633" t="b">
        <f>IF(COUNTIF(D7633,"*"&amp;'Keyword Search'!$C$5&amp;"*"),TRUE,FALSE)</f>
        <v>1</v>
      </c>
      <c r="G7633" t="str">
        <f t="shared" si="489"/>
        <v>920-25: *Diskette, CD Rom, DVD, Blu-ray, and Tape Duplicating Services</v>
      </c>
    </row>
    <row r="7634" spans="1:7" x14ac:dyDescent="0.25">
      <c r="A7634" s="1" t="str">
        <f t="shared" si="487"/>
        <v>920</v>
      </c>
      <c r="B7634" s="1" t="str">
        <f>TEXT(26,"00")</f>
        <v>26</v>
      </c>
      <c r="C7634" s="1" t="str">
        <f t="shared" si="488"/>
        <v>920-26</v>
      </c>
      <c r="D7634" t="s">
        <v>7604</v>
      </c>
      <c r="E7634" t="b">
        <f>IF(COUNTIF(D7634,"*"&amp;'Keyword Search'!$C$5&amp;"*"),TRUE,FALSE)</f>
        <v>1</v>
      </c>
      <c r="G7634" t="str">
        <f t="shared" si="489"/>
        <v>920-26: *Desktop Publishing Services</v>
      </c>
    </row>
    <row r="7635" spans="1:7" x14ac:dyDescent="0.25">
      <c r="A7635" s="1" t="str">
        <f t="shared" si="487"/>
        <v>920</v>
      </c>
      <c r="B7635" s="1" t="str">
        <f>TEXT(27,"00")</f>
        <v>27</v>
      </c>
      <c r="C7635" s="1" t="str">
        <f t="shared" si="488"/>
        <v>920-27</v>
      </c>
      <c r="D7635" t="s">
        <v>7605</v>
      </c>
      <c r="E7635" t="b">
        <f>IF(COUNTIF(D7635,"*"&amp;'Keyword Search'!$C$5&amp;"*"),TRUE,FALSE)</f>
        <v>1</v>
      </c>
      <c r="G7635" t="str">
        <f t="shared" si="489"/>
        <v>920-27: *Ecommerce Software Development Services</v>
      </c>
    </row>
    <row r="7636" spans="1:7" x14ac:dyDescent="0.25">
      <c r="A7636" s="1" t="str">
        <f t="shared" si="487"/>
        <v>920</v>
      </c>
      <c r="B7636" s="1" t="str">
        <f>TEXT(28,"00")</f>
        <v>28</v>
      </c>
      <c r="C7636" s="1" t="str">
        <f t="shared" si="488"/>
        <v>920-28</v>
      </c>
      <c r="D7636" t="s">
        <v>7606</v>
      </c>
      <c r="E7636" t="b">
        <f>IF(COUNTIF(D7636,"*"&amp;'Keyword Search'!$C$5&amp;"*"),TRUE,FALSE)</f>
        <v>1</v>
      </c>
      <c r="G7636" t="str">
        <f t="shared" si="489"/>
        <v>920-28: *Emergency Back-up, Disaster Recovery Services and Facilities for Data Processing</v>
      </c>
    </row>
    <row r="7637" spans="1:7" x14ac:dyDescent="0.25">
      <c r="A7637" s="1" t="str">
        <f t="shared" si="487"/>
        <v>920</v>
      </c>
      <c r="B7637" s="1" t="str">
        <f>TEXT(29,"00")</f>
        <v>29</v>
      </c>
      <c r="C7637" s="1" t="str">
        <f t="shared" si="488"/>
        <v>920-29</v>
      </c>
      <c r="D7637" t="s">
        <v>7607</v>
      </c>
      <c r="E7637" t="b">
        <f>IF(COUNTIF(D7637,"*"&amp;'Keyword Search'!$C$5&amp;"*"),TRUE,FALSE)</f>
        <v>1</v>
      </c>
      <c r="G7637" t="str">
        <f t="shared" si="489"/>
        <v>920-29: *Facilities Management Services, Computer</v>
      </c>
    </row>
    <row r="7638" spans="1:7" x14ac:dyDescent="0.25">
      <c r="A7638" s="1" t="str">
        <f t="shared" si="487"/>
        <v>920</v>
      </c>
      <c r="B7638" s="1" t="str">
        <f>TEXT(30,"00")</f>
        <v>30</v>
      </c>
      <c r="C7638" s="1" t="str">
        <f t="shared" si="488"/>
        <v>920-30</v>
      </c>
      <c r="D7638" t="s">
        <v>7608</v>
      </c>
      <c r="E7638" t="b">
        <f>IF(COUNTIF(D7638,"*"&amp;'Keyword Search'!$C$5&amp;"*"),TRUE,FALSE)</f>
        <v>1</v>
      </c>
      <c r="G7638" t="str">
        <f t="shared" si="489"/>
        <v>920-30: *Image Processing and Conversion Services</v>
      </c>
    </row>
    <row r="7639" spans="1:7" x14ac:dyDescent="0.25">
      <c r="A7639" s="1" t="str">
        <f t="shared" si="487"/>
        <v>920</v>
      </c>
      <c r="B7639" s="1" t="str">
        <f>TEXT(31,"00")</f>
        <v>31</v>
      </c>
      <c r="C7639" s="1" t="str">
        <f t="shared" si="488"/>
        <v>920-31</v>
      </c>
      <c r="D7639" t="s">
        <v>7609</v>
      </c>
      <c r="E7639" t="b">
        <f>IF(COUNTIF(D7639,"*"&amp;'Keyword Search'!$C$5&amp;"*"),TRUE,FALSE)</f>
        <v>1</v>
      </c>
      <c r="G7639" t="str">
        <f t="shared" si="489"/>
        <v>920-31: *Installation of Computers, Peripherals, and Related Equipment (Including Software)</v>
      </c>
    </row>
    <row r="7640" spans="1:7" x14ac:dyDescent="0.25">
      <c r="A7640" s="1" t="str">
        <f t="shared" si="487"/>
        <v>920</v>
      </c>
      <c r="B7640" s="1" t="str">
        <f>TEXT(32,"00")</f>
        <v>32</v>
      </c>
      <c r="C7640" s="1" t="str">
        <f t="shared" si="488"/>
        <v>920-32</v>
      </c>
      <c r="D7640" t="s">
        <v>7610</v>
      </c>
      <c r="E7640" t="b">
        <f>IF(COUNTIF(D7640,"*"&amp;'Keyword Search'!$C$5&amp;"*"),TRUE,FALSE)</f>
        <v>1</v>
      </c>
      <c r="G7640" t="str">
        <f t="shared" si="489"/>
        <v>920-32: *Intelligent Transportation System (ITS) Software, Including Design, Development, and Maintenance Services</v>
      </c>
    </row>
    <row r="7641" spans="1:7" x14ac:dyDescent="0.25">
      <c r="A7641" s="1" t="str">
        <f t="shared" si="487"/>
        <v>920</v>
      </c>
      <c r="B7641" s="1" t="str">
        <f>TEXT(33,"00")</f>
        <v>33</v>
      </c>
      <c r="C7641" s="1" t="str">
        <f t="shared" si="488"/>
        <v>920-33</v>
      </c>
      <c r="D7641" t="s">
        <v>7611</v>
      </c>
      <c r="E7641" t="b">
        <f>IF(COUNTIF(D7641,"*"&amp;'Keyword Search'!$C$5&amp;"*"),TRUE,FALSE)</f>
        <v>1</v>
      </c>
      <c r="G7641" t="str">
        <f t="shared" si="489"/>
        <v>920-33: *Mapping and Geographical Information Systems (GIS) Services, Digitized, Cartography (See 962-52 for Standard Mapping Services)</v>
      </c>
    </row>
    <row r="7642" spans="1:7" x14ac:dyDescent="0.25">
      <c r="A7642" s="1" t="str">
        <f t="shared" si="487"/>
        <v>920</v>
      </c>
      <c r="B7642" s="1" t="str">
        <f>TEXT(34,"00")</f>
        <v>34</v>
      </c>
      <c r="C7642" s="1" t="str">
        <f t="shared" si="488"/>
        <v>920-34</v>
      </c>
      <c r="D7642" t="s">
        <v>7612</v>
      </c>
      <c r="E7642" t="b">
        <f>IF(COUNTIF(D7642,"*"&amp;'Keyword Search'!$C$5&amp;"*"),TRUE,FALSE)</f>
        <v>1</v>
      </c>
      <c r="G7642" t="str">
        <f t="shared" si="489"/>
        <v>920-34: *Media Conversion Services</v>
      </c>
    </row>
    <row r="7643" spans="1:7" x14ac:dyDescent="0.25">
      <c r="A7643" s="1" t="str">
        <f t="shared" si="487"/>
        <v>920</v>
      </c>
      <c r="B7643" s="1" t="str">
        <f>TEXT(35,"00")</f>
        <v>35</v>
      </c>
      <c r="C7643" s="1" t="str">
        <f t="shared" si="488"/>
        <v>920-35</v>
      </c>
      <c r="D7643" t="s">
        <v>7613</v>
      </c>
      <c r="E7643" t="b">
        <f>IF(COUNTIF(D7643,"*"&amp;'Keyword Search'!$C$5&amp;"*"),TRUE,FALSE)</f>
        <v>1</v>
      </c>
      <c r="G7643" t="str">
        <f t="shared" si="489"/>
        <v>920-35: *Modification of Existing Equipment, Including Cost of Parts</v>
      </c>
    </row>
    <row r="7644" spans="1:7" x14ac:dyDescent="0.25">
      <c r="A7644" s="1" t="str">
        <f t="shared" si="487"/>
        <v>920</v>
      </c>
      <c r="B7644" s="1" t="str">
        <f>TEXT(37,"00")</f>
        <v>37</v>
      </c>
      <c r="C7644" s="1" t="str">
        <f t="shared" si="488"/>
        <v>920-37</v>
      </c>
      <c r="D7644" t="s">
        <v>7614</v>
      </c>
      <c r="E7644" t="b">
        <f>IF(COUNTIF(D7644,"*"&amp;'Keyword Search'!$C$5&amp;"*"),TRUE,FALSE)</f>
        <v>1</v>
      </c>
      <c r="G7644" t="str">
        <f t="shared" si="489"/>
        <v>920-37: *Networking Services, Including Installation, Security, and Maintenance</v>
      </c>
    </row>
    <row r="7645" spans="1:7" x14ac:dyDescent="0.25">
      <c r="A7645" s="1" t="str">
        <f t="shared" si="487"/>
        <v>920</v>
      </c>
      <c r="B7645" s="1" t="str">
        <f>TEXT(38,"00")</f>
        <v>38</v>
      </c>
      <c r="C7645" s="1" t="str">
        <f t="shared" si="488"/>
        <v>920-38</v>
      </c>
      <c r="D7645" t="s">
        <v>7615</v>
      </c>
      <c r="E7645" t="b">
        <f>IF(COUNTIF(D7645,"*"&amp;'Keyword Search'!$C$5&amp;"*"),TRUE,FALSE)</f>
        <v>1</v>
      </c>
      <c r="G7645" t="str">
        <f t="shared" si="489"/>
        <v>920-38: *Optical Scanning Services</v>
      </c>
    </row>
    <row r="7646" spans="1:7" x14ac:dyDescent="0.25">
      <c r="A7646" s="1" t="str">
        <f t="shared" si="487"/>
        <v>920</v>
      </c>
      <c r="B7646" s="1" t="str">
        <f>TEXT(39,"00")</f>
        <v>39</v>
      </c>
      <c r="C7646" s="1" t="str">
        <f t="shared" si="488"/>
        <v>920-39</v>
      </c>
      <c r="D7646" t="s">
        <v>7616</v>
      </c>
      <c r="E7646" t="b">
        <f>IF(COUNTIF(D7646,"*"&amp;'Keyword Search'!$C$5&amp;"*"),TRUE,FALSE)</f>
        <v>1</v>
      </c>
      <c r="G7646" t="str">
        <f t="shared" si="489"/>
        <v>920-39: *Processing System Services, Data (Not Otherwise Classified)</v>
      </c>
    </row>
    <row r="7647" spans="1:7" x14ac:dyDescent="0.25">
      <c r="A7647" s="1" t="str">
        <f t="shared" si="487"/>
        <v>920</v>
      </c>
      <c r="B7647" s="1" t="str">
        <f>TEXT(40,"00")</f>
        <v>40</v>
      </c>
      <c r="C7647" s="1" t="str">
        <f t="shared" si="488"/>
        <v>920-40</v>
      </c>
      <c r="D7647" t="s">
        <v>7617</v>
      </c>
      <c r="E7647" t="b">
        <f>IF(COUNTIF(D7647,"*"&amp;'Keyword Search'!$C$5&amp;"*"),TRUE,FALSE)</f>
        <v>1</v>
      </c>
      <c r="G7647" t="str">
        <f t="shared" si="489"/>
        <v>920-40: *Programming Services, Computer, Including Mobile Device Applications</v>
      </c>
    </row>
    <row r="7648" spans="1:7" x14ac:dyDescent="0.25">
      <c r="A7648" s="1" t="str">
        <f t="shared" si="487"/>
        <v>920</v>
      </c>
      <c r="B7648" s="1" t="str">
        <f>TEXT(41,"00")</f>
        <v>41</v>
      </c>
      <c r="C7648" s="1" t="str">
        <f t="shared" si="488"/>
        <v>920-41</v>
      </c>
      <c r="D7648" t="s">
        <v>7618</v>
      </c>
      <c r="E7648" t="b">
        <f>IF(COUNTIF(D7648,"*"&amp;'Keyword Search'!$C$5&amp;"*"),TRUE,FALSE)</f>
        <v>1</v>
      </c>
      <c r="G7648" t="str">
        <f t="shared" si="489"/>
        <v>920-41: *Retrieval Services, Information</v>
      </c>
    </row>
    <row r="7649" spans="1:7" x14ac:dyDescent="0.25">
      <c r="A7649" s="1" t="str">
        <f t="shared" si="487"/>
        <v>920</v>
      </c>
      <c r="B7649" s="1" t="str">
        <f>TEXT(42,"00")</f>
        <v>42</v>
      </c>
      <c r="C7649" s="1" t="str">
        <f t="shared" si="488"/>
        <v>920-42</v>
      </c>
      <c r="D7649" t="s">
        <v>7619</v>
      </c>
      <c r="E7649" t="b">
        <f>IF(COUNTIF(D7649,"*"&amp;'Keyword Search'!$C$5&amp;"*"),TRUE,FALSE)</f>
        <v>1</v>
      </c>
      <c r="G7649" t="str">
        <f t="shared" si="489"/>
        <v>920-42: *Recertification and Rehabilitation of Magnetic Media, Disk Packs, Tapes, etc.</v>
      </c>
    </row>
    <row r="7650" spans="1:7" x14ac:dyDescent="0.25">
      <c r="A7650" s="1" t="str">
        <f t="shared" si="487"/>
        <v>920</v>
      </c>
      <c r="B7650" s="1" t="str">
        <f>TEXT(43,"00")</f>
        <v>43</v>
      </c>
      <c r="C7650" s="1" t="str">
        <f t="shared" si="488"/>
        <v>920-43</v>
      </c>
      <c r="D7650" t="s">
        <v>7620</v>
      </c>
      <c r="E7650" t="b">
        <f>IF(COUNTIF(D7650,"*"&amp;'Keyword Search'!$C$5&amp;"*"),TRUE,FALSE)</f>
        <v>1</v>
      </c>
      <c r="G7650" t="str">
        <f t="shared" si="489"/>
        <v>920-43: *Recharging and Remanufacturing of Printer and Fax Cartridges</v>
      </c>
    </row>
    <row r="7651" spans="1:7" x14ac:dyDescent="0.25">
      <c r="A7651" s="1" t="str">
        <f t="shared" si="487"/>
        <v>920</v>
      </c>
      <c r="B7651" s="1" t="str">
        <f>TEXT(44,"00")</f>
        <v>44</v>
      </c>
      <c r="C7651" s="1" t="str">
        <f t="shared" si="488"/>
        <v>920-44</v>
      </c>
      <c r="D7651" t="s">
        <v>7621</v>
      </c>
      <c r="E7651" t="b">
        <f>IF(COUNTIF(D7651,"*"&amp;'Keyword Search'!$C$5&amp;"*"),TRUE,FALSE)</f>
        <v>1</v>
      </c>
      <c r="G7651" t="str">
        <f t="shared" si="489"/>
        <v>920-44: *Risk Management for Software Development</v>
      </c>
    </row>
    <row r="7652" spans="1:7" x14ac:dyDescent="0.25">
      <c r="A7652" s="1" t="str">
        <f t="shared" si="487"/>
        <v>920</v>
      </c>
      <c r="B7652" s="1" t="str">
        <f>TEXT(45,"00")</f>
        <v>45</v>
      </c>
      <c r="C7652" s="1" t="str">
        <f t="shared" si="488"/>
        <v>920-45</v>
      </c>
      <c r="D7652" t="s">
        <v>7622</v>
      </c>
      <c r="E7652" t="b">
        <f>IF(COUNTIF(D7652,"*"&amp;'Keyword Search'!$C$5&amp;"*"),TRUE,FALSE)</f>
        <v>1</v>
      </c>
      <c r="G7652" t="str">
        <f t="shared" si="489"/>
        <v>920-45: *Software Maintenance and Support Services and Updates and Data Hosting Services</v>
      </c>
    </row>
    <row r="7653" spans="1:7" x14ac:dyDescent="0.25">
      <c r="A7653" s="1" t="str">
        <f t="shared" si="487"/>
        <v>920</v>
      </c>
      <c r="B7653" s="1" t="str">
        <f>TEXT(46,"00")</f>
        <v>46</v>
      </c>
      <c r="C7653" s="1" t="str">
        <f t="shared" si="488"/>
        <v>920-46</v>
      </c>
      <c r="D7653" t="s">
        <v>7623</v>
      </c>
      <c r="E7653" t="b">
        <f>IF(COUNTIF(D7653,"*"&amp;'Keyword Search'!$C$5&amp;"*"),TRUE,FALSE)</f>
        <v>1</v>
      </c>
      <c r="G7653" t="str">
        <f t="shared" si="489"/>
        <v>920-46: *Software Updating and Upgrading Services</v>
      </c>
    </row>
    <row r="7654" spans="1:7" x14ac:dyDescent="0.25">
      <c r="A7654" s="1" t="str">
        <f t="shared" si="487"/>
        <v>920</v>
      </c>
      <c r="B7654" s="1" t="str">
        <f>TEXT(47,"00")</f>
        <v>47</v>
      </c>
      <c r="C7654" s="1" t="str">
        <f t="shared" si="488"/>
        <v>920-47</v>
      </c>
      <c r="D7654" t="s">
        <v>7624</v>
      </c>
      <c r="E7654" t="b">
        <f>IF(COUNTIF(D7654,"*"&amp;'Keyword Search'!$C$5&amp;"*"),TRUE,FALSE)</f>
        <v>1</v>
      </c>
      <c r="G7654" t="str">
        <f t="shared" si="489"/>
        <v>920-47: *Support Services, Computer, Includes Computer Warranties</v>
      </c>
    </row>
    <row r="7655" spans="1:7" x14ac:dyDescent="0.25">
      <c r="A7655" s="1" t="str">
        <f t="shared" si="487"/>
        <v>920</v>
      </c>
      <c r="B7655" s="1" t="str">
        <f>TEXT(48,"00")</f>
        <v>48</v>
      </c>
      <c r="C7655" s="1" t="str">
        <f t="shared" si="488"/>
        <v>920-48</v>
      </c>
      <c r="D7655" t="s">
        <v>7625</v>
      </c>
      <c r="E7655" t="b">
        <f>IF(COUNTIF(D7655,"*"&amp;'Keyword Search'!$C$5&amp;"*"),TRUE,FALSE)</f>
        <v>1</v>
      </c>
      <c r="G7655" t="str">
        <f t="shared" si="489"/>
        <v>920-48: *Storage Services, Data Media</v>
      </c>
    </row>
    <row r="7656" spans="1:7" x14ac:dyDescent="0.25">
      <c r="A7656" s="1" t="str">
        <f t="shared" si="487"/>
        <v>920</v>
      </c>
      <c r="B7656" s="1" t="str">
        <f>TEXT(49,"00")</f>
        <v>49</v>
      </c>
      <c r="C7656" s="1" t="str">
        <f t="shared" si="488"/>
        <v>920-49</v>
      </c>
      <c r="D7656" t="s">
        <v>7626</v>
      </c>
      <c r="E7656" t="b">
        <f>IF(COUNTIF(D7656,"*"&amp;'Keyword Search'!$C$5&amp;"*"),TRUE,FALSE)</f>
        <v>1</v>
      </c>
      <c r="G7656" t="str">
        <f t="shared" si="489"/>
        <v>920-49: *Systems and Executive Software, Mainframe and Servers</v>
      </c>
    </row>
    <row r="7657" spans="1:7" x14ac:dyDescent="0.25">
      <c r="A7657" s="1" t="str">
        <f t="shared" si="487"/>
        <v>920</v>
      </c>
      <c r="B7657" s="1" t="str">
        <f>TEXT(50,"00")</f>
        <v>50</v>
      </c>
      <c r="C7657" s="1" t="str">
        <f t="shared" si="488"/>
        <v>920-50</v>
      </c>
      <c r="D7657" t="s">
        <v>7627</v>
      </c>
      <c r="E7657" t="b">
        <f>IF(COUNTIF(D7657,"*"&amp;'Keyword Search'!$C$5&amp;"*"),TRUE,FALSE)</f>
        <v>1</v>
      </c>
      <c r="G7657" t="str">
        <f t="shared" si="489"/>
        <v>920-50: *Shredding Services, Computer Components and Peripherals</v>
      </c>
    </row>
    <row r="7658" spans="1:7" x14ac:dyDescent="0.25">
      <c r="A7658" s="1" t="str">
        <f t="shared" si="487"/>
        <v>920</v>
      </c>
      <c r="B7658" s="1" t="str">
        <f>TEXT(51,"00")</f>
        <v>51</v>
      </c>
      <c r="C7658" s="1" t="str">
        <f t="shared" si="488"/>
        <v>920-51</v>
      </c>
      <c r="D7658" t="s">
        <v>7628</v>
      </c>
      <c r="E7658" t="b">
        <f>IF(COUNTIF(D7658,"*"&amp;'Keyword Search'!$C$5&amp;"*"),TRUE,FALSE)</f>
        <v>1</v>
      </c>
      <c r="G7658" t="str">
        <f t="shared" si="489"/>
        <v>920-51: *Redaction, De-identification Services, Automated</v>
      </c>
    </row>
    <row r="7659" spans="1:7" x14ac:dyDescent="0.25">
      <c r="A7659" s="1" t="str">
        <f t="shared" si="487"/>
        <v>920</v>
      </c>
      <c r="B7659" s="1" t="str">
        <f>TEXT(56,"00")</f>
        <v>56</v>
      </c>
      <c r="C7659" s="1" t="str">
        <f t="shared" si="488"/>
        <v>920-56</v>
      </c>
      <c r="D7659" t="s">
        <v>7629</v>
      </c>
      <c r="E7659" t="b">
        <f>IF(COUNTIF(D7659,"*"&amp;'Keyword Search'!$C$5&amp;"*"),TRUE,FALSE)</f>
        <v>1</v>
      </c>
      <c r="G7659" t="str">
        <f t="shared" si="489"/>
        <v>920-56: *Systems and Executive Software, Microcomputer</v>
      </c>
    </row>
    <row r="7660" spans="1:7" x14ac:dyDescent="0.25">
      <c r="A7660" s="1" t="str">
        <f t="shared" si="487"/>
        <v>920</v>
      </c>
      <c r="B7660" s="1" t="str">
        <f>TEXT(63,"00")</f>
        <v>63</v>
      </c>
      <c r="C7660" s="1" t="str">
        <f t="shared" si="488"/>
        <v>920-63</v>
      </c>
      <c r="D7660" t="s">
        <v>7626</v>
      </c>
      <c r="E7660" t="b">
        <f>IF(COUNTIF(D7660,"*"&amp;'Keyword Search'!$C$5&amp;"*"),TRUE,FALSE)</f>
        <v>1</v>
      </c>
      <c r="G7660" t="str">
        <f t="shared" si="489"/>
        <v>920-63: *Systems and Executive Software, Mainframe and Servers</v>
      </c>
    </row>
    <row r="7661" spans="1:7" x14ac:dyDescent="0.25">
      <c r="A7661" s="1" t="str">
        <f t="shared" si="487"/>
        <v>920</v>
      </c>
      <c r="B7661" s="1" t="str">
        <f>TEXT(64,"00")</f>
        <v>64</v>
      </c>
      <c r="C7661" s="1" t="str">
        <f t="shared" si="488"/>
        <v>920-64</v>
      </c>
      <c r="D7661" t="s">
        <v>7630</v>
      </c>
      <c r="E7661" t="b">
        <f>IF(COUNTIF(D7661,"*"&amp;'Keyword Search'!$C$5&amp;"*"),TRUE,FALSE)</f>
        <v>1</v>
      </c>
      <c r="G7661" t="str">
        <f t="shared" si="489"/>
        <v>920-64: *System Implementation and Engineering Services</v>
      </c>
    </row>
    <row r="7662" spans="1:7" x14ac:dyDescent="0.25">
      <c r="A7662" s="1" t="str">
        <f t="shared" si="487"/>
        <v>920</v>
      </c>
      <c r="B7662" s="1" t="str">
        <f>TEXT(65,"00")</f>
        <v>65</v>
      </c>
      <c r="C7662" s="1" t="str">
        <f t="shared" si="488"/>
        <v>920-65</v>
      </c>
      <c r="D7662" t="s">
        <v>7631</v>
      </c>
      <c r="E7662" t="b">
        <f>IF(COUNTIF(D7662,"*"&amp;'Keyword Search'!$C$5&amp;"*"),TRUE,FALSE)</f>
        <v>1</v>
      </c>
      <c r="G7662" t="str">
        <f t="shared" si="489"/>
        <v>920-65: *System Requirements Quality Assurance Review</v>
      </c>
    </row>
    <row r="7663" spans="1:7" x14ac:dyDescent="0.25">
      <c r="A7663" s="1" t="str">
        <f t="shared" si="487"/>
        <v>920</v>
      </c>
      <c r="B7663" s="1" t="str">
        <f>TEXT(66,"00")</f>
        <v>66</v>
      </c>
      <c r="C7663" s="1" t="str">
        <f t="shared" si="488"/>
        <v>920-66</v>
      </c>
      <c r="D7663" t="s">
        <v>7632</v>
      </c>
      <c r="E7663" t="b">
        <f>IF(COUNTIF(D7663,"*"&amp;'Keyword Search'!$C$5&amp;"*"),TRUE,FALSE)</f>
        <v>1</v>
      </c>
      <c r="G7663" t="str">
        <f t="shared" si="489"/>
        <v>920-66: *System, Network, Database, DBA Administration Services</v>
      </c>
    </row>
    <row r="7664" spans="1:7" x14ac:dyDescent="0.25">
      <c r="A7664" s="1" t="str">
        <f t="shared" si="487"/>
        <v>920</v>
      </c>
      <c r="B7664" s="1" t="str">
        <f>TEXT(75,"00")</f>
        <v>75</v>
      </c>
      <c r="C7664" s="1" t="str">
        <f t="shared" si="488"/>
        <v>920-75</v>
      </c>
      <c r="D7664" t="s">
        <v>7633</v>
      </c>
      <c r="E7664" t="b">
        <f>IF(COUNTIF(D7664,"*"&amp;'Keyword Search'!$C$5&amp;"*"),TRUE,FALSE)</f>
        <v>1</v>
      </c>
      <c r="G7664" t="str">
        <f t="shared" si="489"/>
        <v>920-75: *Technical Writing and Documentation, IT Services</v>
      </c>
    </row>
    <row r="7665" spans="1:7" x14ac:dyDescent="0.25">
      <c r="A7665" s="1" t="str">
        <f t="shared" si="487"/>
        <v>920</v>
      </c>
      <c r="B7665" s="1" t="str">
        <f>TEXT(76,"00")</f>
        <v>76</v>
      </c>
      <c r="C7665" s="1" t="str">
        <f t="shared" si="488"/>
        <v>920-76</v>
      </c>
      <c r="D7665" t="s">
        <v>7634</v>
      </c>
      <c r="E7665" t="b">
        <f>IF(COUNTIF(D7665,"*"&amp;'Keyword Search'!$C$5&amp;"*"),TRUE,FALSE)</f>
        <v>1</v>
      </c>
      <c r="G7665" t="str">
        <f t="shared" si="489"/>
        <v>920-76: *Testing of Systems Infrastructure, Components or Software, IT Services</v>
      </c>
    </row>
    <row r="7666" spans="1:7" x14ac:dyDescent="0.25">
      <c r="A7666" s="1" t="str">
        <f t="shared" si="487"/>
        <v>920</v>
      </c>
      <c r="B7666" s="1" t="str">
        <f>TEXT(77,"00")</f>
        <v>77</v>
      </c>
      <c r="C7666" s="1" t="str">
        <f t="shared" si="488"/>
        <v>920-77</v>
      </c>
      <c r="D7666" t="s">
        <v>7635</v>
      </c>
      <c r="E7666" t="b">
        <f>IF(COUNTIF(D7666,"*"&amp;'Keyword Search'!$C$5&amp;"*"),TRUE,FALSE)</f>
        <v>1</v>
      </c>
      <c r="G7666" t="str">
        <f t="shared" si="489"/>
        <v>920-77: *Teleprocessing Via Proprietary Data Bases</v>
      </c>
    </row>
    <row r="7667" spans="1:7" x14ac:dyDescent="0.25">
      <c r="A7667" s="1" t="str">
        <f t="shared" si="487"/>
        <v>920</v>
      </c>
      <c r="B7667" s="1" t="str">
        <f>TEXT(84,"00")</f>
        <v>84</v>
      </c>
      <c r="C7667" s="1" t="str">
        <f t="shared" si="488"/>
        <v>920-84</v>
      </c>
      <c r="D7667" t="s">
        <v>7636</v>
      </c>
      <c r="E7667" t="b">
        <f>IF(COUNTIF(D7667,"*"&amp;'Keyword Search'!$C$5&amp;"*"),TRUE,FALSE)</f>
        <v>1</v>
      </c>
      <c r="G7667" t="str">
        <f t="shared" si="489"/>
        <v>920-84: *Teleprocessing, Business, Timesharing</v>
      </c>
    </row>
    <row r="7668" spans="1:7" x14ac:dyDescent="0.25">
      <c r="A7668" s="1" t="str">
        <f t="shared" si="487"/>
        <v>920</v>
      </c>
      <c r="B7668" s="1" t="str">
        <f>TEXT(90,"00")</f>
        <v>90</v>
      </c>
      <c r="C7668" s="1" t="str">
        <f t="shared" si="488"/>
        <v>920-90</v>
      </c>
      <c r="D7668" t="s">
        <v>7637</v>
      </c>
      <c r="E7668" t="b">
        <f>IF(COUNTIF(D7668,"*"&amp;'Keyword Search'!$C$5&amp;"*"),TRUE,FALSE)</f>
        <v>1</v>
      </c>
      <c r="G7668" t="str">
        <f t="shared" si="489"/>
        <v>920-90: *Teleprocessing, Scientific, Industrial, Medical, etc., Timesharing</v>
      </c>
    </row>
    <row r="7669" spans="1:7" x14ac:dyDescent="0.25">
      <c r="A7669" s="1" t="str">
        <f t="shared" si="487"/>
        <v>920</v>
      </c>
      <c r="B7669" s="1" t="str">
        <f>TEXT(91,"00")</f>
        <v>91</v>
      </c>
      <c r="C7669" s="1" t="str">
        <f t="shared" si="488"/>
        <v>920-91</v>
      </c>
      <c r="D7669" t="s">
        <v>7638</v>
      </c>
      <c r="E7669" t="b">
        <f>IF(COUNTIF(D7669,"*"&amp;'Keyword Search'!$C$5&amp;"*"),TRUE,FALSE)</f>
        <v>1</v>
      </c>
      <c r="G7669" t="str">
        <f t="shared" si="489"/>
        <v>920-91: *Training, Computer Based, Software Supported</v>
      </c>
    </row>
    <row r="7670" spans="1:7" x14ac:dyDescent="0.25">
      <c r="A7670" s="1" t="str">
        <f t="shared" si="487"/>
        <v>920</v>
      </c>
      <c r="B7670" s="1" t="str">
        <f>TEXT(94,"00")</f>
        <v>94</v>
      </c>
      <c r="C7670" s="1" t="str">
        <f t="shared" si="488"/>
        <v>920-94</v>
      </c>
      <c r="D7670" t="s">
        <v>7639</v>
      </c>
      <c r="E7670" t="b">
        <f>IF(COUNTIF(D7670,"*"&amp;'Keyword Search'!$C$5&amp;"*"),TRUE,FALSE)</f>
        <v>1</v>
      </c>
      <c r="G7670" t="str">
        <f t="shared" si="489"/>
        <v>920-94: *Word Processing Software, Mainframe and Servers</v>
      </c>
    </row>
    <row r="7671" spans="1:7" x14ac:dyDescent="0.25">
      <c r="A7671" s="1" t="str">
        <f t="shared" si="487"/>
        <v>920</v>
      </c>
      <c r="B7671" s="1" t="str">
        <f>TEXT(95,"00")</f>
        <v>95</v>
      </c>
      <c r="C7671" s="1" t="str">
        <f t="shared" si="488"/>
        <v>920-95</v>
      </c>
      <c r="D7671" t="s">
        <v>7640</v>
      </c>
      <c r="E7671" t="b">
        <f>IF(COUNTIF(D7671,"*"&amp;'Keyword Search'!$C$5&amp;"*"),TRUE,FALSE)</f>
        <v>1</v>
      </c>
      <c r="G7671" t="str">
        <f t="shared" si="489"/>
        <v>920-95: *Word Processing Software, Microcomputer</v>
      </c>
    </row>
    <row r="7672" spans="1:7" x14ac:dyDescent="0.25">
      <c r="A7672" s="1" t="str">
        <f t="shared" si="487"/>
        <v>920</v>
      </c>
      <c r="B7672" s="1" t="str">
        <f>TEXT(96,"00")</f>
        <v>96</v>
      </c>
      <c r="C7672" s="1" t="str">
        <f t="shared" si="488"/>
        <v>920-96</v>
      </c>
      <c r="D7672" t="s">
        <v>7641</v>
      </c>
      <c r="E7672" t="b">
        <f>IF(COUNTIF(D7672,"*"&amp;'Keyword Search'!$C$5&amp;"*"),TRUE,FALSE)</f>
        <v>1</v>
      </c>
      <c r="G7672" t="str">
        <f t="shared" si="489"/>
        <v>920-96: *Word Processing Software, Minicomputer</v>
      </c>
    </row>
    <row r="7673" spans="1:7" x14ac:dyDescent="0.25">
      <c r="A7673" s="5" t="str">
        <f t="shared" ref="A7673:A7693" si="490">TEXT(924,"000")</f>
        <v>924</v>
      </c>
      <c r="B7673" s="5" t="str">
        <f>TEXT(0,"00")</f>
        <v>00</v>
      </c>
      <c r="C7673" s="1"/>
      <c r="D7673" s="2" t="s">
        <v>7642</v>
      </c>
    </row>
    <row r="7674" spans="1:7" x14ac:dyDescent="0.25">
      <c r="A7674" s="1" t="str">
        <f t="shared" si="490"/>
        <v>924</v>
      </c>
      <c r="B7674" s="1" t="str">
        <f>TEXT(5,"00")</f>
        <v>05</v>
      </c>
      <c r="C7674" s="1" t="str">
        <f t="shared" si="488"/>
        <v>924-05</v>
      </c>
      <c r="D7674" t="s">
        <v>7643</v>
      </c>
      <c r="E7674" t="b">
        <f>IF(COUNTIF(D7674,"*"&amp;'Keyword Search'!$C$5&amp;"*"),TRUE,FALSE)</f>
        <v>1</v>
      </c>
      <c r="G7674" t="str">
        <f t="shared" si="489"/>
        <v>924-05: Advisory Services, Educational</v>
      </c>
    </row>
    <row r="7675" spans="1:7" x14ac:dyDescent="0.25">
      <c r="A7675" s="1" t="str">
        <f t="shared" si="490"/>
        <v>924</v>
      </c>
      <c r="B7675" s="1" t="str">
        <f>TEXT(16,"00")</f>
        <v>16</v>
      </c>
      <c r="C7675" s="1" t="str">
        <f t="shared" si="488"/>
        <v>924-16</v>
      </c>
      <c r="D7675" t="s">
        <v>7644</v>
      </c>
      <c r="E7675" t="b">
        <f>IF(COUNTIF(D7675,"*"&amp;'Keyword Search'!$C$5&amp;"*"),TRUE,FALSE)</f>
        <v>1</v>
      </c>
      <c r="G7675" t="str">
        <f t="shared" si="489"/>
        <v>924-16: Course Development Services, Instructional and Training</v>
      </c>
    </row>
    <row r="7676" spans="1:7" x14ac:dyDescent="0.25">
      <c r="A7676" s="1" t="str">
        <f t="shared" si="490"/>
        <v>924</v>
      </c>
      <c r="B7676" s="1" t="str">
        <f>TEXT(18,"00")</f>
        <v>18</v>
      </c>
      <c r="C7676" s="1" t="str">
        <f t="shared" si="488"/>
        <v>924-18</v>
      </c>
      <c r="D7676" t="s">
        <v>7645</v>
      </c>
      <c r="E7676" t="b">
        <f>IF(COUNTIF(D7676,"*"&amp;'Keyword Search'!$C$5&amp;"*"),TRUE,FALSE)</f>
        <v>1</v>
      </c>
      <c r="G7676" t="str">
        <f t="shared" si="489"/>
        <v>924-18: Educational Services, Alternative</v>
      </c>
    </row>
    <row r="7677" spans="1:7" x14ac:dyDescent="0.25">
      <c r="A7677" s="1" t="str">
        <f t="shared" si="490"/>
        <v>924</v>
      </c>
      <c r="B7677" s="1" t="str">
        <f>TEXT(19,"00")</f>
        <v>19</v>
      </c>
      <c r="C7677" s="1" t="str">
        <f t="shared" si="488"/>
        <v>924-19</v>
      </c>
      <c r="D7677" t="s">
        <v>7646</v>
      </c>
      <c r="E7677" t="b">
        <f>IF(COUNTIF(D7677,"*"&amp;'Keyword Search'!$C$5&amp;"*"),TRUE,FALSE)</f>
        <v>1</v>
      </c>
      <c r="G7677" t="str">
        <f t="shared" si="489"/>
        <v>924-19: Educational Research Services</v>
      </c>
    </row>
    <row r="7678" spans="1:7" x14ac:dyDescent="0.25">
      <c r="A7678" s="1" t="str">
        <f t="shared" si="490"/>
        <v>924</v>
      </c>
      <c r="B7678" s="1" t="str">
        <f>TEXT(20,"00")</f>
        <v>20</v>
      </c>
      <c r="C7678" s="1" t="str">
        <f t="shared" si="488"/>
        <v>924-20</v>
      </c>
      <c r="D7678" t="s">
        <v>7647</v>
      </c>
      <c r="E7678" t="b">
        <f>IF(COUNTIF(D7678,"*"&amp;'Keyword Search'!$C$5&amp;"*"),TRUE,FALSE)</f>
        <v>1</v>
      </c>
      <c r="G7678" t="str">
        <f t="shared" si="489"/>
        <v>924-20: Examination and Testing Services</v>
      </c>
    </row>
    <row r="7679" spans="1:7" x14ac:dyDescent="0.25">
      <c r="A7679" s="1" t="str">
        <f t="shared" si="490"/>
        <v>924</v>
      </c>
      <c r="B7679" s="1" t="str">
        <f>TEXT(25,"00")</f>
        <v>25</v>
      </c>
      <c r="C7679" s="1" t="str">
        <f t="shared" si="488"/>
        <v>924-25</v>
      </c>
      <c r="D7679" t="s">
        <v>7648</v>
      </c>
      <c r="E7679" t="b">
        <f>IF(COUNTIF(D7679,"*"&amp;'Keyword Search'!$C$5&amp;"*"),TRUE,FALSE)</f>
        <v>1</v>
      </c>
      <c r="G7679" t="str">
        <f t="shared" si="489"/>
        <v>924-25: For Credit Classes, Seminars, Workshops, etc.</v>
      </c>
    </row>
    <row r="7680" spans="1:7" x14ac:dyDescent="0.25">
      <c r="A7680" s="1" t="str">
        <f t="shared" si="490"/>
        <v>924</v>
      </c>
      <c r="B7680" s="1" t="str">
        <f>TEXT(35,"00")</f>
        <v>35</v>
      </c>
      <c r="C7680" s="1" t="str">
        <f t="shared" si="488"/>
        <v>924-35</v>
      </c>
      <c r="D7680" t="s">
        <v>7649</v>
      </c>
      <c r="E7680" t="b">
        <f>IF(COUNTIF(D7680,"*"&amp;'Keyword Search'!$C$5&amp;"*"),TRUE,FALSE)</f>
        <v>1</v>
      </c>
      <c r="G7680" t="str">
        <f t="shared" si="489"/>
        <v>924-35: In-Service Training, Employees</v>
      </c>
    </row>
    <row r="7681" spans="1:7" x14ac:dyDescent="0.25">
      <c r="A7681" s="1" t="str">
        <f t="shared" si="490"/>
        <v>924</v>
      </c>
      <c r="B7681" s="1" t="str">
        <f>TEXT(40,"00")</f>
        <v>40</v>
      </c>
      <c r="C7681" s="1" t="str">
        <f t="shared" si="488"/>
        <v>924-40</v>
      </c>
      <c r="D7681" t="s">
        <v>7650</v>
      </c>
      <c r="E7681" t="b">
        <f>IF(COUNTIF(D7681,"*"&amp;'Keyword Search'!$C$5&amp;"*"),TRUE,FALSE)</f>
        <v>1</v>
      </c>
      <c r="G7681" t="str">
        <f t="shared" si="489"/>
        <v>924-40: *Instructor-led, Classroom Training, Technical</v>
      </c>
    </row>
    <row r="7682" spans="1:7" x14ac:dyDescent="0.25">
      <c r="A7682" s="1" t="str">
        <f t="shared" si="490"/>
        <v>924</v>
      </c>
      <c r="B7682" s="1" t="str">
        <f>TEXT(41,"00")</f>
        <v>41</v>
      </c>
      <c r="C7682" s="1" t="str">
        <f t="shared" si="488"/>
        <v>924-41</v>
      </c>
      <c r="D7682" t="s">
        <v>7651</v>
      </c>
      <c r="E7682" t="b">
        <f>IF(COUNTIF(D7682,"*"&amp;'Keyword Search'!$C$5&amp;"*"),TRUE,FALSE)</f>
        <v>1</v>
      </c>
      <c r="G7682" t="str">
        <f t="shared" si="489"/>
        <v>924-41: Instructor-led, Classroom Training, Non-Technical</v>
      </c>
    </row>
    <row r="7683" spans="1:7" x14ac:dyDescent="0.25">
      <c r="A7683" s="1" t="str">
        <f t="shared" si="490"/>
        <v>924</v>
      </c>
      <c r="B7683" s="1" t="str">
        <f>TEXT(42,"00")</f>
        <v>42</v>
      </c>
      <c r="C7683" s="1" t="str">
        <f t="shared" ref="C7683:C7746" si="491">CONCATENATE(A7683,"-",B7683)</f>
        <v>924-42</v>
      </c>
      <c r="D7683" t="s">
        <v>7652</v>
      </c>
      <c r="E7683" t="b">
        <f>IF(COUNTIF(D7683,"*"&amp;'Keyword Search'!$C$5&amp;"*"),TRUE,FALSE)</f>
        <v>1</v>
      </c>
      <c r="G7683" t="str">
        <f t="shared" si="489"/>
        <v>924-42: Instructors, Classes for the Public</v>
      </c>
    </row>
    <row r="7684" spans="1:7" x14ac:dyDescent="0.25">
      <c r="A7684" s="1" t="str">
        <f t="shared" si="490"/>
        <v>924</v>
      </c>
      <c r="B7684" s="1" t="str">
        <f>TEXT(60,"00")</f>
        <v>60</v>
      </c>
      <c r="C7684" s="1" t="str">
        <f t="shared" si="491"/>
        <v>924-60</v>
      </c>
      <c r="D7684" t="s">
        <v>7653</v>
      </c>
      <c r="E7684" t="b">
        <f>IF(COUNTIF(D7684,"*"&amp;'Keyword Search'!$C$5&amp;"*"),TRUE,FALSE)</f>
        <v>1</v>
      </c>
      <c r="G7684" t="str">
        <f t="shared" ref="G7684:G7747" si="492">CONCATENATE(C7684,": ",D7684)</f>
        <v>924-60: Not-For-Credit Classes, Seminars, Workshops, etc.</v>
      </c>
    </row>
    <row r="7685" spans="1:7" x14ac:dyDescent="0.25">
      <c r="A7685" s="1" t="str">
        <f t="shared" si="490"/>
        <v>924</v>
      </c>
      <c r="B7685" s="1" t="str">
        <f>TEXT(64,"00")</f>
        <v>64</v>
      </c>
      <c r="C7685" s="1" t="str">
        <f t="shared" si="491"/>
        <v>924-64</v>
      </c>
      <c r="D7685" t="s">
        <v>7654</v>
      </c>
      <c r="E7685" t="b">
        <f>IF(COUNTIF(D7685,"*"&amp;'Keyword Search'!$C$5&amp;"*"),TRUE,FALSE)</f>
        <v>1</v>
      </c>
      <c r="G7685" t="str">
        <f t="shared" si="492"/>
        <v>924-64: Partnering Workshop Facilitation Services</v>
      </c>
    </row>
    <row r="7686" spans="1:7" x14ac:dyDescent="0.25">
      <c r="A7686" s="1" t="str">
        <f t="shared" si="490"/>
        <v>924</v>
      </c>
      <c r="B7686" s="1" t="str">
        <f>TEXT(71,"00")</f>
        <v>71</v>
      </c>
      <c r="C7686" s="1" t="str">
        <f t="shared" si="491"/>
        <v>924-71</v>
      </c>
      <c r="D7686" t="s">
        <v>7655</v>
      </c>
      <c r="E7686" t="b">
        <f>IF(COUNTIF(D7686,"*"&amp;'Keyword Search'!$C$5&amp;"*"),TRUE,FALSE)</f>
        <v>1</v>
      </c>
      <c r="G7686" t="str">
        <f t="shared" si="492"/>
        <v>924-71: School Operation and Management Services</v>
      </c>
    </row>
    <row r="7687" spans="1:7" x14ac:dyDescent="0.25">
      <c r="A7687" s="1" t="str">
        <f t="shared" si="490"/>
        <v>924</v>
      </c>
      <c r="B7687" s="1" t="str">
        <f>TEXT(74,"00")</f>
        <v>74</v>
      </c>
      <c r="C7687" s="1" t="str">
        <f t="shared" si="491"/>
        <v>924-74</v>
      </c>
      <c r="D7687" t="s">
        <v>7656</v>
      </c>
      <c r="E7687" t="b">
        <f>IF(COUNTIF(D7687,"*"&amp;'Keyword Search'!$C$5&amp;"*"),TRUE,FALSE)</f>
        <v>1</v>
      </c>
      <c r="G7687" t="str">
        <f t="shared" si="492"/>
        <v>924-74: *Special Education Services</v>
      </c>
    </row>
    <row r="7688" spans="1:7" x14ac:dyDescent="0.25">
      <c r="A7688" s="1" t="str">
        <f t="shared" si="490"/>
        <v>924</v>
      </c>
      <c r="B7688" s="1" t="str">
        <f>TEXT(75,"00")</f>
        <v>75</v>
      </c>
      <c r="C7688" s="1" t="str">
        <f t="shared" si="491"/>
        <v>924-75</v>
      </c>
      <c r="D7688" t="s">
        <v>7657</v>
      </c>
      <c r="E7688" t="b">
        <f>IF(COUNTIF(D7688,"*"&amp;'Keyword Search'!$C$5&amp;"*"),TRUE,FALSE)</f>
        <v>1</v>
      </c>
      <c r="G7688" t="str">
        <f t="shared" si="492"/>
        <v>924-75: Special Education Consultant</v>
      </c>
    </row>
    <row r="7689" spans="1:7" x14ac:dyDescent="0.25">
      <c r="A7689" s="1" t="str">
        <f t="shared" si="490"/>
        <v>924</v>
      </c>
      <c r="B7689" s="1" t="str">
        <f>TEXT(76,"00")</f>
        <v>76</v>
      </c>
      <c r="C7689" s="1" t="str">
        <f t="shared" si="491"/>
        <v>924-76</v>
      </c>
      <c r="D7689" t="s">
        <v>7658</v>
      </c>
      <c r="E7689" t="b">
        <f>IF(COUNTIF(D7689,"*"&amp;'Keyword Search'!$C$5&amp;"*"),TRUE,FALSE)</f>
        <v>1</v>
      </c>
      <c r="G7689" t="str">
        <f t="shared" si="492"/>
        <v>924-76: Student Activities Services</v>
      </c>
    </row>
    <row r="7690" spans="1:7" x14ac:dyDescent="0.25">
      <c r="A7690" s="1" t="str">
        <f t="shared" si="490"/>
        <v>924</v>
      </c>
      <c r="B7690" s="1" t="str">
        <f>TEXT(77,"00")</f>
        <v>77</v>
      </c>
      <c r="C7690" s="1" t="str">
        <f t="shared" si="491"/>
        <v>924-77</v>
      </c>
      <c r="D7690" t="s">
        <v>7659</v>
      </c>
      <c r="E7690" t="b">
        <f>IF(COUNTIF(D7690,"*"&amp;'Keyword Search'!$C$5&amp;"*"),TRUE,FALSE)</f>
        <v>1</v>
      </c>
      <c r="G7690" t="str">
        <f t="shared" si="492"/>
        <v>924-77: Teacher Certification Services</v>
      </c>
    </row>
    <row r="7691" spans="1:7" x14ac:dyDescent="0.25">
      <c r="A7691" s="1" t="str">
        <f t="shared" si="490"/>
        <v>924</v>
      </c>
      <c r="B7691" s="1" t="str">
        <f>TEXT(78,"00")</f>
        <v>78</v>
      </c>
      <c r="C7691" s="1" t="str">
        <f t="shared" si="491"/>
        <v>924-78</v>
      </c>
      <c r="D7691" t="s">
        <v>7660</v>
      </c>
      <c r="E7691" t="b">
        <f>IF(COUNTIF(D7691,"*"&amp;'Keyword Search'!$C$5&amp;"*"),TRUE,FALSE)</f>
        <v>1</v>
      </c>
      <c r="G7691" t="str">
        <f t="shared" si="492"/>
        <v>924-78: Teaching and Instruction Services: Elementary and Secondary Education, Higher Education and Adult Education</v>
      </c>
    </row>
    <row r="7692" spans="1:7" x14ac:dyDescent="0.25">
      <c r="A7692" s="1" t="str">
        <f t="shared" si="490"/>
        <v>924</v>
      </c>
      <c r="B7692" s="1" t="str">
        <f>TEXT(80,"00")</f>
        <v>80</v>
      </c>
      <c r="C7692" s="1" t="str">
        <f t="shared" si="491"/>
        <v>924-80</v>
      </c>
      <c r="D7692" t="s">
        <v>7661</v>
      </c>
      <c r="E7692" t="b">
        <f>IF(COUNTIF(D7692,"*"&amp;'Keyword Search'!$C$5&amp;"*"),TRUE,FALSE)</f>
        <v>1</v>
      </c>
      <c r="G7692" t="str">
        <f t="shared" si="492"/>
        <v>924-80: Tutoring Services</v>
      </c>
    </row>
    <row r="7693" spans="1:7" x14ac:dyDescent="0.25">
      <c r="A7693" s="1" t="str">
        <f t="shared" si="490"/>
        <v>924</v>
      </c>
      <c r="B7693" s="1" t="str">
        <f>TEXT(86,"00")</f>
        <v>86</v>
      </c>
      <c r="C7693" s="1" t="str">
        <f t="shared" si="491"/>
        <v>924-86</v>
      </c>
      <c r="D7693" t="s">
        <v>7662</v>
      </c>
      <c r="E7693" t="b">
        <f>IF(COUNTIF(D7693,"*"&amp;'Keyword Search'!$C$5&amp;"*"),TRUE,FALSE)</f>
        <v>1</v>
      </c>
      <c r="G7693" t="str">
        <f t="shared" si="492"/>
        <v>924-86: Vocational Training, All Types, Including Vocational Rehabilitation and Technical Education</v>
      </c>
    </row>
    <row r="7694" spans="1:7" x14ac:dyDescent="0.25">
      <c r="A7694" s="5" t="str">
        <f t="shared" ref="A7694:A7757" si="493">TEXT(925,"000")</f>
        <v>925</v>
      </c>
      <c r="B7694" s="5" t="str">
        <f>TEXT(0,"00")</f>
        <v>00</v>
      </c>
      <c r="C7694" s="1"/>
      <c r="D7694" s="2" t="s">
        <v>7663</v>
      </c>
    </row>
    <row r="7695" spans="1:7" x14ac:dyDescent="0.25">
      <c r="A7695" s="1" t="str">
        <f t="shared" si="493"/>
        <v>925</v>
      </c>
      <c r="B7695" s="1" t="str">
        <f>TEXT(3,"00")</f>
        <v>03</v>
      </c>
      <c r="C7695" s="1" t="str">
        <f t="shared" si="491"/>
        <v>925-03</v>
      </c>
      <c r="D7695" t="s">
        <v>7664</v>
      </c>
      <c r="E7695" t="b">
        <f>IF(COUNTIF(D7695,"*"&amp;'Keyword Search'!$C$5&amp;"*"),TRUE,FALSE)</f>
        <v>1</v>
      </c>
      <c r="G7695" t="str">
        <f t="shared" si="492"/>
        <v>925-03: Aeronautical and Aerospace Engineering</v>
      </c>
    </row>
    <row r="7696" spans="1:7" x14ac:dyDescent="0.25">
      <c r="A7696" s="1" t="str">
        <f t="shared" si="493"/>
        <v>925</v>
      </c>
      <c r="B7696" s="1" t="str">
        <f>TEXT(4,"00")</f>
        <v>04</v>
      </c>
      <c r="C7696" s="1" t="str">
        <f t="shared" si="491"/>
        <v>925-04</v>
      </c>
      <c r="D7696" t="s">
        <v>7665</v>
      </c>
      <c r="E7696" t="b">
        <f>IF(COUNTIF(D7696,"*"&amp;'Keyword Search'!$C$5&amp;"*"),TRUE,FALSE)</f>
        <v>1</v>
      </c>
      <c r="G7696" t="str">
        <f t="shared" si="492"/>
        <v>925-04: Agricultural Engineering</v>
      </c>
    </row>
    <row r="7697" spans="1:7" x14ac:dyDescent="0.25">
      <c r="A7697" s="1" t="str">
        <f t="shared" si="493"/>
        <v>925</v>
      </c>
      <c r="B7697" s="1" t="str">
        <f>TEXT(7,"00")</f>
        <v>07</v>
      </c>
      <c r="C7697" s="1" t="str">
        <f t="shared" si="491"/>
        <v>925-07</v>
      </c>
      <c r="D7697" t="s">
        <v>7666</v>
      </c>
      <c r="E7697" t="b">
        <f>IF(COUNTIF(D7697,"*"&amp;'Keyword Search'!$C$5&amp;"*"),TRUE,FALSE)</f>
        <v>1</v>
      </c>
      <c r="G7697" t="str">
        <f t="shared" si="492"/>
        <v>925-07: Air Conditioning ,Heating and Ventilating Engineering</v>
      </c>
    </row>
    <row r="7698" spans="1:7" x14ac:dyDescent="0.25">
      <c r="A7698" s="1" t="str">
        <f t="shared" si="493"/>
        <v>925</v>
      </c>
      <c r="B7698" s="1" t="str">
        <f>TEXT(8,"00")</f>
        <v>08</v>
      </c>
      <c r="C7698" s="1" t="str">
        <f t="shared" si="491"/>
        <v>925-08</v>
      </c>
      <c r="D7698" t="s">
        <v>7667</v>
      </c>
      <c r="E7698" t="b">
        <f>IF(COUNTIF(D7698,"*"&amp;'Keyword Search'!$C$5&amp;"*"),TRUE,FALSE)</f>
        <v>1</v>
      </c>
      <c r="G7698" t="str">
        <f t="shared" si="492"/>
        <v>925-08: Airports, Lighting, Fueling, Navaids Engineering</v>
      </c>
    </row>
    <row r="7699" spans="1:7" x14ac:dyDescent="0.25">
      <c r="A7699" s="1" t="str">
        <f t="shared" si="493"/>
        <v>925</v>
      </c>
      <c r="B7699" s="1" t="str">
        <f>TEXT(11,"00")</f>
        <v>11</v>
      </c>
      <c r="C7699" s="1" t="str">
        <f t="shared" si="491"/>
        <v>925-11</v>
      </c>
      <c r="D7699" t="s">
        <v>7668</v>
      </c>
      <c r="E7699" t="b">
        <f>IF(COUNTIF(D7699,"*"&amp;'Keyword Search'!$C$5&amp;"*"),TRUE,FALSE)</f>
        <v>1</v>
      </c>
      <c r="G7699" t="str">
        <f t="shared" si="492"/>
        <v>925-11: Biomedical Engineering</v>
      </c>
    </row>
    <row r="7700" spans="1:7" x14ac:dyDescent="0.25">
      <c r="A7700" s="1" t="str">
        <f t="shared" si="493"/>
        <v>925</v>
      </c>
      <c r="B7700" s="1" t="str">
        <f>TEXT(13,"00")</f>
        <v>13</v>
      </c>
      <c r="C7700" s="1" t="str">
        <f t="shared" si="491"/>
        <v>925-13</v>
      </c>
      <c r="D7700" t="s">
        <v>7669</v>
      </c>
      <c r="E7700" t="b">
        <f>IF(COUNTIF(D7700,"*"&amp;'Keyword Search'!$C$5&amp;"*"),TRUE,FALSE)</f>
        <v>1</v>
      </c>
      <c r="G7700" t="str">
        <f t="shared" si="492"/>
        <v>925-13: Bridge Engineering</v>
      </c>
    </row>
    <row r="7701" spans="1:7" x14ac:dyDescent="0.25">
      <c r="A7701" s="1" t="str">
        <f t="shared" si="493"/>
        <v>925</v>
      </c>
      <c r="B7701" s="1" t="str">
        <f>TEXT(15,"00")</f>
        <v>15</v>
      </c>
      <c r="C7701" s="1" t="str">
        <f t="shared" si="491"/>
        <v>925-15</v>
      </c>
      <c r="D7701" t="s">
        <v>7670</v>
      </c>
      <c r="E7701" t="b">
        <f>IF(COUNTIF(D7701,"*"&amp;'Keyword Search'!$C$5&amp;"*"),TRUE,FALSE)</f>
        <v>1</v>
      </c>
      <c r="G7701" t="str">
        <f t="shared" si="492"/>
        <v>925-15: Chemical Processing and Storage Engineering</v>
      </c>
    </row>
    <row r="7702" spans="1:7" x14ac:dyDescent="0.25">
      <c r="A7702" s="1" t="str">
        <f t="shared" si="493"/>
        <v>925</v>
      </c>
      <c r="B7702" s="1" t="str">
        <f>TEXT(17,"00")</f>
        <v>17</v>
      </c>
      <c r="C7702" s="1" t="str">
        <f t="shared" si="491"/>
        <v>925-17</v>
      </c>
      <c r="D7702" t="s">
        <v>7671</v>
      </c>
      <c r="E7702" t="b">
        <f>IF(COUNTIF(D7702,"*"&amp;'Keyword Search'!$C$5&amp;"*"),TRUE,FALSE)</f>
        <v>1</v>
      </c>
      <c r="G7702" t="str">
        <f t="shared" si="492"/>
        <v>925-17: Civil Engineering</v>
      </c>
    </row>
    <row r="7703" spans="1:7" x14ac:dyDescent="0.25">
      <c r="A7703" s="1" t="str">
        <f t="shared" si="493"/>
        <v>925</v>
      </c>
      <c r="B7703" s="1" t="str">
        <f>TEXT(19,"00")</f>
        <v>19</v>
      </c>
      <c r="C7703" s="1" t="str">
        <f t="shared" si="491"/>
        <v>925-19</v>
      </c>
      <c r="D7703" t="s">
        <v>7672</v>
      </c>
      <c r="E7703" t="b">
        <f>IF(COUNTIF(D7703,"*"&amp;'Keyword Search'!$C$5&amp;"*"),TRUE,FALSE)</f>
        <v>1</v>
      </c>
      <c r="G7703" t="str">
        <f t="shared" si="492"/>
        <v>925-19: Concrete Engineering</v>
      </c>
    </row>
    <row r="7704" spans="1:7" x14ac:dyDescent="0.25">
      <c r="A7704" s="1" t="str">
        <f t="shared" si="493"/>
        <v>925</v>
      </c>
      <c r="B7704" s="1" t="str">
        <f>TEXT(20,"00")</f>
        <v>20</v>
      </c>
      <c r="C7704" s="1" t="str">
        <f t="shared" si="491"/>
        <v>925-20</v>
      </c>
      <c r="D7704" t="s">
        <v>7673</v>
      </c>
      <c r="E7704" t="b">
        <f>IF(COUNTIF(D7704,"*"&amp;'Keyword Search'!$C$5&amp;"*"),TRUE,FALSE)</f>
        <v>1</v>
      </c>
      <c r="G7704" t="str">
        <f t="shared" si="492"/>
        <v>925-20: Cold Storage, Refrigeration, Fast Freeze Engineering</v>
      </c>
    </row>
    <row r="7705" spans="1:7" x14ac:dyDescent="0.25">
      <c r="A7705" s="1" t="str">
        <f t="shared" si="493"/>
        <v>925</v>
      </c>
      <c r="B7705" s="1" t="str">
        <f>TEXT(21,"00")</f>
        <v>21</v>
      </c>
      <c r="C7705" s="1" t="str">
        <f t="shared" si="491"/>
        <v>925-21</v>
      </c>
      <c r="D7705" t="s">
        <v>7674</v>
      </c>
      <c r="E7705" t="b">
        <f>IF(COUNTIF(D7705,"*"&amp;'Keyword Search'!$C$5&amp;"*"),TRUE,FALSE)</f>
        <v>1</v>
      </c>
      <c r="G7705" t="str">
        <f t="shared" si="492"/>
        <v>925-21: Corrosion Control; Cathodic Protection; Electrolysis Engineering</v>
      </c>
    </row>
    <row r="7706" spans="1:7" x14ac:dyDescent="0.25">
      <c r="A7706" s="1" t="str">
        <f t="shared" si="493"/>
        <v>925</v>
      </c>
      <c r="B7706" s="1" t="str">
        <f>TEXT(22,"00")</f>
        <v>22</v>
      </c>
      <c r="C7706" s="1" t="str">
        <f t="shared" si="491"/>
        <v>925-22</v>
      </c>
      <c r="D7706" t="s">
        <v>7675</v>
      </c>
      <c r="E7706" t="b">
        <f>IF(COUNTIF(D7706,"*"&amp;'Keyword Search'!$C$5&amp;"*"),TRUE,FALSE)</f>
        <v>1</v>
      </c>
      <c r="G7706" t="str">
        <f t="shared" si="492"/>
        <v>925-22: Control Systems Engineering</v>
      </c>
    </row>
    <row r="7707" spans="1:7" x14ac:dyDescent="0.25">
      <c r="A7707" s="1" t="str">
        <f t="shared" si="493"/>
        <v>925</v>
      </c>
      <c r="B7707" s="1" t="str">
        <f>TEXT(23,"00")</f>
        <v>23</v>
      </c>
      <c r="C7707" s="1" t="str">
        <f t="shared" si="491"/>
        <v>925-23</v>
      </c>
      <c r="D7707" t="s">
        <v>7676</v>
      </c>
      <c r="E7707" t="b">
        <f>IF(COUNTIF(D7707,"*"&amp;'Keyword Search'!$C$5&amp;"*"),TRUE,FALSE)</f>
        <v>1</v>
      </c>
      <c r="G7707" t="str">
        <f t="shared" si="492"/>
        <v>925-23: Dam Engineering</v>
      </c>
    </row>
    <row r="7708" spans="1:7" x14ac:dyDescent="0.25">
      <c r="A7708" s="1" t="str">
        <f t="shared" si="493"/>
        <v>925</v>
      </c>
      <c r="B7708" s="1" t="str">
        <f>TEXT(24,"00")</f>
        <v>24</v>
      </c>
      <c r="C7708" s="1" t="str">
        <f t="shared" si="491"/>
        <v>925-24</v>
      </c>
      <c r="D7708" t="s">
        <v>7677</v>
      </c>
      <c r="E7708" t="b">
        <f>IF(COUNTIF(D7708,"*"&amp;'Keyword Search'!$C$5&amp;"*"),TRUE,FALSE)</f>
        <v>1</v>
      </c>
      <c r="G7708" t="str">
        <f t="shared" si="492"/>
        <v>925-24: Desalinization, Process and Facilities Engineering</v>
      </c>
    </row>
    <row r="7709" spans="1:7" x14ac:dyDescent="0.25">
      <c r="A7709" s="1" t="str">
        <f t="shared" si="493"/>
        <v>925</v>
      </c>
      <c r="B7709" s="1" t="str">
        <f>TEXT(28,"00")</f>
        <v>28</v>
      </c>
      <c r="C7709" s="1" t="str">
        <f t="shared" si="491"/>
        <v>925-28</v>
      </c>
      <c r="D7709" t="s">
        <v>7678</v>
      </c>
      <c r="E7709" t="b">
        <f>IF(COUNTIF(D7709,"*"&amp;'Keyword Search'!$C$5&amp;"*"),TRUE,FALSE)</f>
        <v>1</v>
      </c>
      <c r="G7709" t="str">
        <f t="shared" si="492"/>
        <v>925-28: Drainage Engineering</v>
      </c>
    </row>
    <row r="7710" spans="1:7" x14ac:dyDescent="0.25">
      <c r="A7710" s="1" t="str">
        <f t="shared" si="493"/>
        <v>925</v>
      </c>
      <c r="B7710" s="1" t="str">
        <f>TEXT(29,"00")</f>
        <v>29</v>
      </c>
      <c r="C7710" s="1" t="str">
        <f t="shared" si="491"/>
        <v>925-29</v>
      </c>
      <c r="D7710" t="s">
        <v>7679</v>
      </c>
      <c r="E7710" t="b">
        <f>IF(COUNTIF(D7710,"*"&amp;'Keyword Search'!$C$5&amp;"*"),TRUE,FALSE)</f>
        <v>1</v>
      </c>
      <c r="G7710" t="str">
        <f t="shared" si="492"/>
        <v>925-29: Electric Utility Protection and Control Engineering</v>
      </c>
    </row>
    <row r="7711" spans="1:7" x14ac:dyDescent="0.25">
      <c r="A7711" s="1" t="str">
        <f t="shared" si="493"/>
        <v>925</v>
      </c>
      <c r="B7711" s="1" t="str">
        <f>TEXT(30,"00")</f>
        <v>30</v>
      </c>
      <c r="C7711" s="1" t="str">
        <f t="shared" si="491"/>
        <v>925-30</v>
      </c>
      <c r="D7711" t="s">
        <v>7680</v>
      </c>
      <c r="E7711" t="b">
        <f>IF(COUNTIF(D7711,"*"&amp;'Keyword Search'!$C$5&amp;"*"),TRUE,FALSE)</f>
        <v>1</v>
      </c>
      <c r="G7711" t="str">
        <f t="shared" si="492"/>
        <v>925-30: Earthquake-Seismic Engineering</v>
      </c>
    </row>
    <row r="7712" spans="1:7" x14ac:dyDescent="0.25">
      <c r="A7712" s="1" t="str">
        <f t="shared" si="493"/>
        <v>925</v>
      </c>
      <c r="B7712" s="1" t="str">
        <f>TEXT(31,"00")</f>
        <v>31</v>
      </c>
      <c r="C7712" s="1" t="str">
        <f t="shared" si="491"/>
        <v>925-31</v>
      </c>
      <c r="D7712" t="s">
        <v>7681</v>
      </c>
      <c r="E7712" t="b">
        <f>IF(COUNTIF(D7712,"*"&amp;'Keyword Search'!$C$5&amp;"*"),TRUE,FALSE)</f>
        <v>1</v>
      </c>
      <c r="G7712" t="str">
        <f t="shared" si="492"/>
        <v>925-31: Electrical Engineering, Including Cogeneration Design Services</v>
      </c>
    </row>
    <row r="7713" spans="1:7" x14ac:dyDescent="0.25">
      <c r="A7713" s="1" t="str">
        <f t="shared" si="493"/>
        <v>925</v>
      </c>
      <c r="B7713" s="1" t="str">
        <f>TEXT(32,"00")</f>
        <v>32</v>
      </c>
      <c r="C7713" s="1" t="str">
        <f t="shared" si="491"/>
        <v>925-32</v>
      </c>
      <c r="D7713" t="s">
        <v>7682</v>
      </c>
      <c r="E7713" t="b">
        <f>IF(COUNTIF(D7713,"*"&amp;'Keyword Search'!$C$5&amp;"*"),TRUE,FALSE)</f>
        <v>1</v>
      </c>
      <c r="G7713" t="str">
        <f t="shared" si="492"/>
        <v>925-32: Electronic Engineering</v>
      </c>
    </row>
    <row r="7714" spans="1:7" x14ac:dyDescent="0.25">
      <c r="A7714" s="1" t="str">
        <f t="shared" si="493"/>
        <v>925</v>
      </c>
      <c r="B7714" s="1" t="str">
        <f>TEXT(33,"00")</f>
        <v>33</v>
      </c>
      <c r="C7714" s="1" t="str">
        <f t="shared" si="491"/>
        <v>925-33</v>
      </c>
      <c r="D7714" t="s">
        <v>7683</v>
      </c>
      <c r="E7714" t="b">
        <f>IF(COUNTIF(D7714,"*"&amp;'Keyword Search'!$C$5&amp;"*"),TRUE,FALSE)</f>
        <v>1</v>
      </c>
      <c r="G7714" t="str">
        <f t="shared" si="492"/>
        <v>925-33: Engineer Services, Professional (Inactive, effective January 1, 2016)</v>
      </c>
    </row>
    <row r="7715" spans="1:7" x14ac:dyDescent="0.25">
      <c r="A7715" s="1" t="str">
        <f t="shared" si="493"/>
        <v>925</v>
      </c>
      <c r="B7715" s="1" t="str">
        <f>TEXT(34,"00")</f>
        <v>34</v>
      </c>
      <c r="C7715" s="1" t="str">
        <f t="shared" si="491"/>
        <v>925-34</v>
      </c>
      <c r="D7715" t="s">
        <v>7684</v>
      </c>
      <c r="E7715" t="b">
        <f>IF(COUNTIF(D7715,"*"&amp;'Keyword Search'!$C$5&amp;"*"),TRUE,FALSE)</f>
        <v>1</v>
      </c>
      <c r="G7715" t="str">
        <f t="shared" si="492"/>
        <v>925-34: Energy Management Engineering</v>
      </c>
    </row>
    <row r="7716" spans="1:7" x14ac:dyDescent="0.25">
      <c r="A7716" s="1" t="str">
        <f t="shared" si="493"/>
        <v>925</v>
      </c>
      <c r="B7716" s="1" t="str">
        <f>TEXT(35,"00")</f>
        <v>35</v>
      </c>
      <c r="C7716" s="1" t="str">
        <f t="shared" si="491"/>
        <v>925-35</v>
      </c>
      <c r="D7716" t="s">
        <v>7685</v>
      </c>
      <c r="E7716" t="b">
        <f>IF(COUNTIF(D7716,"*"&amp;'Keyword Search'!$C$5&amp;"*"),TRUE,FALSE)</f>
        <v>1</v>
      </c>
      <c r="G7716" t="str">
        <f t="shared" si="492"/>
        <v>925-35: Environmental Engineering</v>
      </c>
    </row>
    <row r="7717" spans="1:7" x14ac:dyDescent="0.25">
      <c r="A7717" s="1" t="str">
        <f t="shared" si="493"/>
        <v>925</v>
      </c>
      <c r="B7717" s="1" t="str">
        <f>TEXT(36,"00")</f>
        <v>36</v>
      </c>
      <c r="C7717" s="1" t="str">
        <f t="shared" si="491"/>
        <v>925-36</v>
      </c>
      <c r="D7717" t="s">
        <v>7686</v>
      </c>
      <c r="E7717" t="b">
        <f>IF(COUNTIF(D7717,"*"&amp;'Keyword Search'!$C$5&amp;"*"),TRUE,FALSE)</f>
        <v>1</v>
      </c>
      <c r="G7717" t="str">
        <f t="shared" si="492"/>
        <v>925-36: Engineering Services (Not Otherwise Classified)</v>
      </c>
    </row>
    <row r="7718" spans="1:7" x14ac:dyDescent="0.25">
      <c r="A7718" s="1" t="str">
        <f t="shared" si="493"/>
        <v>925</v>
      </c>
      <c r="B7718" s="1" t="str">
        <f>TEXT(37,"00")</f>
        <v>37</v>
      </c>
      <c r="C7718" s="1" t="str">
        <f t="shared" si="491"/>
        <v>925-37</v>
      </c>
      <c r="D7718" t="s">
        <v>7687</v>
      </c>
      <c r="E7718" t="b">
        <f>IF(COUNTIF(D7718,"*"&amp;'Keyword Search'!$C$5&amp;"*"),TRUE,FALSE)</f>
        <v>1</v>
      </c>
      <c r="G7718" t="str">
        <f t="shared" si="492"/>
        <v>925-37: Facilities Design Engineering</v>
      </c>
    </row>
    <row r="7719" spans="1:7" x14ac:dyDescent="0.25">
      <c r="A7719" s="1" t="str">
        <f t="shared" si="493"/>
        <v>925</v>
      </c>
      <c r="B7719" s="1" t="str">
        <f>TEXT(38,"00")</f>
        <v>38</v>
      </c>
      <c r="C7719" s="1" t="str">
        <f t="shared" si="491"/>
        <v>925-38</v>
      </c>
      <c r="D7719" t="s">
        <v>7688</v>
      </c>
      <c r="E7719" t="b">
        <f>IF(COUNTIF(D7719,"*"&amp;'Keyword Search'!$C$5&amp;"*"),TRUE,FALSE)</f>
        <v>1</v>
      </c>
      <c r="G7719" t="str">
        <f t="shared" si="492"/>
        <v>925-38: Field Engineering</v>
      </c>
    </row>
    <row r="7720" spans="1:7" x14ac:dyDescent="0.25">
      <c r="A7720" s="1" t="str">
        <f t="shared" si="493"/>
        <v>925</v>
      </c>
      <c r="B7720" s="1" t="str">
        <f>TEXT(39,"00")</f>
        <v>39</v>
      </c>
      <c r="C7720" s="1" t="str">
        <f t="shared" si="491"/>
        <v>925-39</v>
      </c>
      <c r="D7720" t="s">
        <v>7689</v>
      </c>
      <c r="E7720" t="b">
        <f>IF(COUNTIF(D7720,"*"&amp;'Keyword Search'!$C$5&amp;"*"),TRUE,FALSE)</f>
        <v>1</v>
      </c>
      <c r="G7720" t="str">
        <f t="shared" si="492"/>
        <v>925-39: Fire Protection Engineering</v>
      </c>
    </row>
    <row r="7721" spans="1:7" x14ac:dyDescent="0.25">
      <c r="A7721" s="1" t="str">
        <f t="shared" si="493"/>
        <v>925</v>
      </c>
      <c r="B7721" s="1" t="str">
        <f>TEXT(40,"00")</f>
        <v>40</v>
      </c>
      <c r="C7721" s="1" t="str">
        <f t="shared" si="491"/>
        <v>925-40</v>
      </c>
      <c r="D7721" t="s">
        <v>7690</v>
      </c>
      <c r="E7721" t="b">
        <f>IF(COUNTIF(D7721,"*"&amp;'Keyword Search'!$C$5&amp;"*"),TRUE,FALSE)</f>
        <v>1</v>
      </c>
      <c r="G7721" t="str">
        <f t="shared" si="492"/>
        <v>925-40: Fisheries; Fish Ladders Engineering</v>
      </c>
    </row>
    <row r="7722" spans="1:7" x14ac:dyDescent="0.25">
      <c r="A7722" s="1" t="str">
        <f t="shared" si="493"/>
        <v>925</v>
      </c>
      <c r="B7722" s="1" t="str">
        <f>TEXT(41,"00")</f>
        <v>41</v>
      </c>
      <c r="C7722" s="1" t="str">
        <f t="shared" si="491"/>
        <v>925-41</v>
      </c>
      <c r="D7722" t="s">
        <v>7691</v>
      </c>
      <c r="E7722" t="b">
        <f>IF(COUNTIF(D7722,"*"&amp;'Keyword Search'!$C$5&amp;"*"),TRUE,FALSE)</f>
        <v>1</v>
      </c>
      <c r="G7722" t="str">
        <f t="shared" si="492"/>
        <v>925-41: Forensic Engineering</v>
      </c>
    </row>
    <row r="7723" spans="1:7" x14ac:dyDescent="0.25">
      <c r="A7723" s="1" t="str">
        <f t="shared" si="493"/>
        <v>925</v>
      </c>
      <c r="B7723" s="1" t="str">
        <f>TEXT(42,"00")</f>
        <v>42</v>
      </c>
      <c r="C7723" s="1" t="str">
        <f t="shared" si="491"/>
        <v>925-42</v>
      </c>
      <c r="D7723" t="s">
        <v>7692</v>
      </c>
      <c r="E7723" t="b">
        <f>IF(COUNTIF(D7723,"*"&amp;'Keyword Search'!$C$5&amp;"*"),TRUE,FALSE)</f>
        <v>1</v>
      </c>
      <c r="G7723" t="str">
        <f t="shared" si="492"/>
        <v>925-42: Foundation Engineering</v>
      </c>
    </row>
    <row r="7724" spans="1:7" x14ac:dyDescent="0.25">
      <c r="A7724" s="1" t="str">
        <f t="shared" si="493"/>
        <v>925</v>
      </c>
      <c r="B7724" s="1" t="str">
        <f>TEXT(43,"00")</f>
        <v>43</v>
      </c>
      <c r="C7724" s="1" t="str">
        <f t="shared" si="491"/>
        <v>925-43</v>
      </c>
      <c r="D7724" t="s">
        <v>7693</v>
      </c>
      <c r="E7724" t="b">
        <f>IF(COUNTIF(D7724,"*"&amp;'Keyword Search'!$C$5&amp;"*"),TRUE,FALSE)</f>
        <v>1</v>
      </c>
      <c r="G7724" t="str">
        <f t="shared" si="492"/>
        <v>925-43: Gas Systems, Propane, Natural, etc. Engineering</v>
      </c>
    </row>
    <row r="7725" spans="1:7" x14ac:dyDescent="0.25">
      <c r="A7725" s="1" t="str">
        <f t="shared" si="493"/>
        <v>925</v>
      </c>
      <c r="B7725" s="1" t="str">
        <f>TEXT(44,"00")</f>
        <v>44</v>
      </c>
      <c r="C7725" s="1" t="str">
        <f t="shared" si="491"/>
        <v>925-44</v>
      </c>
      <c r="D7725" t="s">
        <v>7694</v>
      </c>
      <c r="E7725" t="b">
        <f>IF(COUNTIF(D7725,"*"&amp;'Keyword Search'!$C$5&amp;"*"),TRUE,FALSE)</f>
        <v>1</v>
      </c>
      <c r="G7725" t="str">
        <f t="shared" si="492"/>
        <v>925-44: General Construction: Management, Scheduling, Cost Estimation Engineering</v>
      </c>
    </row>
    <row r="7726" spans="1:7" x14ac:dyDescent="0.25">
      <c r="A7726" s="1" t="str">
        <f t="shared" si="493"/>
        <v>925</v>
      </c>
      <c r="B7726" s="1" t="str">
        <f>TEXT(45,"00")</f>
        <v>45</v>
      </c>
      <c r="C7726" s="1" t="str">
        <f t="shared" si="491"/>
        <v>925-45</v>
      </c>
      <c r="D7726" t="s">
        <v>7695</v>
      </c>
      <c r="E7726" t="b">
        <f>IF(COUNTIF(D7726,"*"&amp;'Keyword Search'!$C$5&amp;"*"),TRUE,FALSE)</f>
        <v>1</v>
      </c>
      <c r="G7726" t="str">
        <f t="shared" si="492"/>
        <v>925-45: Geological Engineering</v>
      </c>
    </row>
    <row r="7727" spans="1:7" x14ac:dyDescent="0.25">
      <c r="A7727" s="1" t="str">
        <f t="shared" si="493"/>
        <v>925</v>
      </c>
      <c r="B7727" s="1" t="str">
        <f>TEXT(46,"00")</f>
        <v>46</v>
      </c>
      <c r="C7727" s="1" t="str">
        <f t="shared" si="491"/>
        <v>925-46</v>
      </c>
      <c r="D7727" t="s">
        <v>7696</v>
      </c>
      <c r="E7727" t="b">
        <f>IF(COUNTIF(D7727,"*"&amp;'Keyword Search'!$C$5&amp;"*"),TRUE,FALSE)</f>
        <v>1</v>
      </c>
      <c r="G7727" t="str">
        <f t="shared" si="492"/>
        <v>925-46: Geotechnical Engineering</v>
      </c>
    </row>
    <row r="7728" spans="1:7" x14ac:dyDescent="0.25">
      <c r="A7728" s="1" t="str">
        <f t="shared" si="493"/>
        <v>925</v>
      </c>
      <c r="B7728" s="1" t="str">
        <f>TEXT(48,"00")</f>
        <v>48</v>
      </c>
      <c r="C7728" s="1" t="str">
        <f t="shared" si="491"/>
        <v>925-48</v>
      </c>
      <c r="D7728" t="s">
        <v>7697</v>
      </c>
      <c r="E7728" t="b">
        <f>IF(COUNTIF(D7728,"*"&amp;'Keyword Search'!$C$5&amp;"*"),TRUE,FALSE)</f>
        <v>1</v>
      </c>
      <c r="G7728" t="str">
        <f t="shared" si="492"/>
        <v>925-48: Harbors, Jetties. Piers, Docks, Marinas, Ship Terminal Facilities Engineering</v>
      </c>
    </row>
    <row r="7729" spans="1:7" x14ac:dyDescent="0.25">
      <c r="A7729" s="1" t="str">
        <f t="shared" si="493"/>
        <v>925</v>
      </c>
      <c r="B7729" s="1" t="str">
        <f>TEXT(49,"00")</f>
        <v>49</v>
      </c>
      <c r="C7729" s="1" t="str">
        <f t="shared" si="491"/>
        <v>925-49</v>
      </c>
      <c r="D7729" t="s">
        <v>7698</v>
      </c>
      <c r="E7729" t="b">
        <f>IF(COUNTIF(D7729,"*"&amp;'Keyword Search'!$C$5&amp;"*"),TRUE,FALSE)</f>
        <v>1</v>
      </c>
      <c r="G7729" t="str">
        <f t="shared" si="492"/>
        <v>925-49: Highways, Streets, Airport Pay-Parking Lots Engineering</v>
      </c>
    </row>
    <row r="7730" spans="1:7" x14ac:dyDescent="0.25">
      <c r="A7730" s="1" t="str">
        <f t="shared" si="493"/>
        <v>925</v>
      </c>
      <c r="B7730" s="1" t="str">
        <f>TEXT(50,"00")</f>
        <v>50</v>
      </c>
      <c r="C7730" s="1" t="str">
        <f t="shared" si="491"/>
        <v>925-50</v>
      </c>
      <c r="D7730" t="s">
        <v>7699</v>
      </c>
      <c r="E7730" t="b">
        <f>IF(COUNTIF(D7730,"*"&amp;'Keyword Search'!$C$5&amp;"*"),TRUE,FALSE)</f>
        <v>1</v>
      </c>
      <c r="G7730" t="str">
        <f t="shared" si="492"/>
        <v>925-50: Hydroelectric Engineering</v>
      </c>
    </row>
    <row r="7731" spans="1:7" x14ac:dyDescent="0.25">
      <c r="A7731" s="1" t="str">
        <f t="shared" si="493"/>
        <v>925</v>
      </c>
      <c r="B7731" s="1" t="str">
        <f>TEXT(51,"00")</f>
        <v>51</v>
      </c>
      <c r="C7731" s="1" t="str">
        <f t="shared" si="491"/>
        <v>925-51</v>
      </c>
      <c r="D7731" t="s">
        <v>7700</v>
      </c>
      <c r="E7731" t="b">
        <f>IF(COUNTIF(D7731,"*"&amp;'Keyword Search'!$C$5&amp;"*"),TRUE,FALSE)</f>
        <v>1</v>
      </c>
      <c r="G7731" t="str">
        <f t="shared" si="492"/>
        <v>925-51: Hazardous Waste Engineering Services, Including Remedial Investigations and Feasibility Studies for Waste Sites</v>
      </c>
    </row>
    <row r="7732" spans="1:7" x14ac:dyDescent="0.25">
      <c r="A7732" s="1" t="str">
        <f t="shared" si="493"/>
        <v>925</v>
      </c>
      <c r="B7732" s="1" t="str">
        <f>TEXT(53,"00")</f>
        <v>53</v>
      </c>
      <c r="C7732" s="1" t="str">
        <f t="shared" si="491"/>
        <v>925-53</v>
      </c>
      <c r="D7732" t="s">
        <v>7701</v>
      </c>
      <c r="E7732" t="b">
        <f>IF(COUNTIF(D7732,"*"&amp;'Keyword Search'!$C$5&amp;"*"),TRUE,FALSE)</f>
        <v>1</v>
      </c>
      <c r="G7732" t="str">
        <f t="shared" si="492"/>
        <v>925-53: Industrial Engineering</v>
      </c>
    </row>
    <row r="7733" spans="1:7" x14ac:dyDescent="0.25">
      <c r="A7733" s="1" t="str">
        <f t="shared" si="493"/>
        <v>925</v>
      </c>
      <c r="B7733" s="1" t="str">
        <f>TEXT(55,"00")</f>
        <v>55</v>
      </c>
      <c r="C7733" s="1" t="str">
        <f t="shared" si="491"/>
        <v>925-55</v>
      </c>
      <c r="D7733" t="s">
        <v>7702</v>
      </c>
      <c r="E7733" t="b">
        <f>IF(COUNTIF(D7733,"*"&amp;'Keyword Search'!$C$5&amp;"*"),TRUE,FALSE)</f>
        <v>1</v>
      </c>
      <c r="G7733" t="str">
        <f t="shared" si="492"/>
        <v>925-55: Inspecting, General Engineering</v>
      </c>
    </row>
    <row r="7734" spans="1:7" x14ac:dyDescent="0.25">
      <c r="A7734" s="1" t="str">
        <f t="shared" si="493"/>
        <v>925</v>
      </c>
      <c r="B7734" s="1" t="str">
        <f>TEXT(56,"00")</f>
        <v>56</v>
      </c>
      <c r="C7734" s="1" t="str">
        <f t="shared" si="491"/>
        <v>925-56</v>
      </c>
      <c r="D7734" t="s">
        <v>7703</v>
      </c>
      <c r="E7734" t="b">
        <f>IF(COUNTIF(D7734,"*"&amp;'Keyword Search'!$C$5&amp;"*"),TRUE,FALSE)</f>
        <v>1</v>
      </c>
      <c r="G7734" t="str">
        <f t="shared" si="492"/>
        <v>925-56: Inspecting, Structural Engineering</v>
      </c>
    </row>
    <row r="7735" spans="1:7" x14ac:dyDescent="0.25">
      <c r="A7735" s="1" t="str">
        <f t="shared" si="493"/>
        <v>925</v>
      </c>
      <c r="B7735" s="1" t="str">
        <f>TEXT(57,"00")</f>
        <v>57</v>
      </c>
      <c r="C7735" s="1" t="str">
        <f t="shared" si="491"/>
        <v>925-57</v>
      </c>
      <c r="D7735" t="s">
        <v>7704</v>
      </c>
      <c r="E7735" t="b">
        <f>IF(COUNTIF(D7735,"*"&amp;'Keyword Search'!$C$5&amp;"*"),TRUE,FALSE)</f>
        <v>1</v>
      </c>
      <c r="G7735" t="str">
        <f t="shared" si="492"/>
        <v>925-57: Instrumentation Engineering</v>
      </c>
    </row>
    <row r="7736" spans="1:7" x14ac:dyDescent="0.25">
      <c r="A7736" s="1" t="str">
        <f t="shared" si="493"/>
        <v>925</v>
      </c>
      <c r="B7736" s="1" t="str">
        <f>TEXT(58,"00")</f>
        <v>58</v>
      </c>
      <c r="C7736" s="1" t="str">
        <f t="shared" si="491"/>
        <v>925-58</v>
      </c>
      <c r="D7736" t="s">
        <v>7705</v>
      </c>
      <c r="E7736" t="b">
        <f>IF(COUNTIF(D7736,"*"&amp;'Keyword Search'!$C$5&amp;"*"),TRUE,FALSE)</f>
        <v>1</v>
      </c>
      <c r="G7736" t="str">
        <f t="shared" si="492"/>
        <v>925-58: Irrigation; Drainage; Flood Control Engineering</v>
      </c>
    </row>
    <row r="7737" spans="1:7" x14ac:dyDescent="0.25">
      <c r="A7737" s="1" t="str">
        <f t="shared" si="493"/>
        <v>925</v>
      </c>
      <c r="B7737" s="1" t="str">
        <f>TEXT(61,"00")</f>
        <v>61</v>
      </c>
      <c r="C7737" s="1" t="str">
        <f t="shared" si="491"/>
        <v>925-61</v>
      </c>
      <c r="D7737" t="s">
        <v>7706</v>
      </c>
      <c r="E7737" t="b">
        <f>IF(COUNTIF(D7737,"*"&amp;'Keyword Search'!$C$5&amp;"*"),TRUE,FALSE)</f>
        <v>1</v>
      </c>
      <c r="G7737" t="str">
        <f t="shared" si="492"/>
        <v>925-61: Land Development and Planning Engineering</v>
      </c>
    </row>
    <row r="7738" spans="1:7" x14ac:dyDescent="0.25">
      <c r="A7738" s="1" t="str">
        <f t="shared" si="493"/>
        <v>925</v>
      </c>
      <c r="B7738" s="1" t="str">
        <f>TEXT(65,"00")</f>
        <v>65</v>
      </c>
      <c r="C7738" s="1" t="str">
        <f t="shared" si="491"/>
        <v>925-65</v>
      </c>
      <c r="D7738" t="s">
        <v>7707</v>
      </c>
      <c r="E7738" t="b">
        <f>IF(COUNTIF(D7738,"*"&amp;'Keyword Search'!$C$5&amp;"*"),TRUE,FALSE)</f>
        <v>1</v>
      </c>
      <c r="G7738" t="str">
        <f t="shared" si="492"/>
        <v>925-65: Machine Design Engineering</v>
      </c>
    </row>
    <row r="7739" spans="1:7" x14ac:dyDescent="0.25">
      <c r="A7739" s="1" t="str">
        <f t="shared" si="493"/>
        <v>925</v>
      </c>
      <c r="B7739" s="1" t="str">
        <f>TEXT(66,"00")</f>
        <v>66</v>
      </c>
      <c r="C7739" s="1" t="str">
        <f t="shared" si="491"/>
        <v>925-66</v>
      </c>
      <c r="D7739" t="s">
        <v>7708</v>
      </c>
      <c r="E7739" t="b">
        <f>IF(COUNTIF(D7739,"*"&amp;'Keyword Search'!$C$5&amp;"*"),TRUE,FALSE)</f>
        <v>1</v>
      </c>
      <c r="G7739" t="str">
        <f t="shared" si="492"/>
        <v>925-66: Manufacturing Engineering</v>
      </c>
    </row>
    <row r="7740" spans="1:7" x14ac:dyDescent="0.25">
      <c r="A7740" s="1" t="str">
        <f t="shared" si="493"/>
        <v>925</v>
      </c>
      <c r="B7740" s="1" t="str">
        <f>TEXT(67,"00")</f>
        <v>67</v>
      </c>
      <c r="C7740" s="1" t="str">
        <f t="shared" si="491"/>
        <v>925-67</v>
      </c>
      <c r="D7740" t="s">
        <v>7709</v>
      </c>
      <c r="E7740" t="b">
        <f>IF(COUNTIF(D7740,"*"&amp;'Keyword Search'!$C$5&amp;"*"),TRUE,FALSE)</f>
        <v>1</v>
      </c>
      <c r="G7740" t="str">
        <f t="shared" si="492"/>
        <v>925-67: Mechanical Engineering</v>
      </c>
    </row>
    <row r="7741" spans="1:7" x14ac:dyDescent="0.25">
      <c r="A7741" s="1" t="str">
        <f t="shared" si="493"/>
        <v>925</v>
      </c>
      <c r="B7741" s="1" t="str">
        <f>TEXT(68,"00")</f>
        <v>68</v>
      </c>
      <c r="C7741" s="1" t="str">
        <f t="shared" si="491"/>
        <v>925-68</v>
      </c>
      <c r="D7741" t="s">
        <v>7710</v>
      </c>
      <c r="E7741" t="b">
        <f>IF(COUNTIF(D7741,"*"&amp;'Keyword Search'!$C$5&amp;"*"),TRUE,FALSE)</f>
        <v>1</v>
      </c>
      <c r="G7741" t="str">
        <f t="shared" si="492"/>
        <v>925-68: Metallurgical Engineering</v>
      </c>
    </row>
    <row r="7742" spans="1:7" x14ac:dyDescent="0.25">
      <c r="A7742" s="1" t="str">
        <f t="shared" si="493"/>
        <v>925</v>
      </c>
      <c r="B7742" s="1" t="str">
        <f>TEXT(69,"00")</f>
        <v>69</v>
      </c>
      <c r="C7742" s="1" t="str">
        <f t="shared" si="491"/>
        <v>925-69</v>
      </c>
      <c r="D7742" t="s">
        <v>7711</v>
      </c>
      <c r="E7742" t="b">
        <f>IF(COUNTIF(D7742,"*"&amp;'Keyword Search'!$C$5&amp;"*"),TRUE,FALSE)</f>
        <v>1</v>
      </c>
      <c r="G7742" t="str">
        <f t="shared" si="492"/>
        <v>925-69: Mining and Mineralogy Engineering</v>
      </c>
    </row>
    <row r="7743" spans="1:7" x14ac:dyDescent="0.25">
      <c r="A7743" s="1" t="str">
        <f t="shared" si="493"/>
        <v>925</v>
      </c>
      <c r="B7743" s="1" t="str">
        <f>TEXT(70,"00")</f>
        <v>70</v>
      </c>
      <c r="C7743" s="1" t="str">
        <f t="shared" si="491"/>
        <v>925-70</v>
      </c>
      <c r="D7743" t="s">
        <v>7712</v>
      </c>
      <c r="E7743" t="b">
        <f>IF(COUNTIF(D7743,"*"&amp;'Keyword Search'!$C$5&amp;"*"),TRUE,FALSE)</f>
        <v>1</v>
      </c>
      <c r="G7743" t="str">
        <f t="shared" si="492"/>
        <v>925-70: Municipal Engineering</v>
      </c>
    </row>
    <row r="7744" spans="1:7" x14ac:dyDescent="0.25">
      <c r="A7744" s="1" t="str">
        <f t="shared" si="493"/>
        <v>925</v>
      </c>
      <c r="B7744" s="1" t="str">
        <f>TEXT(72,"00")</f>
        <v>72</v>
      </c>
      <c r="C7744" s="1" t="str">
        <f t="shared" si="491"/>
        <v>925-72</v>
      </c>
      <c r="D7744" t="s">
        <v>7713</v>
      </c>
      <c r="E7744" t="b">
        <f>IF(COUNTIF(D7744,"*"&amp;'Keyword Search'!$C$5&amp;"*"),TRUE,FALSE)</f>
        <v>1</v>
      </c>
      <c r="G7744" t="str">
        <f t="shared" si="492"/>
        <v>925-72: Nuclear Engineering</v>
      </c>
    </row>
    <row r="7745" spans="1:7" x14ac:dyDescent="0.25">
      <c r="A7745" s="1" t="str">
        <f t="shared" si="493"/>
        <v>925</v>
      </c>
      <c r="B7745" s="1" t="str">
        <f>TEXT(73,"00")</f>
        <v>73</v>
      </c>
      <c r="C7745" s="1" t="str">
        <f t="shared" si="491"/>
        <v>925-73</v>
      </c>
      <c r="D7745" t="s">
        <v>7714</v>
      </c>
      <c r="E7745" t="b">
        <f>IF(COUNTIF(D7745,"*"&amp;'Keyword Search'!$C$5&amp;"*"),TRUE,FALSE)</f>
        <v>1</v>
      </c>
      <c r="G7745" t="str">
        <f t="shared" si="492"/>
        <v>925-73: Ocean Engineering</v>
      </c>
    </row>
    <row r="7746" spans="1:7" x14ac:dyDescent="0.25">
      <c r="A7746" s="1" t="str">
        <f t="shared" si="493"/>
        <v>925</v>
      </c>
      <c r="B7746" s="1" t="str">
        <f>TEXT(74,"00")</f>
        <v>74</v>
      </c>
      <c r="C7746" s="1" t="str">
        <f t="shared" si="491"/>
        <v>925-74</v>
      </c>
      <c r="D7746" t="s">
        <v>7715</v>
      </c>
      <c r="E7746" t="b">
        <f>IF(COUNTIF(D7746,"*"&amp;'Keyword Search'!$C$5&amp;"*"),TRUE,FALSE)</f>
        <v>1</v>
      </c>
      <c r="G7746" t="str">
        <f t="shared" si="492"/>
        <v>925-74: Petroleum and Fuel Storage and Distribution Engineering</v>
      </c>
    </row>
    <row r="7747" spans="1:7" x14ac:dyDescent="0.25">
      <c r="A7747" s="1" t="str">
        <f t="shared" si="493"/>
        <v>925</v>
      </c>
      <c r="B7747" s="1" t="str">
        <f>TEXT(77,"00")</f>
        <v>77</v>
      </c>
      <c r="C7747" s="1" t="str">
        <f t="shared" ref="C7747:C7810" si="494">CONCATENATE(A7747,"-",B7747)</f>
        <v>925-77</v>
      </c>
      <c r="D7747" t="s">
        <v>7716</v>
      </c>
      <c r="E7747" t="b">
        <f>IF(COUNTIF(D7747,"*"&amp;'Keyword Search'!$C$5&amp;"*"),TRUE,FALSE)</f>
        <v>1</v>
      </c>
      <c r="G7747" t="str">
        <f t="shared" si="492"/>
        <v>925-77: Pollution Control Engineering</v>
      </c>
    </row>
    <row r="7748" spans="1:7" x14ac:dyDescent="0.25">
      <c r="A7748" s="1" t="str">
        <f t="shared" si="493"/>
        <v>925</v>
      </c>
      <c r="B7748" s="1" t="str">
        <f>TEXT(78,"00")</f>
        <v>78</v>
      </c>
      <c r="C7748" s="1" t="str">
        <f t="shared" si="494"/>
        <v>925-78</v>
      </c>
      <c r="D7748" t="s">
        <v>7717</v>
      </c>
      <c r="E7748" t="b">
        <f>IF(COUNTIF(D7748,"*"&amp;'Keyword Search'!$C$5&amp;"*"),TRUE,FALSE)</f>
        <v>1</v>
      </c>
      <c r="G7748" t="str">
        <f t="shared" ref="G7748:G7811" si="495">CONCATENATE(C7748,": ",D7748)</f>
        <v>925-78: Power Generation, Transmission, Distribution Engineering</v>
      </c>
    </row>
    <row r="7749" spans="1:7" x14ac:dyDescent="0.25">
      <c r="A7749" s="1" t="str">
        <f t="shared" si="493"/>
        <v>925</v>
      </c>
      <c r="B7749" s="1" t="str">
        <f>TEXT(79,"00")</f>
        <v>79</v>
      </c>
      <c r="C7749" s="1" t="str">
        <f t="shared" si="494"/>
        <v>925-79</v>
      </c>
      <c r="D7749" t="s">
        <v>7718</v>
      </c>
      <c r="E7749" t="b">
        <f>IF(COUNTIF(D7749,"*"&amp;'Keyword Search'!$C$5&amp;"*"),TRUE,FALSE)</f>
        <v>1</v>
      </c>
      <c r="G7749" t="str">
        <f t="shared" si="495"/>
        <v>925-79: Railroad; Rapid Transit; Monorail Engineering</v>
      </c>
    </row>
    <row r="7750" spans="1:7" x14ac:dyDescent="0.25">
      <c r="A7750" s="1" t="str">
        <f t="shared" si="493"/>
        <v>925</v>
      </c>
      <c r="B7750" s="1" t="str">
        <f>TEXT(80,"00")</f>
        <v>80</v>
      </c>
      <c r="C7750" s="1" t="str">
        <f t="shared" si="494"/>
        <v>925-80</v>
      </c>
      <c r="D7750" t="s">
        <v>7719</v>
      </c>
      <c r="E7750" t="b">
        <f>IF(COUNTIF(D7750,"*"&amp;'Keyword Search'!$C$5&amp;"*"),TRUE,FALSE)</f>
        <v>1</v>
      </c>
      <c r="G7750" t="str">
        <f t="shared" si="495"/>
        <v>925-80: Rate Engineering</v>
      </c>
    </row>
    <row r="7751" spans="1:7" x14ac:dyDescent="0.25">
      <c r="A7751" s="1" t="str">
        <f t="shared" si="493"/>
        <v>925</v>
      </c>
      <c r="B7751" s="1" t="str">
        <f>TEXT(81,"00")</f>
        <v>81</v>
      </c>
      <c r="C7751" s="1" t="str">
        <f t="shared" si="494"/>
        <v>925-81</v>
      </c>
      <c r="D7751" t="s">
        <v>7720</v>
      </c>
      <c r="E7751" t="b">
        <f>IF(COUNTIF(D7751,"*"&amp;'Keyword Search'!$C$5&amp;"*"),TRUE,FALSE)</f>
        <v>1</v>
      </c>
      <c r="G7751" t="str">
        <f t="shared" si="495"/>
        <v>925-81: Roofing Engineering</v>
      </c>
    </row>
    <row r="7752" spans="1:7" x14ac:dyDescent="0.25">
      <c r="A7752" s="1" t="str">
        <f t="shared" si="493"/>
        <v>925</v>
      </c>
      <c r="B7752" s="1" t="str">
        <f>TEXT(83,"00")</f>
        <v>83</v>
      </c>
      <c r="C7752" s="1" t="str">
        <f t="shared" si="494"/>
        <v>925-83</v>
      </c>
      <c r="D7752" t="s">
        <v>7721</v>
      </c>
      <c r="E7752" t="b">
        <f>IF(COUNTIF(D7752,"*"&amp;'Keyword Search'!$C$5&amp;"*"),TRUE,FALSE)</f>
        <v>1</v>
      </c>
      <c r="G7752" t="str">
        <f t="shared" si="495"/>
        <v>925-83: Sanitary Engineering</v>
      </c>
    </row>
    <row r="7753" spans="1:7" x14ac:dyDescent="0.25">
      <c r="A7753" s="1" t="str">
        <f t="shared" si="493"/>
        <v>925</v>
      </c>
      <c r="B7753" s="1" t="str">
        <f>TEXT(84,"00")</f>
        <v>84</v>
      </c>
      <c r="C7753" s="1" t="str">
        <f t="shared" si="494"/>
        <v>925-84</v>
      </c>
      <c r="D7753" t="s">
        <v>7722</v>
      </c>
      <c r="E7753" t="b">
        <f>IF(COUNTIF(D7753,"*"&amp;'Keyword Search'!$C$5&amp;"*"),TRUE,FALSE)</f>
        <v>1</v>
      </c>
      <c r="G7753" t="str">
        <f t="shared" si="495"/>
        <v>925-84: Security Systems; Intruder and Smoke Detection Engineering</v>
      </c>
    </row>
    <row r="7754" spans="1:7" x14ac:dyDescent="0.25">
      <c r="A7754" s="1" t="str">
        <f t="shared" si="493"/>
        <v>925</v>
      </c>
      <c r="B7754" s="1" t="str">
        <f>TEXT(86,"00")</f>
        <v>86</v>
      </c>
      <c r="C7754" s="1" t="str">
        <f t="shared" si="494"/>
        <v>925-86</v>
      </c>
      <c r="D7754" t="s">
        <v>7723</v>
      </c>
      <c r="E7754" t="b">
        <f>IF(COUNTIF(D7754,"*"&amp;'Keyword Search'!$C$5&amp;"*"),TRUE,FALSE)</f>
        <v>1</v>
      </c>
      <c r="G7754" t="str">
        <f t="shared" si="495"/>
        <v>925-86: Surveyor Services, Land</v>
      </c>
    </row>
    <row r="7755" spans="1:7" x14ac:dyDescent="0.25">
      <c r="A7755" s="1" t="str">
        <f t="shared" si="493"/>
        <v>925</v>
      </c>
      <c r="B7755" s="1" t="str">
        <f>TEXT(87,"00")</f>
        <v>87</v>
      </c>
      <c r="C7755" s="1" t="str">
        <f t="shared" si="494"/>
        <v>925-87</v>
      </c>
      <c r="D7755" t="s">
        <v>7724</v>
      </c>
      <c r="E7755" t="b">
        <f>IF(COUNTIF(D7755,"*"&amp;'Keyword Search'!$C$5&amp;"*"),TRUE,FALSE)</f>
        <v>1</v>
      </c>
      <c r="G7755" t="str">
        <f t="shared" si="495"/>
        <v>925-87: Sewage Collection, Treatment, and Disposal Engineering</v>
      </c>
    </row>
    <row r="7756" spans="1:7" x14ac:dyDescent="0.25">
      <c r="A7756" s="1" t="str">
        <f t="shared" si="493"/>
        <v>925</v>
      </c>
      <c r="B7756" s="1" t="str">
        <f>TEXT(88,"00")</f>
        <v>88</v>
      </c>
      <c r="C7756" s="1" t="str">
        <f t="shared" si="494"/>
        <v>925-88</v>
      </c>
      <c r="D7756" t="s">
        <v>7725</v>
      </c>
      <c r="E7756" t="b">
        <f>IF(COUNTIF(D7756,"*"&amp;'Keyword Search'!$C$5&amp;"*"),TRUE,FALSE)</f>
        <v>1</v>
      </c>
      <c r="G7756" t="str">
        <f t="shared" si="495"/>
        <v>925-88: Structural Engineering</v>
      </c>
    </row>
    <row r="7757" spans="1:7" x14ac:dyDescent="0.25">
      <c r="A7757" s="1" t="str">
        <f t="shared" si="493"/>
        <v>925</v>
      </c>
      <c r="B7757" s="1" t="str">
        <f>TEXT(89,"00")</f>
        <v>89</v>
      </c>
      <c r="C7757" s="1" t="str">
        <f t="shared" si="494"/>
        <v>925-89</v>
      </c>
      <c r="D7757" t="s">
        <v>7726</v>
      </c>
      <c r="E7757" t="b">
        <f>IF(COUNTIF(D7757,"*"&amp;'Keyword Search'!$C$5&amp;"*"),TRUE,FALSE)</f>
        <v>1</v>
      </c>
      <c r="G7757" t="str">
        <f t="shared" si="495"/>
        <v>925-89: *Telephone Systems Engineering</v>
      </c>
    </row>
    <row r="7758" spans="1:7" x14ac:dyDescent="0.25">
      <c r="A7758" s="1" t="str">
        <f t="shared" ref="A7758:A7764" si="496">TEXT(925,"000")</f>
        <v>925</v>
      </c>
      <c r="B7758" s="1" t="str">
        <f>TEXT(91,"00")</f>
        <v>91</v>
      </c>
      <c r="C7758" s="1" t="str">
        <f t="shared" si="494"/>
        <v>925-91</v>
      </c>
      <c r="D7758" t="s">
        <v>7727</v>
      </c>
      <c r="E7758" t="b">
        <f>IF(COUNTIF(D7758,"*"&amp;'Keyword Search'!$C$5&amp;"*"),TRUE,FALSE)</f>
        <v>1</v>
      </c>
      <c r="G7758" t="str">
        <f t="shared" si="495"/>
        <v>925-91: Video and Audio Design Engineering</v>
      </c>
    </row>
    <row r="7759" spans="1:7" x14ac:dyDescent="0.25">
      <c r="A7759" s="1" t="str">
        <f t="shared" si="496"/>
        <v>925</v>
      </c>
      <c r="B7759" s="1" t="str">
        <f>TEXT(92,"00")</f>
        <v>92</v>
      </c>
      <c r="C7759" s="1" t="str">
        <f t="shared" si="494"/>
        <v>925-92</v>
      </c>
      <c r="D7759" t="s">
        <v>7728</v>
      </c>
      <c r="E7759" t="b">
        <f>IF(COUNTIF(D7759,"*"&amp;'Keyword Search'!$C$5&amp;"*"),TRUE,FALSE)</f>
        <v>1</v>
      </c>
      <c r="G7759" t="str">
        <f t="shared" si="495"/>
        <v>925-92: Value Engineering and Value Analysis, Professional</v>
      </c>
    </row>
    <row r="7760" spans="1:7" x14ac:dyDescent="0.25">
      <c r="A7760" s="1" t="str">
        <f t="shared" si="496"/>
        <v>925</v>
      </c>
      <c r="B7760" s="1" t="str">
        <f>TEXT(93,"00")</f>
        <v>93</v>
      </c>
      <c r="C7760" s="1" t="str">
        <f t="shared" si="494"/>
        <v>925-93</v>
      </c>
      <c r="D7760" t="s">
        <v>7729</v>
      </c>
      <c r="E7760" t="b">
        <f>IF(COUNTIF(D7760,"*"&amp;'Keyword Search'!$C$5&amp;"*"),TRUE,FALSE)</f>
        <v>1</v>
      </c>
      <c r="G7760" t="str">
        <f t="shared" si="495"/>
        <v>925-93: Traffic and Transportation Engineering</v>
      </c>
    </row>
    <row r="7761" spans="1:7" x14ac:dyDescent="0.25">
      <c r="A7761" s="1" t="str">
        <f t="shared" si="496"/>
        <v>925</v>
      </c>
      <c r="B7761" s="1" t="str">
        <f>TEXT(94,"00")</f>
        <v>94</v>
      </c>
      <c r="C7761" s="1" t="str">
        <f t="shared" si="494"/>
        <v>925-94</v>
      </c>
      <c r="D7761" t="s">
        <v>7730</v>
      </c>
      <c r="E7761" t="b">
        <f>IF(COUNTIF(D7761,"*"&amp;'Keyword Search'!$C$5&amp;"*"),TRUE,FALSE)</f>
        <v>1</v>
      </c>
      <c r="G7761" t="str">
        <f t="shared" si="495"/>
        <v>925-94: Tunnels and Subways Engineering</v>
      </c>
    </row>
    <row r="7762" spans="1:7" x14ac:dyDescent="0.25">
      <c r="A7762" s="1" t="str">
        <f t="shared" si="496"/>
        <v>925</v>
      </c>
      <c r="B7762" s="1" t="str">
        <f>TEXT(95,"00")</f>
        <v>95</v>
      </c>
      <c r="C7762" s="1" t="str">
        <f t="shared" si="494"/>
        <v>925-95</v>
      </c>
      <c r="D7762" t="s">
        <v>7731</v>
      </c>
      <c r="E7762" t="b">
        <f>IF(COUNTIF(D7762,"*"&amp;'Keyword Search'!$C$5&amp;"*"),TRUE,FALSE)</f>
        <v>1</v>
      </c>
      <c r="G7762" t="str">
        <f t="shared" si="495"/>
        <v>925-95: Utilities, Gas, Steam, Electric Engineering</v>
      </c>
    </row>
    <row r="7763" spans="1:7" x14ac:dyDescent="0.25">
      <c r="A7763" s="1" t="str">
        <f t="shared" si="496"/>
        <v>925</v>
      </c>
      <c r="B7763" s="1" t="str">
        <f>TEXT(96,"00")</f>
        <v>96</v>
      </c>
      <c r="C7763" s="1" t="str">
        <f t="shared" si="494"/>
        <v>925-96</v>
      </c>
      <c r="D7763" t="s">
        <v>7732</v>
      </c>
      <c r="E7763" t="b">
        <f>IF(COUNTIF(D7763,"*"&amp;'Keyword Search'!$C$5&amp;"*"),TRUE,FALSE)</f>
        <v>1</v>
      </c>
      <c r="G7763" t="str">
        <f t="shared" si="495"/>
        <v>925-96: Waste Water Treatment Engineering</v>
      </c>
    </row>
    <row r="7764" spans="1:7" x14ac:dyDescent="0.25">
      <c r="A7764" s="1" t="str">
        <f t="shared" si="496"/>
        <v>925</v>
      </c>
      <c r="B7764" s="1" t="str">
        <f>TEXT(97,"00")</f>
        <v>97</v>
      </c>
      <c r="C7764" s="1" t="str">
        <f t="shared" si="494"/>
        <v>925-97</v>
      </c>
      <c r="D7764" t="s">
        <v>7733</v>
      </c>
      <c r="E7764" t="b">
        <f>IF(COUNTIF(D7764,"*"&amp;'Keyword Search'!$C$5&amp;"*"),TRUE,FALSE)</f>
        <v>1</v>
      </c>
      <c r="G7764" t="str">
        <f t="shared" si="495"/>
        <v>925-97: Water Supply, Treatment, and Distribution Engineering</v>
      </c>
    </row>
    <row r="7765" spans="1:7" x14ac:dyDescent="0.25">
      <c r="A7765" s="5" t="str">
        <f t="shared" ref="A7765:A7808" si="497">TEXT(926,"000")</f>
        <v>926</v>
      </c>
      <c r="B7765" s="5" t="str">
        <f>TEXT(0,"00")</f>
        <v>00</v>
      </c>
      <c r="C7765" s="1"/>
      <c r="D7765" s="2" t="s">
        <v>7734</v>
      </c>
    </row>
    <row r="7766" spans="1:7" x14ac:dyDescent="0.25">
      <c r="A7766" s="1" t="str">
        <f t="shared" si="497"/>
        <v>926</v>
      </c>
      <c r="B7766" s="1" t="str">
        <f>TEXT(14,"00")</f>
        <v>14</v>
      </c>
      <c r="C7766" s="1" t="str">
        <f t="shared" si="494"/>
        <v>926-14</v>
      </c>
      <c r="D7766" t="s">
        <v>7735</v>
      </c>
      <c r="E7766" t="b">
        <f>IF(COUNTIF(D7766,"*"&amp;'Keyword Search'!$C$5&amp;"*"),TRUE,FALSE)</f>
        <v>1</v>
      </c>
      <c r="G7766" t="str">
        <f t="shared" si="495"/>
        <v>926-14: Air Pollution Control Services, Including Data Collection Research and Development, etc.</v>
      </c>
    </row>
    <row r="7767" spans="1:7" x14ac:dyDescent="0.25">
      <c r="A7767" s="1" t="str">
        <f t="shared" si="497"/>
        <v>926</v>
      </c>
      <c r="B7767" s="1" t="str">
        <f>TEXT(15,"00")</f>
        <v>15</v>
      </c>
      <c r="C7767" s="1" t="str">
        <f t="shared" si="494"/>
        <v>926-15</v>
      </c>
      <c r="D7767" t="s">
        <v>7736</v>
      </c>
      <c r="E7767" t="b">
        <f>IF(COUNTIF(D7767,"*"&amp;'Keyword Search'!$C$5&amp;"*"),TRUE,FALSE)</f>
        <v>1</v>
      </c>
      <c r="G7767" t="str">
        <f t="shared" si="495"/>
        <v>926-15: Air Quality Monitoring Services</v>
      </c>
    </row>
    <row r="7768" spans="1:7" x14ac:dyDescent="0.25">
      <c r="A7768" s="1" t="str">
        <f t="shared" si="497"/>
        <v>926</v>
      </c>
      <c r="B7768" s="1" t="str">
        <f>TEXT(23,"00")</f>
        <v>23</v>
      </c>
      <c r="C7768" s="1" t="str">
        <f t="shared" si="494"/>
        <v>926-23</v>
      </c>
      <c r="D7768" t="s">
        <v>7737</v>
      </c>
      <c r="E7768" t="b">
        <f>IF(COUNTIF(D7768,"*"&amp;'Keyword Search'!$C$5&amp;"*"),TRUE,FALSE)</f>
        <v>1</v>
      </c>
      <c r="G7768" t="str">
        <f t="shared" si="495"/>
        <v>926-23: Auditing Services, Environmental</v>
      </c>
    </row>
    <row r="7769" spans="1:7" x14ac:dyDescent="0.25">
      <c r="A7769" s="1" t="str">
        <f t="shared" si="497"/>
        <v>926</v>
      </c>
      <c r="B7769" s="1" t="str">
        <f>TEXT(25,"00")</f>
        <v>25</v>
      </c>
      <c r="C7769" s="1" t="str">
        <f t="shared" si="494"/>
        <v>926-25</v>
      </c>
      <c r="D7769" t="s">
        <v>7738</v>
      </c>
      <c r="E7769" t="b">
        <f>IF(COUNTIF(D7769,"*"&amp;'Keyword Search'!$C$5&amp;"*"),TRUE,FALSE)</f>
        <v>1</v>
      </c>
      <c r="G7769" t="str">
        <f t="shared" si="495"/>
        <v>926-25: Carbon Offsets</v>
      </c>
    </row>
    <row r="7770" spans="1:7" x14ac:dyDescent="0.25">
      <c r="A7770" s="1" t="str">
        <f t="shared" si="497"/>
        <v>926</v>
      </c>
      <c r="B7770" s="1" t="str">
        <f>TEXT(29,"00")</f>
        <v>29</v>
      </c>
      <c r="C7770" s="1" t="str">
        <f t="shared" si="494"/>
        <v>926-29</v>
      </c>
      <c r="D7770" t="s">
        <v>7739</v>
      </c>
      <c r="E7770" t="b">
        <f>IF(COUNTIF(D7770,"*"&amp;'Keyword Search'!$C$5&amp;"*"),TRUE,FALSE)</f>
        <v>1</v>
      </c>
      <c r="G7770" t="str">
        <f t="shared" si="495"/>
        <v>926-29: Contaminated Groundwater Services, Including Discharge Pipe Installation</v>
      </c>
    </row>
    <row r="7771" spans="1:7" x14ac:dyDescent="0.25">
      <c r="A7771" s="1" t="str">
        <f t="shared" si="497"/>
        <v>926</v>
      </c>
      <c r="B7771" s="1" t="str">
        <f>TEXT(30,"00")</f>
        <v>30</v>
      </c>
      <c r="C7771" s="1" t="str">
        <f t="shared" si="494"/>
        <v>926-30</v>
      </c>
      <c r="D7771" t="s">
        <v>7740</v>
      </c>
      <c r="E7771" t="b">
        <f>IF(COUNTIF(D7771,"*"&amp;'Keyword Search'!$C$5&amp;"*"),TRUE,FALSE)</f>
        <v>1</v>
      </c>
      <c r="G7771" t="str">
        <f t="shared" si="495"/>
        <v>926-30: Contaminated Soil Services</v>
      </c>
    </row>
    <row r="7772" spans="1:7" x14ac:dyDescent="0.25">
      <c r="A7772" s="1" t="str">
        <f t="shared" si="497"/>
        <v>926</v>
      </c>
      <c r="B7772" s="1" t="str">
        <f>TEXT(40,"00")</f>
        <v>40</v>
      </c>
      <c r="C7772" s="1" t="str">
        <f t="shared" si="494"/>
        <v>926-40</v>
      </c>
      <c r="D7772" t="s">
        <v>7741</v>
      </c>
      <c r="E7772" t="b">
        <f>IF(COUNTIF(D7772,"*"&amp;'Keyword Search'!$C$5&amp;"*"),TRUE,FALSE)</f>
        <v>1</v>
      </c>
      <c r="G7772" t="str">
        <f t="shared" si="495"/>
        <v>926-40: Ecological Services</v>
      </c>
    </row>
    <row r="7773" spans="1:7" x14ac:dyDescent="0.25">
      <c r="A7773" s="1" t="str">
        <f t="shared" si="497"/>
        <v>926</v>
      </c>
      <c r="B7773" s="1" t="str">
        <f>TEXT(41,"00")</f>
        <v>41</v>
      </c>
      <c r="C7773" s="1" t="str">
        <f t="shared" si="494"/>
        <v>926-41</v>
      </c>
      <c r="D7773" t="s">
        <v>7742</v>
      </c>
      <c r="E7773" t="b">
        <f>IF(COUNTIF(D7773,"*"&amp;'Keyword Search'!$C$5&amp;"*"),TRUE,FALSE)</f>
        <v>1</v>
      </c>
      <c r="G7773" t="str">
        <f t="shared" si="495"/>
        <v>926-41: Ecosystems Development, Management and Protection Services</v>
      </c>
    </row>
    <row r="7774" spans="1:7" x14ac:dyDescent="0.25">
      <c r="A7774" s="1" t="str">
        <f t="shared" si="497"/>
        <v>926</v>
      </c>
      <c r="B7774" s="1" t="str">
        <f>TEXT(42,"00")</f>
        <v>42</v>
      </c>
      <c r="C7774" s="1" t="str">
        <f t="shared" si="494"/>
        <v>926-42</v>
      </c>
      <c r="D7774" t="s">
        <v>7743</v>
      </c>
      <c r="E7774" t="b">
        <f>IF(COUNTIF(D7774,"*"&amp;'Keyword Search'!$C$5&amp;"*"),TRUE,FALSE)</f>
        <v>1</v>
      </c>
      <c r="G7774" t="str">
        <f t="shared" si="495"/>
        <v>926-42: Environmental Services (Not Otherwise Classified)</v>
      </c>
    </row>
    <row r="7775" spans="1:7" x14ac:dyDescent="0.25">
      <c r="A7775" s="1" t="str">
        <f t="shared" si="497"/>
        <v>926</v>
      </c>
      <c r="B7775" s="1" t="str">
        <f>TEXT(43,"00")</f>
        <v>43</v>
      </c>
      <c r="C7775" s="1" t="str">
        <f t="shared" si="494"/>
        <v>926-43</v>
      </c>
      <c r="D7775" t="s">
        <v>7744</v>
      </c>
      <c r="E7775" t="b">
        <f>IF(COUNTIF(D7775,"*"&amp;'Keyword Search'!$C$5&amp;"*"),TRUE,FALSE)</f>
        <v>1</v>
      </c>
      <c r="G7775" t="str">
        <f t="shared" si="495"/>
        <v>926-43: Gas Analysis Services</v>
      </c>
    </row>
    <row r="7776" spans="1:7" x14ac:dyDescent="0.25">
      <c r="A7776" s="1" t="str">
        <f t="shared" si="497"/>
        <v>926</v>
      </c>
      <c r="B7776" s="1" t="str">
        <f>TEXT(45,"00")</f>
        <v>45</v>
      </c>
      <c r="C7776" s="1" t="str">
        <f t="shared" si="494"/>
        <v>926-45</v>
      </c>
      <c r="D7776" t="s">
        <v>7745</v>
      </c>
      <c r="E7776" t="b">
        <f>IF(COUNTIF(D7776,"*"&amp;'Keyword Search'!$C$5&amp;"*"),TRUE,FALSE)</f>
        <v>1</v>
      </c>
      <c r="G7776" t="str">
        <f t="shared" si="495"/>
        <v>926-45: Hazardous Material and Waste Services, Including Emergency Response and Nuclear Wastes</v>
      </c>
    </row>
    <row r="7777" spans="1:7" x14ac:dyDescent="0.25">
      <c r="A7777" s="1" t="str">
        <f t="shared" si="497"/>
        <v>926</v>
      </c>
      <c r="B7777" s="1" t="str">
        <f>TEXT(49,"00")</f>
        <v>49</v>
      </c>
      <c r="C7777" s="1" t="str">
        <f t="shared" si="494"/>
        <v>926-49</v>
      </c>
      <c r="D7777" t="s">
        <v>7746</v>
      </c>
      <c r="E7777" t="b">
        <f>IF(COUNTIF(D7777,"*"&amp;'Keyword Search'!$C$5&amp;"*"),TRUE,FALSE)</f>
        <v>1</v>
      </c>
      <c r="G7777" t="str">
        <f t="shared" si="495"/>
        <v>926-49: Hydraulic Push Probe, Geoprobe Services</v>
      </c>
    </row>
    <row r="7778" spans="1:7" x14ac:dyDescent="0.25">
      <c r="A7778" s="1" t="str">
        <f t="shared" si="497"/>
        <v>926</v>
      </c>
      <c r="B7778" s="1" t="str">
        <f>TEXT(52,"00")</f>
        <v>52</v>
      </c>
      <c r="C7778" s="1" t="str">
        <f t="shared" si="494"/>
        <v>926-52</v>
      </c>
      <c r="D7778" t="s">
        <v>7747</v>
      </c>
      <c r="E7778" t="b">
        <f>IF(COUNTIF(D7778,"*"&amp;'Keyword Search'!$C$5&amp;"*"),TRUE,FALSE)</f>
        <v>1</v>
      </c>
      <c r="G7778" t="str">
        <f t="shared" si="495"/>
        <v>926-52: Impact Studies, Environmental</v>
      </c>
    </row>
    <row r="7779" spans="1:7" x14ac:dyDescent="0.25">
      <c r="A7779" s="1" t="str">
        <f t="shared" si="497"/>
        <v>926</v>
      </c>
      <c r="B7779" s="1" t="str">
        <f>TEXT(53,"00")</f>
        <v>53</v>
      </c>
      <c r="C7779" s="1" t="str">
        <f t="shared" si="494"/>
        <v>926-53</v>
      </c>
      <c r="D7779" t="s">
        <v>7748</v>
      </c>
      <c r="E7779" t="b">
        <f>IF(COUNTIF(D7779,"*"&amp;'Keyword Search'!$C$5&amp;"*"),TRUE,FALSE)</f>
        <v>1</v>
      </c>
      <c r="G7779" t="str">
        <f t="shared" si="495"/>
        <v>926-53: Industrial Hygiene Testing Services</v>
      </c>
    </row>
    <row r="7780" spans="1:7" x14ac:dyDescent="0.25">
      <c r="A7780" s="1" t="str">
        <f t="shared" si="497"/>
        <v>926</v>
      </c>
      <c r="B7780" s="1" t="str">
        <f>TEXT(54,"00")</f>
        <v>54</v>
      </c>
      <c r="C7780" s="1" t="str">
        <f t="shared" si="494"/>
        <v>926-54</v>
      </c>
      <c r="D7780" t="s">
        <v>7749</v>
      </c>
      <c r="E7780" t="b">
        <f>IF(COUNTIF(D7780,"*"&amp;'Keyword Search'!$C$5&amp;"*"),TRUE,FALSE)</f>
        <v>1</v>
      </c>
      <c r="G7780" t="str">
        <f t="shared" si="495"/>
        <v>926-54: Investigation Services, Pollution</v>
      </c>
    </row>
    <row r="7781" spans="1:7" x14ac:dyDescent="0.25">
      <c r="A7781" s="1" t="str">
        <f t="shared" si="497"/>
        <v>926</v>
      </c>
      <c r="B7781" s="1" t="str">
        <f>TEXT(55,"00")</f>
        <v>55</v>
      </c>
      <c r="C7781" s="1" t="str">
        <f t="shared" si="494"/>
        <v>926-55</v>
      </c>
      <c r="D7781" t="s">
        <v>7750</v>
      </c>
      <c r="E7781" t="b">
        <f>IF(COUNTIF(D7781,"*"&amp;'Keyword Search'!$C$5&amp;"*"),TRUE,FALSE)</f>
        <v>1</v>
      </c>
      <c r="G7781" t="str">
        <f t="shared" si="495"/>
        <v>926-55: LEAD ABATEMENT PROJECT DESIGNER</v>
      </c>
    </row>
    <row r="7782" spans="1:7" x14ac:dyDescent="0.25">
      <c r="A7782" s="1" t="str">
        <f t="shared" si="497"/>
        <v>926</v>
      </c>
      <c r="B7782" s="1" t="str">
        <f>TEXT(56,"00")</f>
        <v>56</v>
      </c>
      <c r="C7782" s="1" t="str">
        <f t="shared" si="494"/>
        <v>926-56</v>
      </c>
      <c r="D7782" t="s">
        <v>7751</v>
      </c>
      <c r="E7782" t="b">
        <f>IF(COUNTIF(D7782,"*"&amp;'Keyword Search'!$C$5&amp;"*"),TRUE,FALSE)</f>
        <v>1</v>
      </c>
      <c r="G7782" t="str">
        <f t="shared" si="495"/>
        <v>926-56: LEAD ABATEMENT SUPERVISOR</v>
      </c>
    </row>
    <row r="7783" spans="1:7" x14ac:dyDescent="0.25">
      <c r="A7783" s="1" t="str">
        <f t="shared" si="497"/>
        <v>926</v>
      </c>
      <c r="B7783" s="1" t="str">
        <f>TEXT(57,"00")</f>
        <v>57</v>
      </c>
      <c r="C7783" s="1" t="str">
        <f t="shared" si="494"/>
        <v>926-57</v>
      </c>
      <c r="D7783" t="s">
        <v>7752</v>
      </c>
      <c r="E7783" t="b">
        <f>IF(COUNTIF(D7783,"*"&amp;'Keyword Search'!$C$5&amp;"*"),TRUE,FALSE)</f>
        <v>1</v>
      </c>
      <c r="G7783" t="str">
        <f t="shared" si="495"/>
        <v>926-57: LEAD ABATEMENT WORKER</v>
      </c>
    </row>
    <row r="7784" spans="1:7" x14ac:dyDescent="0.25">
      <c r="A7784" s="1" t="str">
        <f t="shared" si="497"/>
        <v>926</v>
      </c>
      <c r="B7784" s="1" t="str">
        <f>TEXT(58,"00")</f>
        <v>58</v>
      </c>
      <c r="C7784" s="1" t="str">
        <f t="shared" si="494"/>
        <v>926-58</v>
      </c>
      <c r="D7784" t="s">
        <v>7753</v>
      </c>
      <c r="E7784" t="b">
        <f>IF(COUNTIF(D7784,"*"&amp;'Keyword Search'!$C$5&amp;"*"),TRUE,FALSE)</f>
        <v>1</v>
      </c>
      <c r="G7784" t="str">
        <f t="shared" si="495"/>
        <v>926-58: Lead and Asbestos Inspection Services</v>
      </c>
    </row>
    <row r="7785" spans="1:7" x14ac:dyDescent="0.25">
      <c r="A7785" s="1" t="str">
        <f t="shared" si="497"/>
        <v>926</v>
      </c>
      <c r="B7785" s="1" t="str">
        <f>TEXT(59,"00")</f>
        <v>59</v>
      </c>
      <c r="C7785" s="1" t="str">
        <f t="shared" si="494"/>
        <v>926-59</v>
      </c>
      <c r="D7785" t="s">
        <v>7754</v>
      </c>
      <c r="E7785" t="b">
        <f>IF(COUNTIF(D7785,"*"&amp;'Keyword Search'!$C$5&amp;"*"),TRUE,FALSE)</f>
        <v>1</v>
      </c>
      <c r="G7785" t="str">
        <f t="shared" si="495"/>
        <v>926-59: RISK ASSESSOR</v>
      </c>
    </row>
    <row r="7786" spans="1:7" x14ac:dyDescent="0.25">
      <c r="A7786" s="1" t="str">
        <f t="shared" si="497"/>
        <v>926</v>
      </c>
      <c r="B7786" s="1" t="str">
        <f>TEXT(62,"00")</f>
        <v>62</v>
      </c>
      <c r="C7786" s="1" t="str">
        <f t="shared" si="494"/>
        <v>926-62</v>
      </c>
      <c r="D7786" t="s">
        <v>7755</v>
      </c>
      <c r="E7786" t="b">
        <f>IF(COUNTIF(D7786,"*"&amp;'Keyword Search'!$C$5&amp;"*"),TRUE,FALSE)</f>
        <v>1</v>
      </c>
      <c r="G7786" t="str">
        <f t="shared" si="495"/>
        <v>926-62: Noise Testing Services</v>
      </c>
    </row>
    <row r="7787" spans="1:7" x14ac:dyDescent="0.25">
      <c r="A7787" s="1" t="str">
        <f t="shared" si="497"/>
        <v>926</v>
      </c>
      <c r="B7787" s="1" t="str">
        <f>TEXT(65,"00")</f>
        <v>65</v>
      </c>
      <c r="C7787" s="1" t="str">
        <f t="shared" si="494"/>
        <v>926-65</v>
      </c>
      <c r="D7787" t="s">
        <v>7756</v>
      </c>
      <c r="E7787" t="b">
        <f>IF(COUNTIF(D7787,"*"&amp;'Keyword Search'!$C$5&amp;"*"),TRUE,FALSE)</f>
        <v>1</v>
      </c>
      <c r="G7787" t="str">
        <f t="shared" si="495"/>
        <v>926-65: Oil and Petroleum Spill Services, Including Removal of Used Petroleum Products</v>
      </c>
    </row>
    <row r="7788" spans="1:7" x14ac:dyDescent="0.25">
      <c r="A7788" s="1" t="str">
        <f t="shared" si="497"/>
        <v>926</v>
      </c>
      <c r="B7788" s="1" t="str">
        <f>TEXT(66,"00")</f>
        <v>66</v>
      </c>
      <c r="C7788" s="1" t="str">
        <f t="shared" si="494"/>
        <v>926-66</v>
      </c>
      <c r="D7788" t="s">
        <v>7757</v>
      </c>
      <c r="E7788" t="b">
        <f>IF(COUNTIF(D7788,"*"&amp;'Keyword Search'!$C$5&amp;"*"),TRUE,FALSE)</f>
        <v>1</v>
      </c>
      <c r="G7788" t="str">
        <f t="shared" si="495"/>
        <v>926-66: Oil and Water Separator Inspection and Testing Services</v>
      </c>
    </row>
    <row r="7789" spans="1:7" x14ac:dyDescent="0.25">
      <c r="A7789" s="1" t="str">
        <f t="shared" si="497"/>
        <v>926</v>
      </c>
      <c r="B7789" s="1" t="str">
        <f>TEXT(70,"00")</f>
        <v>70</v>
      </c>
      <c r="C7789" s="1" t="str">
        <f t="shared" si="494"/>
        <v>926-70</v>
      </c>
      <c r="D7789" t="s">
        <v>7758</v>
      </c>
      <c r="E7789" t="b">
        <f>IF(COUNTIF(D7789,"*"&amp;'Keyword Search'!$C$5&amp;"*"),TRUE,FALSE)</f>
        <v>1</v>
      </c>
      <c r="G7789" t="str">
        <f t="shared" si="495"/>
        <v>926-70: Permitting Services, Environmental</v>
      </c>
    </row>
    <row r="7790" spans="1:7" x14ac:dyDescent="0.25">
      <c r="A7790" s="1" t="str">
        <f t="shared" si="497"/>
        <v>926</v>
      </c>
      <c r="B7790" s="1" t="str">
        <f>TEXT(72,"00")</f>
        <v>72</v>
      </c>
      <c r="C7790" s="1" t="str">
        <f t="shared" si="494"/>
        <v>926-72</v>
      </c>
      <c r="D7790" t="s">
        <v>7759</v>
      </c>
      <c r="E7790" t="b">
        <f>IF(COUNTIF(D7790,"*"&amp;'Keyword Search'!$C$5&amp;"*"),TRUE,FALSE)</f>
        <v>1</v>
      </c>
      <c r="G7790" t="str">
        <f t="shared" si="495"/>
        <v>926-72: Planning and Advisory Services, Environmental</v>
      </c>
    </row>
    <row r="7791" spans="1:7" x14ac:dyDescent="0.25">
      <c r="A7791" s="1" t="str">
        <f t="shared" si="497"/>
        <v>926</v>
      </c>
      <c r="B7791" s="1" t="str">
        <f>TEXT(75,"00")</f>
        <v>75</v>
      </c>
      <c r="C7791" s="1" t="str">
        <f t="shared" si="494"/>
        <v>926-75</v>
      </c>
      <c r="D7791" t="s">
        <v>7760</v>
      </c>
      <c r="E7791" t="b">
        <f>IF(COUNTIF(D7791,"*"&amp;'Keyword Search'!$C$5&amp;"*"),TRUE,FALSE)</f>
        <v>1</v>
      </c>
      <c r="G7791" t="str">
        <f t="shared" si="495"/>
        <v>926-75: Radiation Dosimeter Services</v>
      </c>
    </row>
    <row r="7792" spans="1:7" x14ac:dyDescent="0.25">
      <c r="A7792" s="1" t="str">
        <f t="shared" si="497"/>
        <v>926</v>
      </c>
      <c r="B7792" s="1" t="str">
        <f>TEXT(76,"00")</f>
        <v>76</v>
      </c>
      <c r="C7792" s="1" t="str">
        <f t="shared" si="494"/>
        <v>926-76</v>
      </c>
      <c r="D7792" t="s">
        <v>7761</v>
      </c>
      <c r="E7792" t="b">
        <f>IF(COUNTIF(D7792,"*"&amp;'Keyword Search'!$C$5&amp;"*"),TRUE,FALSE)</f>
        <v>1</v>
      </c>
      <c r="G7792" t="str">
        <f t="shared" si="495"/>
        <v>926-76: Radioactive Waste Disposal Services</v>
      </c>
    </row>
    <row r="7793" spans="1:7" x14ac:dyDescent="0.25">
      <c r="A7793" s="1" t="str">
        <f t="shared" si="497"/>
        <v>926</v>
      </c>
      <c r="B7793" s="1" t="str">
        <f>TEXT(77,"00")</f>
        <v>77</v>
      </c>
      <c r="C7793" s="1" t="str">
        <f t="shared" si="494"/>
        <v>926-77</v>
      </c>
      <c r="D7793" t="s">
        <v>7762</v>
      </c>
      <c r="E7793" t="b">
        <f>IF(COUNTIF(D7793,"*"&amp;'Keyword Search'!$C$5&amp;"*"),TRUE,FALSE)</f>
        <v>1</v>
      </c>
      <c r="G7793" t="str">
        <f t="shared" si="495"/>
        <v>926-77: Recycling Services</v>
      </c>
    </row>
    <row r="7794" spans="1:7" x14ac:dyDescent="0.25">
      <c r="A7794" s="1" t="str">
        <f t="shared" si="497"/>
        <v>926</v>
      </c>
      <c r="B7794" s="1" t="str">
        <f>TEXT(78,"00")</f>
        <v>78</v>
      </c>
      <c r="C7794" s="1" t="str">
        <f t="shared" si="494"/>
        <v>926-78</v>
      </c>
      <c r="D7794" t="s">
        <v>7763</v>
      </c>
      <c r="E7794" t="b">
        <f>IF(COUNTIF(D7794,"*"&amp;'Keyword Search'!$C$5&amp;"*"),TRUE,FALSE)</f>
        <v>1</v>
      </c>
      <c r="G7794" t="str">
        <f t="shared" si="495"/>
        <v>926-78: Remediation Services, Environmental, Including Rehabilitation Services Hazardous Waste and Mold Remediation</v>
      </c>
    </row>
    <row r="7795" spans="1:7" x14ac:dyDescent="0.25">
      <c r="A7795" s="1" t="str">
        <f t="shared" si="497"/>
        <v>926</v>
      </c>
      <c r="B7795" s="1" t="str">
        <f>TEXT(79,"00")</f>
        <v>79</v>
      </c>
      <c r="C7795" s="1" t="str">
        <f t="shared" si="494"/>
        <v>926-79</v>
      </c>
      <c r="D7795" t="s">
        <v>7764</v>
      </c>
      <c r="E7795" t="b">
        <f>IF(COUNTIF(D7795,"*"&amp;'Keyword Search'!$C$5&amp;"*"),TRUE,FALSE)</f>
        <v>1</v>
      </c>
      <c r="G7795" t="str">
        <f t="shared" si="495"/>
        <v>926-79: Recovery, Recycling, and Reclamation of Refrigerants</v>
      </c>
    </row>
    <row r="7796" spans="1:7" x14ac:dyDescent="0.25">
      <c r="A7796" s="1" t="str">
        <f t="shared" si="497"/>
        <v>926</v>
      </c>
      <c r="B7796" s="1" t="str">
        <f>TEXT(81,"00")</f>
        <v>81</v>
      </c>
      <c r="C7796" s="1" t="str">
        <f t="shared" si="494"/>
        <v>926-81</v>
      </c>
      <c r="D7796" t="s">
        <v>7765</v>
      </c>
      <c r="E7796" t="b">
        <f>IF(COUNTIF(D7796,"*"&amp;'Keyword Search'!$C$5&amp;"*"),TRUE,FALSE)</f>
        <v>1</v>
      </c>
      <c r="G7796" t="str">
        <f t="shared" si="495"/>
        <v>926-81: Sanitizing and Disinfecting Services</v>
      </c>
    </row>
    <row r="7797" spans="1:7" x14ac:dyDescent="0.25">
      <c r="A7797" s="1" t="str">
        <f t="shared" si="497"/>
        <v>926</v>
      </c>
      <c r="B7797" s="1" t="str">
        <f>TEXT(82,"00")</f>
        <v>82</v>
      </c>
      <c r="C7797" s="1" t="str">
        <f t="shared" si="494"/>
        <v>926-82</v>
      </c>
      <c r="D7797" t="s">
        <v>7766</v>
      </c>
      <c r="E7797" t="b">
        <f>IF(COUNTIF(D7797,"*"&amp;'Keyword Search'!$C$5&amp;"*"),TRUE,FALSE)</f>
        <v>1</v>
      </c>
      <c r="G7797" t="str">
        <f t="shared" si="495"/>
        <v>926-82: Safety Services, Environmental</v>
      </c>
    </row>
    <row r="7798" spans="1:7" x14ac:dyDescent="0.25">
      <c r="A7798" s="1" t="str">
        <f t="shared" si="497"/>
        <v>926</v>
      </c>
      <c r="B7798" s="1" t="str">
        <f>TEXT(83,"00")</f>
        <v>83</v>
      </c>
      <c r="C7798" s="1" t="str">
        <f t="shared" si="494"/>
        <v>926-83</v>
      </c>
      <c r="D7798" t="s">
        <v>7767</v>
      </c>
      <c r="E7798" t="b">
        <f>IF(COUNTIF(D7798,"*"&amp;'Keyword Search'!$C$5&amp;"*"),TRUE,FALSE)</f>
        <v>1</v>
      </c>
      <c r="G7798" t="str">
        <f t="shared" si="495"/>
        <v>926-83: Site Assessment, Environmental</v>
      </c>
    </row>
    <row r="7799" spans="1:7" x14ac:dyDescent="0.25">
      <c r="A7799" s="1" t="str">
        <f t="shared" si="497"/>
        <v>926</v>
      </c>
      <c r="B7799" s="1" t="str">
        <f>TEXT(84,"00")</f>
        <v>84</v>
      </c>
      <c r="C7799" s="1" t="str">
        <f t="shared" si="494"/>
        <v>926-84</v>
      </c>
      <c r="D7799" t="s">
        <v>7768</v>
      </c>
      <c r="E7799" t="b">
        <f>IF(COUNTIF(D7799,"*"&amp;'Keyword Search'!$C$5&amp;"*"),TRUE,FALSE)</f>
        <v>1</v>
      </c>
      <c r="G7799" t="str">
        <f t="shared" si="495"/>
        <v>926-84: Soil Pollution Services</v>
      </c>
    </row>
    <row r="7800" spans="1:7" x14ac:dyDescent="0.25">
      <c r="A7800" s="1" t="str">
        <f t="shared" si="497"/>
        <v>926</v>
      </c>
      <c r="B7800" s="1" t="str">
        <f>TEXT(85,"00")</f>
        <v>85</v>
      </c>
      <c r="C7800" s="1" t="str">
        <f t="shared" si="494"/>
        <v>926-85</v>
      </c>
      <c r="D7800" t="s">
        <v>7769</v>
      </c>
      <c r="E7800" t="b">
        <f>IF(COUNTIF(D7800,"*"&amp;'Keyword Search'!$C$5&amp;"*"),TRUE,FALSE)</f>
        <v>1</v>
      </c>
      <c r="G7800" t="str">
        <f t="shared" si="495"/>
        <v>926-85: Soil, Soil Vapor and Groundwater Sampling and Analysis, Including Disposal</v>
      </c>
    </row>
    <row r="7801" spans="1:7" x14ac:dyDescent="0.25">
      <c r="A7801" s="1" t="str">
        <f t="shared" si="497"/>
        <v>926</v>
      </c>
      <c r="B7801" s="1" t="str">
        <f>TEXT(88,"00")</f>
        <v>88</v>
      </c>
      <c r="C7801" s="1" t="str">
        <f t="shared" si="494"/>
        <v>926-88</v>
      </c>
      <c r="D7801" t="s">
        <v>7770</v>
      </c>
      <c r="E7801" t="b">
        <f>IF(COUNTIF(D7801,"*"&amp;'Keyword Search'!$C$5&amp;"*"),TRUE,FALSE)</f>
        <v>1</v>
      </c>
      <c r="G7801" t="str">
        <f t="shared" si="495"/>
        <v>926-88: Storm Water Discharge Testing Services</v>
      </c>
    </row>
    <row r="7802" spans="1:7" x14ac:dyDescent="0.25">
      <c r="A7802" s="1" t="str">
        <f t="shared" si="497"/>
        <v>926</v>
      </c>
      <c r="B7802" s="1" t="str">
        <f>TEXT(90,"00")</f>
        <v>90</v>
      </c>
      <c r="C7802" s="1" t="str">
        <f t="shared" si="494"/>
        <v>926-90</v>
      </c>
      <c r="D7802" t="s">
        <v>7771</v>
      </c>
      <c r="E7802" t="b">
        <f>IF(COUNTIF(D7802,"*"&amp;'Keyword Search'!$C$5&amp;"*"),TRUE,FALSE)</f>
        <v>1</v>
      </c>
      <c r="G7802" t="str">
        <f t="shared" si="495"/>
        <v>926-90: Subsurface Testing, Environmental</v>
      </c>
    </row>
    <row r="7803" spans="1:7" x14ac:dyDescent="0.25">
      <c r="A7803" s="1" t="str">
        <f t="shared" si="497"/>
        <v>926</v>
      </c>
      <c r="B7803" s="1" t="str">
        <f>TEXT(91,"00")</f>
        <v>91</v>
      </c>
      <c r="C7803" s="1" t="str">
        <f t="shared" si="494"/>
        <v>926-91</v>
      </c>
      <c r="D7803" t="s">
        <v>7772</v>
      </c>
      <c r="E7803" t="b">
        <f>IF(COUNTIF(D7803,"*"&amp;'Keyword Search'!$C$5&amp;"*"),TRUE,FALSE)</f>
        <v>1</v>
      </c>
      <c r="G7803" t="str">
        <f t="shared" si="495"/>
        <v>926-91: Tank Testing and Disposal Services, Storage, Including Underground Types</v>
      </c>
    </row>
    <row r="7804" spans="1:7" x14ac:dyDescent="0.25">
      <c r="A7804" s="1" t="str">
        <f t="shared" si="497"/>
        <v>926</v>
      </c>
      <c r="B7804" s="1" t="str">
        <f>TEXT(92,"00")</f>
        <v>92</v>
      </c>
      <c r="C7804" s="1" t="str">
        <f t="shared" si="494"/>
        <v>926-92</v>
      </c>
      <c r="D7804" t="s">
        <v>7773</v>
      </c>
      <c r="E7804" t="b">
        <f>IF(COUNTIF(D7804,"*"&amp;'Keyword Search'!$C$5&amp;"*"),TRUE,FALSE)</f>
        <v>1</v>
      </c>
      <c r="G7804" t="str">
        <f t="shared" si="495"/>
        <v>926-92: WASTEWATER FACILITY ODOR MONITORING</v>
      </c>
    </row>
    <row r="7805" spans="1:7" x14ac:dyDescent="0.25">
      <c r="A7805" s="1" t="str">
        <f t="shared" si="497"/>
        <v>926</v>
      </c>
      <c r="B7805" s="1" t="str">
        <f>TEXT(93,"00")</f>
        <v>93</v>
      </c>
      <c r="C7805" s="1" t="str">
        <f t="shared" si="494"/>
        <v>926-93</v>
      </c>
      <c r="D7805" t="s">
        <v>7774</v>
      </c>
      <c r="E7805" t="b">
        <f>IF(COUNTIF(D7805,"*"&amp;'Keyword Search'!$C$5&amp;"*"),TRUE,FALSE)</f>
        <v>1</v>
      </c>
      <c r="G7805" t="str">
        <f t="shared" si="495"/>
        <v>926-93: Testing and Monitoring Services, Air, Gas, and Water</v>
      </c>
    </row>
    <row r="7806" spans="1:7" x14ac:dyDescent="0.25">
      <c r="A7806" s="1" t="str">
        <f t="shared" si="497"/>
        <v>926</v>
      </c>
      <c r="B7806" s="1" t="str">
        <f>TEXT(94,"00")</f>
        <v>94</v>
      </c>
      <c r="C7806" s="1" t="str">
        <f t="shared" si="494"/>
        <v>926-94</v>
      </c>
      <c r="D7806" t="s">
        <v>7775</v>
      </c>
      <c r="E7806" t="b">
        <f>IF(COUNTIF(D7806,"*"&amp;'Keyword Search'!$C$5&amp;"*"),TRUE,FALSE)</f>
        <v>1</v>
      </c>
      <c r="G7806" t="str">
        <f t="shared" si="495"/>
        <v>926-94: Water Pollution Services</v>
      </c>
    </row>
    <row r="7807" spans="1:7" x14ac:dyDescent="0.25">
      <c r="A7807" s="1" t="str">
        <f t="shared" si="497"/>
        <v>926</v>
      </c>
      <c r="B7807" s="1" t="str">
        <f>TEXT(95,"00")</f>
        <v>95</v>
      </c>
      <c r="C7807" s="1" t="str">
        <f t="shared" si="494"/>
        <v>926-95</v>
      </c>
      <c r="D7807" t="s">
        <v>7776</v>
      </c>
      <c r="E7807" t="b">
        <f>IF(COUNTIF(D7807,"*"&amp;'Keyword Search'!$C$5&amp;"*"),TRUE,FALSE)</f>
        <v>1</v>
      </c>
      <c r="G7807" t="str">
        <f t="shared" si="495"/>
        <v>926-95: Water and Wastewater Conservation Services</v>
      </c>
    </row>
    <row r="7808" spans="1:7" x14ac:dyDescent="0.25">
      <c r="A7808" s="1" t="str">
        <f t="shared" si="497"/>
        <v>926</v>
      </c>
      <c r="B7808" s="1" t="str">
        <f>TEXT(96,"00")</f>
        <v>96</v>
      </c>
      <c r="C7808" s="1" t="str">
        <f t="shared" si="494"/>
        <v>926-96</v>
      </c>
      <c r="D7808" t="s">
        <v>7777</v>
      </c>
      <c r="E7808" t="b">
        <f>IF(COUNTIF(D7808,"*"&amp;'Keyword Search'!$C$5&amp;"*"),TRUE,FALSE)</f>
        <v>1</v>
      </c>
      <c r="G7808" t="str">
        <f t="shared" si="495"/>
        <v>926-96: Wetland Delineations, Including Assessments</v>
      </c>
    </row>
    <row r="7809" spans="1:7" x14ac:dyDescent="0.25">
      <c r="A7809" s="5" t="str">
        <f t="shared" ref="A7809:A7852" si="498">TEXT(928,"000")</f>
        <v>928</v>
      </c>
      <c r="B7809" s="5" t="str">
        <f>TEXT(0,"00")</f>
        <v>00</v>
      </c>
      <c r="C7809" s="1"/>
      <c r="D7809" s="2" t="s">
        <v>7778</v>
      </c>
    </row>
    <row r="7810" spans="1:7" x14ac:dyDescent="0.25">
      <c r="A7810" s="1" t="str">
        <f t="shared" si="498"/>
        <v>928</v>
      </c>
      <c r="B7810" s="1" t="str">
        <f>TEXT(4,"00")</f>
        <v>04</v>
      </c>
      <c r="C7810" s="1" t="str">
        <f t="shared" si="494"/>
        <v>928-04</v>
      </c>
      <c r="D7810" t="s">
        <v>7779</v>
      </c>
      <c r="E7810" t="b">
        <f>IF(COUNTIF(D7810,"*"&amp;'Keyword Search'!$C$5&amp;"*"),TRUE,FALSE)</f>
        <v>1</v>
      </c>
      <c r="G7810" t="str">
        <f t="shared" si="495"/>
        <v>928-04: Accessories Maintenance and Repair, (Not Otherwise Classified)</v>
      </c>
    </row>
    <row r="7811" spans="1:7" x14ac:dyDescent="0.25">
      <c r="A7811" s="1" t="str">
        <f t="shared" si="498"/>
        <v>928</v>
      </c>
      <c r="B7811" s="1" t="str">
        <f>TEXT(10,"00")</f>
        <v>10</v>
      </c>
      <c r="C7811" s="1" t="str">
        <f t="shared" ref="C7811:C7874" si="499">CONCATENATE(A7811,"-",B7811)</f>
        <v>928-10</v>
      </c>
      <c r="D7811" t="s">
        <v>7780</v>
      </c>
      <c r="E7811" t="b">
        <f>IF(COUNTIF(D7811,"*"&amp;'Keyword Search'!$C$5&amp;"*"),TRUE,FALSE)</f>
        <v>1</v>
      </c>
      <c r="G7811" t="str">
        <f t="shared" si="495"/>
        <v>928-10: Alignment and Wheel Balancing, Including Front-End Repair</v>
      </c>
    </row>
    <row r="7812" spans="1:7" x14ac:dyDescent="0.25">
      <c r="A7812" s="1" t="str">
        <f t="shared" si="498"/>
        <v>928</v>
      </c>
      <c r="B7812" s="1" t="str">
        <f>TEXT(12,"00")</f>
        <v>12</v>
      </c>
      <c r="C7812" s="1" t="str">
        <f t="shared" si="499"/>
        <v>928-12</v>
      </c>
      <c r="D7812" t="s">
        <v>7781</v>
      </c>
      <c r="E7812" t="b">
        <f>IF(COUNTIF(D7812,"*"&amp;'Keyword Search'!$C$5&amp;"*"),TRUE,FALSE)</f>
        <v>1</v>
      </c>
      <c r="G7812" t="str">
        <f t="shared" ref="G7812:G7875" si="500">CONCATENATE(C7812,": ",D7812)</f>
        <v>928-12: Ambulance and Rescue Vehicles Maintenance and Repair Services, Including Major Components and Accessory Items</v>
      </c>
    </row>
    <row r="7813" spans="1:7" x14ac:dyDescent="0.25">
      <c r="A7813" s="1" t="str">
        <f t="shared" si="498"/>
        <v>928</v>
      </c>
      <c r="B7813" s="1" t="str">
        <f>TEXT(15,"00")</f>
        <v>15</v>
      </c>
      <c r="C7813" s="1" t="str">
        <f t="shared" si="499"/>
        <v>928-15</v>
      </c>
      <c r="D7813" t="s">
        <v>7782</v>
      </c>
      <c r="E7813" t="b">
        <f>IF(COUNTIF(D7813,"*"&amp;'Keyword Search'!$C$5&amp;"*"),TRUE,FALSE)</f>
        <v>1</v>
      </c>
      <c r="G7813" t="str">
        <f t="shared" si="500"/>
        <v>928-15: Automobile and Other Passenger Vehicles Maintenance and Repair (Not Otherwise Classified)</v>
      </c>
    </row>
    <row r="7814" spans="1:7" x14ac:dyDescent="0.25">
      <c r="A7814" s="1" t="str">
        <f t="shared" si="498"/>
        <v>928</v>
      </c>
      <c r="B7814" s="1" t="str">
        <f>TEXT(19,"00")</f>
        <v>19</v>
      </c>
      <c r="C7814" s="1" t="str">
        <f t="shared" si="499"/>
        <v>928-19</v>
      </c>
      <c r="D7814" t="s">
        <v>7783</v>
      </c>
      <c r="E7814" t="b">
        <f>IF(COUNTIF(D7814,"*"&amp;'Keyword Search'!$C$5&amp;"*"),TRUE,FALSE)</f>
        <v>1</v>
      </c>
      <c r="G7814" t="str">
        <f t="shared" si="500"/>
        <v>928-19: Body and Frame Work, Including Undercoating</v>
      </c>
    </row>
    <row r="7815" spans="1:7" x14ac:dyDescent="0.25">
      <c r="A7815" s="1" t="str">
        <f t="shared" si="498"/>
        <v>928</v>
      </c>
      <c r="B7815" s="1" t="str">
        <f>TEXT(23,"00")</f>
        <v>23</v>
      </c>
      <c r="C7815" s="1" t="str">
        <f t="shared" si="499"/>
        <v>928-23</v>
      </c>
      <c r="D7815" t="s">
        <v>7784</v>
      </c>
      <c r="E7815" t="b">
        <f>IF(COUNTIF(D7815,"*"&amp;'Keyword Search'!$C$5&amp;"*"),TRUE,FALSE)</f>
        <v>1</v>
      </c>
      <c r="G7815" t="str">
        <f t="shared" si="500"/>
        <v>928-23: Brake Maintenance and Repair</v>
      </c>
    </row>
    <row r="7816" spans="1:7" x14ac:dyDescent="0.25">
      <c r="A7816" s="1" t="str">
        <f t="shared" si="498"/>
        <v>928</v>
      </c>
      <c r="B7816" s="1" t="str">
        <f>TEXT(24,"00")</f>
        <v>24</v>
      </c>
      <c r="C7816" s="1" t="str">
        <f t="shared" si="499"/>
        <v>928-24</v>
      </c>
      <c r="D7816" t="s">
        <v>7785</v>
      </c>
      <c r="E7816" t="b">
        <f>IF(COUNTIF(D7816,"*"&amp;'Keyword Search'!$C$5&amp;"*"),TRUE,FALSE)</f>
        <v>1</v>
      </c>
      <c r="G7816" t="str">
        <f t="shared" si="500"/>
        <v>928-24: Buses, School and Mass Transit Maintenance and Repair</v>
      </c>
    </row>
    <row r="7817" spans="1:7" x14ac:dyDescent="0.25">
      <c r="A7817" s="1" t="str">
        <f t="shared" si="498"/>
        <v>928</v>
      </c>
      <c r="B7817" s="1" t="str">
        <f>TEXT(25,"00")</f>
        <v>25</v>
      </c>
      <c r="C7817" s="1" t="str">
        <f t="shared" si="499"/>
        <v>928-25</v>
      </c>
      <c r="D7817" t="s">
        <v>7786</v>
      </c>
      <c r="E7817" t="b">
        <f>IF(COUNTIF(D7817,"*"&amp;'Keyword Search'!$C$5&amp;"*"),TRUE,FALSE)</f>
        <v>1</v>
      </c>
      <c r="G7817" t="str">
        <f t="shared" si="500"/>
        <v>928-25: Charging Station Services</v>
      </c>
    </row>
    <row r="7818" spans="1:7" x14ac:dyDescent="0.25">
      <c r="A7818" s="1" t="str">
        <f t="shared" si="498"/>
        <v>928</v>
      </c>
      <c r="B7818" s="1" t="str">
        <f>TEXT(27,"00")</f>
        <v>27</v>
      </c>
      <c r="C7818" s="1" t="str">
        <f t="shared" si="499"/>
        <v>928-27</v>
      </c>
      <c r="D7818" t="s">
        <v>7787</v>
      </c>
      <c r="E7818" t="b">
        <f>IF(COUNTIF(D7818,"*"&amp;'Keyword Search'!$C$5&amp;"*"),TRUE,FALSE)</f>
        <v>1</v>
      </c>
      <c r="G7818" t="str">
        <f t="shared" si="500"/>
        <v>928-27: *Communications Systems, Vehicle Maintenance and Repair, Including Installation and Removal Services</v>
      </c>
    </row>
    <row r="7819" spans="1:7" x14ac:dyDescent="0.25">
      <c r="A7819" s="1" t="str">
        <f t="shared" si="498"/>
        <v>928</v>
      </c>
      <c r="B7819" s="1" t="str">
        <f>TEXT(29,"00")</f>
        <v>29</v>
      </c>
      <c r="C7819" s="1" t="str">
        <f t="shared" si="499"/>
        <v>928-29</v>
      </c>
      <c r="D7819" t="s">
        <v>7788</v>
      </c>
      <c r="E7819" t="b">
        <f>IF(COUNTIF(D7819,"*"&amp;'Keyword Search'!$C$5&amp;"*"),TRUE,FALSE)</f>
        <v>1</v>
      </c>
      <c r="G7819" t="str">
        <f t="shared" si="500"/>
        <v>928-29: Conversion of Gasoline Fuel Systems to Alternative Fuel Systems Including Maintenance and Repair Services</v>
      </c>
    </row>
    <row r="7820" spans="1:7" x14ac:dyDescent="0.25">
      <c r="A7820" s="1" t="str">
        <f t="shared" si="498"/>
        <v>928</v>
      </c>
      <c r="B7820" s="1" t="str">
        <f>TEXT(30,"00")</f>
        <v>30</v>
      </c>
      <c r="C7820" s="1" t="str">
        <f t="shared" si="499"/>
        <v>928-30</v>
      </c>
      <c r="D7820" t="s">
        <v>7789</v>
      </c>
      <c r="E7820" t="b">
        <f>IF(COUNTIF(D7820,"*"&amp;'Keyword Search'!$C$5&amp;"*"),TRUE,FALSE)</f>
        <v>1</v>
      </c>
      <c r="G7820" t="str">
        <f t="shared" si="500"/>
        <v>928-30: Cooling, Heating, and Ventilating System, A/C System, Hoses, Water Pump, Radiator, Heater and Accessories, Ventilation, etc. Maintenance and Repair</v>
      </c>
    </row>
    <row r="7821" spans="1:7" x14ac:dyDescent="0.25">
      <c r="A7821" s="1" t="str">
        <f t="shared" si="498"/>
        <v>928</v>
      </c>
      <c r="B7821" s="1" t="str">
        <f>TEXT(33,"00")</f>
        <v>33</v>
      </c>
      <c r="C7821" s="1" t="str">
        <f t="shared" si="499"/>
        <v>928-33</v>
      </c>
      <c r="D7821" t="s">
        <v>7790</v>
      </c>
      <c r="E7821" t="b">
        <f>IF(COUNTIF(D7821,"*"&amp;'Keyword Search'!$C$5&amp;"*"),TRUE,FALSE)</f>
        <v>1</v>
      </c>
      <c r="G7821" t="str">
        <f t="shared" si="500"/>
        <v>928-33: Customizing Services, Vehicle, Including Armoring of Vehicles, Handicapped and Van Conversions, etc.</v>
      </c>
    </row>
    <row r="7822" spans="1:7" x14ac:dyDescent="0.25">
      <c r="A7822" s="1" t="str">
        <f t="shared" si="498"/>
        <v>928</v>
      </c>
      <c r="B7822" s="1" t="str">
        <f>TEXT(35,"00")</f>
        <v>35</v>
      </c>
      <c r="C7822" s="1" t="str">
        <f t="shared" si="499"/>
        <v>928-35</v>
      </c>
      <c r="D7822" t="s">
        <v>7791</v>
      </c>
      <c r="E7822" t="b">
        <f>IF(COUNTIF(D7822,"*"&amp;'Keyword Search'!$C$5&amp;"*"),TRUE,FALSE)</f>
        <v>1</v>
      </c>
      <c r="G7822" t="str">
        <f t="shared" si="500"/>
        <v>928-35: Drive Train, Clutch Assembly, Flywheel, etc. Maintenance and Repair</v>
      </c>
    </row>
    <row r="7823" spans="1:7" x14ac:dyDescent="0.25">
      <c r="A7823" s="1" t="str">
        <f t="shared" si="498"/>
        <v>928</v>
      </c>
      <c r="B7823" s="1" t="str">
        <f>TEXT(38,"00")</f>
        <v>38</v>
      </c>
      <c r="C7823" s="1" t="str">
        <f t="shared" si="499"/>
        <v>928-38</v>
      </c>
      <c r="D7823" t="s">
        <v>7792</v>
      </c>
      <c r="E7823" t="b">
        <f>IF(COUNTIF(D7823,"*"&amp;'Keyword Search'!$C$5&amp;"*"),TRUE,FALSE)</f>
        <v>1</v>
      </c>
      <c r="G7823" t="str">
        <f t="shared" si="500"/>
        <v>928-38: Electrical, Alternator and Generator, Battery, Ignition System, Lights, etc. Maintenance and Repair</v>
      </c>
    </row>
    <row r="7824" spans="1:7" x14ac:dyDescent="0.25">
      <c r="A7824" s="1" t="str">
        <f t="shared" si="498"/>
        <v>928</v>
      </c>
      <c r="B7824" s="1" t="str">
        <f>TEXT(40,"00")</f>
        <v>40</v>
      </c>
      <c r="C7824" s="1" t="str">
        <f t="shared" si="499"/>
        <v>928-40</v>
      </c>
      <c r="D7824" t="s">
        <v>7793</v>
      </c>
      <c r="E7824" t="b">
        <f>IF(COUNTIF(D7824,"*"&amp;'Keyword Search'!$C$5&amp;"*"),TRUE,FALSE)</f>
        <v>1</v>
      </c>
      <c r="G7824" t="str">
        <f t="shared" si="500"/>
        <v>928-40: Exhaust System Maintenance and Repair</v>
      </c>
    </row>
    <row r="7825" spans="1:7" x14ac:dyDescent="0.25">
      <c r="A7825" s="1" t="str">
        <f t="shared" si="498"/>
        <v>928</v>
      </c>
      <c r="B7825" s="1" t="str">
        <f>TEXT(43,"00")</f>
        <v>43</v>
      </c>
      <c r="C7825" s="1" t="str">
        <f t="shared" si="499"/>
        <v>928-43</v>
      </c>
      <c r="D7825" t="s">
        <v>7794</v>
      </c>
      <c r="E7825" t="b">
        <f>IF(COUNTIF(D7825,"*"&amp;'Keyword Search'!$C$5&amp;"*"),TRUE,FALSE)</f>
        <v>1</v>
      </c>
      <c r="G7825" t="str">
        <f t="shared" si="500"/>
        <v>928-43: Fuel Site Maintenance and Repair</v>
      </c>
    </row>
    <row r="7826" spans="1:7" x14ac:dyDescent="0.25">
      <c r="A7826" s="1" t="str">
        <f t="shared" si="498"/>
        <v>928</v>
      </c>
      <c r="B7826" s="1" t="str">
        <f>TEXT(44,"00")</f>
        <v>44</v>
      </c>
      <c r="C7826" s="1" t="str">
        <f t="shared" si="499"/>
        <v>928-44</v>
      </c>
      <c r="D7826" t="s">
        <v>7795</v>
      </c>
      <c r="E7826" t="b">
        <f>IF(COUNTIF(D7826,"*"&amp;'Keyword Search'!$C$5&amp;"*"),TRUE,FALSE)</f>
        <v>1</v>
      </c>
      <c r="G7826" t="str">
        <f t="shared" si="500"/>
        <v>928-44: Fuel System Maintenance and Repair</v>
      </c>
    </row>
    <row r="7827" spans="1:7" x14ac:dyDescent="0.25">
      <c r="A7827" s="1" t="str">
        <f t="shared" si="498"/>
        <v>928</v>
      </c>
      <c r="B7827" s="1" t="str">
        <f>TEXT(45,"00")</f>
        <v>45</v>
      </c>
      <c r="C7827" s="1" t="str">
        <f t="shared" si="499"/>
        <v>928-45</v>
      </c>
      <c r="D7827" t="s">
        <v>7796</v>
      </c>
      <c r="E7827" t="b">
        <f>IF(COUNTIF(D7827,"*"&amp;'Keyword Search'!$C$5&amp;"*"),TRUE,FALSE)</f>
        <v>1</v>
      </c>
      <c r="G7827" t="str">
        <f t="shared" si="500"/>
        <v>928-45: Fueling Services, Mobile, Vehicle</v>
      </c>
    </row>
    <row r="7828" spans="1:7" x14ac:dyDescent="0.25">
      <c r="A7828" s="1" t="str">
        <f t="shared" si="498"/>
        <v>928</v>
      </c>
      <c r="B7828" s="1" t="str">
        <f>TEXT(46,"00")</f>
        <v>46</v>
      </c>
      <c r="C7828" s="1" t="str">
        <f t="shared" si="499"/>
        <v>928-46</v>
      </c>
      <c r="D7828" t="s">
        <v>7797</v>
      </c>
      <c r="E7828" t="b">
        <f>IF(COUNTIF(D7828,"*"&amp;'Keyword Search'!$C$5&amp;"*"),TRUE,FALSE)</f>
        <v>1</v>
      </c>
      <c r="G7828" t="str">
        <f t="shared" si="500"/>
        <v>928-46: Glass Replacement and Repair Services, Windshield and Window, Automotive, Including Window Tinting Services</v>
      </c>
    </row>
    <row r="7829" spans="1:7" x14ac:dyDescent="0.25">
      <c r="A7829" s="1" t="str">
        <f t="shared" si="498"/>
        <v>928</v>
      </c>
      <c r="B7829" s="1" t="str">
        <f>TEXT(47,"00")</f>
        <v>47</v>
      </c>
      <c r="C7829" s="1" t="str">
        <f t="shared" si="499"/>
        <v>928-47</v>
      </c>
      <c r="D7829" t="s">
        <v>7798</v>
      </c>
      <c r="E7829" t="b">
        <f>IF(COUNTIF(D7829,"*"&amp;'Keyword Search'!$C$5&amp;"*"),TRUE,FALSE)</f>
        <v>1</v>
      </c>
      <c r="G7829" t="str">
        <f t="shared" si="500"/>
        <v>928-47: General Maintenance and Repair, Vehicle (Not Otherwise Classified), Including Oil Changes, Lubrication, Guaranteed Maintenance Programs, etc. (See 928-88 for Tune-Ups)</v>
      </c>
    </row>
    <row r="7830" spans="1:7" x14ac:dyDescent="0.25">
      <c r="A7830" s="1" t="str">
        <f t="shared" si="498"/>
        <v>928</v>
      </c>
      <c r="B7830" s="1" t="str">
        <f>TEXT(49,"00")</f>
        <v>49</v>
      </c>
      <c r="C7830" s="1" t="str">
        <f t="shared" si="499"/>
        <v>928-49</v>
      </c>
      <c r="D7830" t="s">
        <v>7799</v>
      </c>
      <c r="E7830" t="b">
        <f>IF(COUNTIF(D7830,"*"&amp;'Keyword Search'!$C$5&amp;"*"),TRUE,FALSE)</f>
        <v>1</v>
      </c>
      <c r="G7830" t="str">
        <f t="shared" si="500"/>
        <v>928-49: Hydraulics Pump, Hydraulic Motor, Valves, Gauges, etc. Maintenance and Repair</v>
      </c>
    </row>
    <row r="7831" spans="1:7" x14ac:dyDescent="0.25">
      <c r="A7831" s="1" t="str">
        <f t="shared" si="498"/>
        <v>928</v>
      </c>
      <c r="B7831" s="1" t="str">
        <f>TEXT(51,"00")</f>
        <v>51</v>
      </c>
      <c r="C7831" s="1" t="str">
        <f t="shared" si="499"/>
        <v>928-51</v>
      </c>
      <c r="D7831" t="s">
        <v>7800</v>
      </c>
      <c r="E7831" t="b">
        <f>IF(COUNTIF(D7831,"*"&amp;'Keyword Search'!$C$5&amp;"*"),TRUE,FALSE)</f>
        <v>1</v>
      </c>
      <c r="G7831" t="str">
        <f t="shared" si="500"/>
        <v>928-51: License Identification System, Vehicle Maintenance and Repair</v>
      </c>
    </row>
    <row r="7832" spans="1:7" x14ac:dyDescent="0.25">
      <c r="A7832" s="1" t="str">
        <f t="shared" si="498"/>
        <v>928</v>
      </c>
      <c r="B7832" s="1" t="str">
        <f>TEXT(54,"00")</f>
        <v>54</v>
      </c>
      <c r="C7832" s="1" t="str">
        <f t="shared" si="499"/>
        <v>928-54</v>
      </c>
      <c r="D7832" t="s">
        <v>7801</v>
      </c>
      <c r="E7832" t="b">
        <f>IF(COUNTIF(D7832,"*"&amp;'Keyword Search'!$C$5&amp;"*"),TRUE,FALSE)</f>
        <v>1</v>
      </c>
      <c r="G7832" t="str">
        <f t="shared" si="500"/>
        <v>928-54: Machine Shop Services, Automotive Type (See 929-48 for Industrial Type)</v>
      </c>
    </row>
    <row r="7833" spans="1:7" x14ac:dyDescent="0.25">
      <c r="A7833" s="1" t="str">
        <f t="shared" si="498"/>
        <v>928</v>
      </c>
      <c r="B7833" s="1" t="str">
        <f>TEXT(55,"00")</f>
        <v>55</v>
      </c>
      <c r="C7833" s="1" t="str">
        <f t="shared" si="499"/>
        <v>928-55</v>
      </c>
      <c r="D7833" t="s">
        <v>7802</v>
      </c>
      <c r="E7833" t="b">
        <f>IF(COUNTIF(D7833,"*"&amp;'Keyword Search'!$C$5&amp;"*"),TRUE,FALSE)</f>
        <v>1</v>
      </c>
      <c r="G7833" t="str">
        <f t="shared" si="500"/>
        <v>928-55: Motor Homes and Recreational Vehicles, Maintenance and Repair</v>
      </c>
    </row>
    <row r="7834" spans="1:7" x14ac:dyDescent="0.25">
      <c r="A7834" s="1" t="str">
        <f t="shared" si="498"/>
        <v>928</v>
      </c>
      <c r="B7834" s="1" t="str">
        <f>TEXT(56,"00")</f>
        <v>56</v>
      </c>
      <c r="C7834" s="1" t="str">
        <f t="shared" si="499"/>
        <v>928-56</v>
      </c>
      <c r="D7834" t="s">
        <v>7803</v>
      </c>
      <c r="E7834" t="b">
        <f>IF(COUNTIF(D7834,"*"&amp;'Keyword Search'!$C$5&amp;"*"),TRUE,FALSE)</f>
        <v>1</v>
      </c>
      <c r="G7834" t="str">
        <f t="shared" si="500"/>
        <v>928-56: Oil Collection Services, Waste</v>
      </c>
    </row>
    <row r="7835" spans="1:7" x14ac:dyDescent="0.25">
      <c r="A7835" s="1" t="str">
        <f t="shared" si="498"/>
        <v>928</v>
      </c>
      <c r="B7835" s="1" t="str">
        <f>TEXT(57,"00")</f>
        <v>57</v>
      </c>
      <c r="C7835" s="1" t="str">
        <f t="shared" si="499"/>
        <v>928-57</v>
      </c>
      <c r="D7835" t="s">
        <v>7804</v>
      </c>
      <c r="E7835" t="b">
        <f>IF(COUNTIF(D7835,"*"&amp;'Keyword Search'!$C$5&amp;"*"),TRUE,FALSE)</f>
        <v>1</v>
      </c>
      <c r="G7835" t="str">
        <f t="shared" si="500"/>
        <v>928-57: Painting, Vehicle</v>
      </c>
    </row>
    <row r="7836" spans="1:7" x14ac:dyDescent="0.25">
      <c r="A7836" s="1" t="str">
        <f t="shared" si="498"/>
        <v>928</v>
      </c>
      <c r="B7836" s="1" t="str">
        <f>TEXT(58,"00")</f>
        <v>58</v>
      </c>
      <c r="C7836" s="1" t="str">
        <f t="shared" si="499"/>
        <v>928-58</v>
      </c>
      <c r="D7836" t="s">
        <v>7805</v>
      </c>
      <c r="E7836" t="b">
        <f>IF(COUNTIF(D7836,"*"&amp;'Keyword Search'!$C$5&amp;"*"),TRUE,FALSE)</f>
        <v>1</v>
      </c>
      <c r="G7836" t="str">
        <f t="shared" si="500"/>
        <v>928-58: Parts Washing Services</v>
      </c>
    </row>
    <row r="7837" spans="1:7" x14ac:dyDescent="0.25">
      <c r="A7837" s="1" t="str">
        <f t="shared" si="498"/>
        <v>928</v>
      </c>
      <c r="B7837" s="1" t="str">
        <f>TEXT(60,"00")</f>
        <v>60</v>
      </c>
      <c r="C7837" s="1" t="str">
        <f t="shared" si="499"/>
        <v>928-60</v>
      </c>
      <c r="D7837" t="s">
        <v>7806</v>
      </c>
      <c r="E7837" t="b">
        <f>IF(COUNTIF(D7837,"*"&amp;'Keyword Search'!$C$5&amp;"*"),TRUE,FALSE)</f>
        <v>1</v>
      </c>
      <c r="G7837" t="str">
        <f t="shared" si="500"/>
        <v>928-60: Power Plant, Engine, Belts, Heads, Intake, Rebuilding, etc. Maintenance and Repair</v>
      </c>
    </row>
    <row r="7838" spans="1:7" x14ac:dyDescent="0.25">
      <c r="A7838" s="1" t="str">
        <f t="shared" si="498"/>
        <v>928</v>
      </c>
      <c r="B7838" s="1" t="str">
        <f>TEXT(64,"00")</f>
        <v>64</v>
      </c>
      <c r="C7838" s="1" t="str">
        <f t="shared" si="499"/>
        <v>928-64</v>
      </c>
      <c r="D7838" t="s">
        <v>7807</v>
      </c>
      <c r="E7838" t="b">
        <f>IF(COUNTIF(D7838,"*"&amp;'Keyword Search'!$C$5&amp;"*"),TRUE,FALSE)</f>
        <v>1</v>
      </c>
      <c r="G7838" t="str">
        <f t="shared" si="500"/>
        <v>928-64: Reconditioning and Refurbishing Vehicles</v>
      </c>
    </row>
    <row r="7839" spans="1:7" x14ac:dyDescent="0.25">
      <c r="A7839" s="1" t="str">
        <f t="shared" si="498"/>
        <v>928</v>
      </c>
      <c r="B7839" s="1" t="str">
        <f>TEXT(65,"00")</f>
        <v>65</v>
      </c>
      <c r="C7839" s="1" t="str">
        <f t="shared" si="499"/>
        <v>928-65</v>
      </c>
      <c r="D7839" t="s">
        <v>7808</v>
      </c>
      <c r="E7839" t="b">
        <f>IF(COUNTIF(D7839,"*"&amp;'Keyword Search'!$C$5&amp;"*"),TRUE,FALSE)</f>
        <v>1</v>
      </c>
      <c r="G7839" t="str">
        <f t="shared" si="500"/>
        <v>928-65: Retrofitting Vehicles to Reduce Emissions and Improve Air Quality, Complete Service Including Parts Where Necessary to Meet Specifications</v>
      </c>
    </row>
    <row r="7840" spans="1:7" x14ac:dyDescent="0.25">
      <c r="A7840" s="1" t="str">
        <f t="shared" si="498"/>
        <v>928</v>
      </c>
      <c r="B7840" s="1" t="str">
        <f>TEXT(67,"00")</f>
        <v>67</v>
      </c>
      <c r="C7840" s="1" t="str">
        <f t="shared" si="499"/>
        <v>928-67</v>
      </c>
      <c r="D7840" t="s">
        <v>7809</v>
      </c>
      <c r="E7840" t="b">
        <f>IF(COUNTIF(D7840,"*"&amp;'Keyword Search'!$C$5&amp;"*"),TRUE,FALSE)</f>
        <v>1</v>
      </c>
      <c r="G7840" t="str">
        <f t="shared" si="500"/>
        <v>928-67: *Road Services, Vehicle, Including Mobile Repair Services</v>
      </c>
    </row>
    <row r="7841" spans="1:7" x14ac:dyDescent="0.25">
      <c r="A7841" s="1" t="str">
        <f t="shared" si="498"/>
        <v>928</v>
      </c>
      <c r="B7841" s="1" t="str">
        <f>TEXT(76,"00")</f>
        <v>76</v>
      </c>
      <c r="C7841" s="1" t="str">
        <f t="shared" si="499"/>
        <v>928-76</v>
      </c>
      <c r="D7841" t="s">
        <v>7810</v>
      </c>
      <c r="E7841" t="b">
        <f>IF(COUNTIF(D7841,"*"&amp;'Keyword Search'!$C$5&amp;"*"),TRUE,FALSE)</f>
        <v>1</v>
      </c>
      <c r="G7841" t="str">
        <f t="shared" si="500"/>
        <v>928-76: Suspension, Axles, Springs, Steering, etc., Maintenance and Repair</v>
      </c>
    </row>
    <row r="7842" spans="1:7" x14ac:dyDescent="0.25">
      <c r="A7842" s="1" t="str">
        <f t="shared" si="498"/>
        <v>928</v>
      </c>
      <c r="B7842" s="1" t="str">
        <f>TEXT(82,"00")</f>
        <v>82</v>
      </c>
      <c r="C7842" s="1" t="str">
        <f t="shared" si="499"/>
        <v>928-82</v>
      </c>
      <c r="D7842" t="s">
        <v>7811</v>
      </c>
      <c r="E7842" t="b">
        <f>IF(COUNTIF(D7842,"*"&amp;'Keyword Search'!$C$5&amp;"*"),TRUE,FALSE)</f>
        <v>1</v>
      </c>
      <c r="G7842" t="str">
        <f t="shared" si="500"/>
        <v>928-82: Tire and Tube Mounting, Repair, Retreading, and Rotation, Including Tire Foam Filling Services</v>
      </c>
    </row>
    <row r="7843" spans="1:7" x14ac:dyDescent="0.25">
      <c r="A7843" s="1" t="str">
        <f t="shared" si="498"/>
        <v>928</v>
      </c>
      <c r="B7843" s="1" t="str">
        <f>TEXT(84,"00")</f>
        <v>84</v>
      </c>
      <c r="C7843" s="1" t="str">
        <f t="shared" si="499"/>
        <v>928-84</v>
      </c>
      <c r="D7843" t="s">
        <v>7812</v>
      </c>
      <c r="E7843" t="b">
        <f>IF(COUNTIF(D7843,"*"&amp;'Keyword Search'!$C$5&amp;"*"),TRUE,FALSE)</f>
        <v>1</v>
      </c>
      <c r="G7843" t="str">
        <f t="shared" si="500"/>
        <v>928-84: Trailer Maintenance and Repair (Not Otherwise Classified)</v>
      </c>
    </row>
    <row r="7844" spans="1:7" x14ac:dyDescent="0.25">
      <c r="A7844" s="1" t="str">
        <f t="shared" si="498"/>
        <v>928</v>
      </c>
      <c r="B7844" s="1" t="str">
        <f>TEXT(85,"00")</f>
        <v>85</v>
      </c>
      <c r="C7844" s="1" t="str">
        <f t="shared" si="499"/>
        <v>928-85</v>
      </c>
      <c r="D7844" t="s">
        <v>7813</v>
      </c>
      <c r="E7844" t="b">
        <f>IF(COUNTIF(D7844,"*"&amp;'Keyword Search'!$C$5&amp;"*"),TRUE,FALSE)</f>
        <v>1</v>
      </c>
      <c r="G7844" t="str">
        <f t="shared" si="500"/>
        <v>928-85: Transmission, Main, Transfer Case, Chain and Final Drives Maintenance and Repair</v>
      </c>
    </row>
    <row r="7845" spans="1:7" x14ac:dyDescent="0.25">
      <c r="A7845" s="1" t="str">
        <f t="shared" si="498"/>
        <v>928</v>
      </c>
      <c r="B7845" s="1" t="str">
        <f>TEXT(86,"00")</f>
        <v>86</v>
      </c>
      <c r="C7845" s="1" t="str">
        <f t="shared" si="499"/>
        <v>928-86</v>
      </c>
      <c r="D7845" t="s">
        <v>7814</v>
      </c>
      <c r="E7845" t="b">
        <f>IF(COUNTIF(D7845,"*"&amp;'Keyword Search'!$C$5&amp;"*"),TRUE,FALSE)</f>
        <v>1</v>
      </c>
      <c r="G7845" t="str">
        <f t="shared" si="500"/>
        <v>928-86: Truck and Van Maintenance and Repair (Not Otherwise Classified)</v>
      </c>
    </row>
    <row r="7846" spans="1:7" x14ac:dyDescent="0.25">
      <c r="A7846" s="1" t="str">
        <f t="shared" si="498"/>
        <v>928</v>
      </c>
      <c r="B7846" s="1" t="str">
        <f>TEXT(87,"00")</f>
        <v>87</v>
      </c>
      <c r="C7846" s="1" t="str">
        <f t="shared" si="499"/>
        <v>928-87</v>
      </c>
      <c r="D7846" t="s">
        <v>7815</v>
      </c>
      <c r="E7846" t="b">
        <f>IF(COUNTIF(D7846,"*"&amp;'Keyword Search'!$C$5&amp;"*"),TRUE,FALSE)</f>
        <v>1</v>
      </c>
      <c r="G7846" t="str">
        <f t="shared" si="500"/>
        <v>928-87: Truck Maintenance and Repair, Heavy</v>
      </c>
    </row>
    <row r="7847" spans="1:7" x14ac:dyDescent="0.25">
      <c r="A7847" s="1" t="str">
        <f t="shared" si="498"/>
        <v>928</v>
      </c>
      <c r="B7847" s="1" t="str">
        <f>TEXT(88,"00")</f>
        <v>88</v>
      </c>
      <c r="C7847" s="1" t="str">
        <f t="shared" si="499"/>
        <v>928-88</v>
      </c>
      <c r="D7847" t="s">
        <v>7816</v>
      </c>
      <c r="E7847" t="b">
        <f>IF(COUNTIF(D7847,"*"&amp;'Keyword Search'!$C$5&amp;"*"),TRUE,FALSE)</f>
        <v>1</v>
      </c>
      <c r="G7847" t="str">
        <f t="shared" si="500"/>
        <v>928-88: Tune-ups</v>
      </c>
    </row>
    <row r="7848" spans="1:7" x14ac:dyDescent="0.25">
      <c r="A7848" s="1" t="str">
        <f t="shared" si="498"/>
        <v>928</v>
      </c>
      <c r="B7848" s="1" t="str">
        <f>TEXT(91,"00")</f>
        <v>91</v>
      </c>
      <c r="C7848" s="1" t="str">
        <f t="shared" si="499"/>
        <v>928-91</v>
      </c>
      <c r="D7848" t="s">
        <v>7817</v>
      </c>
      <c r="E7848" t="b">
        <f>IF(COUNTIF(D7848,"*"&amp;'Keyword Search'!$C$5&amp;"*"),TRUE,FALSE)</f>
        <v>1</v>
      </c>
      <c r="G7848" t="str">
        <f t="shared" si="500"/>
        <v>928-91: Upholstery Maintenance and Repair</v>
      </c>
    </row>
    <row r="7849" spans="1:7" x14ac:dyDescent="0.25">
      <c r="A7849" s="1" t="str">
        <f t="shared" si="498"/>
        <v>928</v>
      </c>
      <c r="B7849" s="1" t="str">
        <f>TEXT(92,"00")</f>
        <v>92</v>
      </c>
      <c r="C7849" s="1" t="str">
        <f t="shared" si="499"/>
        <v>928-92</v>
      </c>
      <c r="D7849" t="s">
        <v>7818</v>
      </c>
      <c r="E7849" t="b">
        <f>IF(COUNTIF(D7849,"*"&amp;'Keyword Search'!$C$5&amp;"*"),TRUE,FALSE)</f>
        <v>1</v>
      </c>
      <c r="G7849" t="str">
        <f t="shared" si="500"/>
        <v>928-92: Vehicle Inspection and Testing Services, Emissions, etc.</v>
      </c>
    </row>
    <row r="7850" spans="1:7" x14ac:dyDescent="0.25">
      <c r="A7850" s="1" t="str">
        <f t="shared" si="498"/>
        <v>928</v>
      </c>
      <c r="B7850" s="1" t="str">
        <f>TEXT(93,"00")</f>
        <v>93</v>
      </c>
      <c r="C7850" s="1" t="str">
        <f t="shared" si="499"/>
        <v>928-93</v>
      </c>
      <c r="D7850" t="s">
        <v>7819</v>
      </c>
      <c r="E7850" t="b">
        <f>IF(COUNTIF(D7850,"*"&amp;'Keyword Search'!$C$5&amp;"*"),TRUE,FALSE)</f>
        <v>1</v>
      </c>
      <c r="G7850" t="str">
        <f t="shared" si="500"/>
        <v>928-93: Washing, Waxing, Polishing, Steam Cleaning, Disinfecting, Decal Removal, etc.</v>
      </c>
    </row>
    <row r="7851" spans="1:7" x14ac:dyDescent="0.25">
      <c r="A7851" s="1" t="str">
        <f t="shared" si="498"/>
        <v>928</v>
      </c>
      <c r="B7851" s="1" t="str">
        <f>TEXT(94,"00")</f>
        <v>94</v>
      </c>
      <c r="C7851" s="1" t="str">
        <f t="shared" si="499"/>
        <v>928-94</v>
      </c>
      <c r="D7851" t="s">
        <v>7820</v>
      </c>
      <c r="E7851" t="b">
        <f>IF(COUNTIF(D7851,"*"&amp;'Keyword Search'!$C$5&amp;"*"),TRUE,FALSE)</f>
        <v>1</v>
      </c>
      <c r="G7851" t="str">
        <f t="shared" si="500"/>
        <v>928-94: Wheel Maintenance and Repair</v>
      </c>
    </row>
    <row r="7852" spans="1:7" x14ac:dyDescent="0.25">
      <c r="A7852" s="1" t="str">
        <f t="shared" si="498"/>
        <v>928</v>
      </c>
      <c r="B7852" s="1" t="str">
        <f>TEXT(95,"00")</f>
        <v>95</v>
      </c>
      <c r="C7852" s="1" t="str">
        <f t="shared" si="499"/>
        <v>928-95</v>
      </c>
      <c r="D7852" t="s">
        <v>7821</v>
      </c>
      <c r="E7852" t="b">
        <f>IF(COUNTIF(D7852,"*"&amp;'Keyword Search'!$C$5&amp;"*"),TRUE,FALSE)</f>
        <v>1</v>
      </c>
      <c r="G7852" t="str">
        <f t="shared" si="500"/>
        <v>928-95: Welding Services, Automotive Transportation</v>
      </c>
    </row>
    <row r="7853" spans="1:7" x14ac:dyDescent="0.25">
      <c r="A7853" s="5" t="str">
        <f t="shared" ref="A7853:A7891" si="501">TEXT(929,"000")</f>
        <v>929</v>
      </c>
      <c r="B7853" s="5" t="str">
        <f>TEXT(0,"00")</f>
        <v>00</v>
      </c>
      <c r="C7853" s="1"/>
      <c r="D7853" s="2" t="s">
        <v>7822</v>
      </c>
    </row>
    <row r="7854" spans="1:7" x14ac:dyDescent="0.25">
      <c r="A7854" s="1" t="str">
        <f t="shared" si="501"/>
        <v>929</v>
      </c>
      <c r="B7854" s="1" t="str">
        <f>TEXT(4,"00")</f>
        <v>04</v>
      </c>
      <c r="C7854" s="1" t="str">
        <f t="shared" si="499"/>
        <v>929-04</v>
      </c>
      <c r="D7854" t="s">
        <v>7823</v>
      </c>
      <c r="E7854" t="b">
        <f>IF(COUNTIF(D7854,"*"&amp;'Keyword Search'!$C$5&amp;"*"),TRUE,FALSE)</f>
        <v>1</v>
      </c>
      <c r="G7854" t="str">
        <f t="shared" si="500"/>
        <v>929-04: Agricultural Implements, Parts and Accessories Maintenance and Repair</v>
      </c>
    </row>
    <row r="7855" spans="1:7" x14ac:dyDescent="0.25">
      <c r="A7855" s="1" t="str">
        <f t="shared" si="501"/>
        <v>929</v>
      </c>
      <c r="B7855" s="1" t="str">
        <f>TEXT(12,"00")</f>
        <v>12</v>
      </c>
      <c r="C7855" s="1" t="str">
        <f t="shared" si="499"/>
        <v>929-12</v>
      </c>
      <c r="D7855" t="s">
        <v>7824</v>
      </c>
      <c r="E7855" t="b">
        <f>IF(COUNTIF(D7855,"*"&amp;'Keyword Search'!$C$5&amp;"*"),TRUE,FALSE)</f>
        <v>1</v>
      </c>
      <c r="G7855" t="str">
        <f t="shared" si="500"/>
        <v>929-12: Asphalt Distributors, Levelers, Mixers, etc. Maintenance and Repair</v>
      </c>
    </row>
    <row r="7856" spans="1:7" x14ac:dyDescent="0.25">
      <c r="A7856" s="1" t="str">
        <f t="shared" si="501"/>
        <v>929</v>
      </c>
      <c r="B7856" s="1" t="str">
        <f>TEXT(13,"00")</f>
        <v>13</v>
      </c>
      <c r="C7856" s="1" t="str">
        <f t="shared" si="499"/>
        <v>929-13</v>
      </c>
      <c r="D7856" t="s">
        <v>7825</v>
      </c>
      <c r="E7856" t="b">
        <f>IF(COUNTIF(D7856,"*"&amp;'Keyword Search'!$C$5&amp;"*"),TRUE,FALSE)</f>
        <v>1</v>
      </c>
      <c r="G7856" t="str">
        <f t="shared" si="500"/>
        <v>929-13: Asphalt Heaters Maintenance and Repair</v>
      </c>
    </row>
    <row r="7857" spans="1:7" x14ac:dyDescent="0.25">
      <c r="A7857" s="1" t="str">
        <f t="shared" si="501"/>
        <v>929</v>
      </c>
      <c r="B7857" s="1" t="str">
        <f>TEXT(14,"00")</f>
        <v>14</v>
      </c>
      <c r="C7857" s="1" t="str">
        <f t="shared" si="499"/>
        <v>929-14</v>
      </c>
      <c r="D7857" t="s">
        <v>7826</v>
      </c>
      <c r="E7857" t="b">
        <f>IF(COUNTIF(D7857,"*"&amp;'Keyword Search'!$C$5&amp;"*"),TRUE,FALSE)</f>
        <v>1</v>
      </c>
      <c r="G7857" t="str">
        <f t="shared" si="500"/>
        <v>929-14: Asphalt Pavers Maintenance and Repair</v>
      </c>
    </row>
    <row r="7858" spans="1:7" x14ac:dyDescent="0.25">
      <c r="A7858" s="1" t="str">
        <f t="shared" si="501"/>
        <v>929</v>
      </c>
      <c r="B7858" s="1" t="str">
        <f>TEXT(15,"00")</f>
        <v>15</v>
      </c>
      <c r="C7858" s="1" t="str">
        <f t="shared" si="499"/>
        <v>929-15</v>
      </c>
      <c r="D7858" t="s">
        <v>7827</v>
      </c>
      <c r="E7858" t="b">
        <f>IF(COUNTIF(D7858,"*"&amp;'Keyword Search'!$C$5&amp;"*"),TRUE,FALSE)</f>
        <v>1</v>
      </c>
      <c r="G7858" t="str">
        <f t="shared" si="500"/>
        <v>929-15: Asphalt Scarifiers, Milling Machines, Scrapers, etc. Maintenance and Repair</v>
      </c>
    </row>
    <row r="7859" spans="1:7" x14ac:dyDescent="0.25">
      <c r="A7859" s="1" t="str">
        <f t="shared" si="501"/>
        <v>929</v>
      </c>
      <c r="B7859" s="1" t="str">
        <f>TEXT(17,"00")</f>
        <v>17</v>
      </c>
      <c r="C7859" s="1" t="str">
        <f t="shared" si="499"/>
        <v>929-17</v>
      </c>
      <c r="D7859" t="s">
        <v>7828</v>
      </c>
      <c r="E7859" t="b">
        <f>IF(COUNTIF(D7859,"*"&amp;'Keyword Search'!$C$5&amp;"*"),TRUE,FALSE)</f>
        <v>1</v>
      </c>
      <c r="G7859" t="str">
        <f t="shared" si="500"/>
        <v>929-17: Automotive Shop Equipment Maintenance and Repair</v>
      </c>
    </row>
    <row r="7860" spans="1:7" x14ac:dyDescent="0.25">
      <c r="A7860" s="1" t="str">
        <f t="shared" si="501"/>
        <v>929</v>
      </c>
      <c r="B7860" s="1" t="str">
        <f>TEXT(24,"00")</f>
        <v>24</v>
      </c>
      <c r="C7860" s="1" t="str">
        <f t="shared" si="499"/>
        <v>929-24</v>
      </c>
      <c r="D7860" t="s">
        <v>7829</v>
      </c>
      <c r="E7860" t="b">
        <f>IF(COUNTIF(D7860,"*"&amp;'Keyword Search'!$C$5&amp;"*"),TRUE,FALSE)</f>
        <v>1</v>
      </c>
      <c r="G7860" t="str">
        <f t="shared" si="500"/>
        <v>929-24: Car Wash Equipment Maintenance and Repair</v>
      </c>
    </row>
    <row r="7861" spans="1:7" x14ac:dyDescent="0.25">
      <c r="A7861" s="1" t="str">
        <f t="shared" si="501"/>
        <v>929</v>
      </c>
      <c r="B7861" s="1" t="str">
        <f>TEXT(29,"00")</f>
        <v>29</v>
      </c>
      <c r="C7861" s="1" t="str">
        <f t="shared" si="499"/>
        <v>929-29</v>
      </c>
      <c r="D7861" t="s">
        <v>7830</v>
      </c>
      <c r="E7861" t="b">
        <f>IF(COUNTIF(D7861,"*"&amp;'Keyword Search'!$C$5&amp;"*"),TRUE,FALSE)</f>
        <v>1</v>
      </c>
      <c r="G7861" t="str">
        <f t="shared" si="500"/>
        <v>929-29: Concrete Equipment: Buckets, Screeding Machines, Curbers, Finishers, etc. Maintenance and Repair</v>
      </c>
    </row>
    <row r="7862" spans="1:7" x14ac:dyDescent="0.25">
      <c r="A7862" s="1" t="str">
        <f t="shared" si="501"/>
        <v>929</v>
      </c>
      <c r="B7862" s="1" t="str">
        <f>TEXT(30,"00")</f>
        <v>30</v>
      </c>
      <c r="C7862" s="1" t="str">
        <f t="shared" si="499"/>
        <v>929-30</v>
      </c>
      <c r="D7862" t="s">
        <v>7831</v>
      </c>
      <c r="E7862" t="b">
        <f>IF(COUNTIF(D7862,"*"&amp;'Keyword Search'!$C$5&amp;"*"),TRUE,FALSE)</f>
        <v>1</v>
      </c>
      <c r="G7862" t="str">
        <f t="shared" si="500"/>
        <v>929-30: Concrete Mixers Maintenance and Repair</v>
      </c>
    </row>
    <row r="7863" spans="1:7" x14ac:dyDescent="0.25">
      <c r="A7863" s="1" t="str">
        <f t="shared" si="501"/>
        <v>929</v>
      </c>
      <c r="B7863" s="1" t="str">
        <f>TEXT(31,"00")</f>
        <v>31</v>
      </c>
      <c r="C7863" s="1" t="str">
        <f t="shared" si="499"/>
        <v>929-31</v>
      </c>
      <c r="D7863" t="s">
        <v>7832</v>
      </c>
      <c r="E7863" t="b">
        <f>IF(COUNTIF(D7863,"*"&amp;'Keyword Search'!$C$5&amp;"*"),TRUE,FALSE)</f>
        <v>1</v>
      </c>
      <c r="G7863" t="str">
        <f t="shared" si="500"/>
        <v>929-31: Construction Equipment Maintenance and Repair (Not Otherwise Classified)</v>
      </c>
    </row>
    <row r="7864" spans="1:7" x14ac:dyDescent="0.25">
      <c r="A7864" s="1" t="str">
        <f t="shared" si="501"/>
        <v>929</v>
      </c>
      <c r="B7864" s="1" t="str">
        <f>TEXT(32,"00")</f>
        <v>32</v>
      </c>
      <c r="C7864" s="1" t="str">
        <f t="shared" si="499"/>
        <v>929-32</v>
      </c>
      <c r="D7864" t="s">
        <v>7833</v>
      </c>
      <c r="E7864" t="b">
        <f>IF(COUNTIF(D7864,"*"&amp;'Keyword Search'!$C$5&amp;"*"),TRUE,FALSE)</f>
        <v>1</v>
      </c>
      <c r="G7864" t="str">
        <f t="shared" si="500"/>
        <v>929-32: Concrete and Asphalt Equipment Maintenance and Repair, (Not Otherwise Classified</v>
      </c>
    </row>
    <row r="7865" spans="1:7" x14ac:dyDescent="0.25">
      <c r="A7865" s="1" t="str">
        <f t="shared" si="501"/>
        <v>929</v>
      </c>
      <c r="B7865" s="1" t="str">
        <f>TEXT(33,"00")</f>
        <v>33</v>
      </c>
      <c r="C7865" s="1" t="str">
        <f t="shared" si="499"/>
        <v>929-33</v>
      </c>
      <c r="D7865" t="s">
        <v>7834</v>
      </c>
      <c r="E7865" t="b">
        <f>IF(COUNTIF(D7865,"*"&amp;'Keyword Search'!$C$5&amp;"*"),TRUE,FALSE)</f>
        <v>1</v>
      </c>
      <c r="G7865" t="str">
        <f t="shared" si="500"/>
        <v>929-33: Cranes: Backhoe, Dragline, Clamshell, etc. Maintenance and Repair</v>
      </c>
    </row>
    <row r="7866" spans="1:7" x14ac:dyDescent="0.25">
      <c r="A7866" s="1" t="str">
        <f t="shared" si="501"/>
        <v>929</v>
      </c>
      <c r="B7866" s="1" t="str">
        <f>TEXT(35,"00")</f>
        <v>35</v>
      </c>
      <c r="C7866" s="1" t="str">
        <f t="shared" si="499"/>
        <v>929-35</v>
      </c>
      <c r="D7866" t="s">
        <v>7835</v>
      </c>
      <c r="E7866" t="b">
        <f>IF(COUNTIF(D7866,"*"&amp;'Keyword Search'!$C$5&amp;"*"),TRUE,FALSE)</f>
        <v>1</v>
      </c>
      <c r="G7866" t="str">
        <f t="shared" si="500"/>
        <v>929-35: Earth Handling, Grading, Moving, and Packing Equipment Maintenance and Repair</v>
      </c>
    </row>
    <row r="7867" spans="1:7" x14ac:dyDescent="0.25">
      <c r="A7867" s="1" t="str">
        <f t="shared" si="501"/>
        <v>929</v>
      </c>
      <c r="B7867" s="1" t="str">
        <f>TEXT(41,"00")</f>
        <v>41</v>
      </c>
      <c r="C7867" s="1" t="str">
        <f t="shared" si="499"/>
        <v>929-41</v>
      </c>
      <c r="D7867" t="s">
        <v>7836</v>
      </c>
      <c r="E7867" t="b">
        <f>IF(COUNTIF(D7867,"*"&amp;'Keyword Search'!$C$5&amp;"*"),TRUE,FALSE)</f>
        <v>1</v>
      </c>
      <c r="G7867" t="str">
        <f t="shared" si="500"/>
        <v>929-41: Engines And Motors, Industrial, Maintenance and Repair</v>
      </c>
    </row>
    <row r="7868" spans="1:7" x14ac:dyDescent="0.25">
      <c r="A7868" s="1" t="str">
        <f t="shared" si="501"/>
        <v>929</v>
      </c>
      <c r="B7868" s="1" t="str">
        <f>TEXT(43,"00")</f>
        <v>43</v>
      </c>
      <c r="C7868" s="1" t="str">
        <f t="shared" si="499"/>
        <v>929-43</v>
      </c>
      <c r="D7868" t="s">
        <v>7837</v>
      </c>
      <c r="E7868" t="b">
        <f>IF(COUNTIF(D7868,"*"&amp;'Keyword Search'!$C$5&amp;"*"),TRUE,FALSE)</f>
        <v>1</v>
      </c>
      <c r="G7868" t="str">
        <f t="shared" si="500"/>
        <v>929-43: Hydraulics, Pump, Hydraulic Motor, Valves, Gauges, etc. Maintenance and Repair</v>
      </c>
    </row>
    <row r="7869" spans="1:7" x14ac:dyDescent="0.25">
      <c r="A7869" s="1" t="str">
        <f t="shared" si="501"/>
        <v>929</v>
      </c>
      <c r="B7869" s="1" t="str">
        <f>TEXT(44,"00")</f>
        <v>44</v>
      </c>
      <c r="C7869" s="1" t="str">
        <f t="shared" si="499"/>
        <v>929-44</v>
      </c>
      <c r="D7869" t="s">
        <v>7838</v>
      </c>
      <c r="E7869" t="b">
        <f>IF(COUNTIF(D7869,"*"&amp;'Keyword Search'!$C$5&amp;"*"),TRUE,FALSE)</f>
        <v>1</v>
      </c>
      <c r="G7869" t="str">
        <f t="shared" si="500"/>
        <v>929-44: Hydraulic Tools Maintenance and Repair</v>
      </c>
    </row>
    <row r="7870" spans="1:7" x14ac:dyDescent="0.25">
      <c r="A7870" s="1" t="str">
        <f t="shared" si="501"/>
        <v>929</v>
      </c>
      <c r="B7870" s="1" t="str">
        <f>TEXT(47,"00")</f>
        <v>47</v>
      </c>
      <c r="C7870" s="1" t="str">
        <f t="shared" si="499"/>
        <v>929-47</v>
      </c>
      <c r="D7870" t="s">
        <v>7839</v>
      </c>
      <c r="E7870" t="b">
        <f>IF(COUNTIF(D7870,"*"&amp;'Keyword Search'!$C$5&amp;"*"),TRUE,FALSE)</f>
        <v>1</v>
      </c>
      <c r="G7870" t="str">
        <f t="shared" si="500"/>
        <v>929-47: Lifts and Hoists Maintenance and Repair</v>
      </c>
    </row>
    <row r="7871" spans="1:7" x14ac:dyDescent="0.25">
      <c r="A7871" s="1" t="str">
        <f t="shared" si="501"/>
        <v>929</v>
      </c>
      <c r="B7871" s="1" t="str">
        <f>TEXT(48,"00")</f>
        <v>48</v>
      </c>
      <c r="C7871" s="1" t="str">
        <f t="shared" si="499"/>
        <v>929-48</v>
      </c>
      <c r="D7871" t="s">
        <v>7840</v>
      </c>
      <c r="E7871" t="b">
        <f>IF(COUNTIF(D7871,"*"&amp;'Keyword Search'!$C$5&amp;"*"),TRUE,FALSE)</f>
        <v>1</v>
      </c>
      <c r="G7871" t="str">
        <f t="shared" si="500"/>
        <v>929-48: Machine Shop and Fabricating Services, Industrial (See 928-54 for Automotive Type)</v>
      </c>
    </row>
    <row r="7872" spans="1:7" x14ac:dyDescent="0.25">
      <c r="A7872" s="1" t="str">
        <f t="shared" si="501"/>
        <v>929</v>
      </c>
      <c r="B7872" s="1" t="str">
        <f>TEXT(50,"00")</f>
        <v>50</v>
      </c>
      <c r="C7872" s="1" t="str">
        <f t="shared" si="499"/>
        <v>929-50</v>
      </c>
      <c r="D7872" t="s">
        <v>7841</v>
      </c>
      <c r="E7872" t="b">
        <f>IF(COUNTIF(D7872,"*"&amp;'Keyword Search'!$C$5&amp;"*"),TRUE,FALSE)</f>
        <v>1</v>
      </c>
      <c r="G7872" t="str">
        <f t="shared" si="500"/>
        <v>929-50: Machinery and Heavy Hardware, Not Lawn Equipment, Maintenance and Repair</v>
      </c>
    </row>
    <row r="7873" spans="1:7" x14ac:dyDescent="0.25">
      <c r="A7873" s="1" t="str">
        <f t="shared" si="501"/>
        <v>929</v>
      </c>
      <c r="B7873" s="1" t="str">
        <f>TEXT(58,"00")</f>
        <v>58</v>
      </c>
      <c r="C7873" s="1" t="str">
        <f t="shared" si="499"/>
        <v>929-58</v>
      </c>
      <c r="D7873" t="s">
        <v>7842</v>
      </c>
      <c r="E7873" t="b">
        <f>IF(COUNTIF(D7873,"*"&amp;'Keyword Search'!$C$5&amp;"*"),TRUE,FALSE)</f>
        <v>1</v>
      </c>
      <c r="G7873" t="str">
        <f t="shared" si="500"/>
        <v>929-58: Material Handling Equipment Maintenance and Repair</v>
      </c>
    </row>
    <row r="7874" spans="1:7" x14ac:dyDescent="0.25">
      <c r="A7874" s="1" t="str">
        <f t="shared" si="501"/>
        <v>929</v>
      </c>
      <c r="B7874" s="1" t="str">
        <f>TEXT(60,"00")</f>
        <v>60</v>
      </c>
      <c r="C7874" s="1" t="str">
        <f t="shared" si="499"/>
        <v>929-60</v>
      </c>
      <c r="D7874" t="s">
        <v>7843</v>
      </c>
      <c r="E7874" t="b">
        <f>IF(COUNTIF(D7874,"*"&amp;'Keyword Search'!$C$5&amp;"*"),TRUE,FALSE)</f>
        <v>1</v>
      </c>
      <c r="G7874" t="str">
        <f t="shared" si="500"/>
        <v>929-60: Motor and Engines, Small Gasoline Maintenance and Repair</v>
      </c>
    </row>
    <row r="7875" spans="1:7" x14ac:dyDescent="0.25">
      <c r="A7875" s="1" t="str">
        <f t="shared" si="501"/>
        <v>929</v>
      </c>
      <c r="B7875" s="1" t="str">
        <f>TEXT(61,"00")</f>
        <v>61</v>
      </c>
      <c r="C7875" s="1" t="str">
        <f t="shared" ref="C7875:C7938" si="502">CONCATENATE(A7875,"-",B7875)</f>
        <v>929-61</v>
      </c>
      <c r="D7875" t="s">
        <v>7844</v>
      </c>
      <c r="E7875" t="b">
        <f>IF(COUNTIF(D7875,"*"&amp;'Keyword Search'!$C$5&amp;"*"),TRUE,FALSE)</f>
        <v>1</v>
      </c>
      <c r="G7875" t="str">
        <f t="shared" si="500"/>
        <v>929-61: Motor Rewinding and Repairing, Electric</v>
      </c>
    </row>
    <row r="7876" spans="1:7" x14ac:dyDescent="0.25">
      <c r="A7876" s="1" t="str">
        <f t="shared" si="501"/>
        <v>929</v>
      </c>
      <c r="B7876" s="1" t="str">
        <f>TEXT(62,"00")</f>
        <v>62</v>
      </c>
      <c r="C7876" s="1" t="str">
        <f t="shared" si="502"/>
        <v>929-62</v>
      </c>
      <c r="D7876" t="s">
        <v>7845</v>
      </c>
      <c r="E7876" t="b">
        <f>IF(COUNTIF(D7876,"*"&amp;'Keyword Search'!$C$5&amp;"*"),TRUE,FALSE)</f>
        <v>1</v>
      </c>
      <c r="G7876" t="str">
        <f t="shared" ref="G7876:G7939" si="503">CONCATENATE(C7876,": ",D7876)</f>
        <v>929-62: Motorcycles, Bicycles, Motor Scooters, and Truckster, Including Golf Carts, Maintenance and Repair</v>
      </c>
    </row>
    <row r="7877" spans="1:7" x14ac:dyDescent="0.25">
      <c r="A7877" s="1" t="str">
        <f t="shared" si="501"/>
        <v>929</v>
      </c>
      <c r="B7877" s="1" t="str">
        <f>TEXT(63,"00")</f>
        <v>63</v>
      </c>
      <c r="C7877" s="1" t="str">
        <f t="shared" si="502"/>
        <v>929-63</v>
      </c>
      <c r="D7877" t="s">
        <v>7846</v>
      </c>
      <c r="E7877" t="b">
        <f>IF(COUNTIF(D7877,"*"&amp;'Keyword Search'!$C$5&amp;"*"),TRUE,FALSE)</f>
        <v>1</v>
      </c>
      <c r="G7877" t="str">
        <f t="shared" si="503"/>
        <v>929-63: Oil Field Equipment Maintenance and Repair</v>
      </c>
    </row>
    <row r="7878" spans="1:7" x14ac:dyDescent="0.25">
      <c r="A7878" s="1" t="str">
        <f t="shared" si="501"/>
        <v>929</v>
      </c>
      <c r="B7878" s="1" t="str">
        <f>TEXT(64,"00")</f>
        <v>64</v>
      </c>
      <c r="C7878" s="1" t="str">
        <f t="shared" si="502"/>
        <v>929-64</v>
      </c>
      <c r="D7878" t="s">
        <v>7847</v>
      </c>
      <c r="E7878" t="b">
        <f>IF(COUNTIF(D7878,"*"&amp;'Keyword Search'!$C$5&amp;"*"),TRUE,FALSE)</f>
        <v>1</v>
      </c>
      <c r="G7878" t="str">
        <f t="shared" si="503"/>
        <v>929-64: Pneumatic Tools Maintenance and Repair</v>
      </c>
    </row>
    <row r="7879" spans="1:7" x14ac:dyDescent="0.25">
      <c r="A7879" s="1" t="str">
        <f t="shared" si="501"/>
        <v>929</v>
      </c>
      <c r="B7879" s="1" t="str">
        <f>TEXT(65,"00")</f>
        <v>65</v>
      </c>
      <c r="C7879" s="1" t="str">
        <f t="shared" si="502"/>
        <v>929-65</v>
      </c>
      <c r="D7879" t="s">
        <v>7848</v>
      </c>
      <c r="E7879" t="b">
        <f>IF(COUNTIF(D7879,"*"&amp;'Keyword Search'!$C$5&amp;"*"),TRUE,FALSE)</f>
        <v>1</v>
      </c>
      <c r="G7879" t="str">
        <f t="shared" si="503"/>
        <v>929-65: Refuse and Garbage Burning Equipment Maintenance and Repair</v>
      </c>
    </row>
    <row r="7880" spans="1:7" x14ac:dyDescent="0.25">
      <c r="A7880" s="1" t="str">
        <f t="shared" si="501"/>
        <v>929</v>
      </c>
      <c r="B7880" s="1" t="str">
        <f>TEXT(66,"00")</f>
        <v>66</v>
      </c>
      <c r="C7880" s="1" t="str">
        <f t="shared" si="502"/>
        <v>929-66</v>
      </c>
      <c r="D7880" t="s">
        <v>7849</v>
      </c>
      <c r="E7880" t="b">
        <f>IF(COUNTIF(D7880,"*"&amp;'Keyword Search'!$C$5&amp;"*"),TRUE,FALSE)</f>
        <v>1</v>
      </c>
      <c r="G7880" t="str">
        <f t="shared" si="503"/>
        <v>929-66: Refuse and Garbage Collection/Dumping Equipment Maintenance and Repair</v>
      </c>
    </row>
    <row r="7881" spans="1:7" x14ac:dyDescent="0.25">
      <c r="A7881" s="1" t="str">
        <f t="shared" si="501"/>
        <v>929</v>
      </c>
      <c r="B7881" s="1" t="str">
        <f>TEXT(67,"00")</f>
        <v>67</v>
      </c>
      <c r="C7881" s="1" t="str">
        <f t="shared" si="502"/>
        <v>929-67</v>
      </c>
      <c r="D7881" t="s">
        <v>7850</v>
      </c>
      <c r="E7881" t="b">
        <f>IF(COUNTIF(D7881,"*"&amp;'Keyword Search'!$C$5&amp;"*"),TRUE,FALSE)</f>
        <v>1</v>
      </c>
      <c r="G7881" t="str">
        <f t="shared" si="503"/>
        <v>929-67: Painting Services, Road and Heavy Industrial Equipment</v>
      </c>
    </row>
    <row r="7882" spans="1:7" x14ac:dyDescent="0.25">
      <c r="A7882" s="1" t="str">
        <f t="shared" si="501"/>
        <v>929</v>
      </c>
      <c r="B7882" s="1" t="str">
        <f>TEXT(68,"00")</f>
        <v>68</v>
      </c>
      <c r="C7882" s="1" t="str">
        <f t="shared" si="502"/>
        <v>929-68</v>
      </c>
      <c r="D7882" t="s">
        <v>7851</v>
      </c>
      <c r="E7882" t="b">
        <f>IF(COUNTIF(D7882,"*"&amp;'Keyword Search'!$C$5&amp;"*"),TRUE,FALSE)</f>
        <v>1</v>
      </c>
      <c r="G7882" t="str">
        <f t="shared" si="503"/>
        <v>929-68: Road and Highway Equipment Maintenance and Repair, (Not Otherwise Classified)</v>
      </c>
    </row>
    <row r="7883" spans="1:7" x14ac:dyDescent="0.25">
      <c r="A7883" s="1" t="str">
        <f t="shared" si="501"/>
        <v>929</v>
      </c>
      <c r="B7883" s="1" t="str">
        <f>TEXT(69,"00")</f>
        <v>69</v>
      </c>
      <c r="C7883" s="1" t="str">
        <f t="shared" si="502"/>
        <v>929-69</v>
      </c>
      <c r="D7883" t="s">
        <v>7852</v>
      </c>
      <c r="E7883" t="b">
        <f>IF(COUNTIF(D7883,"*"&amp;'Keyword Search'!$C$5&amp;"*"),TRUE,FALSE)</f>
        <v>1</v>
      </c>
      <c r="G7883" t="str">
        <f t="shared" si="503"/>
        <v>929-69: Scales, Including Weigh-In-Motion Type (See 938-79 for Hospital, Laboratory and Testing Types), Maintenance and Repair</v>
      </c>
    </row>
    <row r="7884" spans="1:7" x14ac:dyDescent="0.25">
      <c r="A7884" s="1" t="str">
        <f t="shared" si="501"/>
        <v>929</v>
      </c>
      <c r="B7884" s="1" t="str">
        <f>TEXT(70,"00")</f>
        <v>70</v>
      </c>
      <c r="C7884" s="1" t="str">
        <f t="shared" si="502"/>
        <v>929-70</v>
      </c>
      <c r="D7884" t="s">
        <v>7853</v>
      </c>
      <c r="E7884" t="b">
        <f>IF(COUNTIF(D7884,"*"&amp;'Keyword Search'!$C$5&amp;"*"),TRUE,FALSE)</f>
        <v>1</v>
      </c>
      <c r="G7884" t="str">
        <f t="shared" si="503"/>
        <v>929-70: Snow Plow and Blower Maintenance and Repair</v>
      </c>
    </row>
    <row r="7885" spans="1:7" x14ac:dyDescent="0.25">
      <c r="A7885" s="1" t="str">
        <f t="shared" si="501"/>
        <v>929</v>
      </c>
      <c r="B7885" s="1" t="str">
        <f>TEXT(71,"00")</f>
        <v>71</v>
      </c>
      <c r="C7885" s="1" t="str">
        <f t="shared" si="502"/>
        <v>929-71</v>
      </c>
      <c r="D7885" t="s">
        <v>7854</v>
      </c>
      <c r="E7885" t="b">
        <f>IF(COUNTIF(D7885,"*"&amp;'Keyword Search'!$C$5&amp;"*"),TRUE,FALSE)</f>
        <v>1</v>
      </c>
      <c r="G7885" t="str">
        <f t="shared" si="503"/>
        <v>929-71: Snow Melter Maintenance and Repair</v>
      </c>
    </row>
    <row r="7886" spans="1:7" x14ac:dyDescent="0.25">
      <c r="A7886" s="1" t="str">
        <f t="shared" si="501"/>
        <v>929</v>
      </c>
      <c r="B7886" s="1" t="str">
        <f>TEXT(74,"00")</f>
        <v>74</v>
      </c>
      <c r="C7886" s="1" t="str">
        <f t="shared" si="502"/>
        <v>929-74</v>
      </c>
      <c r="D7886" t="s">
        <v>7855</v>
      </c>
      <c r="E7886" t="b">
        <f>IF(COUNTIF(D7886,"*"&amp;'Keyword Search'!$C$5&amp;"*"),TRUE,FALSE)</f>
        <v>1</v>
      </c>
      <c r="G7886" t="str">
        <f t="shared" si="503"/>
        <v>929-74: Tanks: Mobile, Portable, Stationary, Storage, etc., Including Relining Maintenance and Repair</v>
      </c>
    </row>
    <row r="7887" spans="1:7" x14ac:dyDescent="0.25">
      <c r="A7887" s="1" t="str">
        <f t="shared" si="501"/>
        <v>929</v>
      </c>
      <c r="B7887" s="1" t="str">
        <f>TEXT(75,"00")</f>
        <v>75</v>
      </c>
      <c r="C7887" s="1" t="str">
        <f t="shared" si="502"/>
        <v>929-75</v>
      </c>
      <c r="D7887" t="s">
        <v>7856</v>
      </c>
      <c r="E7887" t="b">
        <f>IF(COUNTIF(D7887,"*"&amp;'Keyword Search'!$C$5&amp;"*"),TRUE,FALSE)</f>
        <v>1</v>
      </c>
      <c r="G7887" t="str">
        <f t="shared" si="503"/>
        <v>929-75: Taxiway and Runway Maintenance and Testing Equipment Maintenance and Repair</v>
      </c>
    </row>
    <row r="7888" spans="1:7" x14ac:dyDescent="0.25">
      <c r="A7888" s="1" t="str">
        <f t="shared" si="501"/>
        <v>929</v>
      </c>
      <c r="B7888" s="1" t="str">
        <f>TEXT(76,"00")</f>
        <v>76</v>
      </c>
      <c r="C7888" s="1" t="str">
        <f t="shared" si="502"/>
        <v>929-76</v>
      </c>
      <c r="D7888" t="s">
        <v>7857</v>
      </c>
      <c r="E7888" t="b">
        <f>IF(COUNTIF(D7888,"*"&amp;'Keyword Search'!$C$5&amp;"*"),TRUE,FALSE)</f>
        <v>1</v>
      </c>
      <c r="G7888" t="str">
        <f t="shared" si="503"/>
        <v>929-76: Spreaders, Salt and Sand, Maintenance and Repair</v>
      </c>
    </row>
    <row r="7889" spans="1:7" x14ac:dyDescent="0.25">
      <c r="A7889" s="1" t="str">
        <f t="shared" si="501"/>
        <v>929</v>
      </c>
      <c r="B7889" s="1" t="str">
        <f>TEXT(79,"00")</f>
        <v>79</v>
      </c>
      <c r="C7889" s="1" t="str">
        <f t="shared" si="502"/>
        <v>929-79</v>
      </c>
      <c r="D7889" t="s">
        <v>7858</v>
      </c>
      <c r="E7889" t="b">
        <f>IF(COUNTIF(D7889,"*"&amp;'Keyword Search'!$C$5&amp;"*"),TRUE,FALSE)</f>
        <v>1</v>
      </c>
      <c r="G7889" t="str">
        <f t="shared" si="503"/>
        <v>929-79: Sweepers, Street, Maintenance and Repair</v>
      </c>
    </row>
    <row r="7890" spans="1:7" x14ac:dyDescent="0.25">
      <c r="A7890" s="1" t="str">
        <f t="shared" si="501"/>
        <v>929</v>
      </c>
      <c r="B7890" s="1" t="str">
        <f>TEXT(85,"00")</f>
        <v>85</v>
      </c>
      <c r="C7890" s="1" t="str">
        <f t="shared" si="502"/>
        <v>929-85</v>
      </c>
      <c r="D7890" t="s">
        <v>7859</v>
      </c>
      <c r="E7890" t="b">
        <f>IF(COUNTIF(D7890,"*"&amp;'Keyword Search'!$C$5&amp;"*"),TRUE,FALSE)</f>
        <v>1</v>
      </c>
      <c r="G7890" t="str">
        <f t="shared" si="503"/>
        <v>929-85: Tractors, Industrial: Bulldozers, Crawlers, Wheel Type, Maintenance and Repair</v>
      </c>
    </row>
    <row r="7891" spans="1:7" x14ac:dyDescent="0.25">
      <c r="A7891" s="1" t="str">
        <f t="shared" si="501"/>
        <v>929</v>
      </c>
      <c r="B7891" s="1" t="str">
        <f>TEXT(95,"00")</f>
        <v>95</v>
      </c>
      <c r="C7891" s="1" t="str">
        <f t="shared" si="502"/>
        <v>929-95</v>
      </c>
      <c r="D7891" t="s">
        <v>7860</v>
      </c>
      <c r="E7891" t="b">
        <f>IF(COUNTIF(D7891,"*"&amp;'Keyword Search'!$C$5&amp;"*"),TRUE,FALSE)</f>
        <v>1</v>
      </c>
      <c r="G7891" t="str">
        <f t="shared" si="503"/>
        <v>929-95: Welding Services, Agricultural, Heavy Industrial and Similar Equipment (Not Otherwise Classified)</v>
      </c>
    </row>
    <row r="7892" spans="1:7" x14ac:dyDescent="0.25">
      <c r="A7892" s="5" t="str">
        <f t="shared" ref="A7892:A7913" si="504">TEXT(931,"000")</f>
        <v>931</v>
      </c>
      <c r="B7892" s="5" t="str">
        <f>TEXT(0,"00")</f>
        <v>00</v>
      </c>
      <c r="C7892" s="1"/>
      <c r="D7892" s="2" t="s">
        <v>7861</v>
      </c>
    </row>
    <row r="7893" spans="1:7" x14ac:dyDescent="0.25">
      <c r="A7893" s="1" t="str">
        <f t="shared" si="504"/>
        <v>931</v>
      </c>
      <c r="B7893" s="1" t="str">
        <f>TEXT(5,"00")</f>
        <v>05</v>
      </c>
      <c r="C7893" s="1" t="str">
        <f t="shared" si="502"/>
        <v>931-05</v>
      </c>
      <c r="D7893" t="s">
        <v>7862</v>
      </c>
      <c r="E7893" t="b">
        <f>IF(COUNTIF(D7893,"*"&amp;'Keyword Search'!$C$5&amp;"*"),TRUE,FALSE)</f>
        <v>1</v>
      </c>
      <c r="G7893" t="str">
        <f t="shared" si="503"/>
        <v>931-05: Amusement Park Ride Equipment Maintenance and Repair</v>
      </c>
    </row>
    <row r="7894" spans="1:7" x14ac:dyDescent="0.25">
      <c r="A7894" s="1" t="str">
        <f t="shared" si="504"/>
        <v>931</v>
      </c>
      <c r="B7894" s="1" t="str">
        <f>TEXT(7,"00")</f>
        <v>07</v>
      </c>
      <c r="C7894" s="1" t="str">
        <f t="shared" si="502"/>
        <v>931-07</v>
      </c>
      <c r="D7894" t="s">
        <v>7863</v>
      </c>
      <c r="E7894" t="b">
        <f>IF(COUNTIF(D7894,"*"&amp;'Keyword Search'!$C$5&amp;"*"),TRUE,FALSE)</f>
        <v>1</v>
      </c>
      <c r="G7894" t="str">
        <f t="shared" si="503"/>
        <v>931-07: Appliances and Equipment, Household, Not Laundry or HVAC, Maintenance and Repair</v>
      </c>
    </row>
    <row r="7895" spans="1:7" x14ac:dyDescent="0.25">
      <c r="A7895" s="1" t="str">
        <f t="shared" si="504"/>
        <v>931</v>
      </c>
      <c r="B7895" s="1" t="str">
        <f>TEXT(11,"00")</f>
        <v>11</v>
      </c>
      <c r="C7895" s="1" t="str">
        <f t="shared" si="502"/>
        <v>931-11</v>
      </c>
      <c r="D7895" t="s">
        <v>7864</v>
      </c>
      <c r="E7895" t="b">
        <f>IF(COUNTIF(D7895,"*"&amp;'Keyword Search'!$C$5&amp;"*"),TRUE,FALSE)</f>
        <v>1</v>
      </c>
      <c r="G7895" t="str">
        <f t="shared" si="503"/>
        <v>931-11: Athletic and Sporting Goods Equipment and Accessories, Shoulder Pads, etc., Maintenance and Repair</v>
      </c>
    </row>
    <row r="7896" spans="1:7" x14ac:dyDescent="0.25">
      <c r="A7896" s="1" t="str">
        <f t="shared" si="504"/>
        <v>931</v>
      </c>
      <c r="B7896" s="1" t="str">
        <f>TEXT(16,"00")</f>
        <v>16</v>
      </c>
      <c r="C7896" s="1" t="str">
        <f t="shared" si="502"/>
        <v>931-16</v>
      </c>
      <c r="D7896" t="s">
        <v>7865</v>
      </c>
      <c r="E7896" t="b">
        <f>IF(COUNTIF(D7896,"*"&amp;'Keyword Search'!$C$5&amp;"*"),TRUE,FALSE)</f>
        <v>1</v>
      </c>
      <c r="G7896" t="str">
        <f t="shared" si="503"/>
        <v>931-16: Bakery Equipment Maintenance and Repair</v>
      </c>
    </row>
    <row r="7897" spans="1:7" x14ac:dyDescent="0.25">
      <c r="A7897" s="1" t="str">
        <f t="shared" si="504"/>
        <v>931</v>
      </c>
      <c r="B7897" s="1" t="str">
        <f>TEXT(19,"00")</f>
        <v>19</v>
      </c>
      <c r="C7897" s="1" t="str">
        <f t="shared" si="502"/>
        <v>931-19</v>
      </c>
      <c r="D7897" t="s">
        <v>7866</v>
      </c>
      <c r="E7897" t="b">
        <f>IF(COUNTIF(D7897,"*"&amp;'Keyword Search'!$C$5&amp;"*"),TRUE,FALSE)</f>
        <v>1</v>
      </c>
      <c r="G7897" t="str">
        <f t="shared" si="503"/>
        <v>931-19: Barber and Beauty Shop Equipment Maintenance and Repair</v>
      </c>
    </row>
    <row r="7898" spans="1:7" x14ac:dyDescent="0.25">
      <c r="A7898" s="1" t="str">
        <f t="shared" si="504"/>
        <v>931</v>
      </c>
      <c r="B7898" s="1" t="str">
        <f>TEXT(21,"00")</f>
        <v>21</v>
      </c>
      <c r="C7898" s="1" t="str">
        <f t="shared" si="502"/>
        <v>931-21</v>
      </c>
      <c r="D7898" t="s">
        <v>7867</v>
      </c>
      <c r="E7898" t="b">
        <f>IF(COUNTIF(D7898,"*"&amp;'Keyword Search'!$C$5&amp;"*"),TRUE,FALSE)</f>
        <v>1</v>
      </c>
      <c r="G7898" t="str">
        <f t="shared" si="503"/>
        <v>931-21: Bedding, All Types, Maintenance and Repair</v>
      </c>
    </row>
    <row r="7899" spans="1:7" x14ac:dyDescent="0.25">
      <c r="A7899" s="1" t="str">
        <f t="shared" si="504"/>
        <v>931</v>
      </c>
      <c r="B7899" s="1" t="str">
        <f>TEXT(23,"00")</f>
        <v>23</v>
      </c>
      <c r="C7899" s="1" t="str">
        <f t="shared" si="502"/>
        <v>931-23</v>
      </c>
      <c r="D7899" t="s">
        <v>7868</v>
      </c>
      <c r="E7899" t="b">
        <f>IF(COUNTIF(D7899,"*"&amp;'Keyword Search'!$C$5&amp;"*"),TRUE,FALSE)</f>
        <v>1</v>
      </c>
      <c r="G7899" t="str">
        <f t="shared" si="503"/>
        <v>931-23: Butcher Shop and Meat Processing Equipment Maintenance and Repair</v>
      </c>
    </row>
    <row r="7900" spans="1:7" x14ac:dyDescent="0.25">
      <c r="A7900" s="1" t="str">
        <f t="shared" si="504"/>
        <v>931</v>
      </c>
      <c r="B7900" s="1" t="str">
        <f>TEXT(30,"00")</f>
        <v>30</v>
      </c>
      <c r="C7900" s="1" t="str">
        <f t="shared" si="502"/>
        <v>931-30</v>
      </c>
      <c r="D7900" t="s">
        <v>7869</v>
      </c>
      <c r="E7900" t="b">
        <f>IF(COUNTIF(D7900,"*"&amp;'Keyword Search'!$C$5&amp;"*"),TRUE,FALSE)</f>
        <v>1</v>
      </c>
      <c r="G7900" t="str">
        <f t="shared" si="503"/>
        <v>931-30: Cafeteria and Kitchen Equipment, Commercial, Maintenance and Repair</v>
      </c>
    </row>
    <row r="7901" spans="1:7" x14ac:dyDescent="0.25">
      <c r="A7901" s="1" t="str">
        <f t="shared" si="504"/>
        <v>931</v>
      </c>
      <c r="B7901" s="1" t="str">
        <f>TEXT(32,"00")</f>
        <v>32</v>
      </c>
      <c r="C7901" s="1" t="str">
        <f t="shared" si="502"/>
        <v>931-32</v>
      </c>
      <c r="D7901" t="s">
        <v>7870</v>
      </c>
      <c r="E7901" t="b">
        <f>IF(COUNTIF(D7901,"*"&amp;'Keyword Search'!$C$5&amp;"*"),TRUE,FALSE)</f>
        <v>1</v>
      </c>
      <c r="G7901" t="str">
        <f t="shared" si="503"/>
        <v>931-32: Camping and Outdoor Equipment Maintenance and Repair</v>
      </c>
    </row>
    <row r="7902" spans="1:7" x14ac:dyDescent="0.25">
      <c r="A7902" s="1" t="str">
        <f t="shared" si="504"/>
        <v>931</v>
      </c>
      <c r="B7902" s="1" t="str">
        <f>TEXT(36,"00")</f>
        <v>36</v>
      </c>
      <c r="C7902" s="1" t="str">
        <f t="shared" si="502"/>
        <v>931-36</v>
      </c>
      <c r="D7902" t="s">
        <v>7871</v>
      </c>
      <c r="E7902" t="b">
        <f>IF(COUNTIF(D7902,"*"&amp;'Keyword Search'!$C$5&amp;"*"),TRUE,FALSE)</f>
        <v>1</v>
      </c>
      <c r="G7902" t="str">
        <f t="shared" si="503"/>
        <v>931-36: Dairy Equipment Maintenance and Repair</v>
      </c>
    </row>
    <row r="7903" spans="1:7" x14ac:dyDescent="0.25">
      <c r="A7903" s="1" t="str">
        <f t="shared" si="504"/>
        <v>931</v>
      </c>
      <c r="B7903" s="1" t="str">
        <f>TEXT(40,"00")</f>
        <v>40</v>
      </c>
      <c r="C7903" s="1" t="str">
        <f t="shared" si="502"/>
        <v>931-40</v>
      </c>
      <c r="D7903" t="s">
        <v>7872</v>
      </c>
      <c r="E7903" t="b">
        <f>IF(COUNTIF(D7903,"*"&amp;'Keyword Search'!$C$5&amp;"*"),TRUE,FALSE)</f>
        <v>1</v>
      </c>
      <c r="G7903" t="str">
        <f t="shared" si="503"/>
        <v>931-40: Food Processing and Canning Equipment Maintenance and Repair</v>
      </c>
    </row>
    <row r="7904" spans="1:7" x14ac:dyDescent="0.25">
      <c r="A7904" s="1" t="str">
        <f t="shared" si="504"/>
        <v>931</v>
      </c>
      <c r="B7904" s="1" t="str">
        <f>TEXT(43,"00")</f>
        <v>43</v>
      </c>
      <c r="C7904" s="1" t="str">
        <f t="shared" si="502"/>
        <v>931-43</v>
      </c>
      <c r="D7904" t="s">
        <v>7873</v>
      </c>
      <c r="E7904" t="b">
        <f>IF(COUNTIF(D7904,"*"&amp;'Keyword Search'!$C$5&amp;"*"),TRUE,FALSE)</f>
        <v>1</v>
      </c>
      <c r="G7904" t="str">
        <f t="shared" si="503"/>
        <v>931-43: Furnishings, All Kinds, Maintenance and Repair</v>
      </c>
    </row>
    <row r="7905" spans="1:7" x14ac:dyDescent="0.25">
      <c r="A7905" s="1" t="str">
        <f t="shared" si="504"/>
        <v>931</v>
      </c>
      <c r="B7905" s="1" t="str">
        <f>TEXT(44,"00")</f>
        <v>44</v>
      </c>
      <c r="C7905" s="1" t="str">
        <f t="shared" si="502"/>
        <v>931-44</v>
      </c>
      <c r="D7905" t="s">
        <v>7874</v>
      </c>
      <c r="E7905" t="b">
        <f>IF(COUNTIF(D7905,"*"&amp;'Keyword Search'!$C$5&amp;"*"),TRUE,FALSE)</f>
        <v>1</v>
      </c>
      <c r="G7905" t="str">
        <f t="shared" si="503"/>
        <v>931-44: Furniture, Not Office, Maintenance and Repair Including Refinishing and Reupholstering</v>
      </c>
    </row>
    <row r="7906" spans="1:7" x14ac:dyDescent="0.25">
      <c r="A7906" s="1" t="str">
        <f t="shared" si="504"/>
        <v>931</v>
      </c>
      <c r="B7906" s="1" t="str">
        <f>TEXT(45,"00")</f>
        <v>45</v>
      </c>
      <c r="C7906" s="1" t="str">
        <f t="shared" si="502"/>
        <v>931-45</v>
      </c>
      <c r="D7906" t="s">
        <v>7875</v>
      </c>
      <c r="E7906" t="b">
        <f>IF(COUNTIF(D7906,"*"&amp;'Keyword Search'!$C$5&amp;"*"),TRUE,FALSE)</f>
        <v>1</v>
      </c>
      <c r="G7906" t="str">
        <f t="shared" si="503"/>
        <v>931-45: Furniture Installation and Reconfiguration Services, Including Systems Furniture</v>
      </c>
    </row>
    <row r="7907" spans="1:7" x14ac:dyDescent="0.25">
      <c r="A7907" s="1" t="str">
        <f t="shared" si="504"/>
        <v>931</v>
      </c>
      <c r="B7907" s="1" t="str">
        <f>TEXT(46,"00")</f>
        <v>46</v>
      </c>
      <c r="C7907" s="1" t="str">
        <f t="shared" si="502"/>
        <v>931-46</v>
      </c>
      <c r="D7907" t="s">
        <v>7876</v>
      </c>
      <c r="E7907" t="b">
        <f>IF(COUNTIF(D7907,"*"&amp;'Keyword Search'!$C$5&amp;"*"),TRUE,FALSE)</f>
        <v>1</v>
      </c>
      <c r="G7907" t="str">
        <f t="shared" si="503"/>
        <v>931-46: Furniture, Office, Maintenance and Repair, Including Refinishing and Reupholstering</v>
      </c>
    </row>
    <row r="7908" spans="1:7" x14ac:dyDescent="0.25">
      <c r="A7908" s="1" t="str">
        <f t="shared" si="504"/>
        <v>931</v>
      </c>
      <c r="B7908" s="1" t="str">
        <f>TEXT(53,"00")</f>
        <v>53</v>
      </c>
      <c r="C7908" s="1" t="str">
        <f t="shared" si="502"/>
        <v>931-53</v>
      </c>
      <c r="D7908" t="s">
        <v>7877</v>
      </c>
      <c r="E7908" t="b">
        <f>IF(COUNTIF(D7908,"*"&amp;'Keyword Search'!$C$5&amp;"*"),TRUE,FALSE)</f>
        <v>1</v>
      </c>
      <c r="G7908" t="str">
        <f t="shared" si="503"/>
        <v>931-53: Lighting Fixtures Maintenance and Repair</v>
      </c>
    </row>
    <row r="7909" spans="1:7" x14ac:dyDescent="0.25">
      <c r="A7909" s="1" t="str">
        <f t="shared" si="504"/>
        <v>931</v>
      </c>
      <c r="B7909" s="1" t="str">
        <f>TEXT(58,"00")</f>
        <v>58</v>
      </c>
      <c r="C7909" s="1" t="str">
        <f t="shared" si="502"/>
        <v>931-58</v>
      </c>
      <c r="D7909" t="s">
        <v>7878</v>
      </c>
      <c r="E7909" t="b">
        <f>IF(COUNTIF(D7909,"*"&amp;'Keyword Search'!$C$5&amp;"*"),TRUE,FALSE)</f>
        <v>1</v>
      </c>
      <c r="G7909" t="str">
        <f t="shared" si="503"/>
        <v>931-58: Musical Instruments Maintenance and Repair, Including Piano Tuning</v>
      </c>
    </row>
    <row r="7910" spans="1:7" x14ac:dyDescent="0.25">
      <c r="A7910" s="1" t="str">
        <f t="shared" si="504"/>
        <v>931</v>
      </c>
      <c r="B7910" s="1" t="str">
        <f>TEXT(65,"00")</f>
        <v>65</v>
      </c>
      <c r="C7910" s="1" t="str">
        <f t="shared" si="502"/>
        <v>931-65</v>
      </c>
      <c r="D7910" t="s">
        <v>7879</v>
      </c>
      <c r="E7910" t="b">
        <f>IF(COUNTIF(D7910,"*"&amp;'Keyword Search'!$C$5&amp;"*"),TRUE,FALSE)</f>
        <v>1</v>
      </c>
      <c r="G7910" t="str">
        <f t="shared" si="503"/>
        <v>931-65: Park, Playground, and Swimming Pool Equipment Maintenance and Repair</v>
      </c>
    </row>
    <row r="7911" spans="1:7" x14ac:dyDescent="0.25">
      <c r="A7911" s="1" t="str">
        <f t="shared" si="504"/>
        <v>931</v>
      </c>
      <c r="B7911" s="1" t="str">
        <f>TEXT(72,"00")</f>
        <v>72</v>
      </c>
      <c r="C7911" s="1" t="str">
        <f t="shared" si="502"/>
        <v>931-72</v>
      </c>
      <c r="D7911" t="s">
        <v>7880</v>
      </c>
      <c r="E7911" t="b">
        <f>IF(COUNTIF(D7911,"*"&amp;'Keyword Search'!$C$5&amp;"*"),TRUE,FALSE)</f>
        <v>1</v>
      </c>
      <c r="G7911" t="str">
        <f t="shared" si="503"/>
        <v>931-72: Sewing Room and Textile Machinery Maintenance and Repair</v>
      </c>
    </row>
    <row r="7912" spans="1:7" x14ac:dyDescent="0.25">
      <c r="A7912" s="1" t="str">
        <f t="shared" si="504"/>
        <v>931</v>
      </c>
      <c r="B7912" s="1" t="str">
        <f>TEXT(75,"00")</f>
        <v>75</v>
      </c>
      <c r="C7912" s="1" t="str">
        <f t="shared" si="502"/>
        <v>931-75</v>
      </c>
      <c r="D7912" t="s">
        <v>7881</v>
      </c>
      <c r="E7912" t="b">
        <f>IF(COUNTIF(D7912,"*"&amp;'Keyword Search'!$C$5&amp;"*"),TRUE,FALSE)</f>
        <v>1</v>
      </c>
      <c r="G7912" t="str">
        <f t="shared" si="503"/>
        <v>931-75: Skating Rink Equipment, Roller and Ice, Maintenance and Repair</v>
      </c>
    </row>
    <row r="7913" spans="1:7" x14ac:dyDescent="0.25">
      <c r="A7913" s="1" t="str">
        <f t="shared" si="504"/>
        <v>931</v>
      </c>
      <c r="B7913" s="1" t="str">
        <f>TEXT(88,"00")</f>
        <v>88</v>
      </c>
      <c r="C7913" s="1" t="str">
        <f t="shared" si="502"/>
        <v>931-88</v>
      </c>
      <c r="D7913" t="s">
        <v>7882</v>
      </c>
      <c r="E7913" t="b">
        <f>IF(COUNTIF(D7913,"*"&amp;'Keyword Search'!$C$5&amp;"*"),TRUE,FALSE)</f>
        <v>1</v>
      </c>
      <c r="G7913" t="str">
        <f t="shared" si="503"/>
        <v>931-88: Vending Machine Maintenance, Repair, Installation or Removal, Including Lottery Vending Machines</v>
      </c>
    </row>
    <row r="7914" spans="1:7" x14ac:dyDescent="0.25">
      <c r="A7914" s="5" t="str">
        <f t="shared" ref="A7914:A7926" si="505">TEXT(934,"000")</f>
        <v>934</v>
      </c>
      <c r="B7914" s="5" t="str">
        <f>TEXT(0,"00")</f>
        <v>00</v>
      </c>
      <c r="C7914" s="1"/>
      <c r="D7914" s="2" t="s">
        <v>7883</v>
      </c>
    </row>
    <row r="7915" spans="1:7" x14ac:dyDescent="0.25">
      <c r="A7915" s="1" t="str">
        <f t="shared" si="505"/>
        <v>934</v>
      </c>
      <c r="B7915" s="1" t="str">
        <f>TEXT(14,"00")</f>
        <v>14</v>
      </c>
      <c r="C7915" s="1" t="str">
        <f t="shared" si="502"/>
        <v>934-14</v>
      </c>
      <c r="D7915" t="s">
        <v>7884</v>
      </c>
      <c r="E7915" t="b">
        <f>IF(COUNTIF(D7915,"*"&amp;'Keyword Search'!$C$5&amp;"*"),TRUE,FALSE)</f>
        <v>1</v>
      </c>
      <c r="G7915" t="str">
        <f t="shared" si="503"/>
        <v>934-14: Broom, Brush, and Mop Manufacturing Equipment Maintenance and Repair</v>
      </c>
    </row>
    <row r="7916" spans="1:7" x14ac:dyDescent="0.25">
      <c r="A7916" s="1" t="str">
        <f t="shared" si="505"/>
        <v>934</v>
      </c>
      <c r="B7916" s="1" t="str">
        <f>TEXT(29,"00")</f>
        <v>29</v>
      </c>
      <c r="C7916" s="1" t="str">
        <f t="shared" si="502"/>
        <v>934-29</v>
      </c>
      <c r="D7916" t="s">
        <v>7885</v>
      </c>
      <c r="E7916" t="b">
        <f>IF(COUNTIF(D7916,"*"&amp;'Keyword Search'!$C$5&amp;"*"),TRUE,FALSE)</f>
        <v>1</v>
      </c>
      <c r="G7916" t="str">
        <f t="shared" si="503"/>
        <v>934-29: Floor Maintenance Machines, Floor Covering Equipment Maintenance and Repair</v>
      </c>
    </row>
    <row r="7917" spans="1:7" x14ac:dyDescent="0.25">
      <c r="A7917" s="1" t="str">
        <f t="shared" si="505"/>
        <v>934</v>
      </c>
      <c r="B7917" s="1" t="str">
        <f>TEXT(37,"00")</f>
        <v>37</v>
      </c>
      <c r="C7917" s="1" t="str">
        <f t="shared" si="502"/>
        <v>934-37</v>
      </c>
      <c r="D7917" t="s">
        <v>7886</v>
      </c>
      <c r="E7917" t="b">
        <f>IF(COUNTIF(D7917,"*"&amp;'Keyword Search'!$C$5&amp;"*"),TRUE,FALSE)</f>
        <v>1</v>
      </c>
      <c r="G7917" t="str">
        <f t="shared" si="503"/>
        <v>934-37: Irrigation Systems Installation, Maintenance and Repair</v>
      </c>
    </row>
    <row r="7918" spans="1:7" x14ac:dyDescent="0.25">
      <c r="A7918" s="1" t="str">
        <f t="shared" si="505"/>
        <v>934</v>
      </c>
      <c r="B7918" s="1" t="str">
        <f>TEXT(39,"00")</f>
        <v>39</v>
      </c>
      <c r="C7918" s="1" t="str">
        <f t="shared" si="502"/>
        <v>934-39</v>
      </c>
      <c r="D7918" t="s">
        <v>7887</v>
      </c>
      <c r="E7918" t="b">
        <f>IF(COUNTIF(D7918,"*"&amp;'Keyword Search'!$C$5&amp;"*"),TRUE,FALSE)</f>
        <v>1</v>
      </c>
      <c r="G7918" t="str">
        <f t="shared" si="503"/>
        <v>934-39: Janitorial Equipment Maintenance and Repair</v>
      </c>
    </row>
    <row r="7919" spans="1:7" x14ac:dyDescent="0.25">
      <c r="A7919" s="1" t="str">
        <f t="shared" si="505"/>
        <v>934</v>
      </c>
      <c r="B7919" s="1" t="str">
        <f>TEXT(42,"00")</f>
        <v>42</v>
      </c>
      <c r="C7919" s="1" t="str">
        <f t="shared" si="502"/>
        <v>934-42</v>
      </c>
      <c r="D7919" t="s">
        <v>7888</v>
      </c>
      <c r="E7919" t="b">
        <f>IF(COUNTIF(D7919,"*"&amp;'Keyword Search'!$C$5&amp;"*"),TRUE,FALSE)</f>
        <v>1</v>
      </c>
      <c r="G7919" t="str">
        <f t="shared" si="503"/>
        <v>934-42: Laundry and Dry Cleaning Equipment, Commercial, Maintenance and Repair</v>
      </c>
    </row>
    <row r="7920" spans="1:7" x14ac:dyDescent="0.25">
      <c r="A7920" s="1" t="str">
        <f t="shared" si="505"/>
        <v>934</v>
      </c>
      <c r="B7920" s="1" t="str">
        <f>TEXT(43,"00")</f>
        <v>43</v>
      </c>
      <c r="C7920" s="1" t="str">
        <f t="shared" si="502"/>
        <v>934-43</v>
      </c>
      <c r="D7920" t="s">
        <v>7889</v>
      </c>
      <c r="E7920" t="b">
        <f>IF(COUNTIF(D7920,"*"&amp;'Keyword Search'!$C$5&amp;"*"),TRUE,FALSE)</f>
        <v>1</v>
      </c>
      <c r="G7920" t="str">
        <f t="shared" si="503"/>
        <v>934-43: Laundry Equipment, Household Maintenance and Repair</v>
      </c>
    </row>
    <row r="7921" spans="1:7" x14ac:dyDescent="0.25">
      <c r="A7921" s="1" t="str">
        <f t="shared" si="505"/>
        <v>934</v>
      </c>
      <c r="B7921" s="1" t="str">
        <f>TEXT(46,"00")</f>
        <v>46</v>
      </c>
      <c r="C7921" s="1" t="str">
        <f t="shared" si="502"/>
        <v>934-46</v>
      </c>
      <c r="D7921" t="s">
        <v>7890</v>
      </c>
      <c r="E7921" t="b">
        <f>IF(COUNTIF(D7921,"*"&amp;'Keyword Search'!$C$5&amp;"*"),TRUE,FALSE)</f>
        <v>1</v>
      </c>
      <c r="G7921" t="str">
        <f t="shared" si="503"/>
        <v>934-46: Lawn Equipment Maintenance and Repair</v>
      </c>
    </row>
    <row r="7922" spans="1:7" x14ac:dyDescent="0.25">
      <c r="A7922" s="1" t="str">
        <f t="shared" si="505"/>
        <v>934</v>
      </c>
      <c r="B7922" s="1" t="str">
        <f>TEXT(58,"00")</f>
        <v>58</v>
      </c>
      <c r="C7922" s="1" t="str">
        <f t="shared" si="502"/>
        <v>934-58</v>
      </c>
      <c r="D7922" t="s">
        <v>7891</v>
      </c>
      <c r="E7922" t="b">
        <f>IF(COUNTIF(D7922,"*"&amp;'Keyword Search'!$C$5&amp;"*"),TRUE,FALSE)</f>
        <v>1</v>
      </c>
      <c r="G7922" t="str">
        <f t="shared" si="503"/>
        <v>934-58: Painting Equipment Maintenance and Repair</v>
      </c>
    </row>
    <row r="7923" spans="1:7" x14ac:dyDescent="0.25">
      <c r="A7923" s="1" t="str">
        <f t="shared" si="505"/>
        <v>934</v>
      </c>
      <c r="B7923" s="1" t="str">
        <f>TEXT(62,"00")</f>
        <v>62</v>
      </c>
      <c r="C7923" s="1" t="str">
        <f t="shared" si="502"/>
        <v>934-62</v>
      </c>
      <c r="D7923" t="s">
        <v>7892</v>
      </c>
      <c r="E7923" t="b">
        <f>IF(COUNTIF(D7923,"*"&amp;'Keyword Search'!$C$5&amp;"*"),TRUE,FALSE)</f>
        <v>1</v>
      </c>
      <c r="G7923" t="str">
        <f t="shared" si="503"/>
        <v>934-62: Pipe and Pipe Fittings Maintenance and Repair</v>
      </c>
    </row>
    <row r="7924" spans="1:7" x14ac:dyDescent="0.25">
      <c r="A7924" s="1" t="str">
        <f t="shared" si="505"/>
        <v>934</v>
      </c>
      <c r="B7924" s="1" t="str">
        <f>TEXT(64,"00")</f>
        <v>64</v>
      </c>
      <c r="C7924" s="1" t="str">
        <f t="shared" si="502"/>
        <v>934-64</v>
      </c>
      <c r="D7924" t="s">
        <v>7893</v>
      </c>
      <c r="E7924" t="b">
        <f>IF(COUNTIF(D7924,"*"&amp;'Keyword Search'!$C$5&amp;"*"),TRUE,FALSE)</f>
        <v>1</v>
      </c>
      <c r="G7924" t="str">
        <f t="shared" si="503"/>
        <v>934-64: Plumbing Equipment and Fixtures Maintenance and Repair</v>
      </c>
    </row>
    <row r="7925" spans="1:7" x14ac:dyDescent="0.25">
      <c r="A7925" s="1" t="str">
        <f t="shared" si="505"/>
        <v>934</v>
      </c>
      <c r="B7925" s="1" t="str">
        <f>TEXT(77,"00")</f>
        <v>77</v>
      </c>
      <c r="C7925" s="1" t="str">
        <f t="shared" si="502"/>
        <v>934-77</v>
      </c>
      <c r="D7925" t="s">
        <v>7894</v>
      </c>
      <c r="E7925" t="b">
        <f>IF(COUNTIF(D7925,"*"&amp;'Keyword Search'!$C$5&amp;"*"),TRUE,FALSE)</f>
        <v>1</v>
      </c>
      <c r="G7925" t="str">
        <f t="shared" si="503"/>
        <v>934-77: Spraying Equipment Maintenance and Repair</v>
      </c>
    </row>
    <row r="7926" spans="1:7" x14ac:dyDescent="0.25">
      <c r="A7926" s="1" t="str">
        <f t="shared" si="505"/>
        <v>934</v>
      </c>
      <c r="B7926" s="1" t="str">
        <f>TEXT(84,"00")</f>
        <v>84</v>
      </c>
      <c r="C7926" s="1" t="str">
        <f t="shared" si="502"/>
        <v>934-84</v>
      </c>
      <c r="D7926" t="s">
        <v>7895</v>
      </c>
      <c r="E7926" t="b">
        <f>IF(COUNTIF(D7926,"*"&amp;'Keyword Search'!$C$5&amp;"*"),TRUE,FALSE)</f>
        <v>1</v>
      </c>
      <c r="G7926" t="str">
        <f t="shared" si="503"/>
        <v>934-84: Toilets, Portable, Maintenance and Repair, Including Servicing</v>
      </c>
    </row>
    <row r="7927" spans="1:7" x14ac:dyDescent="0.25">
      <c r="A7927" s="5" t="str">
        <f t="shared" ref="A7927:A7990" si="506">TEXT(936,"000")</f>
        <v>936</v>
      </c>
      <c r="B7927" s="5" t="str">
        <f>TEXT(0,"00")</f>
        <v>00</v>
      </c>
      <c r="C7927" s="1"/>
      <c r="D7927" s="2" t="s">
        <v>7896</v>
      </c>
    </row>
    <row r="7928" spans="1:7" x14ac:dyDescent="0.25">
      <c r="A7928" s="1" t="str">
        <f t="shared" si="506"/>
        <v>936</v>
      </c>
      <c r="B7928" s="1" t="str">
        <f>TEXT(6,"00")</f>
        <v>06</v>
      </c>
      <c r="C7928" s="1" t="str">
        <f t="shared" si="502"/>
        <v>936-06</v>
      </c>
      <c r="D7928" t="s">
        <v>7897</v>
      </c>
      <c r="E7928" t="b">
        <f>IF(COUNTIF(D7928,"*"&amp;'Keyword Search'!$C$5&amp;"*"),TRUE,FALSE)</f>
        <v>1</v>
      </c>
      <c r="G7928" t="str">
        <f t="shared" si="503"/>
        <v>936-06: Awards, Trophies, Collectibles, etc. Maintenance and Repair</v>
      </c>
    </row>
    <row r="7929" spans="1:7" x14ac:dyDescent="0.25">
      <c r="A7929" s="1" t="str">
        <f t="shared" si="506"/>
        <v>936</v>
      </c>
      <c r="B7929" s="1" t="str">
        <f>TEXT(7,"00")</f>
        <v>07</v>
      </c>
      <c r="C7929" s="1" t="str">
        <f t="shared" si="502"/>
        <v>936-07</v>
      </c>
      <c r="D7929" t="s">
        <v>7898</v>
      </c>
      <c r="E7929" t="b">
        <f>IF(COUNTIF(D7929,"*"&amp;'Keyword Search'!$C$5&amp;"*"),TRUE,FALSE)</f>
        <v>1</v>
      </c>
      <c r="G7929" t="str">
        <f t="shared" si="503"/>
        <v>936-07: Atomic and Nuclear Energy Machines and Equipment Maintenance and Repair</v>
      </c>
    </row>
    <row r="7930" spans="1:7" x14ac:dyDescent="0.25">
      <c r="A7930" s="1" t="str">
        <f t="shared" si="506"/>
        <v>936</v>
      </c>
      <c r="B7930" s="1" t="str">
        <f>TEXT(8,"00")</f>
        <v>08</v>
      </c>
      <c r="C7930" s="1" t="str">
        <f t="shared" si="502"/>
        <v>936-08</v>
      </c>
      <c r="D7930" t="s">
        <v>7899</v>
      </c>
      <c r="E7930" t="b">
        <f>IF(COUNTIF(D7930,"*"&amp;'Keyword Search'!$C$5&amp;"*"),TRUE,FALSE)</f>
        <v>1</v>
      </c>
      <c r="G7930" t="str">
        <f t="shared" si="503"/>
        <v>936-08: Air Compressors and Accessories Maintenance and Repair</v>
      </c>
    </row>
    <row r="7931" spans="1:7" x14ac:dyDescent="0.25">
      <c r="A7931" s="1" t="str">
        <f t="shared" si="506"/>
        <v>936</v>
      </c>
      <c r="B7931" s="1" t="str">
        <f>TEXT(9,"00")</f>
        <v>09</v>
      </c>
      <c r="C7931" s="1" t="str">
        <f t="shared" si="502"/>
        <v>936-09</v>
      </c>
      <c r="D7931" t="s">
        <v>7900</v>
      </c>
      <c r="E7931" t="b">
        <f>IF(COUNTIF(D7931,"*"&amp;'Keyword Search'!$C$5&amp;"*"),TRUE,FALSE)</f>
        <v>1</v>
      </c>
      <c r="G7931" t="str">
        <f t="shared" si="503"/>
        <v>936-09: *Alarm Equipment, Fire, etc. Maintenance and Repair</v>
      </c>
    </row>
    <row r="7932" spans="1:7" x14ac:dyDescent="0.25">
      <c r="A7932" s="1" t="str">
        <f t="shared" si="506"/>
        <v>936</v>
      </c>
      <c r="B7932" s="1" t="str">
        <f>TEXT(10,"00")</f>
        <v>10</v>
      </c>
      <c r="C7932" s="1" t="str">
        <f t="shared" si="502"/>
        <v>936-10</v>
      </c>
      <c r="D7932" t="s">
        <v>7901</v>
      </c>
      <c r="E7932" t="b">
        <f>IF(COUNTIF(D7932,"*"&amp;'Keyword Search'!$C$5&amp;"*"),TRUE,FALSE)</f>
        <v>1</v>
      </c>
      <c r="G7932" t="str">
        <f t="shared" si="503"/>
        <v>936-10: Bank Machines and Equipment, Including ATM Machines, Maintenance and Repair</v>
      </c>
    </row>
    <row r="7933" spans="1:7" x14ac:dyDescent="0.25">
      <c r="A7933" s="1" t="str">
        <f t="shared" si="506"/>
        <v>936</v>
      </c>
      <c r="B7933" s="1" t="str">
        <f>TEXT(11,"00")</f>
        <v>11</v>
      </c>
      <c r="C7933" s="1" t="str">
        <f t="shared" si="502"/>
        <v>936-11</v>
      </c>
      <c r="D7933" t="s">
        <v>7902</v>
      </c>
      <c r="E7933" t="b">
        <f>IF(COUNTIF(D7933,"*"&amp;'Keyword Search'!$C$5&amp;"*"),TRUE,FALSE)</f>
        <v>1</v>
      </c>
      <c r="G7933" t="str">
        <f t="shared" si="503"/>
        <v>936-11: Bird Cage and Aquarium Maintenance and Repair</v>
      </c>
    </row>
    <row r="7934" spans="1:7" x14ac:dyDescent="0.25">
      <c r="A7934" s="1" t="str">
        <f t="shared" si="506"/>
        <v>936</v>
      </c>
      <c r="B7934" s="1" t="str">
        <f>TEXT(14,"00")</f>
        <v>14</v>
      </c>
      <c r="C7934" s="1" t="str">
        <f t="shared" si="502"/>
        <v>936-14</v>
      </c>
      <c r="D7934" t="s">
        <v>7903</v>
      </c>
      <c r="E7934" t="b">
        <f>IF(COUNTIF(D7934,"*"&amp;'Keyword Search'!$C$5&amp;"*"),TRUE,FALSE)</f>
        <v>1</v>
      </c>
      <c r="G7934" t="str">
        <f t="shared" si="503"/>
        <v>936-14: Buildings and Structure Maintenance and Repair (portable, Modular, Fabricated, Pre-fabricated, Etc.)</v>
      </c>
    </row>
    <row r="7935" spans="1:7" x14ac:dyDescent="0.25">
      <c r="A7935" s="1" t="str">
        <f t="shared" si="506"/>
        <v>936</v>
      </c>
      <c r="B7935" s="1" t="str">
        <f>TEXT(18,"00")</f>
        <v>18</v>
      </c>
      <c r="C7935" s="1" t="str">
        <f t="shared" si="502"/>
        <v>936-18</v>
      </c>
      <c r="D7935" t="s">
        <v>7904</v>
      </c>
      <c r="E7935" t="b">
        <f>IF(COUNTIF(D7935,"*"&amp;'Keyword Search'!$C$5&amp;"*"),TRUE,FALSE)</f>
        <v>1</v>
      </c>
      <c r="G7935" t="str">
        <f t="shared" si="503"/>
        <v>936-18: Clothing, Including Uniforms, Maintenance and Repair</v>
      </c>
    </row>
    <row r="7936" spans="1:7" x14ac:dyDescent="0.25">
      <c r="A7936" s="1" t="str">
        <f t="shared" si="506"/>
        <v>936</v>
      </c>
      <c r="B7936" s="1" t="str">
        <f>TEXT(19,"00")</f>
        <v>19</v>
      </c>
      <c r="C7936" s="1" t="str">
        <f t="shared" si="502"/>
        <v>936-19</v>
      </c>
      <c r="D7936" t="s">
        <v>7905</v>
      </c>
      <c r="E7936" t="b">
        <f>IF(COUNTIF(D7936,"*"&amp;'Keyword Search'!$C$5&amp;"*"),TRUE,FALSE)</f>
        <v>1</v>
      </c>
      <c r="G7936" t="str">
        <f t="shared" si="503"/>
        <v>936-19: Containers: Barrels, Drums, etc., Maintenance and Repair</v>
      </c>
    </row>
    <row r="7937" spans="1:7" x14ac:dyDescent="0.25">
      <c r="A7937" s="1" t="str">
        <f t="shared" si="506"/>
        <v>936</v>
      </c>
      <c r="B7937" s="1" t="str">
        <f>TEXT(20,"00")</f>
        <v>20</v>
      </c>
      <c r="C7937" s="1" t="str">
        <f t="shared" si="502"/>
        <v>936-20</v>
      </c>
      <c r="D7937" t="s">
        <v>7906</v>
      </c>
      <c r="E7937" t="b">
        <f>IF(COUNTIF(D7937,"*"&amp;'Keyword Search'!$C$5&amp;"*"),TRUE,FALSE)</f>
        <v>1</v>
      </c>
      <c r="G7937" t="str">
        <f t="shared" si="503"/>
        <v>936-20: Cemetery Maintenance Services</v>
      </c>
    </row>
    <row r="7938" spans="1:7" x14ac:dyDescent="0.25">
      <c r="A7938" s="1" t="str">
        <f t="shared" si="506"/>
        <v>936</v>
      </c>
      <c r="B7938" s="1" t="str">
        <f>TEXT(21,"00")</f>
        <v>21</v>
      </c>
      <c r="C7938" s="1" t="str">
        <f t="shared" si="502"/>
        <v>936-21</v>
      </c>
      <c r="D7938" t="s">
        <v>7907</v>
      </c>
      <c r="E7938" t="b">
        <f>IF(COUNTIF(D7938,"*"&amp;'Keyword Search'!$C$5&amp;"*"),TRUE,FALSE)</f>
        <v>1</v>
      </c>
      <c r="G7938" t="str">
        <f t="shared" si="503"/>
        <v>936-21: Craft Equipment, All Types, Maintenance and Repair</v>
      </c>
    </row>
    <row r="7939" spans="1:7" x14ac:dyDescent="0.25">
      <c r="A7939" s="1" t="str">
        <f t="shared" si="506"/>
        <v>936</v>
      </c>
      <c r="B7939" s="1" t="str">
        <f>TEXT(22,"00")</f>
        <v>22</v>
      </c>
      <c r="C7939" s="1" t="str">
        <f t="shared" ref="C7939:C8002" si="507">CONCATENATE(A7939,"-",B7939)</f>
        <v>936-22</v>
      </c>
      <c r="D7939" t="s">
        <v>7908</v>
      </c>
      <c r="E7939" t="b">
        <f>IF(COUNTIF(D7939,"*"&amp;'Keyword Search'!$C$5&amp;"*"),TRUE,FALSE)</f>
        <v>1</v>
      </c>
      <c r="G7939" t="str">
        <f t="shared" si="503"/>
        <v>936-22: Diving and Scuba Equipment Maintenance and Repair</v>
      </c>
    </row>
    <row r="7940" spans="1:7" x14ac:dyDescent="0.25">
      <c r="A7940" s="1" t="str">
        <f t="shared" si="506"/>
        <v>936</v>
      </c>
      <c r="B7940" s="1" t="str">
        <f>TEXT(23,"00")</f>
        <v>23</v>
      </c>
      <c r="C7940" s="1" t="str">
        <f t="shared" si="507"/>
        <v>936-23</v>
      </c>
      <c r="D7940" t="s">
        <v>7909</v>
      </c>
      <c r="E7940" t="b">
        <f>IF(COUNTIF(D7940,"*"&amp;'Keyword Search'!$C$5&amp;"*"),TRUE,FALSE)</f>
        <v>1</v>
      </c>
      <c r="G7940" t="str">
        <f t="shared" ref="G7940:G8002" si="508">CONCATENATE(C7940,": ",D7940)</f>
        <v>936-23: Door Automatic Operator Installation, Maintenance and Repair</v>
      </c>
    </row>
    <row r="7941" spans="1:7" x14ac:dyDescent="0.25">
      <c r="A7941" s="1" t="str">
        <f t="shared" si="506"/>
        <v>936</v>
      </c>
      <c r="B7941" s="1" t="str">
        <f>TEXT(25,"00")</f>
        <v>25</v>
      </c>
      <c r="C7941" s="1" t="str">
        <f t="shared" si="507"/>
        <v>936-25</v>
      </c>
      <c r="D7941" t="s">
        <v>7910</v>
      </c>
      <c r="E7941" t="b">
        <f>IF(COUNTIF(D7941,"*"&amp;'Keyword Search'!$C$5&amp;"*"),TRUE,FALSE)</f>
        <v>1</v>
      </c>
      <c r="G7941" t="str">
        <f t="shared" si="508"/>
        <v>936-25: Electrical Equipment, Except Cable and Wires, and Lighting Fixtures Maintenance and Repair</v>
      </c>
    </row>
    <row r="7942" spans="1:7" x14ac:dyDescent="0.25">
      <c r="A7942" s="1" t="str">
        <f t="shared" si="506"/>
        <v>936</v>
      </c>
      <c r="B7942" s="1" t="str">
        <f>TEXT(27,"00")</f>
        <v>27</v>
      </c>
      <c r="C7942" s="1" t="str">
        <f t="shared" si="507"/>
        <v>936-27</v>
      </c>
      <c r="D7942" t="s">
        <v>7911</v>
      </c>
      <c r="E7942" t="b">
        <f>IF(COUNTIF(D7942,"*"&amp;'Keyword Search'!$C$5&amp;"*"),TRUE,FALSE)</f>
        <v>1</v>
      </c>
      <c r="G7942" t="str">
        <f t="shared" si="508"/>
        <v>936-27: *Emergency Warning Systems, Including Civil Defense and Natural Disaster Equipment Maintenance and Repair</v>
      </c>
    </row>
    <row r="7943" spans="1:7" x14ac:dyDescent="0.25">
      <c r="A7943" s="1" t="str">
        <f t="shared" si="506"/>
        <v>936</v>
      </c>
      <c r="B7943" s="1" t="str">
        <f>TEXT(28,"00")</f>
        <v>28</v>
      </c>
      <c r="C7943" s="1" t="str">
        <f t="shared" si="507"/>
        <v>936-28</v>
      </c>
      <c r="D7943" t="s">
        <v>7912</v>
      </c>
      <c r="E7943" t="b">
        <f>IF(COUNTIF(D7943,"*"&amp;'Keyword Search'!$C$5&amp;"*"),TRUE,FALSE)</f>
        <v>1</v>
      </c>
      <c r="G7943" t="str">
        <f t="shared" si="508"/>
        <v>936-28: Energy Collecting Equipment and Accessories Maintenance and Repair</v>
      </c>
    </row>
    <row r="7944" spans="1:7" x14ac:dyDescent="0.25">
      <c r="A7944" s="1" t="str">
        <f t="shared" si="506"/>
        <v>936</v>
      </c>
      <c r="B7944" s="1" t="str">
        <f>TEXT(29,"00")</f>
        <v>29</v>
      </c>
      <c r="C7944" s="1" t="str">
        <f t="shared" si="507"/>
        <v>936-29</v>
      </c>
      <c r="D7944" t="s">
        <v>7913</v>
      </c>
      <c r="E7944" t="b">
        <f>IF(COUNTIF(D7944,"*"&amp;'Keyword Search'!$C$5&amp;"*"),TRUE,FALSE)</f>
        <v>1</v>
      </c>
      <c r="G7944" t="str">
        <f t="shared" si="508"/>
        <v>936-29: Facility Energy Management Systems Maintenance and Repair</v>
      </c>
    </row>
    <row r="7945" spans="1:7" x14ac:dyDescent="0.25">
      <c r="A7945" s="1" t="str">
        <f t="shared" si="506"/>
        <v>936</v>
      </c>
      <c r="B7945" s="1" t="str">
        <f>TEXT(30,"00")</f>
        <v>30</v>
      </c>
      <c r="C7945" s="1" t="str">
        <f t="shared" si="507"/>
        <v>936-30</v>
      </c>
      <c r="D7945" t="s">
        <v>7914</v>
      </c>
      <c r="E7945" t="b">
        <f>IF(COUNTIF(D7945,"*"&amp;'Keyword Search'!$C$5&amp;"*"),TRUE,FALSE)</f>
        <v>1</v>
      </c>
      <c r="G7945" t="str">
        <f t="shared" si="508"/>
        <v>936-30: Fare Collection Equipment Maintenance and Repair</v>
      </c>
    </row>
    <row r="7946" spans="1:7" x14ac:dyDescent="0.25">
      <c r="A7946" s="1" t="str">
        <f t="shared" si="506"/>
        <v>936</v>
      </c>
      <c r="B7946" s="1" t="str">
        <f>TEXT(31,"00")</f>
        <v>31</v>
      </c>
      <c r="C7946" s="1" t="str">
        <f t="shared" si="507"/>
        <v>936-31</v>
      </c>
      <c r="D7946" t="s">
        <v>7915</v>
      </c>
      <c r="E7946" t="b">
        <f>IF(COUNTIF(D7946,"*"&amp;'Keyword Search'!$C$5&amp;"*"),TRUE,FALSE)</f>
        <v>1</v>
      </c>
      <c r="G7946" t="str">
        <f t="shared" si="508"/>
        <v>936-31: Foundry Equipment Maintenance and Repair</v>
      </c>
    </row>
    <row r="7947" spans="1:7" x14ac:dyDescent="0.25">
      <c r="A7947" s="1" t="str">
        <f t="shared" si="506"/>
        <v>936</v>
      </c>
      <c r="B7947" s="1" t="str">
        <f>TEXT(32,"00")</f>
        <v>32</v>
      </c>
      <c r="C7947" s="1" t="str">
        <f t="shared" si="507"/>
        <v>936-32</v>
      </c>
      <c r="D7947" t="s">
        <v>7916</v>
      </c>
      <c r="E7947" t="b">
        <f>IF(COUNTIF(D7947,"*"&amp;'Keyword Search'!$C$5&amp;"*"),TRUE,FALSE)</f>
        <v>1</v>
      </c>
      <c r="G7947" t="str">
        <f t="shared" si="508"/>
        <v>936-32: Fire Fighting Equipment Maintenance and Repair</v>
      </c>
    </row>
    <row r="7948" spans="1:7" x14ac:dyDescent="0.25">
      <c r="A7948" s="1" t="str">
        <f t="shared" si="506"/>
        <v>936</v>
      </c>
      <c r="B7948" s="1" t="str">
        <f>TEXT(33,"00")</f>
        <v>33</v>
      </c>
      <c r="C7948" s="1" t="str">
        <f t="shared" si="507"/>
        <v>936-33</v>
      </c>
      <c r="D7948" t="s">
        <v>7917</v>
      </c>
      <c r="E7948" t="b">
        <f>IF(COUNTIF(D7948,"*"&amp;'Keyword Search'!$C$5&amp;"*"),TRUE,FALSE)</f>
        <v>1</v>
      </c>
      <c r="G7948" t="str">
        <f t="shared" si="508"/>
        <v>936-33: *Fire Protection Equipment and Systems Including Fire Hydrants, Fire Sprinkler Systems, Smoke Detectors, Jaws of Life, Fire Protection Material Treatment, Firestop and Fire Barriers, etc. Inspection, Maintenance and Repair</v>
      </c>
    </row>
    <row r="7949" spans="1:7" x14ac:dyDescent="0.25">
      <c r="A7949" s="1" t="str">
        <f t="shared" si="506"/>
        <v>936</v>
      </c>
      <c r="B7949" s="1" t="str">
        <f>TEXT(34,"00")</f>
        <v>34</v>
      </c>
      <c r="C7949" s="1" t="str">
        <f t="shared" si="507"/>
        <v>936-34</v>
      </c>
      <c r="D7949" t="s">
        <v>7918</v>
      </c>
      <c r="E7949" t="b">
        <f>IF(COUNTIF(D7949,"*"&amp;'Keyword Search'!$C$5&amp;"*"),TRUE,FALSE)</f>
        <v>1</v>
      </c>
      <c r="G7949" t="str">
        <f t="shared" si="508"/>
        <v>936-34: Fire Extinguisher Maintenance, Including Recharging and Repair</v>
      </c>
    </row>
    <row r="7950" spans="1:7" x14ac:dyDescent="0.25">
      <c r="A7950" s="1" t="str">
        <f t="shared" si="506"/>
        <v>936</v>
      </c>
      <c r="B7950" s="1" t="str">
        <f>TEXT(35,"00")</f>
        <v>35</v>
      </c>
      <c r="C7950" s="1" t="str">
        <f t="shared" si="507"/>
        <v>936-35</v>
      </c>
      <c r="D7950" t="s">
        <v>7919</v>
      </c>
      <c r="E7950" t="b">
        <f>IF(COUNTIF(D7950,"*"&amp;'Keyword Search'!$C$5&amp;"*"),TRUE,FALSE)</f>
        <v>1</v>
      </c>
      <c r="G7950" t="str">
        <f t="shared" si="508"/>
        <v>936-35: Foundry Machine Shop Work</v>
      </c>
    </row>
    <row r="7951" spans="1:7" x14ac:dyDescent="0.25">
      <c r="A7951" s="1" t="str">
        <f t="shared" si="506"/>
        <v>936</v>
      </c>
      <c r="B7951" s="1" t="str">
        <f>TEXT(36,"00")</f>
        <v>36</v>
      </c>
      <c r="C7951" s="1" t="str">
        <f t="shared" si="507"/>
        <v>936-36</v>
      </c>
      <c r="D7951" t="s">
        <v>7920</v>
      </c>
      <c r="E7951" t="b">
        <f>IF(COUNTIF(D7951,"*"&amp;'Keyword Search'!$C$5&amp;"*"),TRUE,FALSE)</f>
        <v>1</v>
      </c>
      <c r="G7951" t="str">
        <f t="shared" si="508"/>
        <v>936-36: Furniture, School, Including Student Lockers, Maintenance and Repair, Including Refinishing and Reupholster</v>
      </c>
    </row>
    <row r="7952" spans="1:7" x14ac:dyDescent="0.25">
      <c r="A7952" s="1" t="str">
        <f t="shared" si="506"/>
        <v>936</v>
      </c>
      <c r="B7952" s="1" t="str">
        <f>TEXT(37,"00")</f>
        <v>37</v>
      </c>
      <c r="C7952" s="1" t="str">
        <f t="shared" si="507"/>
        <v>936-37</v>
      </c>
      <c r="D7952" t="s">
        <v>7921</v>
      </c>
      <c r="E7952" t="b">
        <f>IF(COUNTIF(D7952,"*"&amp;'Keyword Search'!$C$5&amp;"*"),TRUE,FALSE)</f>
        <v>1</v>
      </c>
      <c r="G7952" t="str">
        <f t="shared" si="508"/>
        <v>936-37: Gates, Electric, Card Reader, etc. Maintenance and Repair</v>
      </c>
    </row>
    <row r="7953" spans="1:7" x14ac:dyDescent="0.25">
      <c r="A7953" s="1" t="str">
        <f t="shared" si="506"/>
        <v>936</v>
      </c>
      <c r="B7953" s="1" t="str">
        <f>TEXT(38,"00")</f>
        <v>38</v>
      </c>
      <c r="C7953" s="1" t="str">
        <f t="shared" si="507"/>
        <v>936-38</v>
      </c>
      <c r="D7953" t="s">
        <v>7922</v>
      </c>
      <c r="E7953" t="b">
        <f>IF(COUNTIF(D7953,"*"&amp;'Keyword Search'!$C$5&amp;"*"),TRUE,FALSE)</f>
        <v>1</v>
      </c>
      <c r="G7953" t="str">
        <f t="shared" si="508"/>
        <v>936-38: Glass and Glazing Equipment Maintenance and Repair</v>
      </c>
    </row>
    <row r="7954" spans="1:7" x14ac:dyDescent="0.25">
      <c r="A7954" s="1" t="str">
        <f t="shared" si="506"/>
        <v>936</v>
      </c>
      <c r="B7954" s="1" t="str">
        <f>TEXT(39,"00")</f>
        <v>39</v>
      </c>
      <c r="C7954" s="1" t="str">
        <f t="shared" si="507"/>
        <v>936-39</v>
      </c>
      <c r="D7954" t="s">
        <v>7923</v>
      </c>
      <c r="E7954" t="b">
        <f>IF(COUNTIF(D7954,"*"&amp;'Keyword Search'!$C$5&amp;"*"),TRUE,FALSE)</f>
        <v>1</v>
      </c>
      <c r="G7954" t="str">
        <f t="shared" si="508"/>
        <v>936-39: Generators, Portable and Stationary, Including Parts and Accessories Maintenance and Repair</v>
      </c>
    </row>
    <row r="7955" spans="1:7" x14ac:dyDescent="0.25">
      <c r="A7955" s="1" t="str">
        <f t="shared" si="506"/>
        <v>936</v>
      </c>
      <c r="B7955" s="1" t="str">
        <f>TEXT(40,"00")</f>
        <v>40</v>
      </c>
      <c r="C7955" s="1" t="str">
        <f t="shared" si="507"/>
        <v>936-40</v>
      </c>
      <c r="D7955" t="s">
        <v>7924</v>
      </c>
      <c r="E7955" t="b">
        <f>IF(COUNTIF(D7955,"*"&amp;'Keyword Search'!$C$5&amp;"*"),TRUE,FALSE)</f>
        <v>1</v>
      </c>
      <c r="G7955" t="str">
        <f t="shared" si="508"/>
        <v>936-40: Hand Tools, Powered, All Kinds, Including Electrical and Hydraulic Maintenance and Repair</v>
      </c>
    </row>
    <row r="7956" spans="1:7" x14ac:dyDescent="0.25">
      <c r="A7956" s="1" t="str">
        <f t="shared" si="506"/>
        <v>936</v>
      </c>
      <c r="B7956" s="1" t="str">
        <f>TEXT(41,"00")</f>
        <v>41</v>
      </c>
      <c r="C7956" s="1" t="str">
        <f t="shared" si="507"/>
        <v>936-41</v>
      </c>
      <c r="D7956" t="s">
        <v>7925</v>
      </c>
      <c r="E7956" t="b">
        <f>IF(COUNTIF(D7956,"*"&amp;'Keyword Search'!$C$5&amp;"*"),TRUE,FALSE)</f>
        <v>1</v>
      </c>
      <c r="G7956" t="str">
        <f t="shared" si="508"/>
        <v>936-41: Hand Tools, Non-Powered, All Kinds, Maintenance and Repair</v>
      </c>
    </row>
    <row r="7957" spans="1:7" x14ac:dyDescent="0.25">
      <c r="A7957" s="1" t="str">
        <f t="shared" si="506"/>
        <v>936</v>
      </c>
      <c r="B7957" s="1" t="str">
        <f>TEXT(42,"00")</f>
        <v>42</v>
      </c>
      <c r="C7957" s="1" t="str">
        <f t="shared" si="507"/>
        <v>936-42</v>
      </c>
      <c r="D7957" t="s">
        <v>7926</v>
      </c>
      <c r="E7957" t="b">
        <f>IF(COUNTIF(D7957,"*"&amp;'Keyword Search'!$C$5&amp;"*"),TRUE,FALSE)</f>
        <v>1</v>
      </c>
      <c r="G7957" t="str">
        <f t="shared" si="508"/>
        <v>936-42: Gunsmith Services</v>
      </c>
    </row>
    <row r="7958" spans="1:7" x14ac:dyDescent="0.25">
      <c r="A7958" s="1" t="str">
        <f t="shared" si="506"/>
        <v>936</v>
      </c>
      <c r="B7958" s="1" t="str">
        <f>TEXT(43,"00")</f>
        <v>43</v>
      </c>
      <c r="C7958" s="1" t="str">
        <f t="shared" si="507"/>
        <v>936-43</v>
      </c>
      <c r="D7958" t="s">
        <v>7927</v>
      </c>
      <c r="E7958" t="b">
        <f>IF(COUNTIF(D7958,"*"&amp;'Keyword Search'!$C$5&amp;"*"),TRUE,FALSE)</f>
        <v>1</v>
      </c>
      <c r="G7958" t="str">
        <f t="shared" si="508"/>
        <v>936-43: *Hardware, Shelf Hardware, and Allied Items Maintenance and Repair</v>
      </c>
    </row>
    <row r="7959" spans="1:7" x14ac:dyDescent="0.25">
      <c r="A7959" s="1" t="str">
        <f t="shared" si="506"/>
        <v>936</v>
      </c>
      <c r="B7959" s="1" t="str">
        <f>TEXT(45,"00")</f>
        <v>45</v>
      </c>
      <c r="C7959" s="1" t="str">
        <f t="shared" si="507"/>
        <v>936-45</v>
      </c>
      <c r="D7959" t="s">
        <v>7928</v>
      </c>
      <c r="E7959" t="b">
        <f>IF(COUNTIF(D7959,"*"&amp;'Keyword Search'!$C$5&amp;"*"),TRUE,FALSE)</f>
        <v>1</v>
      </c>
      <c r="G7959" t="str">
        <f t="shared" si="508"/>
        <v>936-45: Hearing Devices, Aids, Auditory Training Equipment, etc.</v>
      </c>
    </row>
    <row r="7960" spans="1:7" x14ac:dyDescent="0.25">
      <c r="A7960" s="1" t="str">
        <f t="shared" si="506"/>
        <v>936</v>
      </c>
      <c r="B7960" s="1" t="str">
        <f>TEXT(48,"00")</f>
        <v>48</v>
      </c>
      <c r="C7960" s="1" t="str">
        <f t="shared" si="507"/>
        <v>936-48</v>
      </c>
      <c r="D7960" t="s">
        <v>7929</v>
      </c>
      <c r="E7960" t="b">
        <f>IF(COUNTIF(D7960,"*"&amp;'Keyword Search'!$C$5&amp;"*"),TRUE,FALSE)</f>
        <v>1</v>
      </c>
      <c r="G7960" t="str">
        <f t="shared" si="508"/>
        <v>936-48: Industrial Equipment, Not Construction and Repair, or HVAC Maintenance and Repair</v>
      </c>
    </row>
    <row r="7961" spans="1:7" x14ac:dyDescent="0.25">
      <c r="A7961" s="1" t="str">
        <f t="shared" si="506"/>
        <v>936</v>
      </c>
      <c r="B7961" s="1" t="str">
        <f>TEXT(49,"00")</f>
        <v>49</v>
      </c>
      <c r="C7961" s="1" t="str">
        <f t="shared" si="507"/>
        <v>936-49</v>
      </c>
      <c r="D7961" t="s">
        <v>7930</v>
      </c>
      <c r="E7961" t="b">
        <f>IF(COUNTIF(D7961,"*"&amp;'Keyword Search'!$C$5&amp;"*"),TRUE,FALSE)</f>
        <v>1</v>
      </c>
      <c r="G7961" t="str">
        <f t="shared" si="508"/>
        <v>936-49: *Intelligent Transportation Systems Equipment Maintenance and Repair</v>
      </c>
    </row>
    <row r="7962" spans="1:7" x14ac:dyDescent="0.25">
      <c r="A7962" s="1" t="str">
        <f t="shared" si="506"/>
        <v>936</v>
      </c>
      <c r="B7962" s="1" t="str">
        <f>TEXT(50,"00")</f>
        <v>50</v>
      </c>
      <c r="C7962" s="1" t="str">
        <f t="shared" si="507"/>
        <v>936-50</v>
      </c>
      <c r="D7962" t="s">
        <v>7931</v>
      </c>
      <c r="E7962" t="b">
        <f>IF(COUNTIF(D7962,"*"&amp;'Keyword Search'!$C$5&amp;"*"),TRUE,FALSE)</f>
        <v>1</v>
      </c>
      <c r="G7962" t="str">
        <f t="shared" si="508"/>
        <v>936-50: Jewelry, Badges, Nameplates, etc. Maintenance and Repair</v>
      </c>
    </row>
    <row r="7963" spans="1:7" x14ac:dyDescent="0.25">
      <c r="A7963" s="1" t="str">
        <f t="shared" si="506"/>
        <v>936</v>
      </c>
      <c r="B7963" s="1" t="str">
        <f>TEXT(51,"00")</f>
        <v>51</v>
      </c>
      <c r="C7963" s="1" t="str">
        <f t="shared" si="507"/>
        <v>936-51</v>
      </c>
      <c r="D7963" t="s">
        <v>7932</v>
      </c>
      <c r="E7963" t="b">
        <f>IF(COUNTIF(D7963,"*"&amp;'Keyword Search'!$C$5&amp;"*"),TRUE,FALSE)</f>
        <v>1</v>
      </c>
      <c r="G7963" t="str">
        <f t="shared" si="508"/>
        <v>936-51: Leather Working Equipment Maintenance and Repair</v>
      </c>
    </row>
    <row r="7964" spans="1:7" x14ac:dyDescent="0.25">
      <c r="A7964" s="1" t="str">
        <f t="shared" si="506"/>
        <v>936</v>
      </c>
      <c r="B7964" s="1" t="str">
        <f>TEXT(52,"00")</f>
        <v>52</v>
      </c>
      <c r="C7964" s="1" t="str">
        <f t="shared" si="507"/>
        <v>936-52</v>
      </c>
      <c r="D7964" t="s">
        <v>7933</v>
      </c>
      <c r="E7964" t="b">
        <f>IF(COUNTIF(D7964,"*"&amp;'Keyword Search'!$C$5&amp;"*"),TRUE,FALSE)</f>
        <v>1</v>
      </c>
      <c r="G7964" t="str">
        <f t="shared" si="508"/>
        <v>936-52: Luggage, Handbags, Purses Maintenance and Repair</v>
      </c>
    </row>
    <row r="7965" spans="1:7" x14ac:dyDescent="0.25">
      <c r="A7965" s="1" t="str">
        <f t="shared" si="506"/>
        <v>936</v>
      </c>
      <c r="B7965" s="1" t="str">
        <f>TEXT(53,"00")</f>
        <v>53</v>
      </c>
      <c r="C7965" s="1" t="str">
        <f t="shared" si="507"/>
        <v>936-53</v>
      </c>
      <c r="D7965" t="s">
        <v>7934</v>
      </c>
      <c r="E7965" t="b">
        <f>IF(COUNTIF(D7965,"*"&amp;'Keyword Search'!$C$5&amp;"*"),TRUE,FALSE)</f>
        <v>1</v>
      </c>
      <c r="G7965" t="str">
        <f t="shared" si="508"/>
        <v>936-53: Parking Equipment Maintenance and Repair (See 936-37 for Parking Gates)</v>
      </c>
    </row>
    <row r="7966" spans="1:7" x14ac:dyDescent="0.25">
      <c r="A7966" s="1" t="str">
        <f t="shared" si="506"/>
        <v>936</v>
      </c>
      <c r="B7966" s="1" t="str">
        <f>TEXT(54,"00")</f>
        <v>54</v>
      </c>
      <c r="C7966" s="1" t="str">
        <f t="shared" si="507"/>
        <v>936-54</v>
      </c>
      <c r="D7966" t="s">
        <v>7935</v>
      </c>
      <c r="E7966" t="b">
        <f>IF(COUNTIF(D7966,"*"&amp;'Keyword Search'!$C$5&amp;"*"),TRUE,FALSE)</f>
        <v>1</v>
      </c>
      <c r="G7966" t="str">
        <f t="shared" si="508"/>
        <v>936-54: Pipeline Equipment Maintenance and Repair</v>
      </c>
    </row>
    <row r="7967" spans="1:7" x14ac:dyDescent="0.25">
      <c r="A7967" s="1" t="str">
        <f t="shared" si="506"/>
        <v>936</v>
      </c>
      <c r="B7967" s="1" t="str">
        <f>TEXT(55,"00")</f>
        <v>55</v>
      </c>
      <c r="C7967" s="1" t="str">
        <f t="shared" si="507"/>
        <v>936-55</v>
      </c>
      <c r="D7967" t="s">
        <v>7936</v>
      </c>
      <c r="E7967" t="b">
        <f>IF(COUNTIF(D7967,"*"&amp;'Keyword Search'!$C$5&amp;"*"),TRUE,FALSE)</f>
        <v>1</v>
      </c>
      <c r="G7967" t="str">
        <f t="shared" si="508"/>
        <v>936-55: Plastics Forming and Molding Equipment Maintenance and Repair</v>
      </c>
    </row>
    <row r="7968" spans="1:7" x14ac:dyDescent="0.25">
      <c r="A7968" s="1" t="str">
        <f t="shared" si="506"/>
        <v>936</v>
      </c>
      <c r="B7968" s="1" t="str">
        <f>TEXT(57,"00")</f>
        <v>57</v>
      </c>
      <c r="C7968" s="1" t="str">
        <f t="shared" si="507"/>
        <v>936-57</v>
      </c>
      <c r="D7968" t="s">
        <v>7937</v>
      </c>
      <c r="E7968" t="b">
        <f>IF(COUNTIF(D7968,"*"&amp;'Keyword Search'!$C$5&amp;"*"),TRUE,FALSE)</f>
        <v>1</v>
      </c>
      <c r="G7968" t="str">
        <f t="shared" si="508"/>
        <v>936-57: Police Equipment Maintenance and Repair</v>
      </c>
    </row>
    <row r="7969" spans="1:7" x14ac:dyDescent="0.25">
      <c r="A7969" s="1" t="str">
        <f t="shared" si="506"/>
        <v>936</v>
      </c>
      <c r="B7969" s="1" t="str">
        <f>TEXT(58,"00")</f>
        <v>58</v>
      </c>
      <c r="C7969" s="1" t="str">
        <f t="shared" si="507"/>
        <v>936-58</v>
      </c>
      <c r="D7969" t="s">
        <v>7938</v>
      </c>
      <c r="E7969" t="b">
        <f>IF(COUNTIF(D7969,"*"&amp;'Keyword Search'!$C$5&amp;"*"),TRUE,FALSE)</f>
        <v>1</v>
      </c>
      <c r="G7969" t="str">
        <f t="shared" si="508"/>
        <v>936-58: Poultry Equipment Maintenance and Repair</v>
      </c>
    </row>
    <row r="7970" spans="1:7" x14ac:dyDescent="0.25">
      <c r="A7970" s="1" t="str">
        <f t="shared" si="506"/>
        <v>936</v>
      </c>
      <c r="B7970" s="1" t="str">
        <f>TEXT(59,"00")</f>
        <v>59</v>
      </c>
      <c r="C7970" s="1" t="str">
        <f t="shared" si="507"/>
        <v>936-59</v>
      </c>
      <c r="D7970" t="s">
        <v>7939</v>
      </c>
      <c r="E7970" t="b">
        <f>IF(COUNTIF(D7970,"*"&amp;'Keyword Search'!$C$5&amp;"*"),TRUE,FALSE)</f>
        <v>1</v>
      </c>
      <c r="G7970" t="str">
        <f t="shared" si="508"/>
        <v>936-59: Polygraph Equipment Maintenance and Repair</v>
      </c>
    </row>
    <row r="7971" spans="1:7" x14ac:dyDescent="0.25">
      <c r="A7971" s="1" t="str">
        <f t="shared" si="506"/>
        <v>936</v>
      </c>
      <c r="B7971" s="1" t="str">
        <f>TEXT(60,"00")</f>
        <v>60</v>
      </c>
      <c r="C7971" s="1" t="str">
        <f t="shared" si="507"/>
        <v>936-60</v>
      </c>
      <c r="D7971" t="s">
        <v>7940</v>
      </c>
      <c r="E7971" t="b">
        <f>IF(COUNTIF(D7971,"*"&amp;'Keyword Search'!$C$5&amp;"*"),TRUE,FALSE)</f>
        <v>1</v>
      </c>
      <c r="G7971" t="str">
        <f t="shared" si="508"/>
        <v>936-60: Printing Plant and Bindery Equipment, Including Graphic Arts Equipment, Maintenance and Repair</v>
      </c>
    </row>
    <row r="7972" spans="1:7" x14ac:dyDescent="0.25">
      <c r="A7972" s="1" t="str">
        <f t="shared" si="506"/>
        <v>936</v>
      </c>
      <c r="B7972" s="1" t="str">
        <f>TEXT(61,"00")</f>
        <v>61</v>
      </c>
      <c r="C7972" s="1" t="str">
        <f t="shared" si="507"/>
        <v>936-61</v>
      </c>
      <c r="D7972" t="s">
        <v>7941</v>
      </c>
      <c r="E7972" t="b">
        <f>IF(COUNTIF(D7972,"*"&amp;'Keyword Search'!$C$5&amp;"*"),TRUE,FALSE)</f>
        <v>1</v>
      </c>
      <c r="G7972" t="str">
        <f t="shared" si="508"/>
        <v>936-61: Power Supply Backup (UPS) Equipment Maintenance and Repair</v>
      </c>
    </row>
    <row r="7973" spans="1:7" x14ac:dyDescent="0.25">
      <c r="A7973" s="1" t="str">
        <f t="shared" si="506"/>
        <v>936</v>
      </c>
      <c r="B7973" s="1" t="str">
        <f>TEXT(62,"00")</f>
        <v>62</v>
      </c>
      <c r="C7973" s="1" t="str">
        <f t="shared" si="507"/>
        <v>936-62</v>
      </c>
      <c r="D7973" t="s">
        <v>7942</v>
      </c>
      <c r="E7973" t="b">
        <f>IF(COUNTIF(D7973,"*"&amp;'Keyword Search'!$C$5&amp;"*"),TRUE,FALSE)</f>
        <v>1</v>
      </c>
      <c r="G7973" t="str">
        <f t="shared" si="508"/>
        <v>936-62: Pumps and Pump Accessories Maintenance and Repair</v>
      </c>
    </row>
    <row r="7974" spans="1:7" x14ac:dyDescent="0.25">
      <c r="A7974" s="1" t="str">
        <f t="shared" si="506"/>
        <v>936</v>
      </c>
      <c r="B7974" s="1" t="str">
        <f>TEXT(63,"00")</f>
        <v>63</v>
      </c>
      <c r="C7974" s="1" t="str">
        <f t="shared" si="507"/>
        <v>936-63</v>
      </c>
      <c r="D7974" t="s">
        <v>7943</v>
      </c>
      <c r="E7974" t="b">
        <f>IF(COUNTIF(D7974,"*"&amp;'Keyword Search'!$C$5&amp;"*"),TRUE,FALSE)</f>
        <v>1</v>
      </c>
      <c r="G7974" t="str">
        <f t="shared" si="508"/>
        <v>936-63: Pumps, Vertical, Maintenance and Repair</v>
      </c>
    </row>
    <row r="7975" spans="1:7" x14ac:dyDescent="0.25">
      <c r="A7975" s="1" t="str">
        <f t="shared" si="506"/>
        <v>936</v>
      </c>
      <c r="B7975" s="1" t="str">
        <f>TEXT(64,"00")</f>
        <v>64</v>
      </c>
      <c r="C7975" s="1" t="str">
        <f t="shared" si="507"/>
        <v>936-64</v>
      </c>
      <c r="D7975" t="s">
        <v>7944</v>
      </c>
      <c r="E7975" t="b">
        <f>IF(COUNTIF(D7975,"*"&amp;'Keyword Search'!$C$5&amp;"*"),TRUE,FALSE)</f>
        <v>1</v>
      </c>
      <c r="G7975" t="str">
        <f t="shared" si="508"/>
        <v>936-64: Purification and Filtering Devices Maintenance and Repair</v>
      </c>
    </row>
    <row r="7976" spans="1:7" x14ac:dyDescent="0.25">
      <c r="A7976" s="1" t="str">
        <f t="shared" si="506"/>
        <v>936</v>
      </c>
      <c r="B7976" s="1" t="str">
        <f>TEXT(67,"00")</f>
        <v>67</v>
      </c>
      <c r="C7976" s="1" t="str">
        <f t="shared" si="507"/>
        <v>936-67</v>
      </c>
      <c r="D7976" t="s">
        <v>7945</v>
      </c>
      <c r="E7976" t="b">
        <f>IF(COUNTIF(D7976,"*"&amp;'Keyword Search'!$C$5&amp;"*"),TRUE,FALSE)</f>
        <v>1</v>
      </c>
      <c r="G7976" t="str">
        <f t="shared" si="508"/>
        <v>936-67: Refrigeration Equipment Maintenance and Repair</v>
      </c>
    </row>
    <row r="7977" spans="1:7" x14ac:dyDescent="0.25">
      <c r="A7977" s="1" t="str">
        <f t="shared" si="506"/>
        <v>936</v>
      </c>
      <c r="B7977" s="1" t="str">
        <f>TEXT(69,"00")</f>
        <v>69</v>
      </c>
      <c r="C7977" s="1" t="str">
        <f t="shared" si="507"/>
        <v>936-69</v>
      </c>
      <c r="D7977" t="s">
        <v>7946</v>
      </c>
      <c r="E7977" t="b">
        <f>IF(COUNTIF(D7977,"*"&amp;'Keyword Search'!$C$5&amp;"*"),TRUE,FALSE)</f>
        <v>1</v>
      </c>
      <c r="G7977" t="str">
        <f t="shared" si="508"/>
        <v>936-69: Rifle Range Equipment Maintenance and Repair</v>
      </c>
    </row>
    <row r="7978" spans="1:7" x14ac:dyDescent="0.25">
      <c r="A7978" s="1" t="str">
        <f t="shared" si="506"/>
        <v>936</v>
      </c>
      <c r="B7978" s="1" t="str">
        <f>TEXT(70,"00")</f>
        <v>70</v>
      </c>
      <c r="C7978" s="1" t="str">
        <f t="shared" si="507"/>
        <v>936-70</v>
      </c>
      <c r="D7978" t="s">
        <v>7947</v>
      </c>
      <c r="E7978" t="b">
        <f>IF(COUNTIF(D7978,"*"&amp;'Keyword Search'!$C$5&amp;"*"),TRUE,FALSE)</f>
        <v>1</v>
      </c>
      <c r="G7978" t="str">
        <f t="shared" si="508"/>
        <v>936-70: Roofing Equipment and Machinery Maintenance and Repair</v>
      </c>
    </row>
    <row r="7979" spans="1:7" x14ac:dyDescent="0.25">
      <c r="A7979" s="1" t="str">
        <f t="shared" si="506"/>
        <v>936</v>
      </c>
      <c r="B7979" s="1" t="str">
        <f>TEXT(71,"00")</f>
        <v>71</v>
      </c>
      <c r="C7979" s="1" t="str">
        <f t="shared" si="507"/>
        <v>936-71</v>
      </c>
      <c r="D7979" t="s">
        <v>7948</v>
      </c>
      <c r="E7979" t="b">
        <f>IF(COUNTIF(D7979,"*"&amp;'Keyword Search'!$C$5&amp;"*"),TRUE,FALSE)</f>
        <v>1</v>
      </c>
      <c r="G7979" t="str">
        <f t="shared" si="508"/>
        <v>936-71: Scaffolding Maintenance and Repair</v>
      </c>
    </row>
    <row r="7980" spans="1:7" x14ac:dyDescent="0.25">
      <c r="A7980" s="1" t="str">
        <f t="shared" si="506"/>
        <v>936</v>
      </c>
      <c r="B7980" s="1" t="str">
        <f>TEXT(72,"00")</f>
        <v>72</v>
      </c>
      <c r="C7980" s="1" t="str">
        <f t="shared" si="507"/>
        <v>936-72</v>
      </c>
      <c r="D7980" t="s">
        <v>7949</v>
      </c>
      <c r="E7980" t="b">
        <f>IF(COUNTIF(D7980,"*"&amp;'Keyword Search'!$C$5&amp;"*"),TRUE,FALSE)</f>
        <v>1</v>
      </c>
      <c r="G7980" t="str">
        <f t="shared" si="508"/>
        <v>936-72: School Equipment Maintenance and Repair, Including Resurfacing Slate Blackboards</v>
      </c>
    </row>
    <row r="7981" spans="1:7" x14ac:dyDescent="0.25">
      <c r="A7981" s="1" t="str">
        <f t="shared" si="506"/>
        <v>936</v>
      </c>
      <c r="B7981" s="1" t="str">
        <f>TEXT(73,"00")</f>
        <v>73</v>
      </c>
      <c r="C7981" s="1" t="str">
        <f t="shared" si="507"/>
        <v>936-73</v>
      </c>
      <c r="D7981" t="s">
        <v>7950</v>
      </c>
      <c r="E7981" t="b">
        <f>IF(COUNTIF(D7981,"*"&amp;'Keyword Search'!$C$5&amp;"*"),TRUE,FALSE)</f>
        <v>1</v>
      </c>
      <c r="G7981" t="str">
        <f t="shared" si="508"/>
        <v>936-73: *Security and Access Systems Maintenance and Repair</v>
      </c>
    </row>
    <row r="7982" spans="1:7" x14ac:dyDescent="0.25">
      <c r="A7982" s="1" t="str">
        <f t="shared" si="506"/>
        <v>936</v>
      </c>
      <c r="B7982" s="1" t="str">
        <f>TEXT(74,"00")</f>
        <v>74</v>
      </c>
      <c r="C7982" s="1" t="str">
        <f t="shared" si="507"/>
        <v>936-74</v>
      </c>
      <c r="D7982" t="s">
        <v>7951</v>
      </c>
      <c r="E7982" t="b">
        <f>IF(COUNTIF(D7982,"*"&amp;'Keyword Search'!$C$5&amp;"*"),TRUE,FALSE)</f>
        <v>1</v>
      </c>
      <c r="G7982" t="str">
        <f t="shared" si="508"/>
        <v>936-74: Signs, Message Centers, Scoreboards, etc., Including Sign Making Equipment, Maintenance and Repair (See 968-81 for Traffic Sign Maintenance)</v>
      </c>
    </row>
    <row r="7983" spans="1:7" x14ac:dyDescent="0.25">
      <c r="A7983" s="1" t="str">
        <f t="shared" si="506"/>
        <v>936</v>
      </c>
      <c r="B7983" s="1" t="str">
        <f>TEXT(75,"00")</f>
        <v>75</v>
      </c>
      <c r="C7983" s="1" t="str">
        <f t="shared" si="507"/>
        <v>936-75</v>
      </c>
      <c r="D7983" t="s">
        <v>7952</v>
      </c>
      <c r="E7983" t="b">
        <f>IF(COUNTIF(D7983,"*"&amp;'Keyword Search'!$C$5&amp;"*"),TRUE,FALSE)</f>
        <v>1</v>
      </c>
      <c r="G7983" t="str">
        <f t="shared" si="508"/>
        <v>936-75: Stockman Equipment and Tools Maintenance and Repair</v>
      </c>
    </row>
    <row r="7984" spans="1:7" x14ac:dyDescent="0.25">
      <c r="A7984" s="1" t="str">
        <f t="shared" si="506"/>
        <v>936</v>
      </c>
      <c r="B7984" s="1" t="str">
        <f>TEXT(76,"00")</f>
        <v>76</v>
      </c>
      <c r="C7984" s="1" t="str">
        <f t="shared" si="507"/>
        <v>936-76</v>
      </c>
      <c r="D7984" t="s">
        <v>7953</v>
      </c>
      <c r="E7984" t="b">
        <f>IF(COUNTIF(D7984,"*"&amp;'Keyword Search'!$C$5&amp;"*"),TRUE,FALSE)</f>
        <v>1</v>
      </c>
      <c r="G7984" t="str">
        <f t="shared" si="508"/>
        <v>936-76: Stone, Rock, and Ceramic Equipment Maintenance and Repair</v>
      </c>
    </row>
    <row r="7985" spans="1:7" x14ac:dyDescent="0.25">
      <c r="A7985" s="1" t="str">
        <f t="shared" si="506"/>
        <v>936</v>
      </c>
      <c r="B7985" s="1" t="str">
        <f>TEXT(77,"00")</f>
        <v>77</v>
      </c>
      <c r="C7985" s="1" t="str">
        <f t="shared" si="507"/>
        <v>936-77</v>
      </c>
      <c r="D7985" t="s">
        <v>7954</v>
      </c>
      <c r="E7985" t="b">
        <f>IF(COUNTIF(D7985,"*"&amp;'Keyword Search'!$C$5&amp;"*"),TRUE,FALSE)</f>
        <v>1</v>
      </c>
      <c r="G7985" t="str">
        <f t="shared" si="508"/>
        <v>936-77: Substation High Voltage, Electrical Maintenance and Repair</v>
      </c>
    </row>
    <row r="7986" spans="1:7" x14ac:dyDescent="0.25">
      <c r="A7986" s="1" t="str">
        <f t="shared" si="506"/>
        <v>936</v>
      </c>
      <c r="B7986" s="1" t="str">
        <f>TEXT(78,"00")</f>
        <v>78</v>
      </c>
      <c r="C7986" s="1" t="str">
        <f t="shared" si="507"/>
        <v>936-78</v>
      </c>
      <c r="D7986" t="s">
        <v>7955</v>
      </c>
      <c r="E7986" t="b">
        <f>IF(COUNTIF(D7986,"*"&amp;'Keyword Search'!$C$5&amp;"*"),TRUE,FALSE)</f>
        <v>1</v>
      </c>
      <c r="G7986" t="str">
        <f t="shared" si="508"/>
        <v>936-78: Tarpaulins, Tents, and Canvas Items, Maintenance and Repair</v>
      </c>
    </row>
    <row r="7987" spans="1:7" x14ac:dyDescent="0.25">
      <c r="A7987" s="1" t="str">
        <f t="shared" si="506"/>
        <v>936</v>
      </c>
      <c r="B7987" s="1" t="str">
        <f>TEXT(79,"00")</f>
        <v>79</v>
      </c>
      <c r="C7987" s="1" t="str">
        <f t="shared" si="507"/>
        <v>936-79</v>
      </c>
      <c r="D7987" t="s">
        <v>7956</v>
      </c>
      <c r="E7987" t="b">
        <f>IF(COUNTIF(D7987,"*"&amp;'Keyword Search'!$C$5&amp;"*"),TRUE,FALSE)</f>
        <v>1</v>
      </c>
      <c r="G7987" t="str">
        <f t="shared" si="508"/>
        <v>936-79: Storage Equipment Maintenance and Repair</v>
      </c>
    </row>
    <row r="7988" spans="1:7" x14ac:dyDescent="0.25">
      <c r="A7988" s="1" t="str">
        <f t="shared" si="506"/>
        <v>936</v>
      </c>
      <c r="B7988" s="1" t="str">
        <f>TEXT(80,"00")</f>
        <v>80</v>
      </c>
      <c r="C7988" s="1" t="str">
        <f t="shared" si="507"/>
        <v>936-80</v>
      </c>
      <c r="D7988" t="s">
        <v>7957</v>
      </c>
      <c r="E7988" t="b">
        <f>IF(COUNTIF(D7988,"*"&amp;'Keyword Search'!$C$5&amp;"*"),TRUE,FALSE)</f>
        <v>1</v>
      </c>
      <c r="G7988" t="str">
        <f t="shared" si="508"/>
        <v>936-80: Theatrical Equipment Maintenance and Repair</v>
      </c>
    </row>
    <row r="7989" spans="1:7" x14ac:dyDescent="0.25">
      <c r="A7989" s="1" t="str">
        <f t="shared" si="506"/>
        <v>936</v>
      </c>
      <c r="B7989" s="1" t="str">
        <f>TEXT(82,"00")</f>
        <v>82</v>
      </c>
      <c r="C7989" s="1" t="str">
        <f t="shared" si="507"/>
        <v>936-82</v>
      </c>
      <c r="D7989" t="s">
        <v>7958</v>
      </c>
      <c r="E7989" t="b">
        <f>IF(COUNTIF(D7989,"*"&amp;'Keyword Search'!$C$5&amp;"*"),TRUE,FALSE)</f>
        <v>1</v>
      </c>
      <c r="G7989" t="str">
        <f t="shared" si="508"/>
        <v>936-82: Tools, Electric Maintenance and Repair</v>
      </c>
    </row>
    <row r="7990" spans="1:7" x14ac:dyDescent="0.25">
      <c r="A7990" s="1" t="str">
        <f t="shared" si="506"/>
        <v>936</v>
      </c>
      <c r="B7990" s="1" t="str">
        <f>TEXT(83,"00")</f>
        <v>83</v>
      </c>
      <c r="C7990" s="1" t="str">
        <f t="shared" si="507"/>
        <v>936-83</v>
      </c>
      <c r="D7990" t="s">
        <v>7959</v>
      </c>
      <c r="E7990" t="b">
        <f>IF(COUNTIF(D7990,"*"&amp;'Keyword Search'!$C$5&amp;"*"),TRUE,FALSE)</f>
        <v>1</v>
      </c>
      <c r="G7990" t="str">
        <f t="shared" si="508"/>
        <v>936-83: Toll Collection Equipment Maintenance and Repair</v>
      </c>
    </row>
    <row r="7991" spans="1:7" x14ac:dyDescent="0.25">
      <c r="A7991" s="1" t="str">
        <f t="shared" ref="A7991:A8002" si="509">TEXT(936,"000")</f>
        <v>936</v>
      </c>
      <c r="B7991" s="1" t="str">
        <f>TEXT(84,"00")</f>
        <v>84</v>
      </c>
      <c r="C7991" s="1" t="str">
        <f t="shared" si="507"/>
        <v>936-84</v>
      </c>
      <c r="D7991" t="s">
        <v>7960</v>
      </c>
      <c r="E7991" t="b">
        <f>IF(COUNTIF(D7991,"*"&amp;'Keyword Search'!$C$5&amp;"*"),TRUE,FALSE)</f>
        <v>1</v>
      </c>
      <c r="G7991" t="str">
        <f t="shared" si="508"/>
        <v>936-84: Towers, Radio/Radar, etc., Maintenance and Repair, Including Painting</v>
      </c>
    </row>
    <row r="7992" spans="1:7" x14ac:dyDescent="0.25">
      <c r="A7992" s="1" t="str">
        <f t="shared" si="509"/>
        <v>936</v>
      </c>
      <c r="B7992" s="1" t="str">
        <f>TEXT(85,"00")</f>
        <v>85</v>
      </c>
      <c r="C7992" s="1" t="str">
        <f t="shared" si="507"/>
        <v>936-85</v>
      </c>
      <c r="D7992" t="s">
        <v>7961</v>
      </c>
      <c r="E7992" t="b">
        <f>IF(COUNTIF(D7992,"*"&amp;'Keyword Search'!$C$5&amp;"*"),TRUE,FALSE)</f>
        <v>1</v>
      </c>
      <c r="G7992" t="str">
        <f t="shared" si="508"/>
        <v>936-85: Traffic Counting Devices, Maintenance and Repair</v>
      </c>
    </row>
    <row r="7993" spans="1:7" x14ac:dyDescent="0.25">
      <c r="A7993" s="1" t="str">
        <f t="shared" si="509"/>
        <v>936</v>
      </c>
      <c r="B7993" s="1" t="str">
        <f>TEXT(86,"00")</f>
        <v>86</v>
      </c>
      <c r="C7993" s="1" t="str">
        <f t="shared" si="507"/>
        <v>936-86</v>
      </c>
      <c r="D7993" t="s">
        <v>7962</v>
      </c>
      <c r="E7993" t="b">
        <f>IF(COUNTIF(D7993,"*"&amp;'Keyword Search'!$C$5&amp;"*"),TRUE,FALSE)</f>
        <v>1</v>
      </c>
      <c r="G7993" t="str">
        <f t="shared" si="508"/>
        <v>936-86: Traffic Control Devices, Maintenance and Repair</v>
      </c>
    </row>
    <row r="7994" spans="1:7" x14ac:dyDescent="0.25">
      <c r="A7994" s="1" t="str">
        <f t="shared" si="509"/>
        <v>936</v>
      </c>
      <c r="B7994" s="1" t="str">
        <f>TEXT(87,"00")</f>
        <v>87</v>
      </c>
      <c r="C7994" s="1" t="str">
        <f t="shared" si="507"/>
        <v>936-87</v>
      </c>
      <c r="D7994" t="s">
        <v>7963</v>
      </c>
      <c r="E7994" t="b">
        <f>IF(COUNTIF(D7994,"*"&amp;'Keyword Search'!$C$5&amp;"*"),TRUE,FALSE)</f>
        <v>1</v>
      </c>
      <c r="G7994" t="str">
        <f t="shared" si="508"/>
        <v>936-87: Transformer, High Voltage Maintenance and Repair</v>
      </c>
    </row>
    <row r="7995" spans="1:7" x14ac:dyDescent="0.25">
      <c r="A7995" s="1" t="str">
        <f t="shared" si="509"/>
        <v>936</v>
      </c>
      <c r="B7995" s="1" t="str">
        <f>TEXT(88,"00")</f>
        <v>88</v>
      </c>
      <c r="C7995" s="1" t="str">
        <f t="shared" si="507"/>
        <v>936-88</v>
      </c>
      <c r="D7995" t="s">
        <v>7964</v>
      </c>
      <c r="E7995" t="b">
        <f>IF(COUNTIF(D7995,"*"&amp;'Keyword Search'!$C$5&amp;"*"),TRUE,FALSE)</f>
        <v>1</v>
      </c>
      <c r="G7995" t="str">
        <f t="shared" si="508"/>
        <v>936-88: Upholstery and Drapery Maintenance and Repair, Including Cleaning</v>
      </c>
    </row>
    <row r="7996" spans="1:7" x14ac:dyDescent="0.25">
      <c r="A7996" s="1" t="str">
        <f t="shared" si="509"/>
        <v>936</v>
      </c>
      <c r="B7996" s="1" t="str">
        <f>TEXT(89,"00")</f>
        <v>89</v>
      </c>
      <c r="C7996" s="1" t="str">
        <f t="shared" si="507"/>
        <v>936-89</v>
      </c>
      <c r="D7996" t="s">
        <v>7965</v>
      </c>
      <c r="E7996" t="b">
        <f>IF(COUNTIF(D7996,"*"&amp;'Keyword Search'!$C$5&amp;"*"),TRUE,FALSE)</f>
        <v>1</v>
      </c>
      <c r="G7996" t="str">
        <f t="shared" si="508"/>
        <v>936-89: Venetian Blinds Maintenance and Repair, Including Cleaning Services</v>
      </c>
    </row>
    <row r="7997" spans="1:7" x14ac:dyDescent="0.25">
      <c r="A7997" s="1" t="str">
        <f t="shared" si="509"/>
        <v>936</v>
      </c>
      <c r="B7997" s="1" t="str">
        <f>TEXT(90,"00")</f>
        <v>90</v>
      </c>
      <c r="C7997" s="1" t="str">
        <f t="shared" si="507"/>
        <v>936-90</v>
      </c>
      <c r="D7997" t="s">
        <v>7966</v>
      </c>
      <c r="E7997" t="b">
        <f>IF(COUNTIF(D7997,"*"&amp;'Keyword Search'!$C$5&amp;"*"),TRUE,FALSE)</f>
        <v>1</v>
      </c>
      <c r="G7997" t="str">
        <f t="shared" si="508"/>
        <v>936-90: *Voting Machine Maintenance and Repair</v>
      </c>
    </row>
    <row r="7998" spans="1:7" x14ac:dyDescent="0.25">
      <c r="A7998" s="1" t="str">
        <f t="shared" si="509"/>
        <v>936</v>
      </c>
      <c r="B7998" s="1" t="str">
        <f>TEXT(91,"00")</f>
        <v>91</v>
      </c>
      <c r="C7998" s="1" t="str">
        <f t="shared" si="507"/>
        <v>936-91</v>
      </c>
      <c r="D7998" t="s">
        <v>7967</v>
      </c>
      <c r="E7998" t="b">
        <f>IF(COUNTIF(D7998,"*"&amp;'Keyword Search'!$C$5&amp;"*"),TRUE,FALSE)</f>
        <v>1</v>
      </c>
      <c r="G7998" t="str">
        <f t="shared" si="508"/>
        <v>936-91: Water Supply and Sewage Treatment Equipment Maintenance and Repair</v>
      </c>
    </row>
    <row r="7999" spans="1:7" x14ac:dyDescent="0.25">
      <c r="A7999" s="1" t="str">
        <f t="shared" si="509"/>
        <v>936</v>
      </c>
      <c r="B7999" s="1" t="str">
        <f>TEXT(92,"00")</f>
        <v>92</v>
      </c>
      <c r="C7999" s="1" t="str">
        <f t="shared" si="507"/>
        <v>936-92</v>
      </c>
      <c r="D7999" t="s">
        <v>7968</v>
      </c>
      <c r="E7999" t="b">
        <f>IF(COUNTIF(D7999,"*"&amp;'Keyword Search'!$C$5&amp;"*"),TRUE,FALSE)</f>
        <v>1</v>
      </c>
      <c r="G7999" t="str">
        <f t="shared" si="508"/>
        <v>936-92: Wagering and Gambling Equipment Maintenance and Repair</v>
      </c>
    </row>
    <row r="8000" spans="1:7" x14ac:dyDescent="0.25">
      <c r="A8000" s="1" t="str">
        <f t="shared" si="509"/>
        <v>936</v>
      </c>
      <c r="B8000" s="1" t="str">
        <f>TEXT(93,"00")</f>
        <v>93</v>
      </c>
      <c r="C8000" s="1" t="str">
        <f t="shared" si="507"/>
        <v>936-93</v>
      </c>
      <c r="D8000" t="s">
        <v>7969</v>
      </c>
      <c r="E8000" t="b">
        <f>IF(COUNTIF(D8000,"*"&amp;'Keyword Search'!$C$5&amp;"*"),TRUE,FALSE)</f>
        <v>1</v>
      </c>
      <c r="G8000" t="str">
        <f t="shared" si="508"/>
        <v>936-93: Weapon Maintenance and Repair</v>
      </c>
    </row>
    <row r="8001" spans="1:7" x14ac:dyDescent="0.25">
      <c r="A8001" s="1" t="str">
        <f t="shared" si="509"/>
        <v>936</v>
      </c>
      <c r="B8001" s="1" t="str">
        <f>TEXT(94,"00")</f>
        <v>94</v>
      </c>
      <c r="C8001" s="1" t="str">
        <f t="shared" si="507"/>
        <v>936-94</v>
      </c>
      <c r="D8001" t="s">
        <v>7970</v>
      </c>
      <c r="E8001" t="b">
        <f>IF(COUNTIF(D8001,"*"&amp;'Keyword Search'!$C$5&amp;"*"),TRUE,FALSE)</f>
        <v>1</v>
      </c>
      <c r="G8001" t="str">
        <f t="shared" si="508"/>
        <v>936-94: Weather Forecasting Equipment Maintenance and Repair</v>
      </c>
    </row>
    <row r="8002" spans="1:7" x14ac:dyDescent="0.25">
      <c r="A8002" s="1" t="str">
        <f t="shared" si="509"/>
        <v>936</v>
      </c>
      <c r="B8002" s="1" t="str">
        <f>TEXT(95,"00")</f>
        <v>95</v>
      </c>
      <c r="C8002" s="1" t="str">
        <f t="shared" si="507"/>
        <v>936-95</v>
      </c>
      <c r="D8002" t="s">
        <v>7971</v>
      </c>
      <c r="E8002" t="b">
        <f>IF(COUNTIF(D8002,"*"&amp;'Keyword Search'!$C$5&amp;"*"),TRUE,FALSE)</f>
        <v>1</v>
      </c>
      <c r="G8002" t="str">
        <f t="shared" si="508"/>
        <v>936-95: Welding Equipment Maintenance and Repair</v>
      </c>
    </row>
    <row r="8003" spans="1:7" x14ac:dyDescent="0.25">
      <c r="A8003" s="5" t="str">
        <f t="shared" ref="A8003:A8026" si="510">TEXT(938,"000")</f>
        <v>938</v>
      </c>
      <c r="B8003" s="5" t="str">
        <f>TEXT(0,"00")</f>
        <v>00</v>
      </c>
      <c r="C8003" s="1"/>
      <c r="D8003" s="2" t="s">
        <v>7972</v>
      </c>
    </row>
    <row r="8004" spans="1:7" x14ac:dyDescent="0.25">
      <c r="A8004" s="1" t="str">
        <f t="shared" si="510"/>
        <v>938</v>
      </c>
      <c r="B8004" s="1" t="str">
        <f>TEXT(17,"00")</f>
        <v>17</v>
      </c>
      <c r="C8004" s="1" t="str">
        <f t="shared" ref="C8004:C8066" si="511">CONCATENATE(A8004,"-",B8004)</f>
        <v>938-17</v>
      </c>
      <c r="D8004" t="s">
        <v>7973</v>
      </c>
      <c r="E8004" t="b">
        <f>IF(COUNTIF(D8004,"*"&amp;'Keyword Search'!$C$5&amp;"*"),TRUE,FALSE)</f>
        <v>1</v>
      </c>
      <c r="G8004" t="str">
        <f t="shared" ref="G8004:G8067" si="512">CONCATENATE(C8004,": ",D8004)</f>
        <v>938-17: Controlling, Indicating, and Recording Instruments and Supplies Maintenance and Repair</v>
      </c>
    </row>
    <row r="8005" spans="1:7" x14ac:dyDescent="0.25">
      <c r="A8005" s="1" t="str">
        <f t="shared" si="510"/>
        <v>938</v>
      </c>
      <c r="B8005" s="1" t="str">
        <f>TEXT(18,"00")</f>
        <v>18</v>
      </c>
      <c r="C8005" s="1" t="str">
        <f t="shared" si="511"/>
        <v>938-18</v>
      </c>
      <c r="D8005" t="s">
        <v>7974</v>
      </c>
      <c r="E8005" t="b">
        <f>IF(COUNTIF(D8005,"*"&amp;'Keyword Search'!$C$5&amp;"*"),TRUE,FALSE)</f>
        <v>1</v>
      </c>
      <c r="G8005" t="str">
        <f t="shared" si="512"/>
        <v>938-18: CPR Equipment, Including CPR Manikins, Maintenance and Repair</v>
      </c>
    </row>
    <row r="8006" spans="1:7" x14ac:dyDescent="0.25">
      <c r="A8006" s="1" t="str">
        <f t="shared" si="510"/>
        <v>938</v>
      </c>
      <c r="B8006" s="1" t="str">
        <f>TEXT(24,"00")</f>
        <v>24</v>
      </c>
      <c r="C8006" s="1" t="str">
        <f t="shared" si="511"/>
        <v>938-24</v>
      </c>
      <c r="D8006" t="s">
        <v>7975</v>
      </c>
      <c r="E8006" t="b">
        <f>IF(COUNTIF(D8006,"*"&amp;'Keyword Search'!$C$5&amp;"*"),TRUE,FALSE)</f>
        <v>1</v>
      </c>
      <c r="G8006" t="str">
        <f t="shared" si="512"/>
        <v>938-24: Dental Equipment Maintenance and Repair</v>
      </c>
    </row>
    <row r="8007" spans="1:7" x14ac:dyDescent="0.25">
      <c r="A8007" s="1" t="str">
        <f t="shared" si="510"/>
        <v>938</v>
      </c>
      <c r="B8007" s="1" t="str">
        <f>TEXT(31,"00")</f>
        <v>31</v>
      </c>
      <c r="C8007" s="1" t="str">
        <f t="shared" si="511"/>
        <v>938-31</v>
      </c>
      <c r="D8007" t="s">
        <v>7976</v>
      </c>
      <c r="E8007" t="b">
        <f>IF(COUNTIF(D8007,"*"&amp;'Keyword Search'!$C$5&amp;"*"),TRUE,FALSE)</f>
        <v>1</v>
      </c>
      <c r="G8007" t="str">
        <f t="shared" si="512"/>
        <v>938-31: Engineering and Surveying Equipment, Drawing Instruments, etc., Including Photogrammetry Equipment Maintenance and Repair</v>
      </c>
    </row>
    <row r="8008" spans="1:7" x14ac:dyDescent="0.25">
      <c r="A8008" s="1" t="str">
        <f t="shared" si="510"/>
        <v>938</v>
      </c>
      <c r="B8008" s="1" t="str">
        <f>TEXT(38,"00")</f>
        <v>38</v>
      </c>
      <c r="C8008" s="1" t="str">
        <f t="shared" si="511"/>
        <v>938-38</v>
      </c>
      <c r="D8008" t="s">
        <v>7977</v>
      </c>
      <c r="E8008" t="b">
        <f>IF(COUNTIF(D8008,"*"&amp;'Keyword Search'!$C$5&amp;"*"),TRUE,FALSE)</f>
        <v>1</v>
      </c>
      <c r="G8008" t="str">
        <f t="shared" si="512"/>
        <v>938-38: First Aid and Safety Equipment, Except Nuclear and Welding, Maintenance and Repair</v>
      </c>
    </row>
    <row r="8009" spans="1:7" x14ac:dyDescent="0.25">
      <c r="A8009" s="1" t="str">
        <f t="shared" si="510"/>
        <v>938</v>
      </c>
      <c r="B8009" s="1" t="str">
        <f>TEXT(41,"00")</f>
        <v>41</v>
      </c>
      <c r="C8009" s="1" t="str">
        <f t="shared" si="511"/>
        <v>938-41</v>
      </c>
      <c r="D8009" t="s">
        <v>7978</v>
      </c>
      <c r="E8009" t="b">
        <f>IF(COUNTIF(D8009,"*"&amp;'Keyword Search'!$C$5&amp;"*"),TRUE,FALSE)</f>
        <v>1</v>
      </c>
      <c r="G8009" t="str">
        <f t="shared" si="512"/>
        <v>938-41: Forensic Equipment Maintenance and Repair</v>
      </c>
    </row>
    <row r="8010" spans="1:7" x14ac:dyDescent="0.25">
      <c r="A8010" s="1" t="str">
        <f t="shared" si="510"/>
        <v>938</v>
      </c>
      <c r="B8010" s="1" t="str">
        <f>TEXT(45,"00")</f>
        <v>45</v>
      </c>
      <c r="C8010" s="1" t="str">
        <f t="shared" si="511"/>
        <v>938-45</v>
      </c>
      <c r="D8010" t="s">
        <v>7979</v>
      </c>
      <c r="E8010" t="b">
        <f>IF(COUNTIF(D8010,"*"&amp;'Keyword Search'!$C$5&amp;"*"),TRUE,FALSE)</f>
        <v>1</v>
      </c>
      <c r="G8010" t="str">
        <f t="shared" si="512"/>
        <v>938-45: Furniture, Hospital, Specialized, Maintenance and Repair, Including Refinishing and Reupholstering</v>
      </c>
    </row>
    <row r="8011" spans="1:7" x14ac:dyDescent="0.25">
      <c r="A8011" s="1" t="str">
        <f t="shared" si="510"/>
        <v>938</v>
      </c>
      <c r="B8011" s="1" t="str">
        <f>TEXT(46,"00")</f>
        <v>46</v>
      </c>
      <c r="C8011" s="1" t="str">
        <f t="shared" si="511"/>
        <v>938-46</v>
      </c>
      <c r="D8011" t="s">
        <v>7980</v>
      </c>
      <c r="E8011" t="b">
        <f>IF(COUNTIF(D8011,"*"&amp;'Keyword Search'!$C$5&amp;"*"),TRUE,FALSE)</f>
        <v>1</v>
      </c>
      <c r="G8011" t="str">
        <f t="shared" si="512"/>
        <v>938-46: Furniture, Laboratory, Specialized, Maintenance and Repair, Including Refinishing and Reupholstering</v>
      </c>
    </row>
    <row r="8012" spans="1:7" x14ac:dyDescent="0.25">
      <c r="A8012" s="1" t="str">
        <f t="shared" si="510"/>
        <v>938</v>
      </c>
      <c r="B8012" s="1" t="str">
        <f>TEXT(50,"00")</f>
        <v>50</v>
      </c>
      <c r="C8012" s="1" t="str">
        <f t="shared" si="511"/>
        <v>938-50</v>
      </c>
      <c r="D8012" t="s">
        <v>7981</v>
      </c>
      <c r="E8012" t="b">
        <f>IF(COUNTIF(D8012,"*"&amp;'Keyword Search'!$C$5&amp;"*"),TRUE,FALSE)</f>
        <v>1</v>
      </c>
      <c r="G8012" t="str">
        <f t="shared" si="512"/>
        <v>938-50: Gas Equipment, Hospital, Laboratory, and Welding Maintenance and Repair</v>
      </c>
    </row>
    <row r="8013" spans="1:7" x14ac:dyDescent="0.25">
      <c r="A8013" s="1" t="str">
        <f t="shared" si="510"/>
        <v>938</v>
      </c>
      <c r="B8013" s="1" t="str">
        <f>TEXT(56,"00")</f>
        <v>56</v>
      </c>
      <c r="C8013" s="1" t="str">
        <f t="shared" si="511"/>
        <v>938-56</v>
      </c>
      <c r="D8013" t="s">
        <v>7982</v>
      </c>
      <c r="E8013" t="b">
        <f>IF(COUNTIF(D8013,"*"&amp;'Keyword Search'!$C$5&amp;"*"),TRUE,FALSE)</f>
        <v>1</v>
      </c>
      <c r="G8013" t="str">
        <f t="shared" si="512"/>
        <v>938-56: Hospital and Medical Equipment, General, Maintenance and Repair</v>
      </c>
    </row>
    <row r="8014" spans="1:7" x14ac:dyDescent="0.25">
      <c r="A8014" s="1" t="str">
        <f t="shared" si="510"/>
        <v>938</v>
      </c>
      <c r="B8014" s="1" t="str">
        <f>TEXT(57,"00")</f>
        <v>57</v>
      </c>
      <c r="C8014" s="1" t="str">
        <f t="shared" si="511"/>
        <v>938-57</v>
      </c>
      <c r="D8014" t="s">
        <v>7983</v>
      </c>
      <c r="E8014" t="b">
        <f>IF(COUNTIF(D8014,"*"&amp;'Keyword Search'!$C$5&amp;"*"),TRUE,FALSE)</f>
        <v>1</v>
      </c>
      <c r="G8014" t="str">
        <f t="shared" si="512"/>
        <v>938-57: Hospital and Medical Equipment, Invalid, Maintenance and Repair</v>
      </c>
    </row>
    <row r="8015" spans="1:7" x14ac:dyDescent="0.25">
      <c r="A8015" s="1" t="str">
        <f t="shared" si="510"/>
        <v>938</v>
      </c>
      <c r="B8015" s="1" t="str">
        <f>TEXT(59,"00")</f>
        <v>59</v>
      </c>
      <c r="C8015" s="1" t="str">
        <f t="shared" si="511"/>
        <v>938-59</v>
      </c>
      <c r="D8015" t="s">
        <v>7984</v>
      </c>
      <c r="E8015" t="b">
        <f>IF(COUNTIF(D8015,"*"&amp;'Keyword Search'!$C$5&amp;"*"),TRUE,FALSE)</f>
        <v>1</v>
      </c>
      <c r="G8015" t="str">
        <f t="shared" si="512"/>
        <v>938-59: Instrument, Measuring, Observing and Testing Maintenance and Repair</v>
      </c>
    </row>
    <row r="8016" spans="1:7" x14ac:dyDescent="0.25">
      <c r="A8016" s="1" t="str">
        <f t="shared" si="510"/>
        <v>938</v>
      </c>
      <c r="B8016" s="1" t="str">
        <f>TEXT(62,"00")</f>
        <v>62</v>
      </c>
      <c r="C8016" s="1" t="str">
        <f t="shared" si="511"/>
        <v>938-62</v>
      </c>
      <c r="D8016" t="s">
        <v>7985</v>
      </c>
      <c r="E8016" t="b">
        <f>IF(COUNTIF(D8016,"*"&amp;'Keyword Search'!$C$5&amp;"*"),TRUE,FALSE)</f>
        <v>1</v>
      </c>
      <c r="G8016" t="str">
        <f t="shared" si="512"/>
        <v>938-62: Laboratory Equipment and Accessories, General and Analytical Research Use, Nuclear, Optical, Physical Maintenance and Repair</v>
      </c>
    </row>
    <row r="8017" spans="1:7" x14ac:dyDescent="0.25">
      <c r="A8017" s="1" t="str">
        <f t="shared" si="510"/>
        <v>938</v>
      </c>
      <c r="B8017" s="1" t="str">
        <f>TEXT(63,"00")</f>
        <v>63</v>
      </c>
      <c r="C8017" s="1" t="str">
        <f t="shared" si="511"/>
        <v>938-63</v>
      </c>
      <c r="D8017" t="s">
        <v>7986</v>
      </c>
      <c r="E8017" t="b">
        <f>IF(COUNTIF(D8017,"*"&amp;'Keyword Search'!$C$5&amp;"*"),TRUE,FALSE)</f>
        <v>1</v>
      </c>
      <c r="G8017" t="str">
        <f t="shared" si="512"/>
        <v>938-63: Laboratory Equipment and Accessories: Specialized, Biochemistry, Biology, Chemistry, etc., Maintenance and Repair</v>
      </c>
    </row>
    <row r="8018" spans="1:7" x14ac:dyDescent="0.25">
      <c r="A8018" s="1" t="str">
        <f t="shared" si="510"/>
        <v>938</v>
      </c>
      <c r="B8018" s="1" t="str">
        <f>TEXT(74,"00")</f>
        <v>74</v>
      </c>
      <c r="C8018" s="1" t="str">
        <f t="shared" si="511"/>
        <v>938-74</v>
      </c>
      <c r="D8018" t="s">
        <v>7987</v>
      </c>
      <c r="E8018" t="b">
        <f>IF(COUNTIF(D8018,"*"&amp;'Keyword Search'!$C$5&amp;"*"),TRUE,FALSE)</f>
        <v>1</v>
      </c>
      <c r="G8018" t="str">
        <f t="shared" si="512"/>
        <v>938-74: Optical Equipment Maintenance and Repair</v>
      </c>
    </row>
    <row r="8019" spans="1:7" x14ac:dyDescent="0.25">
      <c r="A8019" s="1" t="str">
        <f t="shared" si="510"/>
        <v>938</v>
      </c>
      <c r="B8019" s="1" t="str">
        <f>TEXT(76,"00")</f>
        <v>76</v>
      </c>
      <c r="C8019" s="1" t="str">
        <f t="shared" si="511"/>
        <v>938-76</v>
      </c>
      <c r="D8019" t="s">
        <v>7988</v>
      </c>
      <c r="E8019" t="b">
        <f>IF(COUNTIF(D8019,"*"&amp;'Keyword Search'!$C$5&amp;"*"),TRUE,FALSE)</f>
        <v>1</v>
      </c>
      <c r="G8019" t="str">
        <f t="shared" si="512"/>
        <v>938-76: Pollution Control Equipment Maintenance and Repair</v>
      </c>
    </row>
    <row r="8020" spans="1:7" x14ac:dyDescent="0.25">
      <c r="A8020" s="1" t="str">
        <f t="shared" si="510"/>
        <v>938</v>
      </c>
      <c r="B8020" s="1" t="str">
        <f>TEXT(78,"00")</f>
        <v>78</v>
      </c>
      <c r="C8020" s="1" t="str">
        <f t="shared" si="511"/>
        <v>938-78</v>
      </c>
      <c r="D8020" t="s">
        <v>7989</v>
      </c>
      <c r="E8020" t="b">
        <f>IF(COUNTIF(D8020,"*"&amp;'Keyword Search'!$C$5&amp;"*"),TRUE,FALSE)</f>
        <v>1</v>
      </c>
      <c r="G8020" t="str">
        <f t="shared" si="512"/>
        <v>938-78: Respiratory Equipment, Including Air Tanks, Breathers, Masks, etc., Maintenance and Repair</v>
      </c>
    </row>
    <row r="8021" spans="1:7" x14ac:dyDescent="0.25">
      <c r="A8021" s="1" t="str">
        <f t="shared" si="510"/>
        <v>938</v>
      </c>
      <c r="B8021" s="1" t="str">
        <f>TEXT(79,"00")</f>
        <v>79</v>
      </c>
      <c r="C8021" s="1" t="str">
        <f t="shared" si="511"/>
        <v>938-79</v>
      </c>
      <c r="D8021" t="s">
        <v>7990</v>
      </c>
      <c r="E8021" t="b">
        <f>IF(COUNTIF(D8021,"*"&amp;'Keyword Search'!$C$5&amp;"*"),TRUE,FALSE)</f>
        <v>1</v>
      </c>
      <c r="G8021" t="str">
        <f t="shared" si="512"/>
        <v>938-79: Scales and Weighing Apparatus, Hospital, Laboratory and Testing Types Only, Maintenance and Repair</v>
      </c>
    </row>
    <row r="8022" spans="1:7" x14ac:dyDescent="0.25">
      <c r="A8022" s="1" t="str">
        <f t="shared" si="510"/>
        <v>938</v>
      </c>
      <c r="B8022" s="1" t="str">
        <f>TEXT(81,"00")</f>
        <v>81</v>
      </c>
      <c r="C8022" s="1" t="str">
        <f t="shared" si="511"/>
        <v>938-81</v>
      </c>
      <c r="D8022" t="s">
        <v>7991</v>
      </c>
      <c r="E8022" t="b">
        <f>IF(COUNTIF(D8022,"*"&amp;'Keyword Search'!$C$5&amp;"*"),TRUE,FALSE)</f>
        <v>1</v>
      </c>
      <c r="G8022" t="str">
        <f t="shared" si="512"/>
        <v>938-81: Scientific Equipment Maintenance and Repair</v>
      </c>
    </row>
    <row r="8023" spans="1:7" x14ac:dyDescent="0.25">
      <c r="A8023" s="1" t="str">
        <f t="shared" si="510"/>
        <v>938</v>
      </c>
      <c r="B8023" s="1" t="str">
        <f>TEXT(82,"00")</f>
        <v>82</v>
      </c>
      <c r="C8023" s="1" t="str">
        <f t="shared" si="511"/>
        <v>938-82</v>
      </c>
      <c r="D8023" t="s">
        <v>7992</v>
      </c>
      <c r="E8023" t="b">
        <f>IF(COUNTIF(D8023,"*"&amp;'Keyword Search'!$C$5&amp;"*"),TRUE,FALSE)</f>
        <v>1</v>
      </c>
      <c r="G8023" t="str">
        <f t="shared" si="512"/>
        <v>938-82: Semiconductor Devices and Components Maintenance and Repair</v>
      </c>
    </row>
    <row r="8024" spans="1:7" x14ac:dyDescent="0.25">
      <c r="A8024" s="1" t="str">
        <f t="shared" si="510"/>
        <v>938</v>
      </c>
      <c r="B8024" s="1" t="str">
        <f>TEXT(85,"00")</f>
        <v>85</v>
      </c>
      <c r="C8024" s="1" t="str">
        <f t="shared" si="511"/>
        <v>938-85</v>
      </c>
      <c r="D8024" t="s">
        <v>7993</v>
      </c>
      <c r="E8024" t="b">
        <f>IF(COUNTIF(D8024,"*"&amp;'Keyword Search'!$C$5&amp;"*"),TRUE,FALSE)</f>
        <v>1</v>
      </c>
      <c r="G8024" t="str">
        <f t="shared" si="512"/>
        <v>938-85: Testing and Training Apparatus, Instruments and Machines, Maintenance and Repair</v>
      </c>
    </row>
    <row r="8025" spans="1:7" x14ac:dyDescent="0.25">
      <c r="A8025" s="1" t="str">
        <f t="shared" si="510"/>
        <v>938</v>
      </c>
      <c r="B8025" s="1" t="str">
        <f>TEXT(90,"00")</f>
        <v>90</v>
      </c>
      <c r="C8025" s="1" t="str">
        <f t="shared" si="511"/>
        <v>938-90</v>
      </c>
      <c r="D8025" t="s">
        <v>7994</v>
      </c>
      <c r="E8025" t="b">
        <f>IF(COUNTIF(D8025,"*"&amp;'Keyword Search'!$C$5&amp;"*"),TRUE,FALSE)</f>
        <v>1</v>
      </c>
      <c r="G8025" t="str">
        <f t="shared" si="512"/>
        <v>938-90: Veterinary Equipment and Accessories, Including Cages and Kennels, Maintenance and Repair</v>
      </c>
    </row>
    <row r="8026" spans="1:7" x14ac:dyDescent="0.25">
      <c r="A8026" s="1" t="str">
        <f t="shared" si="510"/>
        <v>938</v>
      </c>
      <c r="B8026" s="1" t="str">
        <f>TEXT(95,"00")</f>
        <v>95</v>
      </c>
      <c r="C8026" s="1" t="str">
        <f t="shared" si="511"/>
        <v>938-95</v>
      </c>
      <c r="D8026" t="s">
        <v>7995</v>
      </c>
      <c r="E8026" t="b">
        <f>IF(COUNTIF(D8026,"*"&amp;'Keyword Search'!$C$5&amp;"*"),TRUE,FALSE)</f>
        <v>1</v>
      </c>
      <c r="G8026" t="str">
        <f t="shared" si="512"/>
        <v>938-95: X-Ray Equipment Maintenance and Repair</v>
      </c>
    </row>
    <row r="8027" spans="1:7" x14ac:dyDescent="0.25">
      <c r="A8027" s="5" t="str">
        <f t="shared" ref="A8027:A8052" si="513">TEXT(939,"000")</f>
        <v>939</v>
      </c>
      <c r="B8027" s="5" t="str">
        <f>TEXT(0,"00")</f>
        <v>00</v>
      </c>
      <c r="C8027" s="1"/>
      <c r="D8027" s="2" t="s">
        <v>7996</v>
      </c>
    </row>
    <row r="8028" spans="1:7" x14ac:dyDescent="0.25">
      <c r="A8028" s="1" t="str">
        <f t="shared" si="513"/>
        <v>939</v>
      </c>
      <c r="B8028" s="1" t="str">
        <f>TEXT(6,"00")</f>
        <v>06</v>
      </c>
      <c r="C8028" s="1" t="str">
        <f t="shared" si="511"/>
        <v>939-06</v>
      </c>
      <c r="D8028" t="s">
        <v>7997</v>
      </c>
      <c r="E8028" t="b">
        <f>IF(COUNTIF(D8028,"*"&amp;'Keyword Search'!$C$5&amp;"*"),TRUE,FALSE)</f>
        <v>1</v>
      </c>
      <c r="G8028" t="str">
        <f t="shared" si="512"/>
        <v>939-06: *Audio-Visual Equipment Maintenance and Repair</v>
      </c>
    </row>
    <row r="8029" spans="1:7" x14ac:dyDescent="0.25">
      <c r="A8029" s="1" t="str">
        <f t="shared" si="513"/>
        <v>939</v>
      </c>
      <c r="B8029" s="1" t="str">
        <f>TEXT(15,"00")</f>
        <v>15</v>
      </c>
      <c r="C8029" s="1" t="str">
        <f t="shared" si="511"/>
        <v>939-15</v>
      </c>
      <c r="D8029" t="s">
        <v>7998</v>
      </c>
      <c r="E8029" t="b">
        <f>IF(COUNTIF(D8029,"*"&amp;'Keyword Search'!$C$5&amp;"*"),TRUE,FALSE)</f>
        <v>1</v>
      </c>
      <c r="G8029" t="str">
        <f t="shared" si="512"/>
        <v>939-15: Calculating Machine, Not Computer, Maintenance and Repair</v>
      </c>
    </row>
    <row r="8030" spans="1:7" x14ac:dyDescent="0.25">
      <c r="A8030" s="1" t="str">
        <f t="shared" si="513"/>
        <v>939</v>
      </c>
      <c r="B8030" s="1" t="str">
        <f>TEXT(18,"00")</f>
        <v>18</v>
      </c>
      <c r="C8030" s="1" t="str">
        <f t="shared" si="511"/>
        <v>939-18</v>
      </c>
      <c r="D8030" t="s">
        <v>7999</v>
      </c>
      <c r="E8030" t="b">
        <f>IF(COUNTIF(D8030,"*"&amp;'Keyword Search'!$C$5&amp;"*"),TRUE,FALSE)</f>
        <v>1</v>
      </c>
      <c r="G8030" t="str">
        <f t="shared" si="512"/>
        <v>939-18: Clocks, Timers, Watches, and Jewelers' and Watchmakers' Tools and Equipment, Including Programming Timers, etc., Maintenance and Repair</v>
      </c>
    </row>
    <row r="8031" spans="1:7" x14ac:dyDescent="0.25">
      <c r="A8031" s="1" t="str">
        <f t="shared" si="513"/>
        <v>939</v>
      </c>
      <c r="B8031" s="1" t="str">
        <f>TEXT(21,"00")</f>
        <v>21</v>
      </c>
      <c r="C8031" s="1" t="str">
        <f t="shared" si="511"/>
        <v>939-21</v>
      </c>
      <c r="D8031" t="s">
        <v>8000</v>
      </c>
      <c r="E8031" t="b">
        <f>IF(COUNTIF(D8031,"*"&amp;'Keyword Search'!$C$5&amp;"*"),TRUE,FALSE)</f>
        <v>1</v>
      </c>
      <c r="G8031" t="str">
        <f t="shared" si="512"/>
        <v>939-21: *Computers, Data Processing Equipment and Accessories, Not Word Processing Equipment, Maintenance and Repair</v>
      </c>
    </row>
    <row r="8032" spans="1:7" x14ac:dyDescent="0.25">
      <c r="A8032" s="1" t="str">
        <f t="shared" si="513"/>
        <v>939</v>
      </c>
      <c r="B8032" s="1" t="str">
        <f>TEXT(24,"00")</f>
        <v>24</v>
      </c>
      <c r="C8032" s="1" t="str">
        <f t="shared" si="511"/>
        <v>939-24</v>
      </c>
      <c r="D8032" t="s">
        <v>8001</v>
      </c>
      <c r="E8032" t="b">
        <f>IF(COUNTIF(D8032,"*"&amp;'Keyword Search'!$C$5&amp;"*"),TRUE,FALSE)</f>
        <v>1</v>
      </c>
      <c r="G8032" t="str">
        <f t="shared" si="512"/>
        <v>939-24: Coolers, Drinking Water, Maintenance and Repair</v>
      </c>
    </row>
    <row r="8033" spans="1:7" x14ac:dyDescent="0.25">
      <c r="A8033" s="1" t="str">
        <f t="shared" si="513"/>
        <v>939</v>
      </c>
      <c r="B8033" s="1" t="str">
        <f>TEXT(27,"00")</f>
        <v>27</v>
      </c>
      <c r="C8033" s="1" t="str">
        <f t="shared" si="511"/>
        <v>939-27</v>
      </c>
      <c r="D8033" t="s">
        <v>8002</v>
      </c>
      <c r="E8033" t="b">
        <f>IF(COUNTIF(D8033,"*"&amp;'Keyword Search'!$C$5&amp;"*"),TRUE,FALSE)</f>
        <v>1</v>
      </c>
      <c r="G8033" t="str">
        <f t="shared" si="512"/>
        <v>939-27: *Copy Machine Maintenance and Repair</v>
      </c>
    </row>
    <row r="8034" spans="1:7" x14ac:dyDescent="0.25">
      <c r="A8034" s="1" t="str">
        <f t="shared" si="513"/>
        <v>939</v>
      </c>
      <c r="B8034" s="1" t="str">
        <f>TEXT(35,"00")</f>
        <v>35</v>
      </c>
      <c r="C8034" s="1" t="str">
        <f t="shared" si="511"/>
        <v>939-35</v>
      </c>
      <c r="D8034" t="s">
        <v>8003</v>
      </c>
      <c r="E8034" t="b">
        <f>IF(COUNTIF(D8034,"*"&amp;'Keyword Search'!$C$5&amp;"*"),TRUE,FALSE)</f>
        <v>1</v>
      </c>
      <c r="G8034" t="str">
        <f t="shared" si="512"/>
        <v>939-35: Dictating Machine Maintenance and Repair</v>
      </c>
    </row>
    <row r="8035" spans="1:7" x14ac:dyDescent="0.25">
      <c r="A8035" s="1" t="str">
        <f t="shared" si="513"/>
        <v>939</v>
      </c>
      <c r="B8035" s="1" t="str">
        <f>TEXT(37,"00")</f>
        <v>37</v>
      </c>
      <c r="C8035" s="1" t="str">
        <f t="shared" si="511"/>
        <v>939-37</v>
      </c>
      <c r="D8035" t="s">
        <v>8004</v>
      </c>
      <c r="E8035" t="b">
        <f>IF(COUNTIF(D8035,"*"&amp;'Keyword Search'!$C$5&amp;"*"),TRUE,FALSE)</f>
        <v>1</v>
      </c>
      <c r="G8035" t="str">
        <f t="shared" si="512"/>
        <v>939-37: Electronic Equipment Maintenance and Repair</v>
      </c>
    </row>
    <row r="8036" spans="1:7" x14ac:dyDescent="0.25">
      <c r="A8036" s="1" t="str">
        <f t="shared" si="513"/>
        <v>939</v>
      </c>
      <c r="B8036" s="1" t="str">
        <f>TEXT(38,"00")</f>
        <v>38</v>
      </c>
      <c r="C8036" s="1" t="str">
        <f t="shared" si="511"/>
        <v>939-38</v>
      </c>
      <c r="D8036" t="s">
        <v>8005</v>
      </c>
      <c r="E8036" t="b">
        <f>IF(COUNTIF(D8036,"*"&amp;'Keyword Search'!$C$5&amp;"*"),TRUE,FALSE)</f>
        <v>1</v>
      </c>
      <c r="G8036" t="str">
        <f t="shared" si="512"/>
        <v>939-38: Energy Systems, Solar, Installation Services</v>
      </c>
    </row>
    <row r="8037" spans="1:7" x14ac:dyDescent="0.25">
      <c r="A8037" s="1" t="str">
        <f t="shared" si="513"/>
        <v>939</v>
      </c>
      <c r="B8037" s="1" t="str">
        <f>TEXT(42,"00")</f>
        <v>42</v>
      </c>
      <c r="C8037" s="1" t="str">
        <f t="shared" si="511"/>
        <v>939-42</v>
      </c>
      <c r="D8037" t="s">
        <v>8006</v>
      </c>
      <c r="E8037" t="b">
        <f>IF(COUNTIF(D8037,"*"&amp;'Keyword Search'!$C$5&amp;"*"),TRUE,FALSE)</f>
        <v>1</v>
      </c>
      <c r="G8037" t="str">
        <f t="shared" si="512"/>
        <v>939-42: *Intercom Equipment Maintenance and Repair</v>
      </c>
    </row>
    <row r="8038" spans="1:7" x14ac:dyDescent="0.25">
      <c r="A8038" s="1" t="str">
        <f t="shared" si="513"/>
        <v>939</v>
      </c>
      <c r="B8038" s="1" t="str">
        <f>TEXT(48,"00")</f>
        <v>48</v>
      </c>
      <c r="C8038" s="1" t="str">
        <f t="shared" si="511"/>
        <v>939-48</v>
      </c>
      <c r="D8038" t="s">
        <v>8007</v>
      </c>
      <c r="E8038" t="b">
        <f>IF(COUNTIF(D8038,"*"&amp;'Keyword Search'!$C$5&amp;"*"),TRUE,FALSE)</f>
        <v>1</v>
      </c>
      <c r="G8038" t="str">
        <f t="shared" si="512"/>
        <v>939-48: Library Machines and Supplies, Maintenance and Repair</v>
      </c>
    </row>
    <row r="8039" spans="1:7" x14ac:dyDescent="0.25">
      <c r="A8039" s="1" t="str">
        <f t="shared" si="513"/>
        <v>939</v>
      </c>
      <c r="B8039" s="1" t="str">
        <f>TEXT(52,"00")</f>
        <v>52</v>
      </c>
      <c r="C8039" s="1" t="str">
        <f t="shared" si="511"/>
        <v>939-52</v>
      </c>
      <c r="D8039" t="s">
        <v>8008</v>
      </c>
      <c r="E8039" t="b">
        <f>IF(COUNTIF(D8039,"*"&amp;'Keyword Search'!$C$5&amp;"*"),TRUE,FALSE)</f>
        <v>1</v>
      </c>
      <c r="G8039" t="str">
        <f t="shared" si="512"/>
        <v>939-52: Mailing Machines and Equipment Maintenance and Repair</v>
      </c>
    </row>
    <row r="8040" spans="1:7" x14ac:dyDescent="0.25">
      <c r="A8040" s="1" t="str">
        <f t="shared" si="513"/>
        <v>939</v>
      </c>
      <c r="B8040" s="1" t="str">
        <f>TEXT(54,"00")</f>
        <v>54</v>
      </c>
      <c r="C8040" s="1" t="str">
        <f t="shared" si="511"/>
        <v>939-54</v>
      </c>
      <c r="D8040" t="s">
        <v>8009</v>
      </c>
      <c r="E8040" t="b">
        <f>IF(COUNTIF(D8040,"*"&amp;'Keyword Search'!$C$5&amp;"*"),TRUE,FALSE)</f>
        <v>1</v>
      </c>
      <c r="G8040" t="str">
        <f t="shared" si="512"/>
        <v>939-54: Microfilm and Microfiche Equipment Maintenance and Repair</v>
      </c>
    </row>
    <row r="8041" spans="1:7" x14ac:dyDescent="0.25">
      <c r="A8041" s="1" t="str">
        <f t="shared" si="513"/>
        <v>939</v>
      </c>
      <c r="B8041" s="1" t="str">
        <f>TEXT(55,"00")</f>
        <v>55</v>
      </c>
      <c r="C8041" s="1" t="str">
        <f t="shared" si="511"/>
        <v>939-55</v>
      </c>
      <c r="D8041" t="s">
        <v>8010</v>
      </c>
      <c r="E8041" t="b">
        <f>IF(COUNTIF(D8041,"*"&amp;'Keyword Search'!$C$5&amp;"*"),TRUE,FALSE)</f>
        <v>1</v>
      </c>
      <c r="G8041" t="str">
        <f t="shared" si="512"/>
        <v>939-55: *Multi-Function Office Machine Maintenance and Repair</v>
      </c>
    </row>
    <row r="8042" spans="1:7" x14ac:dyDescent="0.25">
      <c r="A8042" s="1" t="str">
        <f t="shared" si="513"/>
        <v>939</v>
      </c>
      <c r="B8042" s="1" t="str">
        <f>TEXT(59,"00")</f>
        <v>59</v>
      </c>
      <c r="C8042" s="1" t="str">
        <f t="shared" si="511"/>
        <v>939-59</v>
      </c>
      <c r="D8042" t="s">
        <v>8011</v>
      </c>
      <c r="E8042" t="b">
        <f>IF(COUNTIF(D8042,"*"&amp;'Keyword Search'!$C$5&amp;"*"),TRUE,FALSE)</f>
        <v>1</v>
      </c>
      <c r="G8042" t="str">
        <f t="shared" si="512"/>
        <v>939-59: Office Equipment, Filing Systems, etc., Maintenance and Repair</v>
      </c>
    </row>
    <row r="8043" spans="1:7" x14ac:dyDescent="0.25">
      <c r="A8043" s="1" t="str">
        <f t="shared" si="513"/>
        <v>939</v>
      </c>
      <c r="B8043" s="1" t="str">
        <f>TEXT(60,"00")</f>
        <v>60</v>
      </c>
      <c r="C8043" s="1" t="str">
        <f t="shared" si="511"/>
        <v>939-60</v>
      </c>
      <c r="D8043" t="s">
        <v>8012</v>
      </c>
      <c r="E8043" t="b">
        <f>IF(COUNTIF(D8043,"*"&amp;'Keyword Search'!$C$5&amp;"*"),TRUE,FALSE)</f>
        <v>1</v>
      </c>
      <c r="G8043" t="str">
        <f t="shared" si="512"/>
        <v>939-60: Office Machines and Mechanical Aids, Small, Maintenance and Repair</v>
      </c>
    </row>
    <row r="8044" spans="1:7" x14ac:dyDescent="0.25">
      <c r="A8044" s="1" t="str">
        <f t="shared" si="513"/>
        <v>939</v>
      </c>
      <c r="B8044" s="1" t="str">
        <f>TEXT(66,"00")</f>
        <v>66</v>
      </c>
      <c r="C8044" s="1" t="str">
        <f t="shared" si="511"/>
        <v>939-66</v>
      </c>
      <c r="D8044" t="s">
        <v>8013</v>
      </c>
      <c r="E8044" t="b">
        <f>IF(COUNTIF(D8044,"*"&amp;'Keyword Search'!$C$5&amp;"*"),TRUE,FALSE)</f>
        <v>1</v>
      </c>
      <c r="G8044" t="str">
        <f t="shared" si="512"/>
        <v>939-66: Photographic Equipment, Not Including Graphic Arts, Microfilm, and X-Ray, Maintenance and Repair</v>
      </c>
    </row>
    <row r="8045" spans="1:7" x14ac:dyDescent="0.25">
      <c r="A8045" s="1" t="str">
        <f t="shared" si="513"/>
        <v>939</v>
      </c>
      <c r="B8045" s="1" t="str">
        <f>TEXT(72,"00")</f>
        <v>72</v>
      </c>
      <c r="C8045" s="1" t="str">
        <f t="shared" si="511"/>
        <v>939-72</v>
      </c>
      <c r="D8045" t="s">
        <v>8014</v>
      </c>
      <c r="E8045" t="b">
        <f>IF(COUNTIF(D8045,"*"&amp;'Keyword Search'!$C$5&amp;"*"),TRUE,FALSE)</f>
        <v>1</v>
      </c>
      <c r="G8045" t="str">
        <f t="shared" si="512"/>
        <v>939-72: *Radio, Telecommunications, Telephone Equipment, Including 911 Systems and Facsimile Transceivers, Maintenance and Repair</v>
      </c>
    </row>
    <row r="8046" spans="1:7" x14ac:dyDescent="0.25">
      <c r="A8046" s="1" t="str">
        <f t="shared" si="513"/>
        <v>939</v>
      </c>
      <c r="B8046" s="1" t="str">
        <f>TEXT(73,"00")</f>
        <v>73</v>
      </c>
      <c r="C8046" s="1" t="str">
        <f t="shared" si="511"/>
        <v>939-73</v>
      </c>
      <c r="D8046" t="s">
        <v>8015</v>
      </c>
      <c r="E8046" t="b">
        <f>IF(COUNTIF(D8046,"*"&amp;'Keyword Search'!$C$5&amp;"*"),TRUE,FALSE)</f>
        <v>1</v>
      </c>
      <c r="G8046" t="str">
        <f t="shared" si="512"/>
        <v>939-73: Radio, Television, and Electronic Testing, Measuring, and Analyzing Equipment Maintenance and Repair</v>
      </c>
    </row>
    <row r="8047" spans="1:7" x14ac:dyDescent="0.25">
      <c r="A8047" s="1" t="str">
        <f t="shared" si="513"/>
        <v>939</v>
      </c>
      <c r="B8047" s="1" t="str">
        <f>TEXT(76,"00")</f>
        <v>76</v>
      </c>
      <c r="C8047" s="1" t="str">
        <f t="shared" si="511"/>
        <v>939-76</v>
      </c>
      <c r="D8047" t="s">
        <v>8016</v>
      </c>
      <c r="E8047" t="b">
        <f>IF(COUNTIF(D8047,"*"&amp;'Keyword Search'!$C$5&amp;"*"),TRUE,FALSE)</f>
        <v>1</v>
      </c>
      <c r="G8047" t="str">
        <f t="shared" si="512"/>
        <v>939-76: *Satellite Systems Maintenance and Repair</v>
      </c>
    </row>
    <row r="8048" spans="1:7" x14ac:dyDescent="0.25">
      <c r="A8048" s="1" t="str">
        <f t="shared" si="513"/>
        <v>939</v>
      </c>
      <c r="B8048" s="1" t="str">
        <f>TEXT(77,"00")</f>
        <v>77</v>
      </c>
      <c r="C8048" s="1" t="str">
        <f t="shared" si="511"/>
        <v>939-77</v>
      </c>
      <c r="D8048" t="s">
        <v>8017</v>
      </c>
      <c r="E8048" t="b">
        <f>IF(COUNTIF(D8048,"*"&amp;'Keyword Search'!$C$5&amp;"*"),TRUE,FALSE)</f>
        <v>1</v>
      </c>
      <c r="G8048" t="str">
        <f t="shared" si="512"/>
        <v>939-77: Sound Equipment, Including Microphones, Speakers, Recording Equipment, etc., Installation, Maintenance and Repair</v>
      </c>
    </row>
    <row r="8049" spans="1:7" x14ac:dyDescent="0.25">
      <c r="A8049" s="1" t="str">
        <f t="shared" si="513"/>
        <v>939</v>
      </c>
      <c r="B8049" s="1" t="str">
        <f>TEXT(84,"00")</f>
        <v>84</v>
      </c>
      <c r="C8049" s="1" t="str">
        <f t="shared" si="511"/>
        <v>939-84</v>
      </c>
      <c r="D8049" t="s">
        <v>8018</v>
      </c>
      <c r="E8049" t="b">
        <f>IF(COUNTIF(D8049,"*"&amp;'Keyword Search'!$C$5&amp;"*"),TRUE,FALSE)</f>
        <v>1</v>
      </c>
      <c r="G8049" t="str">
        <f t="shared" si="512"/>
        <v>939-84: *Television Equipment and Accessories, Including Video and Closed Circuit Equipment, Maintenance and Repair</v>
      </c>
    </row>
    <row r="8050" spans="1:7" x14ac:dyDescent="0.25">
      <c r="A8050" s="1" t="str">
        <f t="shared" si="513"/>
        <v>939</v>
      </c>
      <c r="B8050" s="1" t="str">
        <f>TEXT(87,"00")</f>
        <v>87</v>
      </c>
      <c r="C8050" s="1" t="str">
        <f t="shared" si="511"/>
        <v>939-87</v>
      </c>
      <c r="D8050" t="s">
        <v>8019</v>
      </c>
      <c r="E8050" t="b">
        <f>IF(COUNTIF(D8050,"*"&amp;'Keyword Search'!$C$5&amp;"*"),TRUE,FALSE)</f>
        <v>1</v>
      </c>
      <c r="G8050" t="str">
        <f t="shared" si="512"/>
        <v>939-87: Typewriters, Including Braille Writers, Maintenance and Repair</v>
      </c>
    </row>
    <row r="8051" spans="1:7" x14ac:dyDescent="0.25">
      <c r="A8051" s="1" t="str">
        <f t="shared" si="513"/>
        <v>939</v>
      </c>
      <c r="B8051" s="1" t="str">
        <f>TEXT(91,"00")</f>
        <v>91</v>
      </c>
      <c r="C8051" s="1" t="str">
        <f t="shared" si="511"/>
        <v>939-91</v>
      </c>
      <c r="D8051" t="s">
        <v>8020</v>
      </c>
      <c r="E8051" t="b">
        <f>IF(COUNTIF(D8051,"*"&amp;'Keyword Search'!$C$5&amp;"*"),TRUE,FALSE)</f>
        <v>1</v>
      </c>
      <c r="G8051" t="str">
        <f t="shared" si="512"/>
        <v>939-91: Visual Education Equipment Maintenance and Repair</v>
      </c>
    </row>
    <row r="8052" spans="1:7" x14ac:dyDescent="0.25">
      <c r="A8052" s="1" t="str">
        <f t="shared" si="513"/>
        <v>939</v>
      </c>
      <c r="B8052" s="1" t="str">
        <f>TEXT(94,"00")</f>
        <v>94</v>
      </c>
      <c r="C8052" s="1" t="str">
        <f t="shared" si="511"/>
        <v>939-94</v>
      </c>
      <c r="D8052" t="s">
        <v>8021</v>
      </c>
      <c r="E8052" t="b">
        <f>IF(COUNTIF(D8052,"*"&amp;'Keyword Search'!$C$5&amp;"*"),TRUE,FALSE)</f>
        <v>1</v>
      </c>
      <c r="G8052" t="str">
        <f t="shared" si="512"/>
        <v>939-94: Word Processing Equipment Maintenance and Repair</v>
      </c>
    </row>
    <row r="8053" spans="1:7" x14ac:dyDescent="0.25">
      <c r="A8053" s="5" t="str">
        <f t="shared" ref="A8053:A8073" si="514">TEXT(940,"000")</f>
        <v>940</v>
      </c>
      <c r="B8053" s="5" t="str">
        <f>TEXT(0,"00")</f>
        <v>00</v>
      </c>
      <c r="C8053" s="1"/>
      <c r="D8053" s="2" t="s">
        <v>8022</v>
      </c>
    </row>
    <row r="8054" spans="1:7" x14ac:dyDescent="0.25">
      <c r="A8054" s="1" t="str">
        <f t="shared" si="514"/>
        <v>940</v>
      </c>
      <c r="B8054" s="1" t="str">
        <f>TEXT(25,"00")</f>
        <v>25</v>
      </c>
      <c r="C8054" s="1" t="str">
        <f t="shared" si="511"/>
        <v>940-25</v>
      </c>
      <c r="D8054" t="s">
        <v>8023</v>
      </c>
      <c r="E8054" t="b">
        <f>IF(COUNTIF(D8054,"*"&amp;'Keyword Search'!$C$5&amp;"*"),TRUE,FALSE)</f>
        <v>1</v>
      </c>
      <c r="G8054" t="str">
        <f t="shared" si="512"/>
        <v>940-25: Cargo Transport Services, Rail</v>
      </c>
    </row>
    <row r="8055" spans="1:7" x14ac:dyDescent="0.25">
      <c r="A8055" s="1" t="str">
        <f t="shared" si="514"/>
        <v>940</v>
      </c>
      <c r="B8055" s="1" t="str">
        <f>TEXT(29,"00")</f>
        <v>29</v>
      </c>
      <c r="C8055" s="1" t="str">
        <f t="shared" si="511"/>
        <v>940-29</v>
      </c>
      <c r="D8055" t="s">
        <v>8024</v>
      </c>
      <c r="E8055" t="b">
        <f>IF(COUNTIF(D8055,"*"&amp;'Keyword Search'!$C$5&amp;"*"),TRUE,FALSE)</f>
        <v>1</v>
      </c>
      <c r="G8055" t="str">
        <f t="shared" si="512"/>
        <v>940-29: Construction, Elevated Transit Station, Including Rehabilitation, Maintenance and Repair</v>
      </c>
    </row>
    <row r="8056" spans="1:7" x14ac:dyDescent="0.25">
      <c r="A8056" s="1" t="str">
        <f t="shared" si="514"/>
        <v>940</v>
      </c>
      <c r="B8056" s="1" t="str">
        <f>TEXT(31,"00")</f>
        <v>31</v>
      </c>
      <c r="C8056" s="1" t="str">
        <f t="shared" si="511"/>
        <v>940-31</v>
      </c>
      <c r="D8056" t="s">
        <v>8025</v>
      </c>
      <c r="E8056" t="b">
        <f>IF(COUNTIF(D8056,"*"&amp;'Keyword Search'!$C$5&amp;"*"),TRUE,FALSE)</f>
        <v>1</v>
      </c>
      <c r="G8056" t="str">
        <f t="shared" si="512"/>
        <v>940-31: Construction, Rail Station and Shop, Including Rehabilitation, Maintenance and Repair</v>
      </c>
    </row>
    <row r="8057" spans="1:7" x14ac:dyDescent="0.25">
      <c r="A8057" s="1" t="str">
        <f t="shared" si="514"/>
        <v>940</v>
      </c>
      <c r="B8057" s="1" t="str">
        <f>TEXT(33,"00")</f>
        <v>33</v>
      </c>
      <c r="C8057" s="1" t="str">
        <f t="shared" si="511"/>
        <v>940-33</v>
      </c>
      <c r="D8057" t="s">
        <v>8026</v>
      </c>
      <c r="E8057" t="b">
        <f>IF(COUNTIF(D8057,"*"&amp;'Keyword Search'!$C$5&amp;"*"),TRUE,FALSE)</f>
        <v>1</v>
      </c>
      <c r="G8057" t="str">
        <f t="shared" si="512"/>
        <v>940-33: Construction, Subway and Subway Station, Including Rehabilitation, Maintenance and Repair</v>
      </c>
    </row>
    <row r="8058" spans="1:7" x14ac:dyDescent="0.25">
      <c r="A8058" s="1" t="str">
        <f t="shared" si="514"/>
        <v>940</v>
      </c>
      <c r="B8058" s="1" t="str">
        <f>TEXT(34,"00")</f>
        <v>34</v>
      </c>
      <c r="C8058" s="1" t="str">
        <f t="shared" si="511"/>
        <v>940-34</v>
      </c>
      <c r="D8058" t="s">
        <v>8027</v>
      </c>
      <c r="E8058" t="b">
        <f>IF(COUNTIF(D8058,"*"&amp;'Keyword Search'!$C$5&amp;"*"),TRUE,FALSE)</f>
        <v>1</v>
      </c>
      <c r="G8058" t="str">
        <f t="shared" si="512"/>
        <v>940-34: Construction, Transit Facility, Other, Including Rehabilitation, Maintenance and Repair)</v>
      </c>
    </row>
    <row r="8059" spans="1:7" x14ac:dyDescent="0.25">
      <c r="A8059" s="1" t="str">
        <f t="shared" si="514"/>
        <v>940</v>
      </c>
      <c r="B8059" s="1" t="str">
        <f>TEXT(50,"00")</f>
        <v>50</v>
      </c>
      <c r="C8059" s="1" t="str">
        <f t="shared" si="511"/>
        <v>940-50</v>
      </c>
      <c r="D8059" t="s">
        <v>8028</v>
      </c>
      <c r="E8059" t="b">
        <f>IF(COUNTIF(D8059,"*"&amp;'Keyword Search'!$C$5&amp;"*"),TRUE,FALSE)</f>
        <v>1</v>
      </c>
      <c r="G8059" t="str">
        <f t="shared" si="512"/>
        <v>940-50: Passenger Transportation Services, Railroad</v>
      </c>
    </row>
    <row r="8060" spans="1:7" x14ac:dyDescent="0.25">
      <c r="A8060" s="1" t="str">
        <f t="shared" si="514"/>
        <v>940</v>
      </c>
      <c r="B8060" s="1" t="str">
        <f>TEXT(54,"00")</f>
        <v>54</v>
      </c>
      <c r="C8060" s="1" t="str">
        <f t="shared" si="511"/>
        <v>940-54</v>
      </c>
      <c r="D8060" t="s">
        <v>8029</v>
      </c>
      <c r="E8060" t="b">
        <f>IF(COUNTIF(D8060,"*"&amp;'Keyword Search'!$C$5&amp;"*"),TRUE,FALSE)</f>
        <v>1</v>
      </c>
      <c r="G8060" t="str">
        <f t="shared" si="512"/>
        <v>940-54: Power Supply Installation, Electric</v>
      </c>
    </row>
    <row r="8061" spans="1:7" x14ac:dyDescent="0.25">
      <c r="A8061" s="1" t="str">
        <f t="shared" si="514"/>
        <v>940</v>
      </c>
      <c r="B8061" s="1" t="str">
        <f>TEXT(55,"00")</f>
        <v>55</v>
      </c>
      <c r="C8061" s="1" t="str">
        <f t="shared" si="511"/>
        <v>940-55</v>
      </c>
      <c r="D8061" t="s">
        <v>8030</v>
      </c>
      <c r="E8061" t="b">
        <f>IF(COUNTIF(D8061,"*"&amp;'Keyword Search'!$C$5&amp;"*"),TRUE,FALSE)</f>
        <v>1</v>
      </c>
      <c r="G8061" t="str">
        <f t="shared" si="512"/>
        <v>940-55: Power Supply, Electric, Maintenance and Repair</v>
      </c>
    </row>
    <row r="8062" spans="1:7" x14ac:dyDescent="0.25">
      <c r="A8062" s="1" t="str">
        <f t="shared" si="514"/>
        <v>940</v>
      </c>
      <c r="B8062" s="1" t="str">
        <f>TEXT(61,"00")</f>
        <v>61</v>
      </c>
      <c r="C8062" s="1" t="str">
        <f t="shared" si="511"/>
        <v>940-61</v>
      </c>
      <c r="D8062" t="s">
        <v>8031</v>
      </c>
      <c r="E8062" t="b">
        <f>IF(COUNTIF(D8062,"*"&amp;'Keyword Search'!$C$5&amp;"*"),TRUE,FALSE)</f>
        <v>1</v>
      </c>
      <c r="G8062" t="str">
        <f t="shared" si="512"/>
        <v>940-61: Rail Car Maintenance and Repair</v>
      </c>
    </row>
    <row r="8063" spans="1:7" x14ac:dyDescent="0.25">
      <c r="A8063" s="1" t="str">
        <f t="shared" si="514"/>
        <v>940</v>
      </c>
      <c r="B8063" s="1" t="str">
        <f>TEXT(63,"00")</f>
        <v>63</v>
      </c>
      <c r="C8063" s="1" t="str">
        <f t="shared" si="511"/>
        <v>940-63</v>
      </c>
      <c r="D8063" t="s">
        <v>8032</v>
      </c>
      <c r="E8063" t="b">
        <f>IF(COUNTIF(D8063,"*"&amp;'Keyword Search'!$C$5&amp;"*"),TRUE,FALSE)</f>
        <v>1</v>
      </c>
      <c r="G8063" t="str">
        <f t="shared" si="512"/>
        <v>940-63: Rail Grinding</v>
      </c>
    </row>
    <row r="8064" spans="1:7" x14ac:dyDescent="0.25">
      <c r="A8064" s="1" t="str">
        <f t="shared" si="514"/>
        <v>940</v>
      </c>
      <c r="B8064" s="1" t="str">
        <f>TEXT(65,"00")</f>
        <v>65</v>
      </c>
      <c r="C8064" s="1" t="str">
        <f t="shared" si="511"/>
        <v>940-65</v>
      </c>
      <c r="D8064" t="s">
        <v>8033</v>
      </c>
      <c r="E8064" t="b">
        <f>IF(COUNTIF(D8064,"*"&amp;'Keyword Search'!$C$5&amp;"*"),TRUE,FALSE)</f>
        <v>1</v>
      </c>
      <c r="G8064" t="str">
        <f t="shared" si="512"/>
        <v>940-65: Railroad Construction at Street Intersection, Including Maintenance and Repair</v>
      </c>
    </row>
    <row r="8065" spans="1:7" x14ac:dyDescent="0.25">
      <c r="A8065" s="1" t="str">
        <f t="shared" si="514"/>
        <v>940</v>
      </c>
      <c r="B8065" s="1" t="str">
        <f>TEXT(67,"00")</f>
        <v>67</v>
      </c>
      <c r="C8065" s="1" t="str">
        <f t="shared" si="511"/>
        <v>940-67</v>
      </c>
      <c r="D8065" t="s">
        <v>8034</v>
      </c>
      <c r="E8065" t="b">
        <f>IF(COUNTIF(D8065,"*"&amp;'Keyword Search'!$C$5&amp;"*"),TRUE,FALSE)</f>
        <v>1</v>
      </c>
      <c r="G8065" t="str">
        <f t="shared" si="512"/>
        <v>940-67: Railroad Switching and Terminal Services</v>
      </c>
    </row>
    <row r="8066" spans="1:7" x14ac:dyDescent="0.25">
      <c r="A8066" s="1" t="str">
        <f t="shared" si="514"/>
        <v>940</v>
      </c>
      <c r="B8066" s="1" t="str">
        <f>TEXT(75,"00")</f>
        <v>75</v>
      </c>
      <c r="C8066" s="1" t="str">
        <f t="shared" si="511"/>
        <v>940-75</v>
      </c>
      <c r="D8066" t="s">
        <v>8035</v>
      </c>
      <c r="E8066" t="b">
        <f>IF(COUNTIF(D8066,"*"&amp;'Keyword Search'!$C$5&amp;"*"),TRUE,FALSE)</f>
        <v>1</v>
      </c>
      <c r="G8066" t="str">
        <f t="shared" si="512"/>
        <v>940-75: Signal System Installation</v>
      </c>
    </row>
    <row r="8067" spans="1:7" x14ac:dyDescent="0.25">
      <c r="A8067" s="1" t="str">
        <f t="shared" si="514"/>
        <v>940</v>
      </c>
      <c r="B8067" s="1" t="str">
        <f>TEXT(76,"00")</f>
        <v>76</v>
      </c>
      <c r="C8067" s="1" t="str">
        <f t="shared" ref="C8067:C8130" si="515">CONCATENATE(A8067,"-",B8067)</f>
        <v>940-76</v>
      </c>
      <c r="D8067" t="s">
        <v>8036</v>
      </c>
      <c r="E8067" t="b">
        <f>IF(COUNTIF(D8067,"*"&amp;'Keyword Search'!$C$5&amp;"*"),TRUE,FALSE)</f>
        <v>1</v>
      </c>
      <c r="G8067" t="str">
        <f t="shared" si="512"/>
        <v>940-76: Signal System Maintenance and Repair</v>
      </c>
    </row>
    <row r="8068" spans="1:7" x14ac:dyDescent="0.25">
      <c r="A8068" s="1" t="str">
        <f t="shared" si="514"/>
        <v>940</v>
      </c>
      <c r="B8068" s="1" t="str">
        <f>TEXT(85,"00")</f>
        <v>85</v>
      </c>
      <c r="C8068" s="1" t="str">
        <f t="shared" si="515"/>
        <v>940-85</v>
      </c>
      <c r="D8068" t="s">
        <v>8037</v>
      </c>
      <c r="E8068" t="b">
        <f>IF(COUNTIF(D8068,"*"&amp;'Keyword Search'!$C$5&amp;"*"),TRUE,FALSE)</f>
        <v>1</v>
      </c>
      <c r="G8068" t="str">
        <f t="shared" ref="G8068:G8131" si="516">CONCATENATE(C8068,": ",D8068)</f>
        <v>940-85: Tower Construction</v>
      </c>
    </row>
    <row r="8069" spans="1:7" x14ac:dyDescent="0.25">
      <c r="A8069" s="1" t="str">
        <f t="shared" si="514"/>
        <v>940</v>
      </c>
      <c r="B8069" s="1" t="str">
        <f>TEXT(86,"00")</f>
        <v>86</v>
      </c>
      <c r="C8069" s="1" t="str">
        <f t="shared" si="515"/>
        <v>940-86</v>
      </c>
      <c r="D8069" t="s">
        <v>8038</v>
      </c>
      <c r="E8069" t="b">
        <f>IF(COUNTIF(D8069,"*"&amp;'Keyword Search'!$C$5&amp;"*"),TRUE,FALSE)</f>
        <v>1</v>
      </c>
      <c r="G8069" t="str">
        <f t="shared" si="516"/>
        <v>940-86: Tower Maintenance and Repair</v>
      </c>
    </row>
    <row r="8070" spans="1:7" x14ac:dyDescent="0.25">
      <c r="A8070" s="1" t="str">
        <f t="shared" si="514"/>
        <v>940</v>
      </c>
      <c r="B8070" s="1" t="str">
        <f>TEXT(88,"00")</f>
        <v>88</v>
      </c>
      <c r="C8070" s="1" t="str">
        <f t="shared" si="515"/>
        <v>940-88</v>
      </c>
      <c r="D8070" t="s">
        <v>8039</v>
      </c>
      <c r="E8070" t="b">
        <f>IF(COUNTIF(D8070,"*"&amp;'Keyword Search'!$C$5&amp;"*"),TRUE,FALSE)</f>
        <v>1</v>
      </c>
      <c r="G8070" t="str">
        <f t="shared" si="516"/>
        <v>940-88: Track Construction and Inspection</v>
      </c>
    </row>
    <row r="8071" spans="1:7" x14ac:dyDescent="0.25">
      <c r="A8071" s="1" t="str">
        <f t="shared" si="514"/>
        <v>940</v>
      </c>
      <c r="B8071" s="1" t="str">
        <f>TEXT(89,"00")</f>
        <v>89</v>
      </c>
      <c r="C8071" s="1" t="str">
        <f t="shared" si="515"/>
        <v>940-89</v>
      </c>
      <c r="D8071" t="s">
        <v>8040</v>
      </c>
      <c r="E8071" t="b">
        <f>IF(COUNTIF(D8071,"*"&amp;'Keyword Search'!$C$5&amp;"*"),TRUE,FALSE)</f>
        <v>1</v>
      </c>
      <c r="G8071" t="str">
        <f t="shared" si="516"/>
        <v>940-89: Track Maintenance and Repair</v>
      </c>
    </row>
    <row r="8072" spans="1:7" x14ac:dyDescent="0.25">
      <c r="A8072" s="1" t="str">
        <f t="shared" si="514"/>
        <v>940</v>
      </c>
      <c r="B8072" s="1" t="str">
        <f>TEXT(90,"00")</f>
        <v>90</v>
      </c>
      <c r="C8072" s="1" t="str">
        <f t="shared" si="515"/>
        <v>940-90</v>
      </c>
      <c r="D8072" t="s">
        <v>8041</v>
      </c>
      <c r="E8072" t="b">
        <f>IF(COUNTIF(D8072,"*"&amp;'Keyword Search'!$C$5&amp;"*"),TRUE,FALSE)</f>
        <v>1</v>
      </c>
      <c r="G8072" t="str">
        <f t="shared" si="516"/>
        <v>940-90: Tram Construction and Maintenance Services</v>
      </c>
    </row>
    <row r="8073" spans="1:7" x14ac:dyDescent="0.25">
      <c r="A8073" s="1" t="str">
        <f t="shared" si="514"/>
        <v>940</v>
      </c>
      <c r="B8073" s="1" t="str">
        <f>TEXT(92,"00")</f>
        <v>92</v>
      </c>
      <c r="C8073" s="1" t="str">
        <f t="shared" si="515"/>
        <v>940-92</v>
      </c>
      <c r="D8073" t="s">
        <v>8042</v>
      </c>
      <c r="E8073" t="b">
        <f>IF(COUNTIF(D8073,"*"&amp;'Keyword Search'!$C$5&amp;"*"),TRUE,FALSE)</f>
        <v>1</v>
      </c>
      <c r="G8073" t="str">
        <f t="shared" si="516"/>
        <v>940-92: Weed and Brush Control Services</v>
      </c>
    </row>
    <row r="8074" spans="1:7" x14ac:dyDescent="0.25">
      <c r="A8074" s="5" t="str">
        <f t="shared" ref="A8074:A8098" si="517">TEXT(941,"000")</f>
        <v>941</v>
      </c>
      <c r="B8074" s="5" t="str">
        <f>TEXT(0,"00")</f>
        <v>00</v>
      </c>
      <c r="C8074" s="1"/>
      <c r="D8074" s="2" t="s">
        <v>8043</v>
      </c>
    </row>
    <row r="8075" spans="1:7" x14ac:dyDescent="0.25">
      <c r="A8075" s="1" t="str">
        <f t="shared" si="517"/>
        <v>941</v>
      </c>
      <c r="B8075" s="1" t="str">
        <f>TEXT(16,"00")</f>
        <v>16</v>
      </c>
      <c r="C8075" s="1" t="str">
        <f t="shared" si="515"/>
        <v>941-16</v>
      </c>
      <c r="D8075" t="s">
        <v>8044</v>
      </c>
      <c r="E8075" t="b">
        <f>IF(COUNTIF(D8075,"*"&amp;'Keyword Search'!$C$5&amp;"*"),TRUE,FALSE)</f>
        <v>1</v>
      </c>
      <c r="G8075" t="str">
        <f t="shared" si="516"/>
        <v>941-16: Babbiting Services, Industrial Bearing</v>
      </c>
    </row>
    <row r="8076" spans="1:7" x14ac:dyDescent="0.25">
      <c r="A8076" s="1" t="str">
        <f t="shared" si="517"/>
        <v>941</v>
      </c>
      <c r="B8076" s="1" t="str">
        <f>TEXT(21,"00")</f>
        <v>21</v>
      </c>
      <c r="C8076" s="1" t="str">
        <f t="shared" si="515"/>
        <v>941-21</v>
      </c>
      <c r="D8076" t="s">
        <v>8045</v>
      </c>
      <c r="E8076" t="b">
        <f>IF(COUNTIF(D8076,"*"&amp;'Keyword Search'!$C$5&amp;"*"),TRUE,FALSE)</f>
        <v>1</v>
      </c>
      <c r="G8076" t="str">
        <f t="shared" si="516"/>
        <v>941-21: Blade Maintenance and Repair, Electric Power Generator</v>
      </c>
    </row>
    <row r="8077" spans="1:7" x14ac:dyDescent="0.25">
      <c r="A8077" s="1" t="str">
        <f t="shared" si="517"/>
        <v>941</v>
      </c>
      <c r="B8077" s="1" t="str">
        <f>TEXT(25,"00")</f>
        <v>25</v>
      </c>
      <c r="C8077" s="1" t="str">
        <f t="shared" si="515"/>
        <v>941-25</v>
      </c>
      <c r="D8077" t="s">
        <v>8046</v>
      </c>
      <c r="E8077" t="b">
        <f>IF(COUNTIF(D8077,"*"&amp;'Keyword Search'!$C$5&amp;"*"),TRUE,FALSE)</f>
        <v>1</v>
      </c>
      <c r="G8077" t="str">
        <f t="shared" si="516"/>
        <v>941-25: Boiler Maintenance and Repair, Steam, Including Testing Services, (See 941-56 for Hydrostatic Testing)</v>
      </c>
    </row>
    <row r="8078" spans="1:7" x14ac:dyDescent="0.25">
      <c r="A8078" s="1" t="str">
        <f t="shared" si="517"/>
        <v>941</v>
      </c>
      <c r="B8078" s="1" t="str">
        <f>TEXT(27,"00")</f>
        <v>27</v>
      </c>
      <c r="C8078" s="1" t="str">
        <f t="shared" si="515"/>
        <v>941-27</v>
      </c>
      <c r="D8078" t="s">
        <v>8047</v>
      </c>
      <c r="E8078" t="b">
        <f>IF(COUNTIF(D8078,"*"&amp;'Keyword Search'!$C$5&amp;"*"),TRUE,FALSE)</f>
        <v>1</v>
      </c>
      <c r="G8078" t="str">
        <f t="shared" si="516"/>
        <v>941-27: Burner Maintenance and Repair</v>
      </c>
    </row>
    <row r="8079" spans="1:7" x14ac:dyDescent="0.25">
      <c r="A8079" s="1" t="str">
        <f t="shared" si="517"/>
        <v>941</v>
      </c>
      <c r="B8079" s="1" t="str">
        <f>TEXT(30,"00")</f>
        <v>30</v>
      </c>
      <c r="C8079" s="1" t="str">
        <f t="shared" si="515"/>
        <v>941-30</v>
      </c>
      <c r="D8079" t="s">
        <v>8048</v>
      </c>
      <c r="E8079" t="b">
        <f>IF(COUNTIF(D8079,"*"&amp;'Keyword Search'!$C$5&amp;"*"),TRUE,FALSE)</f>
        <v>1</v>
      </c>
      <c r="G8079" t="str">
        <f t="shared" si="516"/>
        <v>941-30: Cathodic Protection Services</v>
      </c>
    </row>
    <row r="8080" spans="1:7" x14ac:dyDescent="0.25">
      <c r="A8080" s="1" t="str">
        <f t="shared" si="517"/>
        <v>941</v>
      </c>
      <c r="B8080" s="1" t="str">
        <f>TEXT(34,"00")</f>
        <v>34</v>
      </c>
      <c r="C8080" s="1" t="str">
        <f t="shared" si="515"/>
        <v>941-34</v>
      </c>
      <c r="D8080" t="s">
        <v>8049</v>
      </c>
      <c r="E8080" t="b">
        <f>IF(COUNTIF(D8080,"*"&amp;'Keyword Search'!$C$5&amp;"*"),TRUE,FALSE)</f>
        <v>1</v>
      </c>
      <c r="G8080" t="str">
        <f t="shared" si="516"/>
        <v>941-34: Circuit Breaker Services, Air</v>
      </c>
    </row>
    <row r="8081" spans="1:7" x14ac:dyDescent="0.25">
      <c r="A8081" s="1" t="str">
        <f t="shared" si="517"/>
        <v>941</v>
      </c>
      <c r="B8081" s="1" t="str">
        <f>TEXT(39,"00")</f>
        <v>39</v>
      </c>
      <c r="C8081" s="1" t="str">
        <f t="shared" si="515"/>
        <v>941-39</v>
      </c>
      <c r="D8081" t="s">
        <v>8050</v>
      </c>
      <c r="E8081" t="b">
        <f>IF(COUNTIF(D8081,"*"&amp;'Keyword Search'!$C$5&amp;"*"),TRUE,FALSE)</f>
        <v>1</v>
      </c>
      <c r="G8081" t="str">
        <f t="shared" si="516"/>
        <v>941-39: Digital and Analog Testing Equipment Maintenance and Repair</v>
      </c>
    </row>
    <row r="8082" spans="1:7" x14ac:dyDescent="0.25">
      <c r="A8082" s="1" t="str">
        <f t="shared" si="517"/>
        <v>941</v>
      </c>
      <c r="B8082" s="1" t="str">
        <f>TEXT(45,"00")</f>
        <v>45</v>
      </c>
      <c r="C8082" s="1" t="str">
        <f t="shared" si="515"/>
        <v>941-45</v>
      </c>
      <c r="D8082" t="s">
        <v>8051</v>
      </c>
      <c r="E8082" t="b">
        <f>IF(COUNTIF(D8082,"*"&amp;'Keyword Search'!$C$5&amp;"*"),TRUE,FALSE)</f>
        <v>1</v>
      </c>
      <c r="G8082" t="str">
        <f t="shared" si="516"/>
        <v>941-45: Gas Chromatagh Systems Maintenance and Repair</v>
      </c>
    </row>
    <row r="8083" spans="1:7" x14ac:dyDescent="0.25">
      <c r="A8083" s="1" t="str">
        <f t="shared" si="517"/>
        <v>941</v>
      </c>
      <c r="B8083" s="1" t="str">
        <f>TEXT(51,"00")</f>
        <v>51</v>
      </c>
      <c r="C8083" s="1" t="str">
        <f t="shared" si="515"/>
        <v>941-51</v>
      </c>
      <c r="D8083" t="s">
        <v>8052</v>
      </c>
      <c r="E8083" t="b">
        <f>IF(COUNTIF(D8083,"*"&amp;'Keyword Search'!$C$5&amp;"*"),TRUE,FALSE)</f>
        <v>1</v>
      </c>
      <c r="G8083" t="str">
        <f t="shared" si="516"/>
        <v>941-51: Heat Exchanger Maintenance and Repair</v>
      </c>
    </row>
    <row r="8084" spans="1:7" x14ac:dyDescent="0.25">
      <c r="A8084" s="1" t="str">
        <f t="shared" si="517"/>
        <v>941</v>
      </c>
      <c r="B8084" s="1" t="str">
        <f>TEXT(52,"00")</f>
        <v>52</v>
      </c>
      <c r="C8084" s="1" t="str">
        <f t="shared" si="515"/>
        <v>941-52</v>
      </c>
      <c r="D8084" t="s">
        <v>8053</v>
      </c>
      <c r="E8084" t="b">
        <f>IF(COUNTIF(D8084,"*"&amp;'Keyword Search'!$C$5&amp;"*"),TRUE,FALSE)</f>
        <v>1</v>
      </c>
      <c r="G8084" t="str">
        <f t="shared" si="516"/>
        <v>941-52: Heating, Steam, Equipment Maintenance and Repair</v>
      </c>
    </row>
    <row r="8085" spans="1:7" x14ac:dyDescent="0.25">
      <c r="A8085" s="1" t="str">
        <f t="shared" si="517"/>
        <v>941</v>
      </c>
      <c r="B8085" s="1" t="str">
        <f>TEXT(55,"00")</f>
        <v>55</v>
      </c>
      <c r="C8085" s="1" t="str">
        <f t="shared" si="515"/>
        <v>941-55</v>
      </c>
      <c r="D8085" t="s">
        <v>8054</v>
      </c>
      <c r="E8085" t="b">
        <f>IF(COUNTIF(D8085,"*"&amp;'Keyword Search'!$C$5&amp;"*"),TRUE,FALSE)</f>
        <v>1</v>
      </c>
      <c r="G8085" t="str">
        <f t="shared" si="516"/>
        <v>941-55: HVAC Systems, Power Plant, Maintenance and Repair</v>
      </c>
    </row>
    <row r="8086" spans="1:7" x14ac:dyDescent="0.25">
      <c r="A8086" s="1" t="str">
        <f t="shared" si="517"/>
        <v>941</v>
      </c>
      <c r="B8086" s="1" t="str">
        <f>TEXT(56,"00")</f>
        <v>56</v>
      </c>
      <c r="C8086" s="1" t="str">
        <f t="shared" si="515"/>
        <v>941-56</v>
      </c>
      <c r="D8086" t="s">
        <v>8055</v>
      </c>
      <c r="E8086" t="b">
        <f>IF(COUNTIF(D8086,"*"&amp;'Keyword Search'!$C$5&amp;"*"),TRUE,FALSE)</f>
        <v>1</v>
      </c>
      <c r="G8086" t="str">
        <f t="shared" si="516"/>
        <v>941-56: Hydrostatic Testing Services, Boiler</v>
      </c>
    </row>
    <row r="8087" spans="1:7" x14ac:dyDescent="0.25">
      <c r="A8087" s="1" t="str">
        <f t="shared" si="517"/>
        <v>941</v>
      </c>
      <c r="B8087" s="1" t="str">
        <f>TEXT(59,"00")</f>
        <v>59</v>
      </c>
      <c r="C8087" s="1" t="str">
        <f t="shared" si="515"/>
        <v>941-59</v>
      </c>
      <c r="D8087" t="s">
        <v>8056</v>
      </c>
      <c r="E8087" t="b">
        <f>IF(COUNTIF(D8087,"*"&amp;'Keyword Search'!$C$5&amp;"*"),TRUE,FALSE)</f>
        <v>1</v>
      </c>
      <c r="G8087" t="str">
        <f t="shared" si="516"/>
        <v>941-59: Inspection and Examination Services, Non-Destructive, Ultrasonic Testing, Dye Penetrant Testing, Radiography, etc.</v>
      </c>
    </row>
    <row r="8088" spans="1:7" x14ac:dyDescent="0.25">
      <c r="A8088" s="1" t="str">
        <f t="shared" si="517"/>
        <v>941</v>
      </c>
      <c r="B8088" s="1" t="str">
        <f>TEXT(63,"00")</f>
        <v>63</v>
      </c>
      <c r="C8088" s="1" t="str">
        <f t="shared" si="515"/>
        <v>941-63</v>
      </c>
      <c r="D8088" t="s">
        <v>8057</v>
      </c>
      <c r="E8088" t="b">
        <f>IF(COUNTIF(D8088,"*"&amp;'Keyword Search'!$C$5&amp;"*"),TRUE,FALSE)</f>
        <v>1</v>
      </c>
      <c r="G8088" t="str">
        <f t="shared" si="516"/>
        <v>941-63: Monitoring Services, Power Generation</v>
      </c>
    </row>
    <row r="8089" spans="1:7" x14ac:dyDescent="0.25">
      <c r="A8089" s="1" t="str">
        <f t="shared" si="517"/>
        <v>941</v>
      </c>
      <c r="B8089" s="1" t="str">
        <f>TEXT(64,"00")</f>
        <v>64</v>
      </c>
      <c r="C8089" s="1" t="str">
        <f t="shared" si="515"/>
        <v>941-64</v>
      </c>
      <c r="D8089" t="s">
        <v>8058</v>
      </c>
      <c r="E8089" t="b">
        <f>IF(COUNTIF(D8089,"*"&amp;'Keyword Search'!$C$5&amp;"*"),TRUE,FALSE)</f>
        <v>1</v>
      </c>
      <c r="G8089" t="str">
        <f t="shared" si="516"/>
        <v>941-64: Motors, Vertical, Maintenance and Repair</v>
      </c>
    </row>
    <row r="8090" spans="1:7" x14ac:dyDescent="0.25">
      <c r="A8090" s="1" t="str">
        <f t="shared" si="517"/>
        <v>941</v>
      </c>
      <c r="B8090" s="1" t="str">
        <f>TEXT(69,"00")</f>
        <v>69</v>
      </c>
      <c r="C8090" s="1" t="str">
        <f t="shared" si="515"/>
        <v>941-69</v>
      </c>
      <c r="D8090" t="s">
        <v>8059</v>
      </c>
      <c r="E8090" t="b">
        <f>IF(COUNTIF(D8090,"*"&amp;'Keyword Search'!$C$5&amp;"*"),TRUE,FALSE)</f>
        <v>1</v>
      </c>
      <c r="G8090" t="str">
        <f t="shared" si="516"/>
        <v>941-69: Pipeline Pressure Flushing Services</v>
      </c>
    </row>
    <row r="8091" spans="1:7" x14ac:dyDescent="0.25">
      <c r="A8091" s="1" t="str">
        <f t="shared" si="517"/>
        <v>941</v>
      </c>
      <c r="B8091" s="1" t="str">
        <f>TEXT(72,"00")</f>
        <v>72</v>
      </c>
      <c r="C8091" s="1" t="str">
        <f t="shared" si="515"/>
        <v>941-72</v>
      </c>
      <c r="D8091" t="s">
        <v>8060</v>
      </c>
      <c r="E8091" t="b">
        <f>IF(COUNTIF(D8091,"*"&amp;'Keyword Search'!$C$5&amp;"*"),TRUE,FALSE)</f>
        <v>1</v>
      </c>
      <c r="G8091" t="str">
        <f t="shared" si="516"/>
        <v>941-72: Power Generating and Transmitting Control System Maintenance and Repair Services</v>
      </c>
    </row>
    <row r="8092" spans="1:7" x14ac:dyDescent="0.25">
      <c r="A8092" s="1" t="str">
        <f t="shared" si="517"/>
        <v>941</v>
      </c>
      <c r="B8092" s="1" t="str">
        <f>TEXT(73,"00")</f>
        <v>73</v>
      </c>
      <c r="C8092" s="1" t="str">
        <f t="shared" si="515"/>
        <v>941-73</v>
      </c>
      <c r="D8092" t="s">
        <v>8061</v>
      </c>
      <c r="E8092" t="b">
        <f>IF(COUNTIF(D8092,"*"&amp;'Keyword Search'!$C$5&amp;"*"),TRUE,FALSE)</f>
        <v>1</v>
      </c>
      <c r="G8092" t="str">
        <f t="shared" si="516"/>
        <v>941-73: Power Plant Equipment Maintenance and Repair (Not Otherwise Classified)</v>
      </c>
    </row>
    <row r="8093" spans="1:7" x14ac:dyDescent="0.25">
      <c r="A8093" s="1" t="str">
        <f t="shared" si="517"/>
        <v>941</v>
      </c>
      <c r="B8093" s="1" t="str">
        <f>TEXT(77,"00")</f>
        <v>77</v>
      </c>
      <c r="C8093" s="1" t="str">
        <f t="shared" si="515"/>
        <v>941-77</v>
      </c>
      <c r="D8093" t="s">
        <v>8062</v>
      </c>
      <c r="E8093" t="b">
        <f>IF(COUNTIF(D8093,"*"&amp;'Keyword Search'!$C$5&amp;"*"),TRUE,FALSE)</f>
        <v>1</v>
      </c>
      <c r="G8093" t="str">
        <f t="shared" si="516"/>
        <v>941-77: Refractory Services</v>
      </c>
    </row>
    <row r="8094" spans="1:7" x14ac:dyDescent="0.25">
      <c r="A8094" s="1" t="str">
        <f t="shared" si="517"/>
        <v>941</v>
      </c>
      <c r="B8094" s="1" t="str">
        <f>TEXT(82,"00")</f>
        <v>82</v>
      </c>
      <c r="C8094" s="1" t="str">
        <f t="shared" si="515"/>
        <v>941-82</v>
      </c>
      <c r="D8094" t="s">
        <v>8063</v>
      </c>
      <c r="E8094" t="b">
        <f>IF(COUNTIF(D8094,"*"&amp;'Keyword Search'!$C$5&amp;"*"),TRUE,FALSE)</f>
        <v>1</v>
      </c>
      <c r="G8094" t="str">
        <f t="shared" si="516"/>
        <v>941-82: Teflon Coating and Lining Services</v>
      </c>
    </row>
    <row r="8095" spans="1:7" x14ac:dyDescent="0.25">
      <c r="A8095" s="1" t="str">
        <f t="shared" si="517"/>
        <v>941</v>
      </c>
      <c r="B8095" s="1" t="str">
        <f>TEXT(85,"00")</f>
        <v>85</v>
      </c>
      <c r="C8095" s="1" t="str">
        <f t="shared" si="515"/>
        <v>941-85</v>
      </c>
      <c r="D8095" t="s">
        <v>8064</v>
      </c>
      <c r="E8095" t="b">
        <f>IF(COUNTIF(D8095,"*"&amp;'Keyword Search'!$C$5&amp;"*"),TRUE,FALSE)</f>
        <v>1</v>
      </c>
      <c r="G8095" t="str">
        <f t="shared" si="516"/>
        <v>941-85: Tube Pressure Testing Services</v>
      </c>
    </row>
    <row r="8096" spans="1:7" x14ac:dyDescent="0.25">
      <c r="A8096" s="1" t="str">
        <f t="shared" si="517"/>
        <v>941</v>
      </c>
      <c r="B8096" s="1" t="str">
        <f>TEXT(87,"00")</f>
        <v>87</v>
      </c>
      <c r="C8096" s="1" t="str">
        <f t="shared" si="515"/>
        <v>941-87</v>
      </c>
      <c r="D8096" t="s">
        <v>8065</v>
      </c>
      <c r="E8096" t="b">
        <f>IF(COUNTIF(D8096,"*"&amp;'Keyword Search'!$C$5&amp;"*"),TRUE,FALSE)</f>
        <v>1</v>
      </c>
      <c r="G8096" t="str">
        <f t="shared" si="516"/>
        <v>941-87: Turbines, Gas, Maintenance and Repair</v>
      </c>
    </row>
    <row r="8097" spans="1:7" x14ac:dyDescent="0.25">
      <c r="A8097" s="1" t="str">
        <f t="shared" si="517"/>
        <v>941</v>
      </c>
      <c r="B8097" s="1" t="str">
        <f>TEXT(88,"00")</f>
        <v>88</v>
      </c>
      <c r="C8097" s="1" t="str">
        <f t="shared" si="515"/>
        <v>941-88</v>
      </c>
      <c r="D8097" t="s">
        <v>8066</v>
      </c>
      <c r="E8097" t="b">
        <f>IF(COUNTIF(D8097,"*"&amp;'Keyword Search'!$C$5&amp;"*"),TRUE,FALSE)</f>
        <v>1</v>
      </c>
      <c r="G8097" t="str">
        <f t="shared" si="516"/>
        <v>941-88: Turbines, Steam, Maintenance and Repair</v>
      </c>
    </row>
    <row r="8098" spans="1:7" x14ac:dyDescent="0.25">
      <c r="A8098" s="1" t="str">
        <f t="shared" si="517"/>
        <v>941</v>
      </c>
      <c r="B8098" s="1" t="str">
        <f>TEXT(91,"00")</f>
        <v>91</v>
      </c>
      <c r="C8098" s="1" t="str">
        <f t="shared" si="515"/>
        <v>941-91</v>
      </c>
      <c r="D8098" t="s">
        <v>8067</v>
      </c>
      <c r="E8098" t="b">
        <f>IF(COUNTIF(D8098,"*"&amp;'Keyword Search'!$C$5&amp;"*"),TRUE,FALSE)</f>
        <v>1</v>
      </c>
      <c r="G8098" t="str">
        <f t="shared" si="516"/>
        <v>941-91: Valves, Control, Fuel Modulation, etc., Maintenance and Repair</v>
      </c>
    </row>
    <row r="8099" spans="1:7" x14ac:dyDescent="0.25">
      <c r="A8099" s="5" t="str">
        <f t="shared" ref="A8099:A8120" si="518">TEXT(944,"000")</f>
        <v>944</v>
      </c>
      <c r="B8099" s="5" t="str">
        <f>TEXT(0,"00")</f>
        <v>00</v>
      </c>
      <c r="C8099" s="1"/>
      <c r="D8099" s="2" t="s">
        <v>8068</v>
      </c>
    </row>
    <row r="8100" spans="1:7" x14ac:dyDescent="0.25">
      <c r="A8100" s="1" t="str">
        <f t="shared" si="518"/>
        <v>944</v>
      </c>
      <c r="B8100" s="1" t="str">
        <f>TEXT(19,"00")</f>
        <v>19</v>
      </c>
      <c r="C8100" s="1" t="str">
        <f t="shared" si="515"/>
        <v>944-19</v>
      </c>
      <c r="D8100" t="s">
        <v>8069</v>
      </c>
      <c r="E8100" t="b">
        <f>IF(COUNTIF(D8100,"*"&amp;'Keyword Search'!$C$5&amp;"*"),TRUE,FALSE)</f>
        <v>1</v>
      </c>
      <c r="G8100" t="str">
        <f t="shared" si="516"/>
        <v>944-19: Animal Farming and Ranching Services</v>
      </c>
    </row>
    <row r="8101" spans="1:7" x14ac:dyDescent="0.25">
      <c r="A8101" s="1" t="str">
        <f t="shared" si="518"/>
        <v>944</v>
      </c>
      <c r="B8101" s="1" t="str">
        <f>TEXT(26,"00")</f>
        <v>26</v>
      </c>
      <c r="C8101" s="1" t="str">
        <f t="shared" si="515"/>
        <v>944-26</v>
      </c>
      <c r="D8101" t="s">
        <v>8070</v>
      </c>
      <c r="E8101" t="b">
        <f>IF(COUNTIF(D8101,"*"&amp;'Keyword Search'!$C$5&amp;"*"),TRUE,FALSE)</f>
        <v>1</v>
      </c>
      <c r="G8101" t="str">
        <f t="shared" si="516"/>
        <v>944-26: Bean and Pea Farming</v>
      </c>
    </row>
    <row r="8102" spans="1:7" x14ac:dyDescent="0.25">
      <c r="A8102" s="1" t="str">
        <f t="shared" si="518"/>
        <v>944</v>
      </c>
      <c r="B8102" s="1" t="str">
        <f>TEXT(31,"00")</f>
        <v>31</v>
      </c>
      <c r="C8102" s="1" t="str">
        <f t="shared" si="515"/>
        <v>944-31</v>
      </c>
      <c r="D8102" t="s">
        <v>8071</v>
      </c>
      <c r="E8102" t="b">
        <f>IF(COUNTIF(D8102,"*"&amp;'Keyword Search'!$C$5&amp;"*"),TRUE,FALSE)</f>
        <v>1</v>
      </c>
      <c r="G8102" t="str">
        <f t="shared" si="516"/>
        <v>944-31: Citrus Fruit Farming</v>
      </c>
    </row>
    <row r="8103" spans="1:7" x14ac:dyDescent="0.25">
      <c r="A8103" s="1" t="str">
        <f t="shared" si="518"/>
        <v>944</v>
      </c>
      <c r="B8103" s="1" t="str">
        <f>TEXT(34,"00")</f>
        <v>34</v>
      </c>
      <c r="C8103" s="1" t="str">
        <f t="shared" si="515"/>
        <v>944-34</v>
      </c>
      <c r="D8103" t="s">
        <v>8072</v>
      </c>
      <c r="E8103" t="b">
        <f>IF(COUNTIF(D8103,"*"&amp;'Keyword Search'!$C$5&amp;"*"),TRUE,FALSE)</f>
        <v>1</v>
      </c>
      <c r="G8103" t="str">
        <f t="shared" si="516"/>
        <v>944-34: Corn Farming</v>
      </c>
    </row>
    <row r="8104" spans="1:7" x14ac:dyDescent="0.25">
      <c r="A8104" s="1" t="str">
        <f t="shared" si="518"/>
        <v>944</v>
      </c>
      <c r="B8104" s="1" t="str">
        <f>TEXT(36,"00")</f>
        <v>36</v>
      </c>
      <c r="C8104" s="1" t="str">
        <f t="shared" si="515"/>
        <v>944-36</v>
      </c>
      <c r="D8104" t="s">
        <v>8073</v>
      </c>
      <c r="E8104" t="b">
        <f>IF(COUNTIF(D8104,"*"&amp;'Keyword Search'!$C$5&amp;"*"),TRUE,FALSE)</f>
        <v>1</v>
      </c>
      <c r="G8104" t="str">
        <f t="shared" si="516"/>
        <v>944-36: Cotton Farming</v>
      </c>
    </row>
    <row r="8105" spans="1:7" x14ac:dyDescent="0.25">
      <c r="A8105" s="1" t="str">
        <f t="shared" si="518"/>
        <v>944</v>
      </c>
      <c r="B8105" s="1" t="str">
        <f>TEXT(38,"00")</f>
        <v>38</v>
      </c>
      <c r="C8105" s="1" t="str">
        <f t="shared" si="515"/>
        <v>944-38</v>
      </c>
      <c r="D8105" t="s">
        <v>8074</v>
      </c>
      <c r="E8105" t="b">
        <f>IF(COUNTIF(D8105,"*"&amp;'Keyword Search'!$C$5&amp;"*"),TRUE,FALSE)</f>
        <v>1</v>
      </c>
      <c r="G8105" t="str">
        <f t="shared" si="516"/>
        <v>944-38: Crop Farming (Not Otherwise Classified)</v>
      </c>
    </row>
    <row r="8106" spans="1:7" x14ac:dyDescent="0.25">
      <c r="A8106" s="1" t="str">
        <f t="shared" si="518"/>
        <v>944</v>
      </c>
      <c r="B8106" s="1" t="str">
        <f>TEXT(42,"00")</f>
        <v>42</v>
      </c>
      <c r="C8106" s="1" t="str">
        <f t="shared" si="515"/>
        <v>944-42</v>
      </c>
      <c r="D8106" t="s">
        <v>8075</v>
      </c>
      <c r="E8106" t="b">
        <f>IF(COUNTIF(D8106,"*"&amp;'Keyword Search'!$C$5&amp;"*"),TRUE,FALSE)</f>
        <v>1</v>
      </c>
      <c r="G8106" t="str">
        <f t="shared" si="516"/>
        <v>944-42: Fruit and Tree Nut Farming, Not Citrus</v>
      </c>
    </row>
    <row r="8107" spans="1:7" x14ac:dyDescent="0.25">
      <c r="A8107" s="1" t="str">
        <f t="shared" si="518"/>
        <v>944</v>
      </c>
      <c r="B8107" s="1" t="str">
        <f>TEXT(45,"00")</f>
        <v>45</v>
      </c>
      <c r="C8107" s="1" t="str">
        <f t="shared" si="515"/>
        <v>944-45</v>
      </c>
      <c r="D8107" t="s">
        <v>8076</v>
      </c>
      <c r="E8107" t="b">
        <f>IF(COUNTIF(D8107,"*"&amp;'Keyword Search'!$C$5&amp;"*"),TRUE,FALSE)</f>
        <v>1</v>
      </c>
      <c r="G8107" t="str">
        <f t="shared" si="516"/>
        <v>944-45: Grain Farming (Not Otherwise Classified)</v>
      </c>
    </row>
    <row r="8108" spans="1:7" x14ac:dyDescent="0.25">
      <c r="A8108" s="1" t="str">
        <f t="shared" si="518"/>
        <v>944</v>
      </c>
      <c r="B8108" s="1" t="str">
        <f>TEXT(48,"00")</f>
        <v>48</v>
      </c>
      <c r="C8108" s="1" t="str">
        <f t="shared" si="515"/>
        <v>944-48</v>
      </c>
      <c r="D8108" t="s">
        <v>8077</v>
      </c>
      <c r="E8108" t="b">
        <f>IF(COUNTIF(D8108,"*"&amp;'Keyword Search'!$C$5&amp;"*"),TRUE,FALSE)</f>
        <v>1</v>
      </c>
      <c r="G8108" t="str">
        <f t="shared" si="516"/>
        <v>944-48: Hay Farming</v>
      </c>
    </row>
    <row r="8109" spans="1:7" x14ac:dyDescent="0.25">
      <c r="A8109" s="1" t="str">
        <f t="shared" si="518"/>
        <v>944</v>
      </c>
      <c r="B8109" s="1" t="str">
        <f>TEXT(54,"00")</f>
        <v>54</v>
      </c>
      <c r="C8109" s="1" t="str">
        <f t="shared" si="515"/>
        <v>944-54</v>
      </c>
      <c r="D8109" t="s">
        <v>8078</v>
      </c>
      <c r="E8109" t="b">
        <f>IF(COUNTIF(D8109,"*"&amp;'Keyword Search'!$C$5&amp;"*"),TRUE,FALSE)</f>
        <v>1</v>
      </c>
      <c r="G8109" t="str">
        <f t="shared" si="516"/>
        <v>944-54: Miscellaneous Farming Services</v>
      </c>
    </row>
    <row r="8110" spans="1:7" x14ac:dyDescent="0.25">
      <c r="A8110" s="1" t="str">
        <f t="shared" si="518"/>
        <v>944</v>
      </c>
      <c r="B8110" s="1" t="str">
        <f>TEXT(57,"00")</f>
        <v>57</v>
      </c>
      <c r="C8110" s="1" t="str">
        <f t="shared" si="515"/>
        <v>944-57</v>
      </c>
      <c r="D8110" t="s">
        <v>8079</v>
      </c>
      <c r="E8110" t="b">
        <f>IF(COUNTIF(D8110,"*"&amp;'Keyword Search'!$C$5&amp;"*"),TRUE,FALSE)</f>
        <v>1</v>
      </c>
      <c r="G8110" t="str">
        <f t="shared" si="516"/>
        <v>944-57: Oilseed and Grain Farming</v>
      </c>
    </row>
    <row r="8111" spans="1:7" x14ac:dyDescent="0.25">
      <c r="A8111" s="1" t="str">
        <f t="shared" si="518"/>
        <v>944</v>
      </c>
      <c r="B8111" s="1" t="str">
        <f>TEXT(60,"00")</f>
        <v>60</v>
      </c>
      <c r="C8111" s="1" t="str">
        <f t="shared" si="515"/>
        <v>944-60</v>
      </c>
      <c r="D8111" t="s">
        <v>8080</v>
      </c>
      <c r="E8111" t="b">
        <f>IF(COUNTIF(D8111,"*"&amp;'Keyword Search'!$C$5&amp;"*"),TRUE,FALSE)</f>
        <v>1</v>
      </c>
      <c r="G8111" t="str">
        <f t="shared" si="516"/>
        <v>944-60: Peanut Farming</v>
      </c>
    </row>
    <row r="8112" spans="1:7" x14ac:dyDescent="0.25">
      <c r="A8112" s="1" t="str">
        <f t="shared" si="518"/>
        <v>944</v>
      </c>
      <c r="B8112" s="1" t="str">
        <f>TEXT(64,"00")</f>
        <v>64</v>
      </c>
      <c r="C8112" s="1" t="str">
        <f t="shared" si="515"/>
        <v>944-64</v>
      </c>
      <c r="D8112" t="s">
        <v>8081</v>
      </c>
      <c r="E8112" t="b">
        <f>IF(COUNTIF(D8112,"*"&amp;'Keyword Search'!$C$5&amp;"*"),TRUE,FALSE)</f>
        <v>1</v>
      </c>
      <c r="G8112" t="str">
        <f t="shared" si="516"/>
        <v>944-64: Potato Farming</v>
      </c>
    </row>
    <row r="8113" spans="1:7" x14ac:dyDescent="0.25">
      <c r="A8113" s="1" t="str">
        <f t="shared" si="518"/>
        <v>944</v>
      </c>
      <c r="B8113" s="1" t="str">
        <f>TEXT(67,"00")</f>
        <v>67</v>
      </c>
      <c r="C8113" s="1" t="str">
        <f t="shared" si="515"/>
        <v>944-67</v>
      </c>
      <c r="D8113" t="s">
        <v>8082</v>
      </c>
      <c r="E8113" t="b">
        <f>IF(COUNTIF(D8113,"*"&amp;'Keyword Search'!$C$5&amp;"*"),TRUE,FALSE)</f>
        <v>1</v>
      </c>
      <c r="G8113" t="str">
        <f t="shared" si="516"/>
        <v>944-67: Poultry Farming</v>
      </c>
    </row>
    <row r="8114" spans="1:7" x14ac:dyDescent="0.25">
      <c r="A8114" s="1" t="str">
        <f t="shared" si="518"/>
        <v>944</v>
      </c>
      <c r="B8114" s="1" t="str">
        <f>TEXT(71,"00")</f>
        <v>71</v>
      </c>
      <c r="C8114" s="1" t="str">
        <f t="shared" si="515"/>
        <v>944-71</v>
      </c>
      <c r="D8114" t="s">
        <v>8083</v>
      </c>
      <c r="E8114" t="b">
        <f>IF(COUNTIF(D8114,"*"&amp;'Keyword Search'!$C$5&amp;"*"),TRUE,FALSE)</f>
        <v>1</v>
      </c>
      <c r="G8114" t="str">
        <f t="shared" si="516"/>
        <v>944-71: Ranching Services (Not Otherwise Classified)</v>
      </c>
    </row>
    <row r="8115" spans="1:7" x14ac:dyDescent="0.25">
      <c r="A8115" s="1" t="str">
        <f t="shared" si="518"/>
        <v>944</v>
      </c>
      <c r="B8115" s="1" t="str">
        <f>TEXT(72,"00")</f>
        <v>72</v>
      </c>
      <c r="C8115" s="1" t="str">
        <f t="shared" si="515"/>
        <v>944-72</v>
      </c>
      <c r="D8115" t="s">
        <v>8084</v>
      </c>
      <c r="E8115" t="b">
        <f>IF(COUNTIF(D8115,"*"&amp;'Keyword Search'!$C$5&amp;"*"),TRUE,FALSE)</f>
        <v>1</v>
      </c>
      <c r="G8115" t="str">
        <f t="shared" si="516"/>
        <v>944-72: Rice Farming</v>
      </c>
    </row>
    <row r="8116" spans="1:7" x14ac:dyDescent="0.25">
      <c r="A8116" s="1" t="str">
        <f t="shared" si="518"/>
        <v>944</v>
      </c>
      <c r="B8116" s="1" t="str">
        <f>TEXT(76,"00")</f>
        <v>76</v>
      </c>
      <c r="C8116" s="1" t="str">
        <f t="shared" si="515"/>
        <v>944-76</v>
      </c>
      <c r="D8116" t="s">
        <v>8085</v>
      </c>
      <c r="E8116" t="b">
        <f>IF(COUNTIF(D8116,"*"&amp;'Keyword Search'!$C$5&amp;"*"),TRUE,FALSE)</f>
        <v>1</v>
      </c>
      <c r="G8116" t="str">
        <f t="shared" si="516"/>
        <v>944-76: Soybean Farming</v>
      </c>
    </row>
    <row r="8117" spans="1:7" x14ac:dyDescent="0.25">
      <c r="A8117" s="1" t="str">
        <f t="shared" si="518"/>
        <v>944</v>
      </c>
      <c r="B8117" s="1" t="str">
        <f>TEXT(79,"00")</f>
        <v>79</v>
      </c>
      <c r="C8117" s="1" t="str">
        <f t="shared" si="515"/>
        <v>944-79</v>
      </c>
      <c r="D8117" t="s">
        <v>8086</v>
      </c>
      <c r="E8117" t="b">
        <f>IF(COUNTIF(D8117,"*"&amp;'Keyword Search'!$C$5&amp;"*"),TRUE,FALSE)</f>
        <v>1</v>
      </c>
      <c r="G8117" t="str">
        <f t="shared" si="516"/>
        <v>944-79: Sugarcane Farming</v>
      </c>
    </row>
    <row r="8118" spans="1:7" x14ac:dyDescent="0.25">
      <c r="A8118" s="1" t="str">
        <f t="shared" si="518"/>
        <v>944</v>
      </c>
      <c r="B8118" s="1" t="str">
        <f>TEXT(85,"00")</f>
        <v>85</v>
      </c>
      <c r="C8118" s="1" t="str">
        <f t="shared" si="515"/>
        <v>944-85</v>
      </c>
      <c r="D8118" t="s">
        <v>8087</v>
      </c>
      <c r="E8118" t="b">
        <f>IF(COUNTIF(D8118,"*"&amp;'Keyword Search'!$C$5&amp;"*"),TRUE,FALSE)</f>
        <v>1</v>
      </c>
      <c r="G8118" t="str">
        <f t="shared" si="516"/>
        <v>944-85: Tobacco Farming</v>
      </c>
    </row>
    <row r="8119" spans="1:7" x14ac:dyDescent="0.25">
      <c r="A8119" s="1" t="str">
        <f t="shared" si="518"/>
        <v>944</v>
      </c>
      <c r="B8119" s="1" t="str">
        <f>TEXT(89,"00")</f>
        <v>89</v>
      </c>
      <c r="C8119" s="1" t="str">
        <f t="shared" si="515"/>
        <v>944-89</v>
      </c>
      <c r="D8119" t="s">
        <v>8088</v>
      </c>
      <c r="E8119" t="b">
        <f>IF(COUNTIF(D8119,"*"&amp;'Keyword Search'!$C$5&amp;"*"),TRUE,FALSE)</f>
        <v>1</v>
      </c>
      <c r="G8119" t="str">
        <f t="shared" si="516"/>
        <v>944-89: Vegetable and Melon Farming</v>
      </c>
    </row>
    <row r="8120" spans="1:7" x14ac:dyDescent="0.25">
      <c r="A8120" s="1" t="str">
        <f t="shared" si="518"/>
        <v>944</v>
      </c>
      <c r="B8120" s="1" t="str">
        <f>TEXT(93,"00")</f>
        <v>93</v>
      </c>
      <c r="C8120" s="1" t="str">
        <f t="shared" si="515"/>
        <v>944-93</v>
      </c>
      <c r="D8120" t="s">
        <v>8089</v>
      </c>
      <c r="E8120" t="b">
        <f>IF(COUNTIF(D8120,"*"&amp;'Keyword Search'!$C$5&amp;"*"),TRUE,FALSE)</f>
        <v>1</v>
      </c>
      <c r="G8120" t="str">
        <f t="shared" si="516"/>
        <v>944-93: Wheat Farming</v>
      </c>
    </row>
    <row r="8121" spans="1:7" x14ac:dyDescent="0.25">
      <c r="A8121" s="5" t="str">
        <f t="shared" ref="A8121:A8135" si="519">TEXT(945,"000")</f>
        <v>945</v>
      </c>
      <c r="B8121" s="5" t="str">
        <f>TEXT(0,"00")</f>
        <v>00</v>
      </c>
      <c r="C8121" s="1"/>
      <c r="D8121" s="2" t="s">
        <v>8090</v>
      </c>
    </row>
    <row r="8122" spans="1:7" x14ac:dyDescent="0.25">
      <c r="A8122" s="1" t="str">
        <f t="shared" si="519"/>
        <v>945</v>
      </c>
      <c r="B8122" s="1" t="str">
        <f>TEXT(14,"00")</f>
        <v>14</v>
      </c>
      <c r="C8122" s="1" t="str">
        <f t="shared" si="515"/>
        <v>945-14</v>
      </c>
      <c r="D8122" t="s">
        <v>8091</v>
      </c>
      <c r="E8122" t="b">
        <f>IF(COUNTIF(D8122,"*"&amp;'Keyword Search'!$C$5&amp;"*"),TRUE,FALSE)</f>
        <v>1</v>
      </c>
      <c r="G8122" t="str">
        <f t="shared" si="516"/>
        <v>945-14: Aquaculture: Cultivation of Fish and Shellfish</v>
      </c>
    </row>
    <row r="8123" spans="1:7" x14ac:dyDescent="0.25">
      <c r="A8123" s="1" t="str">
        <f t="shared" si="519"/>
        <v>945</v>
      </c>
      <c r="B8123" s="1" t="str">
        <f>TEXT(31,"00")</f>
        <v>31</v>
      </c>
      <c r="C8123" s="1" t="str">
        <f t="shared" si="515"/>
        <v>945-31</v>
      </c>
      <c r="D8123" t="s">
        <v>8092</v>
      </c>
      <c r="E8123" t="b">
        <f>IF(COUNTIF(D8123,"*"&amp;'Keyword Search'!$C$5&amp;"*"),TRUE,FALSE)</f>
        <v>1</v>
      </c>
      <c r="G8123" t="str">
        <f t="shared" si="516"/>
        <v>945-31: Commercial Fishing Services for Finfish</v>
      </c>
    </row>
    <row r="8124" spans="1:7" x14ac:dyDescent="0.25">
      <c r="A8124" s="1" t="str">
        <f t="shared" si="519"/>
        <v>945</v>
      </c>
      <c r="B8124" s="1" t="str">
        <f>TEXT(32,"00")</f>
        <v>32</v>
      </c>
      <c r="C8124" s="1" t="str">
        <f t="shared" si="515"/>
        <v>945-32</v>
      </c>
      <c r="D8124" t="s">
        <v>8093</v>
      </c>
      <c r="E8124" t="b">
        <f>IF(COUNTIF(D8124,"*"&amp;'Keyword Search'!$C$5&amp;"*"),TRUE,FALSE)</f>
        <v>1</v>
      </c>
      <c r="G8124" t="str">
        <f t="shared" si="516"/>
        <v>945-32: Commercial Fishing Services for Shellfish</v>
      </c>
    </row>
    <row r="8125" spans="1:7" x14ac:dyDescent="0.25">
      <c r="A8125" s="1" t="str">
        <f t="shared" si="519"/>
        <v>945</v>
      </c>
      <c r="B8125" s="1" t="str">
        <f>TEXT(33,"00")</f>
        <v>33</v>
      </c>
      <c r="C8125" s="1" t="str">
        <f t="shared" si="515"/>
        <v>945-33</v>
      </c>
      <c r="D8125" t="s">
        <v>8094</v>
      </c>
      <c r="E8125" t="b">
        <f>IF(COUNTIF(D8125,"*"&amp;'Keyword Search'!$C$5&amp;"*"),TRUE,FALSE)</f>
        <v>1</v>
      </c>
      <c r="G8125" t="str">
        <f t="shared" si="516"/>
        <v>945-33: Commercial Fishing Services for Misc. Marine Products</v>
      </c>
    </row>
    <row r="8126" spans="1:7" x14ac:dyDescent="0.25">
      <c r="A8126" s="1" t="str">
        <f t="shared" si="519"/>
        <v>945</v>
      </c>
      <c r="B8126" s="1" t="str">
        <f>TEXT(42,"00")</f>
        <v>42</v>
      </c>
      <c r="C8126" s="1" t="str">
        <f t="shared" si="515"/>
        <v>945-42</v>
      </c>
      <c r="D8126" t="s">
        <v>8095</v>
      </c>
      <c r="E8126" t="b">
        <f>IF(COUNTIF(D8126,"*"&amp;'Keyword Search'!$C$5&amp;"*"),TRUE,FALSE)</f>
        <v>1</v>
      </c>
      <c r="G8126" t="str">
        <f t="shared" si="516"/>
        <v>945-42: Fish and Marine Life Hatching and Processing Services</v>
      </c>
    </row>
    <row r="8127" spans="1:7" x14ac:dyDescent="0.25">
      <c r="A8127" s="1" t="str">
        <f t="shared" si="519"/>
        <v>945</v>
      </c>
      <c r="B8127" s="1" t="str">
        <f>TEXT(45,"00")</f>
        <v>45</v>
      </c>
      <c r="C8127" s="1" t="str">
        <f t="shared" si="515"/>
        <v>945-45</v>
      </c>
      <c r="D8127" t="s">
        <v>8096</v>
      </c>
      <c r="E8127" t="b">
        <f>IF(COUNTIF(D8127,"*"&amp;'Keyword Search'!$C$5&amp;"*"),TRUE,FALSE)</f>
        <v>1</v>
      </c>
      <c r="G8127" t="str">
        <f t="shared" si="516"/>
        <v>945-45: Game Propagation Services</v>
      </c>
    </row>
    <row r="8128" spans="1:7" x14ac:dyDescent="0.25">
      <c r="A8128" s="1" t="str">
        <f t="shared" si="519"/>
        <v>945</v>
      </c>
      <c r="B8128" s="1" t="str">
        <f>TEXT(49,"00")</f>
        <v>49</v>
      </c>
      <c r="C8128" s="1" t="str">
        <f t="shared" si="515"/>
        <v>945-49</v>
      </c>
      <c r="D8128" t="s">
        <v>8097</v>
      </c>
      <c r="E8128" t="b">
        <f>IF(COUNTIF(D8128,"*"&amp;'Keyword Search'!$C$5&amp;"*"),TRUE,FALSE)</f>
        <v>1</v>
      </c>
      <c r="G8128" t="str">
        <f t="shared" si="516"/>
        <v>945-49: Guide Service: Hunting, Trapping, Fishing</v>
      </c>
    </row>
    <row r="8129" spans="1:7" x14ac:dyDescent="0.25">
      <c r="A8129" s="1" t="str">
        <f t="shared" si="519"/>
        <v>945</v>
      </c>
      <c r="B8129" s="1" t="str">
        <f>TEXT(55,"00")</f>
        <v>55</v>
      </c>
      <c r="C8129" s="1" t="str">
        <f t="shared" si="515"/>
        <v>945-55</v>
      </c>
      <c r="D8129" t="s">
        <v>8098</v>
      </c>
      <c r="E8129" t="b">
        <f>IF(COUNTIF(D8129,"*"&amp;'Keyword Search'!$C$5&amp;"*"),TRUE,FALSE)</f>
        <v>1</v>
      </c>
      <c r="G8129" t="str">
        <f t="shared" si="516"/>
        <v>945-55: Maintenance and Repair, Fishing Equipment</v>
      </c>
    </row>
    <row r="8130" spans="1:7" x14ac:dyDescent="0.25">
      <c r="A8130" s="1" t="str">
        <f t="shared" si="519"/>
        <v>945</v>
      </c>
      <c r="B8130" s="1" t="str">
        <f>TEXT(56,"00")</f>
        <v>56</v>
      </c>
      <c r="C8130" s="1" t="str">
        <f t="shared" si="515"/>
        <v>945-56</v>
      </c>
      <c r="D8130" t="s">
        <v>8099</v>
      </c>
      <c r="E8130" t="b">
        <f>IF(COUNTIF(D8130,"*"&amp;'Keyword Search'!$C$5&amp;"*"),TRUE,FALSE)</f>
        <v>1</v>
      </c>
      <c r="G8130" t="str">
        <f t="shared" si="516"/>
        <v>945-56: Maintenance and Repair, Hunting Equipment</v>
      </c>
    </row>
    <row r="8131" spans="1:7" x14ac:dyDescent="0.25">
      <c r="A8131" s="1" t="str">
        <f t="shared" si="519"/>
        <v>945</v>
      </c>
      <c r="B8131" s="1" t="str">
        <f>TEXT(57,"00")</f>
        <v>57</v>
      </c>
      <c r="C8131" s="1" t="str">
        <f t="shared" ref="C8131:C8194" si="520">CONCATENATE(A8131,"-",B8131)</f>
        <v>945-57</v>
      </c>
      <c r="D8131" t="s">
        <v>8100</v>
      </c>
      <c r="E8131" t="b">
        <f>IF(COUNTIF(D8131,"*"&amp;'Keyword Search'!$C$5&amp;"*"),TRUE,FALSE)</f>
        <v>1</v>
      </c>
      <c r="G8131" t="str">
        <f t="shared" si="516"/>
        <v>945-57: Maintenance and Repair, Trapping Equipment</v>
      </c>
    </row>
    <row r="8132" spans="1:7" x14ac:dyDescent="0.25">
      <c r="A8132" s="1" t="str">
        <f t="shared" si="519"/>
        <v>945</v>
      </c>
      <c r="B8132" s="1" t="str">
        <f>TEXT(63,"00")</f>
        <v>63</v>
      </c>
      <c r="C8132" s="1" t="str">
        <f t="shared" si="520"/>
        <v>945-63</v>
      </c>
      <c r="D8132" t="s">
        <v>8101</v>
      </c>
      <c r="E8132" t="b">
        <f>IF(COUNTIF(D8132,"*"&amp;'Keyword Search'!$C$5&amp;"*"),TRUE,FALSE)</f>
        <v>1</v>
      </c>
      <c r="G8132" t="str">
        <f t="shared" ref="G8132:G8195" si="521">CONCATENATE(C8132,": ",D8132)</f>
        <v>945-63: Processing Services, Wild Game: Fowl, Deer, Elk, etc.</v>
      </c>
    </row>
    <row r="8133" spans="1:7" x14ac:dyDescent="0.25">
      <c r="A8133" s="1" t="str">
        <f t="shared" si="519"/>
        <v>945</v>
      </c>
      <c r="B8133" s="1" t="str">
        <f>TEXT(80,"00")</f>
        <v>80</v>
      </c>
      <c r="C8133" s="1" t="str">
        <f t="shared" si="520"/>
        <v>945-80</v>
      </c>
      <c r="D8133" t="s">
        <v>8102</v>
      </c>
      <c r="E8133" t="b">
        <f>IF(COUNTIF(D8133,"*"&amp;'Keyword Search'!$C$5&amp;"*"),TRUE,FALSE)</f>
        <v>1</v>
      </c>
      <c r="G8133" t="str">
        <f t="shared" si="521"/>
        <v>945-80: Taxidermy Services</v>
      </c>
    </row>
    <row r="8134" spans="1:7" x14ac:dyDescent="0.25">
      <c r="A8134" s="1" t="str">
        <f t="shared" si="519"/>
        <v>945</v>
      </c>
      <c r="B8134" s="1" t="str">
        <f>TEXT(85,"00")</f>
        <v>85</v>
      </c>
      <c r="C8134" s="1" t="str">
        <f t="shared" si="520"/>
        <v>945-85</v>
      </c>
      <c r="D8134" t="s">
        <v>8103</v>
      </c>
      <c r="E8134" t="b">
        <f>IF(COUNTIF(D8134,"*"&amp;'Keyword Search'!$C$5&amp;"*"),TRUE,FALSE)</f>
        <v>1</v>
      </c>
      <c r="G8134" t="str">
        <f t="shared" si="521"/>
        <v>945-85: Trawling Services</v>
      </c>
    </row>
    <row r="8135" spans="1:7" x14ac:dyDescent="0.25">
      <c r="A8135" s="1" t="str">
        <f t="shared" si="519"/>
        <v>945</v>
      </c>
      <c r="B8135" s="1" t="str">
        <f>TEXT(92,"00")</f>
        <v>92</v>
      </c>
      <c r="C8135" s="1" t="str">
        <f t="shared" si="520"/>
        <v>945-92</v>
      </c>
      <c r="D8135" t="s">
        <v>8104</v>
      </c>
      <c r="E8135" t="b">
        <f>IF(COUNTIF(D8135,"*"&amp;'Keyword Search'!$C$5&amp;"*"),TRUE,FALSE)</f>
        <v>1</v>
      </c>
      <c r="G8135" t="str">
        <f t="shared" si="521"/>
        <v>945-92: Whaling Services</v>
      </c>
    </row>
    <row r="8136" spans="1:7" x14ac:dyDescent="0.25">
      <c r="A8136" s="5" t="str">
        <f t="shared" ref="A8136:A8173" si="522">TEXT(946,"000")</f>
        <v>946</v>
      </c>
      <c r="B8136" s="5" t="str">
        <f>TEXT(0,"00")</f>
        <v>00</v>
      </c>
      <c r="C8136" s="1"/>
      <c r="D8136" s="2" t="s">
        <v>8105</v>
      </c>
    </row>
    <row r="8137" spans="1:7" x14ac:dyDescent="0.25">
      <c r="A8137" s="1" t="str">
        <f t="shared" si="522"/>
        <v>946</v>
      </c>
      <c r="B8137" s="1" t="str">
        <f>TEXT(10,"00")</f>
        <v>10</v>
      </c>
      <c r="C8137" s="1" t="str">
        <f t="shared" si="520"/>
        <v>946-10</v>
      </c>
      <c r="D8137" t="s">
        <v>8106</v>
      </c>
      <c r="E8137" t="b">
        <f>IF(COUNTIF(D8137,"*"&amp;'Keyword Search'!$C$5&amp;"*"),TRUE,FALSE)</f>
        <v>1</v>
      </c>
      <c r="G8137" t="str">
        <f t="shared" si="521"/>
        <v>946-10: Accounting and Billing Services, Including Payroll Services, 3rd Party Reimbursement for Medicare, Medicaid, Private Insurance, etc.</v>
      </c>
    </row>
    <row r="8138" spans="1:7" x14ac:dyDescent="0.25">
      <c r="A8138" s="1" t="str">
        <f t="shared" si="522"/>
        <v>946</v>
      </c>
      <c r="B8138" s="1" t="str">
        <f>TEXT(11,"00")</f>
        <v>11</v>
      </c>
      <c r="C8138" s="1" t="str">
        <f t="shared" si="520"/>
        <v>946-11</v>
      </c>
      <c r="D8138" t="s">
        <v>8107</v>
      </c>
      <c r="E8138" t="b">
        <f>IF(COUNTIF(D8138,"*"&amp;'Keyword Search'!$C$5&amp;"*"),TRUE,FALSE)</f>
        <v>1</v>
      </c>
      <c r="G8138" t="str">
        <f t="shared" si="521"/>
        <v>946-11: Accounting Services (Not Otherwise Classified)</v>
      </c>
    </row>
    <row r="8139" spans="1:7" x14ac:dyDescent="0.25">
      <c r="A8139" s="1" t="str">
        <f t="shared" si="522"/>
        <v>946</v>
      </c>
      <c r="B8139" s="1" t="str">
        <f>TEXT(12,"00")</f>
        <v>12</v>
      </c>
      <c r="C8139" s="1" t="str">
        <f t="shared" si="520"/>
        <v>946-12</v>
      </c>
      <c r="D8139" t="s">
        <v>8108</v>
      </c>
      <c r="E8139" t="b">
        <f>IF(COUNTIF(D8139,"*"&amp;'Keyword Search'!$C$5&amp;"*"),TRUE,FALSE)</f>
        <v>1</v>
      </c>
      <c r="G8139" t="str">
        <f t="shared" si="521"/>
        <v>946-12: Actuarial Services</v>
      </c>
    </row>
    <row r="8140" spans="1:7" x14ac:dyDescent="0.25">
      <c r="A8140" s="1" t="str">
        <f t="shared" si="522"/>
        <v>946</v>
      </c>
      <c r="B8140" s="1" t="str">
        <f>TEXT(14,"00")</f>
        <v>14</v>
      </c>
      <c r="C8140" s="1" t="str">
        <f t="shared" si="520"/>
        <v>946-14</v>
      </c>
      <c r="D8140" t="s">
        <v>8109</v>
      </c>
      <c r="E8140" t="b">
        <f>IF(COUNTIF(D8140,"*"&amp;'Keyword Search'!$C$5&amp;"*"),TRUE,FALSE)</f>
        <v>1</v>
      </c>
      <c r="G8140" t="str">
        <f t="shared" si="521"/>
        <v>946-14: Appraisal Services, Antique, Art, etc.</v>
      </c>
    </row>
    <row r="8141" spans="1:7" x14ac:dyDescent="0.25">
      <c r="A8141" s="1" t="str">
        <f t="shared" si="522"/>
        <v>946</v>
      </c>
      <c r="B8141" s="1" t="str">
        <f>TEXT(15,"00")</f>
        <v>15</v>
      </c>
      <c r="C8141" s="1" t="str">
        <f t="shared" si="520"/>
        <v>946-15</v>
      </c>
      <c r="D8141" t="s">
        <v>8110</v>
      </c>
      <c r="E8141" t="b">
        <f>IF(COUNTIF(D8141,"*"&amp;'Keyword Search'!$C$5&amp;"*"),TRUE,FALSE)</f>
        <v>1</v>
      </c>
      <c r="G8141" t="str">
        <f t="shared" si="521"/>
        <v>946-15: Appraisal Services, Real Estate</v>
      </c>
    </row>
    <row r="8142" spans="1:7" x14ac:dyDescent="0.25">
      <c r="A8142" s="1" t="str">
        <f t="shared" si="522"/>
        <v>946</v>
      </c>
      <c r="B8142" s="1" t="str">
        <f>TEXT(16,"00")</f>
        <v>16</v>
      </c>
      <c r="C8142" s="1" t="str">
        <f t="shared" si="520"/>
        <v>946-16</v>
      </c>
      <c r="D8142" t="s">
        <v>8111</v>
      </c>
      <c r="E8142" t="b">
        <f>IF(COUNTIF(D8142,"*"&amp;'Keyword Search'!$C$5&amp;"*"),TRUE,FALSE)</f>
        <v>1</v>
      </c>
      <c r="G8142" t="str">
        <f t="shared" si="521"/>
        <v>946-16: Appraisal Services (Not Otherwise Classified)</v>
      </c>
    </row>
    <row r="8143" spans="1:7" x14ac:dyDescent="0.25">
      <c r="A8143" s="1" t="str">
        <f t="shared" si="522"/>
        <v>946</v>
      </c>
      <c r="B8143" s="1" t="str">
        <f>TEXT(17,"00")</f>
        <v>17</v>
      </c>
      <c r="C8143" s="1" t="str">
        <f t="shared" si="520"/>
        <v>946-17</v>
      </c>
      <c r="D8143" t="s">
        <v>8112</v>
      </c>
      <c r="E8143" t="b">
        <f>IF(COUNTIF(D8143,"*"&amp;'Keyword Search'!$C$5&amp;"*"),TRUE,FALSE)</f>
        <v>1</v>
      </c>
      <c r="G8143" t="str">
        <f t="shared" si="521"/>
        <v>946-17: Appraisal Services, Art</v>
      </c>
    </row>
    <row r="8144" spans="1:7" x14ac:dyDescent="0.25">
      <c r="A8144" s="1" t="str">
        <f t="shared" si="522"/>
        <v>946</v>
      </c>
      <c r="B8144" s="1" t="str">
        <f>TEXT(20,"00")</f>
        <v>20</v>
      </c>
      <c r="C8144" s="1" t="str">
        <f t="shared" si="520"/>
        <v>946-20</v>
      </c>
      <c r="D8144" t="s">
        <v>8113</v>
      </c>
      <c r="E8144" t="b">
        <f>IF(COUNTIF(D8144,"*"&amp;'Keyword Search'!$C$5&amp;"*"),TRUE,FALSE)</f>
        <v>1</v>
      </c>
      <c r="G8144" t="str">
        <f t="shared" si="521"/>
        <v>946-20: Audit Services</v>
      </c>
    </row>
    <row r="8145" spans="1:7" x14ac:dyDescent="0.25">
      <c r="A8145" s="1" t="str">
        <f t="shared" si="522"/>
        <v>946</v>
      </c>
      <c r="B8145" s="1" t="str">
        <f>TEXT(22,"00")</f>
        <v>22</v>
      </c>
      <c r="C8145" s="1" t="str">
        <f t="shared" si="520"/>
        <v>946-22</v>
      </c>
      <c r="D8145" t="s">
        <v>8114</v>
      </c>
      <c r="E8145" t="b">
        <f>IF(COUNTIF(D8145,"*"&amp;'Keyword Search'!$C$5&amp;"*"),TRUE,FALSE)</f>
        <v>1</v>
      </c>
      <c r="G8145" t="str">
        <f t="shared" si="521"/>
        <v>946-22: Automatic Teller Machine (ATM) Services</v>
      </c>
    </row>
    <row r="8146" spans="1:7" x14ac:dyDescent="0.25">
      <c r="A8146" s="1" t="str">
        <f t="shared" si="522"/>
        <v>946</v>
      </c>
      <c r="B8146" s="1" t="str">
        <f>TEXT(25,"00")</f>
        <v>25</v>
      </c>
      <c r="C8146" s="1" t="str">
        <f t="shared" si="520"/>
        <v>946-25</v>
      </c>
      <c r="D8146" t="s">
        <v>8115</v>
      </c>
      <c r="E8146" t="b">
        <f>IF(COUNTIF(D8146,"*"&amp;'Keyword Search'!$C$5&amp;"*"),TRUE,FALSE)</f>
        <v>1</v>
      </c>
      <c r="G8146" t="str">
        <f t="shared" si="521"/>
        <v>946-25: Banking Services</v>
      </c>
    </row>
    <row r="8147" spans="1:7" x14ac:dyDescent="0.25">
      <c r="A8147" s="1" t="str">
        <f t="shared" si="522"/>
        <v>946</v>
      </c>
      <c r="B8147" s="1" t="str">
        <f>TEXT(29,"00")</f>
        <v>29</v>
      </c>
      <c r="C8147" s="1" t="str">
        <f t="shared" si="520"/>
        <v>946-29</v>
      </c>
      <c r="D8147" t="s">
        <v>8116</v>
      </c>
      <c r="E8147" t="b">
        <f>IF(COUNTIF(D8147,"*"&amp;'Keyword Search'!$C$5&amp;"*"),TRUE,FALSE)</f>
        <v>1</v>
      </c>
      <c r="G8147" t="str">
        <f t="shared" si="521"/>
        <v>946-29: Cash Management Service, Including Budgeting Services</v>
      </c>
    </row>
    <row r="8148" spans="1:7" x14ac:dyDescent="0.25">
      <c r="A8148" s="1" t="str">
        <f t="shared" si="522"/>
        <v>946</v>
      </c>
      <c r="B8148" s="1" t="str">
        <f>TEXT(30,"00")</f>
        <v>30</v>
      </c>
      <c r="C8148" s="1" t="str">
        <f t="shared" si="520"/>
        <v>946-30</v>
      </c>
      <c r="D8148" t="s">
        <v>8117</v>
      </c>
      <c r="E8148" t="b">
        <f>IF(COUNTIF(D8148,"*"&amp;'Keyword Search'!$C$5&amp;"*"),TRUE,FALSE)</f>
        <v>1</v>
      </c>
      <c r="G8148" t="str">
        <f t="shared" si="521"/>
        <v>946-30: Cash/Securities and Bonding Services</v>
      </c>
    </row>
    <row r="8149" spans="1:7" x14ac:dyDescent="0.25">
      <c r="A8149" s="1" t="str">
        <f t="shared" si="522"/>
        <v>946</v>
      </c>
      <c r="B8149" s="1" t="str">
        <f>TEXT(31,"00")</f>
        <v>31</v>
      </c>
      <c r="C8149" s="1" t="str">
        <f t="shared" si="520"/>
        <v>946-31</v>
      </c>
      <c r="D8149" t="s">
        <v>8118</v>
      </c>
      <c r="E8149" t="b">
        <f>IF(COUNTIF(D8149,"*"&amp;'Keyword Search'!$C$5&amp;"*"),TRUE,FALSE)</f>
        <v>1</v>
      </c>
      <c r="G8149" t="str">
        <f t="shared" si="521"/>
        <v>946-31: Certified Public Accountant (CPA) Services</v>
      </c>
    </row>
    <row r="8150" spans="1:7" x14ac:dyDescent="0.25">
      <c r="A8150" s="1" t="str">
        <f t="shared" si="522"/>
        <v>946</v>
      </c>
      <c r="B8150" s="1" t="str">
        <f>TEXT(33,"00")</f>
        <v>33</v>
      </c>
      <c r="C8150" s="1" t="str">
        <f t="shared" si="520"/>
        <v>946-33</v>
      </c>
      <c r="D8150" t="s">
        <v>8119</v>
      </c>
      <c r="E8150" t="b">
        <f>IF(COUNTIF(D8150,"*"&amp;'Keyword Search'!$C$5&amp;"*"),TRUE,FALSE)</f>
        <v>1</v>
      </c>
      <c r="G8150" t="str">
        <f t="shared" si="521"/>
        <v>946-33: Collection Services, Financial Debt</v>
      </c>
    </row>
    <row r="8151" spans="1:7" x14ac:dyDescent="0.25">
      <c r="A8151" s="1" t="str">
        <f t="shared" si="522"/>
        <v>946</v>
      </c>
      <c r="B8151" s="1" t="str">
        <f>TEXT(35,"00")</f>
        <v>35</v>
      </c>
      <c r="C8151" s="1" t="str">
        <f t="shared" si="520"/>
        <v>946-35</v>
      </c>
      <c r="D8151" t="s">
        <v>8120</v>
      </c>
      <c r="E8151" t="b">
        <f>IF(COUNTIF(D8151,"*"&amp;'Keyword Search'!$C$5&amp;"*"),TRUE,FALSE)</f>
        <v>1</v>
      </c>
      <c r="G8151" t="str">
        <f t="shared" si="521"/>
        <v>946-35: Credit Card, Charge Card Services</v>
      </c>
    </row>
    <row r="8152" spans="1:7" x14ac:dyDescent="0.25">
      <c r="A8152" s="1" t="str">
        <f t="shared" si="522"/>
        <v>946</v>
      </c>
      <c r="B8152" s="1" t="str">
        <f>TEXT(36,"00")</f>
        <v>36</v>
      </c>
      <c r="C8152" s="1" t="str">
        <f t="shared" si="520"/>
        <v>946-36</v>
      </c>
      <c r="D8152" t="s">
        <v>8121</v>
      </c>
      <c r="E8152" t="b">
        <f>IF(COUNTIF(D8152,"*"&amp;'Keyword Search'!$C$5&amp;"*"),TRUE,FALSE)</f>
        <v>1</v>
      </c>
      <c r="G8152" t="str">
        <f t="shared" si="521"/>
        <v>946-36: Credit Investigation and Reporting</v>
      </c>
    </row>
    <row r="8153" spans="1:7" x14ac:dyDescent="0.25">
      <c r="A8153" s="1" t="str">
        <f t="shared" si="522"/>
        <v>946</v>
      </c>
      <c r="B8153" s="1" t="str">
        <f>TEXT(38,"00")</f>
        <v>38</v>
      </c>
      <c r="C8153" s="1" t="str">
        <f t="shared" si="520"/>
        <v>946-38</v>
      </c>
      <c r="D8153" t="s">
        <v>8122</v>
      </c>
      <c r="E8153" t="b">
        <f>IF(COUNTIF(D8153,"*"&amp;'Keyword Search'!$C$5&amp;"*"),TRUE,FALSE)</f>
        <v>1</v>
      </c>
      <c r="G8153" t="str">
        <f t="shared" si="521"/>
        <v>946-38: Custom Brokerage Services, Including Stocks and Bonds</v>
      </c>
    </row>
    <row r="8154" spans="1:7" x14ac:dyDescent="0.25">
      <c r="A8154" s="1" t="str">
        <f t="shared" si="522"/>
        <v>946</v>
      </c>
      <c r="B8154" s="1" t="str">
        <f>TEXT(45,"00")</f>
        <v>45</v>
      </c>
      <c r="C8154" s="1" t="str">
        <f t="shared" si="520"/>
        <v>946-45</v>
      </c>
      <c r="D8154" t="s">
        <v>8123</v>
      </c>
      <c r="E8154" t="b">
        <f>IF(COUNTIF(D8154,"*"&amp;'Keyword Search'!$C$5&amp;"*"),TRUE,FALSE)</f>
        <v>1</v>
      </c>
      <c r="G8154" t="str">
        <f t="shared" si="521"/>
        <v>946-45: Employee Benefit Funds</v>
      </c>
    </row>
    <row r="8155" spans="1:7" x14ac:dyDescent="0.25">
      <c r="A8155" s="1" t="str">
        <f t="shared" si="522"/>
        <v>946</v>
      </c>
      <c r="B8155" s="1" t="str">
        <f>TEXT(46,"00")</f>
        <v>46</v>
      </c>
      <c r="C8155" s="1" t="str">
        <f t="shared" si="520"/>
        <v>946-46</v>
      </c>
      <c r="D8155" t="s">
        <v>8124</v>
      </c>
      <c r="E8155" t="b">
        <f>IF(COUNTIF(D8155,"*"&amp;'Keyword Search'!$C$5&amp;"*"),TRUE,FALSE)</f>
        <v>1</v>
      </c>
      <c r="G8155" t="str">
        <f t="shared" si="521"/>
        <v>946-46: Escrow and Title Services</v>
      </c>
    </row>
    <row r="8156" spans="1:7" x14ac:dyDescent="0.25">
      <c r="A8156" s="1" t="str">
        <f t="shared" si="522"/>
        <v>946</v>
      </c>
      <c r="B8156" s="1" t="str">
        <f>TEXT(48,"00")</f>
        <v>48</v>
      </c>
      <c r="C8156" s="1" t="str">
        <f t="shared" si="520"/>
        <v>946-48</v>
      </c>
      <c r="D8156" t="s">
        <v>8125</v>
      </c>
      <c r="E8156" t="b">
        <f>IF(COUNTIF(D8156,"*"&amp;'Keyword Search'!$C$5&amp;"*"),TRUE,FALSE)</f>
        <v>1</v>
      </c>
      <c r="G8156" t="str">
        <f t="shared" si="521"/>
        <v>946-48: Financial Advisor</v>
      </c>
    </row>
    <row r="8157" spans="1:7" x14ac:dyDescent="0.25">
      <c r="A8157" s="1" t="str">
        <f t="shared" si="522"/>
        <v>946</v>
      </c>
      <c r="B8157" s="1" t="str">
        <f>TEXT(49,"00")</f>
        <v>49</v>
      </c>
      <c r="C8157" s="1" t="str">
        <f t="shared" si="520"/>
        <v>946-49</v>
      </c>
      <c r="D8157" t="s">
        <v>8126</v>
      </c>
      <c r="E8157" t="b">
        <f>IF(COUNTIF(D8157,"*"&amp;'Keyword Search'!$C$5&amp;"*"),TRUE,FALSE)</f>
        <v>1</v>
      </c>
      <c r="G8157" t="str">
        <f t="shared" si="521"/>
        <v>946-49: Financial Services (Not Otherwise Classified)</v>
      </c>
    </row>
    <row r="8158" spans="1:7" x14ac:dyDescent="0.25">
      <c r="A8158" s="1" t="str">
        <f t="shared" si="522"/>
        <v>946</v>
      </c>
      <c r="B8158" s="1" t="str">
        <f>TEXT(50,"00")</f>
        <v>50</v>
      </c>
      <c r="C8158" s="1" t="str">
        <f t="shared" si="520"/>
        <v>946-50</v>
      </c>
      <c r="D8158" t="s">
        <v>8127</v>
      </c>
      <c r="E8158" t="b">
        <f>IF(COUNTIF(D8158,"*"&amp;'Keyword Search'!$C$5&amp;"*"),TRUE,FALSE)</f>
        <v>1</v>
      </c>
      <c r="G8158" t="str">
        <f t="shared" si="521"/>
        <v>946-50: Fund Raising Services</v>
      </c>
    </row>
    <row r="8159" spans="1:7" x14ac:dyDescent="0.25">
      <c r="A8159" s="1" t="str">
        <f t="shared" si="522"/>
        <v>946</v>
      </c>
      <c r="B8159" s="1" t="str">
        <f>TEXT(52,"00")</f>
        <v>52</v>
      </c>
      <c r="C8159" s="1" t="str">
        <f t="shared" si="520"/>
        <v>946-52</v>
      </c>
      <c r="D8159" t="s">
        <v>8128</v>
      </c>
      <c r="E8159" t="b">
        <f>IF(COUNTIF(D8159,"*"&amp;'Keyword Search'!$C$5&amp;"*"),TRUE,FALSE)</f>
        <v>1</v>
      </c>
      <c r="G8159" t="str">
        <f t="shared" si="521"/>
        <v>946-52: Grant Writing Services</v>
      </c>
    </row>
    <row r="8160" spans="1:7" x14ac:dyDescent="0.25">
      <c r="A8160" s="1" t="str">
        <f t="shared" si="522"/>
        <v>946</v>
      </c>
      <c r="B8160" s="1" t="str">
        <f>TEXT(54,"00")</f>
        <v>54</v>
      </c>
      <c r="C8160" s="1" t="str">
        <f t="shared" si="520"/>
        <v>946-54</v>
      </c>
      <c r="D8160" t="s">
        <v>8129</v>
      </c>
      <c r="E8160" t="b">
        <f>IF(COUNTIF(D8160,"*"&amp;'Keyword Search'!$C$5&amp;"*"),TRUE,FALSE)</f>
        <v>1</v>
      </c>
      <c r="G8160" t="str">
        <f t="shared" si="521"/>
        <v>946-54: *Installment and Lease Purchase Financing</v>
      </c>
    </row>
    <row r="8161" spans="1:7" x14ac:dyDescent="0.25">
      <c r="A8161" s="1" t="str">
        <f t="shared" si="522"/>
        <v>946</v>
      </c>
      <c r="B8161" s="1" t="str">
        <f>TEXT(55,"00")</f>
        <v>55</v>
      </c>
      <c r="C8161" s="1" t="str">
        <f t="shared" si="520"/>
        <v>946-55</v>
      </c>
      <c r="D8161" t="s">
        <v>8130</v>
      </c>
      <c r="E8161" t="b">
        <f>IF(COUNTIF(D8161,"*"&amp;'Keyword Search'!$C$5&amp;"*"),TRUE,FALSE)</f>
        <v>1</v>
      </c>
      <c r="G8161" t="str">
        <f t="shared" si="521"/>
        <v>946-55: Inventory Services</v>
      </c>
    </row>
    <row r="8162" spans="1:7" x14ac:dyDescent="0.25">
      <c r="A8162" s="1" t="str">
        <f t="shared" si="522"/>
        <v>946</v>
      </c>
      <c r="B8162" s="1" t="str">
        <f>TEXT(56,"00")</f>
        <v>56</v>
      </c>
      <c r="C8162" s="1" t="str">
        <f t="shared" si="520"/>
        <v>946-56</v>
      </c>
      <c r="D8162" t="s">
        <v>8131</v>
      </c>
      <c r="E8162" t="b">
        <f>IF(COUNTIF(D8162,"*"&amp;'Keyword Search'!$C$5&amp;"*"),TRUE,FALSE)</f>
        <v>1</v>
      </c>
      <c r="G8162" t="str">
        <f t="shared" si="521"/>
        <v>946-56: Investment Management Services</v>
      </c>
    </row>
    <row r="8163" spans="1:7" x14ac:dyDescent="0.25">
      <c r="A8163" s="1" t="str">
        <f t="shared" si="522"/>
        <v>946</v>
      </c>
      <c r="B8163" s="1" t="str">
        <f>TEXT(60,"00")</f>
        <v>60</v>
      </c>
      <c r="C8163" s="1" t="str">
        <f t="shared" si="520"/>
        <v>946-60</v>
      </c>
      <c r="D8163" t="s">
        <v>8132</v>
      </c>
      <c r="E8163" t="b">
        <f>IF(COUNTIF(D8163,"*"&amp;'Keyword Search'!$C$5&amp;"*"),TRUE,FALSE)</f>
        <v>1</v>
      </c>
      <c r="G8163" t="str">
        <f t="shared" si="521"/>
        <v>946-60: Loan Administration</v>
      </c>
    </row>
    <row r="8164" spans="1:7" x14ac:dyDescent="0.25">
      <c r="A8164" s="1" t="str">
        <f t="shared" si="522"/>
        <v>946</v>
      </c>
      <c r="B8164" s="1" t="str">
        <f>TEXT(64,"00")</f>
        <v>64</v>
      </c>
      <c r="C8164" s="1" t="str">
        <f t="shared" si="520"/>
        <v>946-64</v>
      </c>
      <c r="D8164" t="s">
        <v>8133</v>
      </c>
      <c r="E8164" t="b">
        <f>IF(COUNTIF(D8164,"*"&amp;'Keyword Search'!$C$5&amp;"*"),TRUE,FALSE)</f>
        <v>1</v>
      </c>
      <c r="G8164" t="str">
        <f t="shared" si="521"/>
        <v>946-64: Mortgage Banking Services</v>
      </c>
    </row>
    <row r="8165" spans="1:7" x14ac:dyDescent="0.25">
      <c r="A8165" s="1" t="str">
        <f t="shared" si="522"/>
        <v>946</v>
      </c>
      <c r="B8165" s="1" t="str">
        <f>TEXT(66,"00")</f>
        <v>66</v>
      </c>
      <c r="C8165" s="1" t="str">
        <f t="shared" si="520"/>
        <v>946-66</v>
      </c>
      <c r="D8165" t="s">
        <v>8134</v>
      </c>
      <c r="E8165" t="b">
        <f>IF(COUNTIF(D8165,"*"&amp;'Keyword Search'!$C$5&amp;"*"),TRUE,FALSE)</f>
        <v>1</v>
      </c>
      <c r="G8165" t="str">
        <f t="shared" si="521"/>
        <v>946-66: Monetary Systems, Including Analysis, Liquidity, Policy, etc.</v>
      </c>
    </row>
    <row r="8166" spans="1:7" x14ac:dyDescent="0.25">
      <c r="A8166" s="1" t="str">
        <f t="shared" si="522"/>
        <v>946</v>
      </c>
      <c r="B8166" s="1" t="str">
        <f>TEXT(67,"00")</f>
        <v>67</v>
      </c>
      <c r="C8166" s="1" t="str">
        <f t="shared" si="520"/>
        <v>946-67</v>
      </c>
      <c r="D8166" t="s">
        <v>8135</v>
      </c>
      <c r="E8166" t="b">
        <f>IF(COUNTIF(D8166,"*"&amp;'Keyword Search'!$C$5&amp;"*"),TRUE,FALSE)</f>
        <v>1</v>
      </c>
      <c r="G8166" t="str">
        <f t="shared" si="521"/>
        <v>946-67: Notary Public Services</v>
      </c>
    </row>
    <row r="8167" spans="1:7" x14ac:dyDescent="0.25">
      <c r="A8167" s="1" t="str">
        <f t="shared" si="522"/>
        <v>946</v>
      </c>
      <c r="B8167" s="1" t="str">
        <f>TEXT(70,"00")</f>
        <v>70</v>
      </c>
      <c r="C8167" s="1" t="str">
        <f t="shared" si="520"/>
        <v>946-70</v>
      </c>
      <c r="D8167" t="s">
        <v>8136</v>
      </c>
      <c r="E8167" t="b">
        <f>IF(COUNTIF(D8167,"*"&amp;'Keyword Search'!$C$5&amp;"*"),TRUE,FALSE)</f>
        <v>1</v>
      </c>
      <c r="G8167" t="str">
        <f t="shared" si="521"/>
        <v>946-70: Payment Card Services</v>
      </c>
    </row>
    <row r="8168" spans="1:7" x14ac:dyDescent="0.25">
      <c r="A8168" s="1" t="str">
        <f t="shared" si="522"/>
        <v>946</v>
      </c>
      <c r="B8168" s="1" t="str">
        <f>TEXT(72,"00")</f>
        <v>72</v>
      </c>
      <c r="C8168" s="1" t="str">
        <f t="shared" si="520"/>
        <v>946-72</v>
      </c>
      <c r="D8168" t="s">
        <v>8137</v>
      </c>
      <c r="E8168" t="b">
        <f>IF(COUNTIF(D8168,"*"&amp;'Keyword Search'!$C$5&amp;"*"),TRUE,FALSE)</f>
        <v>1</v>
      </c>
      <c r="G8168" t="str">
        <f t="shared" si="521"/>
        <v>946-72: Retirement Planning Services</v>
      </c>
    </row>
    <row r="8169" spans="1:7" x14ac:dyDescent="0.25">
      <c r="A8169" s="1" t="str">
        <f t="shared" si="522"/>
        <v>946</v>
      </c>
      <c r="B8169" s="1" t="str">
        <f>TEXT(75,"00")</f>
        <v>75</v>
      </c>
      <c r="C8169" s="1" t="str">
        <f t="shared" si="520"/>
        <v>946-75</v>
      </c>
      <c r="D8169" t="s">
        <v>8138</v>
      </c>
      <c r="E8169" t="b">
        <f>IF(COUNTIF(D8169,"*"&amp;'Keyword Search'!$C$5&amp;"*"),TRUE,FALSE)</f>
        <v>1</v>
      </c>
      <c r="G8169" t="str">
        <f t="shared" si="521"/>
        <v>946-75: Securities and Commodities Market Services, Including Direct or Indirect Purchases, Sales and Transitions of Equities, Fixed Income, Options and Derivatives</v>
      </c>
    </row>
    <row r="8170" spans="1:7" x14ac:dyDescent="0.25">
      <c r="A8170" s="1" t="str">
        <f t="shared" si="522"/>
        <v>946</v>
      </c>
      <c r="B8170" s="1" t="str">
        <f>TEXT(76,"00")</f>
        <v>76</v>
      </c>
      <c r="C8170" s="1" t="str">
        <f t="shared" si="520"/>
        <v>946-76</v>
      </c>
      <c r="D8170" t="s">
        <v>8139</v>
      </c>
      <c r="E8170" t="b">
        <f>IF(COUNTIF(D8170,"*"&amp;'Keyword Search'!$C$5&amp;"*"),TRUE,FALSE)</f>
        <v>1</v>
      </c>
      <c r="G8170" t="str">
        <f t="shared" si="521"/>
        <v>946-76: Smartcards, Limited and Standard Use Proximity Integrated Circuit Card (LU-PICC AND PICC)</v>
      </c>
    </row>
    <row r="8171" spans="1:7" x14ac:dyDescent="0.25">
      <c r="A8171" s="1" t="str">
        <f t="shared" si="522"/>
        <v>946</v>
      </c>
      <c r="B8171" s="1" t="str">
        <f>TEXT(77,"00")</f>
        <v>77</v>
      </c>
      <c r="C8171" s="1" t="str">
        <f t="shared" si="520"/>
        <v>946-77</v>
      </c>
      <c r="D8171" t="s">
        <v>8140</v>
      </c>
      <c r="E8171" t="b">
        <f>IF(COUNTIF(D8171,"*"&amp;'Keyword Search'!$C$5&amp;"*"),TRUE,FALSE)</f>
        <v>1</v>
      </c>
      <c r="G8171" t="str">
        <f t="shared" si="521"/>
        <v>946-77: Statistical Services</v>
      </c>
    </row>
    <row r="8172" spans="1:7" x14ac:dyDescent="0.25">
      <c r="A8172" s="1" t="str">
        <f t="shared" si="522"/>
        <v>946</v>
      </c>
      <c r="B8172" s="1" t="str">
        <f>TEXT(82,"00")</f>
        <v>82</v>
      </c>
      <c r="C8172" s="1" t="str">
        <f t="shared" si="520"/>
        <v>946-82</v>
      </c>
      <c r="D8172" t="s">
        <v>8141</v>
      </c>
      <c r="E8172" t="b">
        <f>IF(COUNTIF(D8172,"*"&amp;'Keyword Search'!$C$5&amp;"*"),TRUE,FALSE)</f>
        <v>1</v>
      </c>
      <c r="G8172" t="str">
        <f t="shared" si="521"/>
        <v>946-82: Tax Services, Including Tax Preparation, Advisory Services, etc.</v>
      </c>
    </row>
    <row r="8173" spans="1:7" x14ac:dyDescent="0.25">
      <c r="A8173" s="1" t="str">
        <f t="shared" si="522"/>
        <v>946</v>
      </c>
      <c r="B8173" s="1" t="str">
        <f>TEXT(85,"00")</f>
        <v>85</v>
      </c>
      <c r="C8173" s="1" t="str">
        <f t="shared" si="520"/>
        <v>946-85</v>
      </c>
      <c r="D8173" t="s">
        <v>8142</v>
      </c>
      <c r="E8173" t="b">
        <f>IF(COUNTIF(D8173,"*"&amp;'Keyword Search'!$C$5&amp;"*"),TRUE,FALSE)</f>
        <v>1</v>
      </c>
      <c r="G8173" t="str">
        <f t="shared" si="521"/>
        <v>946-85: Trusts, Estates and Agency Accounts</v>
      </c>
    </row>
    <row r="8174" spans="1:7" x14ac:dyDescent="0.25">
      <c r="A8174" s="5" t="str">
        <f t="shared" ref="A8174:A8184" si="523">TEXT(947,"000")</f>
        <v>947</v>
      </c>
      <c r="B8174" s="5" t="str">
        <f>TEXT(0,"00")</f>
        <v>00</v>
      </c>
      <c r="C8174" s="1"/>
      <c r="D8174" s="2" t="s">
        <v>8143</v>
      </c>
    </row>
    <row r="8175" spans="1:7" x14ac:dyDescent="0.25">
      <c r="A8175" s="1" t="str">
        <f t="shared" si="523"/>
        <v>947</v>
      </c>
      <c r="B8175" s="1" t="str">
        <f>TEXT(32,"00")</f>
        <v>32</v>
      </c>
      <c r="C8175" s="1" t="str">
        <f t="shared" si="520"/>
        <v>947-32</v>
      </c>
      <c r="D8175" t="s">
        <v>8144</v>
      </c>
      <c r="E8175" t="b">
        <f>IF(COUNTIF(D8175,"*"&amp;'Keyword Search'!$C$5&amp;"*"),TRUE,FALSE)</f>
        <v>1</v>
      </c>
      <c r="G8175" t="str">
        <f t="shared" si="521"/>
        <v>947-32: Conservation Services, Forest</v>
      </c>
    </row>
    <row r="8176" spans="1:7" x14ac:dyDescent="0.25">
      <c r="A8176" s="1" t="str">
        <f t="shared" si="523"/>
        <v>947</v>
      </c>
      <c r="B8176" s="1" t="str">
        <f>TEXT(41,"00")</f>
        <v>41</v>
      </c>
      <c r="C8176" s="1" t="str">
        <f t="shared" si="520"/>
        <v>947-41</v>
      </c>
      <c r="D8176" t="s">
        <v>8145</v>
      </c>
      <c r="E8176" t="b">
        <f>IF(COUNTIF(D8176,"*"&amp;'Keyword Search'!$C$5&amp;"*"),TRUE,FALSE)</f>
        <v>1</v>
      </c>
      <c r="G8176" t="str">
        <f t="shared" si="521"/>
        <v>947-41: Firefighting Services, Forestry</v>
      </c>
    </row>
    <row r="8177" spans="1:7" x14ac:dyDescent="0.25">
      <c r="A8177" s="1" t="str">
        <f t="shared" si="523"/>
        <v>947</v>
      </c>
      <c r="B8177" s="1" t="str">
        <f>TEXT(43,"00")</f>
        <v>43</v>
      </c>
      <c r="C8177" s="1" t="str">
        <f t="shared" si="520"/>
        <v>947-43</v>
      </c>
      <c r="D8177" t="s">
        <v>8146</v>
      </c>
      <c r="E8177" t="b">
        <f>IF(COUNTIF(D8177,"*"&amp;'Keyword Search'!$C$5&amp;"*"),TRUE,FALSE)</f>
        <v>1</v>
      </c>
      <c r="G8177" t="str">
        <f t="shared" si="521"/>
        <v>947-43: Forest Nursery and Gathering Services</v>
      </c>
    </row>
    <row r="8178" spans="1:7" x14ac:dyDescent="0.25">
      <c r="A8178" s="1" t="str">
        <f t="shared" si="523"/>
        <v>947</v>
      </c>
      <c r="B8178" s="1" t="str">
        <f>TEXT(45,"00")</f>
        <v>45</v>
      </c>
      <c r="C8178" s="1" t="str">
        <f t="shared" si="520"/>
        <v>947-45</v>
      </c>
      <c r="D8178" t="s">
        <v>8147</v>
      </c>
      <c r="E8178" t="b">
        <f>IF(COUNTIF(D8178,"*"&amp;'Keyword Search'!$C$5&amp;"*"),TRUE,FALSE)</f>
        <v>1</v>
      </c>
      <c r="G8178" t="str">
        <f t="shared" si="521"/>
        <v>947-45: Forestry Economic and Marketing Services, Including Forestry Resources Services</v>
      </c>
    </row>
    <row r="8179" spans="1:7" x14ac:dyDescent="0.25">
      <c r="A8179" s="1" t="str">
        <f t="shared" si="523"/>
        <v>947</v>
      </c>
      <c r="B8179" s="1" t="str">
        <f>TEXT(52,"00")</f>
        <v>52</v>
      </c>
      <c r="C8179" s="1" t="str">
        <f t="shared" si="520"/>
        <v>947-52</v>
      </c>
      <c r="D8179" t="s">
        <v>8148</v>
      </c>
      <c r="E8179" t="b">
        <f>IF(COUNTIF(D8179,"*"&amp;'Keyword Search'!$C$5&amp;"*"),TRUE,FALSE)</f>
        <v>1</v>
      </c>
      <c r="G8179" t="str">
        <f t="shared" si="521"/>
        <v>947-52: Harvesting Services, Forest</v>
      </c>
    </row>
    <row r="8180" spans="1:7" x14ac:dyDescent="0.25">
      <c r="A8180" s="1" t="str">
        <f t="shared" si="523"/>
        <v>947</v>
      </c>
      <c r="B8180" s="1" t="str">
        <f>TEXT(56,"00")</f>
        <v>56</v>
      </c>
      <c r="C8180" s="1" t="str">
        <f t="shared" si="520"/>
        <v>947-56</v>
      </c>
      <c r="D8180" t="s">
        <v>8149</v>
      </c>
      <c r="E8180" t="b">
        <f>IF(COUNTIF(D8180,"*"&amp;'Keyword Search'!$C$5&amp;"*"),TRUE,FALSE)</f>
        <v>1</v>
      </c>
      <c r="G8180" t="str">
        <f t="shared" si="521"/>
        <v>947-56: Logging Services</v>
      </c>
    </row>
    <row r="8181" spans="1:7" x14ac:dyDescent="0.25">
      <c r="A8181" s="1" t="str">
        <f t="shared" si="523"/>
        <v>947</v>
      </c>
      <c r="B8181" s="1" t="str">
        <f>TEXT(62,"00")</f>
        <v>62</v>
      </c>
      <c r="C8181" s="1" t="str">
        <f t="shared" si="520"/>
        <v>947-62</v>
      </c>
      <c r="D8181" t="s">
        <v>8150</v>
      </c>
      <c r="E8181" t="b">
        <f>IF(COUNTIF(D8181,"*"&amp;'Keyword Search'!$C$5&amp;"*"),TRUE,FALSE)</f>
        <v>1</v>
      </c>
      <c r="G8181" t="str">
        <f t="shared" si="521"/>
        <v>947-62: Maintenance and Repair, Forestry Equipment</v>
      </c>
    </row>
    <row r="8182" spans="1:7" x14ac:dyDescent="0.25">
      <c r="A8182" s="1" t="str">
        <f t="shared" si="523"/>
        <v>947</v>
      </c>
      <c r="B8182" s="1" t="str">
        <f>TEXT(74,"00")</f>
        <v>74</v>
      </c>
      <c r="C8182" s="1" t="str">
        <f t="shared" si="520"/>
        <v>947-74</v>
      </c>
      <c r="D8182" t="s">
        <v>8151</v>
      </c>
      <c r="E8182" t="b">
        <f>IF(COUNTIF(D8182,"*"&amp;'Keyword Search'!$C$5&amp;"*"),TRUE,FALSE)</f>
        <v>1</v>
      </c>
      <c r="G8182" t="str">
        <f t="shared" si="521"/>
        <v>947-74: Raking Services, Pine Straw</v>
      </c>
    </row>
    <row r="8183" spans="1:7" x14ac:dyDescent="0.25">
      <c r="A8183" s="1" t="str">
        <f t="shared" si="523"/>
        <v>947</v>
      </c>
      <c r="B8183" s="1" t="str">
        <f>TEXT(81,"00")</f>
        <v>81</v>
      </c>
      <c r="C8183" s="1" t="str">
        <f t="shared" si="520"/>
        <v>947-81</v>
      </c>
      <c r="D8183" t="s">
        <v>8152</v>
      </c>
      <c r="E8183" t="b">
        <f>IF(COUNTIF(D8183,"*"&amp;'Keyword Search'!$C$5&amp;"*"),TRUE,FALSE)</f>
        <v>1</v>
      </c>
      <c r="G8183" t="str">
        <f t="shared" si="521"/>
        <v>947-81: Timber Production Services</v>
      </c>
    </row>
    <row r="8184" spans="1:7" x14ac:dyDescent="0.25">
      <c r="A8184" s="1" t="str">
        <f t="shared" si="523"/>
        <v>947</v>
      </c>
      <c r="B8184" s="1" t="str">
        <f>TEXT(84,"00")</f>
        <v>84</v>
      </c>
      <c r="C8184" s="1" t="str">
        <f t="shared" si="520"/>
        <v>947-84</v>
      </c>
      <c r="D8184" t="s">
        <v>8153</v>
      </c>
      <c r="E8184" t="b">
        <f>IF(COUNTIF(D8184,"*"&amp;'Keyword Search'!$C$5&amp;"*"),TRUE,FALSE)</f>
        <v>1</v>
      </c>
      <c r="G8184" t="str">
        <f t="shared" si="521"/>
        <v>947-84: Tree Farm Operation and Management Services</v>
      </c>
    </row>
    <row r="8185" spans="1:7" x14ac:dyDescent="0.25">
      <c r="A8185" s="5" t="str">
        <f t="shared" ref="A8185:A8229" si="524">TEXT(948,"000")</f>
        <v>948</v>
      </c>
      <c r="B8185" s="5" t="str">
        <f>TEXT(0,"00")</f>
        <v>00</v>
      </c>
      <c r="C8185" s="1"/>
      <c r="D8185" s="2" t="s">
        <v>8154</v>
      </c>
    </row>
    <row r="8186" spans="1:7" x14ac:dyDescent="0.25">
      <c r="A8186" s="1" t="str">
        <f t="shared" si="524"/>
        <v>948</v>
      </c>
      <c r="B8186" s="1" t="str">
        <f>TEXT(7,"00")</f>
        <v>07</v>
      </c>
      <c r="C8186" s="1" t="str">
        <f t="shared" si="520"/>
        <v>948-07</v>
      </c>
      <c r="D8186" t="s">
        <v>8155</v>
      </c>
      <c r="E8186" t="b">
        <f>IF(COUNTIF(D8186,"*"&amp;'Keyword Search'!$C$5&amp;"*"),TRUE,FALSE)</f>
        <v>1</v>
      </c>
      <c r="G8186" t="str">
        <f t="shared" si="521"/>
        <v>948-07: Administration Services, Health</v>
      </c>
    </row>
    <row r="8187" spans="1:7" x14ac:dyDescent="0.25">
      <c r="A8187" s="1" t="str">
        <f t="shared" si="524"/>
        <v>948</v>
      </c>
      <c r="B8187" s="1" t="str">
        <f>TEXT(12,"00")</f>
        <v>12</v>
      </c>
      <c r="C8187" s="1" t="str">
        <f t="shared" si="520"/>
        <v>948-12</v>
      </c>
      <c r="D8187" t="s">
        <v>8156</v>
      </c>
      <c r="E8187" t="b">
        <f>IF(COUNTIF(D8187,"*"&amp;'Keyword Search'!$C$5&amp;"*"),TRUE,FALSE)</f>
        <v>1</v>
      </c>
      <c r="G8187" t="str">
        <f t="shared" si="521"/>
        <v>948-12: Ambulance Services, Non-emergency (See 990-37 for Emergency Ambulance Services)</v>
      </c>
    </row>
    <row r="8188" spans="1:7" x14ac:dyDescent="0.25">
      <c r="A8188" s="1" t="str">
        <f t="shared" si="524"/>
        <v>948</v>
      </c>
      <c r="B8188" s="1" t="str">
        <f>TEXT(15,"00")</f>
        <v>15</v>
      </c>
      <c r="C8188" s="1" t="str">
        <f t="shared" si="520"/>
        <v>948-15</v>
      </c>
      <c r="D8188" t="s">
        <v>8157</v>
      </c>
      <c r="E8188" t="b">
        <f>IF(COUNTIF(D8188,"*"&amp;'Keyword Search'!$C$5&amp;"*"),TRUE,FALSE)</f>
        <v>1</v>
      </c>
      <c r="G8188" t="str">
        <f t="shared" si="521"/>
        <v>948-15: Audiology Services, Including Hearing Aid Services</v>
      </c>
    </row>
    <row r="8189" spans="1:7" x14ac:dyDescent="0.25">
      <c r="A8189" s="1" t="str">
        <f t="shared" si="524"/>
        <v>948</v>
      </c>
      <c r="B8189" s="1" t="str">
        <f>TEXT(26,"00")</f>
        <v>26</v>
      </c>
      <c r="C8189" s="1" t="str">
        <f t="shared" si="520"/>
        <v>948-26</v>
      </c>
      <c r="D8189" t="s">
        <v>8158</v>
      </c>
      <c r="E8189" t="b">
        <f>IF(COUNTIF(D8189,"*"&amp;'Keyword Search'!$C$5&amp;"*"),TRUE,FALSE)</f>
        <v>1</v>
      </c>
      <c r="G8189" t="str">
        <f t="shared" si="521"/>
        <v>948-26: Cytology Screening Services</v>
      </c>
    </row>
    <row r="8190" spans="1:7" x14ac:dyDescent="0.25">
      <c r="A8190" s="1" t="str">
        <f t="shared" si="524"/>
        <v>948</v>
      </c>
      <c r="B8190" s="1" t="str">
        <f>TEXT(27,"00")</f>
        <v>27</v>
      </c>
      <c r="C8190" s="1" t="str">
        <f t="shared" si="520"/>
        <v>948-27</v>
      </c>
      <c r="D8190" t="s">
        <v>8159</v>
      </c>
      <c r="E8190" t="b">
        <f>IF(COUNTIF(D8190,"*"&amp;'Keyword Search'!$C$5&amp;"*"),TRUE,FALSE)</f>
        <v>1</v>
      </c>
      <c r="G8190" t="str">
        <f t="shared" si="521"/>
        <v>948-27: Dental Laboratory Services</v>
      </c>
    </row>
    <row r="8191" spans="1:7" x14ac:dyDescent="0.25">
      <c r="A8191" s="1" t="str">
        <f t="shared" si="524"/>
        <v>948</v>
      </c>
      <c r="B8191" s="1" t="str">
        <f>TEXT(28,"00")</f>
        <v>28</v>
      </c>
      <c r="C8191" s="1" t="str">
        <f t="shared" si="520"/>
        <v>948-28</v>
      </c>
      <c r="D8191" t="s">
        <v>8160</v>
      </c>
      <c r="E8191" t="b">
        <f>IF(COUNTIF(D8191,"*"&amp;'Keyword Search'!$C$5&amp;"*"),TRUE,FALSE)</f>
        <v>1</v>
      </c>
      <c r="G8191" t="str">
        <f t="shared" si="521"/>
        <v>948-28: Dental Services</v>
      </c>
    </row>
    <row r="8192" spans="1:7" x14ac:dyDescent="0.25">
      <c r="A8192" s="1" t="str">
        <f t="shared" si="524"/>
        <v>948</v>
      </c>
      <c r="B8192" s="1" t="str">
        <f>TEXT(29,"00")</f>
        <v>29</v>
      </c>
      <c r="C8192" s="1" t="str">
        <f t="shared" si="520"/>
        <v>948-29</v>
      </c>
      <c r="D8192" t="s">
        <v>8161</v>
      </c>
      <c r="E8192" t="b">
        <f>IF(COUNTIF(D8192,"*"&amp;'Keyword Search'!$C$5&amp;"*"),TRUE,FALSE)</f>
        <v>1</v>
      </c>
      <c r="G8192" t="str">
        <f t="shared" si="521"/>
        <v>948-29: Dental Prosthetic Manufacturing Services</v>
      </c>
    </row>
    <row r="8193" spans="1:7" x14ac:dyDescent="0.25">
      <c r="A8193" s="1" t="str">
        <f t="shared" si="524"/>
        <v>948</v>
      </c>
      <c r="B8193" s="1" t="str">
        <f>TEXT(32,"00")</f>
        <v>32</v>
      </c>
      <c r="C8193" s="1" t="str">
        <f t="shared" si="520"/>
        <v>948-32</v>
      </c>
      <c r="D8193" t="s">
        <v>8162</v>
      </c>
      <c r="E8193" t="b">
        <f>IF(COUNTIF(D8193,"*"&amp;'Keyword Search'!$C$5&amp;"*"),TRUE,FALSE)</f>
        <v>1</v>
      </c>
      <c r="G8193" t="str">
        <f t="shared" si="521"/>
        <v>948-32: Dietician Services</v>
      </c>
    </row>
    <row r="8194" spans="1:7" x14ac:dyDescent="0.25">
      <c r="A8194" s="1" t="str">
        <f t="shared" si="524"/>
        <v>948</v>
      </c>
      <c r="B8194" s="1" t="str">
        <f>TEXT(33,"00")</f>
        <v>33</v>
      </c>
      <c r="C8194" s="1" t="str">
        <f t="shared" si="520"/>
        <v>948-33</v>
      </c>
      <c r="D8194" t="s">
        <v>8163</v>
      </c>
      <c r="E8194" t="b">
        <f>IF(COUNTIF(D8194,"*"&amp;'Keyword Search'!$C$5&amp;"*"),TRUE,FALSE)</f>
        <v>1</v>
      </c>
      <c r="G8194" t="str">
        <f t="shared" si="521"/>
        <v>948-33: Disease Prevention and Control Services, Non-Contagious (See 948-92 for Vaccination Services)</v>
      </c>
    </row>
    <row r="8195" spans="1:7" x14ac:dyDescent="0.25">
      <c r="A8195" s="1" t="str">
        <f t="shared" si="524"/>
        <v>948</v>
      </c>
      <c r="B8195" s="1" t="str">
        <f>TEXT(34,"00")</f>
        <v>34</v>
      </c>
      <c r="C8195" s="1" t="str">
        <f t="shared" ref="C8195:C8258" si="525">CONCATENATE(A8195,"-",B8195)</f>
        <v>948-34</v>
      </c>
      <c r="D8195" t="s">
        <v>8164</v>
      </c>
      <c r="E8195" t="b">
        <f>IF(COUNTIF(D8195,"*"&amp;'Keyword Search'!$C$5&amp;"*"),TRUE,FALSE)</f>
        <v>1</v>
      </c>
      <c r="G8195" t="str">
        <f t="shared" si="521"/>
        <v>948-34: Disease Prevention and Control Services, Contagious (See 948-92 for Vaccination Services)</v>
      </c>
    </row>
    <row r="8196" spans="1:7" x14ac:dyDescent="0.25">
      <c r="A8196" s="1" t="str">
        <f t="shared" si="524"/>
        <v>948</v>
      </c>
      <c r="B8196" s="1" t="str">
        <f>TEXT(36,"00")</f>
        <v>36</v>
      </c>
      <c r="C8196" s="1" t="str">
        <f t="shared" si="525"/>
        <v>948-36</v>
      </c>
      <c r="D8196" t="s">
        <v>8165</v>
      </c>
      <c r="E8196" t="b">
        <f>IF(COUNTIF(D8196,"*"&amp;'Keyword Search'!$C$5&amp;"*"),TRUE,FALSE)</f>
        <v>1</v>
      </c>
      <c r="G8196" t="str">
        <f t="shared" ref="G8196:G8259" si="526">CONCATENATE(C8196,": ",D8196)</f>
        <v>948-36: Exercise Program Services (Inactive, please see commodity code 948-73 effective January 1, 2016)</v>
      </c>
    </row>
    <row r="8197" spans="1:7" x14ac:dyDescent="0.25">
      <c r="A8197" s="1" t="str">
        <f t="shared" si="524"/>
        <v>948</v>
      </c>
      <c r="B8197" s="1" t="str">
        <f>TEXT(37,"00")</f>
        <v>37</v>
      </c>
      <c r="C8197" s="1" t="str">
        <f t="shared" si="525"/>
        <v>948-37</v>
      </c>
      <c r="D8197" t="s">
        <v>8166</v>
      </c>
      <c r="E8197" t="b">
        <f>IF(COUNTIF(D8197,"*"&amp;'Keyword Search'!$C$5&amp;"*"),TRUE,FALSE)</f>
        <v>1</v>
      </c>
      <c r="G8197" t="str">
        <f t="shared" si="526"/>
        <v>948-37: Experimental Medical Services</v>
      </c>
    </row>
    <row r="8198" spans="1:7" x14ac:dyDescent="0.25">
      <c r="A8198" s="1" t="str">
        <f t="shared" si="524"/>
        <v>948</v>
      </c>
      <c r="B8198" s="1" t="str">
        <f>TEXT(43,"00")</f>
        <v>43</v>
      </c>
      <c r="C8198" s="1" t="str">
        <f t="shared" si="525"/>
        <v>948-43</v>
      </c>
      <c r="D8198" t="s">
        <v>8167</v>
      </c>
      <c r="E8198" t="b">
        <f>IF(COUNTIF(D8198,"*"&amp;'Keyword Search'!$C$5&amp;"*"),TRUE,FALSE)</f>
        <v>1</v>
      </c>
      <c r="G8198" t="str">
        <f t="shared" si="526"/>
        <v>948-43: Health Information Services</v>
      </c>
    </row>
    <row r="8199" spans="1:7" x14ac:dyDescent="0.25">
      <c r="A8199" s="1" t="str">
        <f t="shared" si="524"/>
        <v>948</v>
      </c>
      <c r="B8199" s="1" t="str">
        <f>TEXT(44,"00")</f>
        <v>44</v>
      </c>
      <c r="C8199" s="1" t="str">
        <f t="shared" si="525"/>
        <v>948-44</v>
      </c>
      <c r="D8199" t="s">
        <v>8168</v>
      </c>
      <c r="E8199" t="b">
        <f>IF(COUNTIF(D8199,"*"&amp;'Keyword Search'!$C$5&amp;"*"),TRUE,FALSE)</f>
        <v>1</v>
      </c>
      <c r="G8199" t="str">
        <f t="shared" si="526"/>
        <v>948-44: Health Physics Services</v>
      </c>
    </row>
    <row r="8200" spans="1:7" x14ac:dyDescent="0.25">
      <c r="A8200" s="1" t="str">
        <f t="shared" si="524"/>
        <v>948</v>
      </c>
      <c r="B8200" s="1" t="str">
        <f>TEXT(45,"00")</f>
        <v>45</v>
      </c>
      <c r="C8200" s="1" t="str">
        <f t="shared" si="525"/>
        <v>948-45</v>
      </c>
      <c r="D8200" t="s">
        <v>8169</v>
      </c>
      <c r="E8200" t="b">
        <f>IF(COUNTIF(D8200,"*"&amp;'Keyword Search'!$C$5&amp;"*"),TRUE,FALSE)</f>
        <v>1</v>
      </c>
      <c r="G8200" t="str">
        <f t="shared" si="526"/>
        <v>948-45: Home Health Care Services</v>
      </c>
    </row>
    <row r="8201" spans="1:7" x14ac:dyDescent="0.25">
      <c r="A8201" s="1" t="str">
        <f t="shared" si="524"/>
        <v>948</v>
      </c>
      <c r="B8201" s="1" t="str">
        <f>TEXT(46,"00")</f>
        <v>46</v>
      </c>
      <c r="C8201" s="1" t="str">
        <f t="shared" si="525"/>
        <v>948-46</v>
      </c>
      <c r="D8201" t="s">
        <v>8170</v>
      </c>
      <c r="E8201" t="b">
        <f>IF(COUNTIF(D8201,"*"&amp;'Keyword Search'!$C$5&amp;"*"),TRUE,FALSE)</f>
        <v>1</v>
      </c>
      <c r="G8201" t="str">
        <f t="shared" si="526"/>
        <v>948-46: Hospital Services, Inpatient and Outpatient</v>
      </c>
    </row>
    <row r="8202" spans="1:7" x14ac:dyDescent="0.25">
      <c r="A8202" s="1" t="str">
        <f t="shared" si="524"/>
        <v>948</v>
      </c>
      <c r="B8202" s="1" t="str">
        <f>TEXT(47,"00")</f>
        <v>47</v>
      </c>
      <c r="C8202" s="1" t="str">
        <f t="shared" si="525"/>
        <v>948-47</v>
      </c>
      <c r="D8202" t="s">
        <v>8171</v>
      </c>
      <c r="E8202" t="b">
        <f>IF(COUNTIF(D8202,"*"&amp;'Keyword Search'!$C$5&amp;"*"),TRUE,FALSE)</f>
        <v>1</v>
      </c>
      <c r="G8202" t="str">
        <f t="shared" si="526"/>
        <v>948-47: Health Care Center Services</v>
      </c>
    </row>
    <row r="8203" spans="1:7" x14ac:dyDescent="0.25">
      <c r="A8203" s="1" t="str">
        <f t="shared" si="524"/>
        <v>948</v>
      </c>
      <c r="B8203" s="1" t="str">
        <f>TEXT(48,"00")</f>
        <v>48</v>
      </c>
      <c r="C8203" s="1" t="str">
        <f t="shared" si="525"/>
        <v>948-48</v>
      </c>
      <c r="D8203" t="s">
        <v>8172</v>
      </c>
      <c r="E8203" t="b">
        <f>IF(COUNTIF(D8203,"*"&amp;'Keyword Search'!$C$5&amp;"*"),TRUE,FALSE)</f>
        <v>1</v>
      </c>
      <c r="G8203" t="str">
        <f t="shared" si="526"/>
        <v>948-48: Health Care Services (Not Otherwise Classified)</v>
      </c>
    </row>
    <row r="8204" spans="1:7" x14ac:dyDescent="0.25">
      <c r="A8204" s="1" t="str">
        <f t="shared" si="524"/>
        <v>948</v>
      </c>
      <c r="B8204" s="1" t="str">
        <f>TEXT(49,"00")</f>
        <v>49</v>
      </c>
      <c r="C8204" s="1" t="str">
        <f t="shared" si="525"/>
        <v>948-49</v>
      </c>
      <c r="D8204" t="s">
        <v>8173</v>
      </c>
      <c r="E8204" t="b">
        <f>IF(COUNTIF(D8204,"*"&amp;'Keyword Search'!$C$5&amp;"*"),TRUE,FALSE)</f>
        <v>1</v>
      </c>
      <c r="G8204" t="str">
        <f t="shared" si="526"/>
        <v>948-49: Hygiene Services, Industrial</v>
      </c>
    </row>
    <row r="8205" spans="1:7" x14ac:dyDescent="0.25">
      <c r="A8205" s="1" t="str">
        <f t="shared" si="524"/>
        <v>948</v>
      </c>
      <c r="B8205" s="1" t="str">
        <f>TEXT(51,"00")</f>
        <v>51</v>
      </c>
      <c r="C8205" s="1" t="str">
        <f t="shared" si="525"/>
        <v>948-51</v>
      </c>
      <c r="D8205" t="s">
        <v>8174</v>
      </c>
      <c r="E8205" t="b">
        <f>IF(COUNTIF(D8205,"*"&amp;'Keyword Search'!$C$5&amp;"*"),TRUE,FALSE)</f>
        <v>1</v>
      </c>
      <c r="G8205" t="str">
        <f t="shared" si="526"/>
        <v>948-51: Imaging and Diagnostic Services</v>
      </c>
    </row>
    <row r="8206" spans="1:7" x14ac:dyDescent="0.25">
      <c r="A8206" s="1" t="str">
        <f t="shared" si="524"/>
        <v>948</v>
      </c>
      <c r="B8206" s="1" t="str">
        <f>TEXT(52,"00")</f>
        <v>52</v>
      </c>
      <c r="C8206" s="1" t="str">
        <f t="shared" si="525"/>
        <v>948-52</v>
      </c>
      <c r="D8206" t="s">
        <v>8175</v>
      </c>
      <c r="E8206" t="b">
        <f>IF(COUNTIF(D8206,"*"&amp;'Keyword Search'!$C$5&amp;"*"),TRUE,FALSE)</f>
        <v>1</v>
      </c>
      <c r="G8206" t="str">
        <f t="shared" si="526"/>
        <v>948-52: Infant Mortality Reduction Initiative</v>
      </c>
    </row>
    <row r="8207" spans="1:7" x14ac:dyDescent="0.25">
      <c r="A8207" s="1" t="str">
        <f t="shared" si="524"/>
        <v>948</v>
      </c>
      <c r="B8207" s="1" t="str">
        <f>TEXT(53,"00")</f>
        <v>53</v>
      </c>
      <c r="C8207" s="1" t="str">
        <f t="shared" si="525"/>
        <v>948-53</v>
      </c>
      <c r="D8207" t="s">
        <v>8176</v>
      </c>
      <c r="E8207" t="b">
        <f>IF(COUNTIF(D8207,"*"&amp;'Keyword Search'!$C$5&amp;"*"),TRUE,FALSE)</f>
        <v>1</v>
      </c>
      <c r="G8207" t="str">
        <f t="shared" si="526"/>
        <v>948-53: Laser Light and Electro Stimulation Services, Including Acupuncture Services</v>
      </c>
    </row>
    <row r="8208" spans="1:7" x14ac:dyDescent="0.25">
      <c r="A8208" s="1" t="str">
        <f t="shared" si="524"/>
        <v>948</v>
      </c>
      <c r="B8208" s="1" t="str">
        <f>TEXT(54,"00")</f>
        <v>54</v>
      </c>
      <c r="C8208" s="1" t="str">
        <f t="shared" si="525"/>
        <v>948-54</v>
      </c>
      <c r="D8208" t="s">
        <v>8177</v>
      </c>
      <c r="E8208" t="b">
        <f>IF(COUNTIF(D8208,"*"&amp;'Keyword Search'!$C$5&amp;"*"),TRUE,FALSE)</f>
        <v>1</v>
      </c>
      <c r="G8208" t="str">
        <f t="shared" si="526"/>
        <v>948-54: Massage Services</v>
      </c>
    </row>
    <row r="8209" spans="1:7" x14ac:dyDescent="0.25">
      <c r="A8209" s="1" t="str">
        <f t="shared" si="524"/>
        <v>948</v>
      </c>
      <c r="B8209" s="1" t="str">
        <f>TEXT(55,"00")</f>
        <v>55</v>
      </c>
      <c r="C8209" s="1" t="str">
        <f t="shared" si="525"/>
        <v>948-55</v>
      </c>
      <c r="D8209" t="s">
        <v>8178</v>
      </c>
      <c r="E8209" t="b">
        <f>IF(COUNTIF(D8209,"*"&amp;'Keyword Search'!$C$5&amp;"*"),TRUE,FALSE)</f>
        <v>1</v>
      </c>
      <c r="G8209" t="str">
        <f t="shared" si="526"/>
        <v>948-55: Medical and Laboratory Services, Non-Physician</v>
      </c>
    </row>
    <row r="8210" spans="1:7" x14ac:dyDescent="0.25">
      <c r="A8210" s="1" t="str">
        <f t="shared" si="524"/>
        <v>948</v>
      </c>
      <c r="B8210" s="1" t="str">
        <f>TEXT(57,"00")</f>
        <v>57</v>
      </c>
      <c r="C8210" s="1" t="str">
        <f t="shared" si="525"/>
        <v>948-57</v>
      </c>
      <c r="D8210" t="s">
        <v>8179</v>
      </c>
      <c r="E8210" t="b">
        <f>IF(COUNTIF(D8210,"*"&amp;'Keyword Search'!$C$5&amp;"*"),TRUE,FALSE)</f>
        <v>1</v>
      </c>
      <c r="G8210" t="str">
        <f t="shared" si="526"/>
        <v>948-57: MEDICAL SERVICES, SURGICAL</v>
      </c>
    </row>
    <row r="8211" spans="1:7" x14ac:dyDescent="0.25">
      <c r="A8211" s="1" t="str">
        <f t="shared" si="524"/>
        <v>948</v>
      </c>
      <c r="B8211" s="1" t="str">
        <f>TEXT(64,"00")</f>
        <v>64</v>
      </c>
      <c r="C8211" s="1" t="str">
        <f t="shared" si="525"/>
        <v>948-64</v>
      </c>
      <c r="D8211" t="s">
        <v>8180</v>
      </c>
      <c r="E8211" t="b">
        <f>IF(COUNTIF(D8211,"*"&amp;'Keyword Search'!$C$5&amp;"*"),TRUE,FALSE)</f>
        <v>1</v>
      </c>
      <c r="G8211" t="str">
        <f t="shared" si="526"/>
        <v>948-64: Nursing Services</v>
      </c>
    </row>
    <row r="8212" spans="1:7" x14ac:dyDescent="0.25">
      <c r="A8212" s="1" t="str">
        <f t="shared" si="524"/>
        <v>948</v>
      </c>
      <c r="B8212" s="1" t="str">
        <f>TEXT(65,"00")</f>
        <v>65</v>
      </c>
      <c r="C8212" s="1" t="str">
        <f t="shared" si="525"/>
        <v>948-65</v>
      </c>
      <c r="D8212" t="s">
        <v>8181</v>
      </c>
      <c r="E8212" t="b">
        <f>IF(COUNTIF(D8212,"*"&amp;'Keyword Search'!$C$5&amp;"*"),TRUE,FALSE)</f>
        <v>1</v>
      </c>
      <c r="G8212" t="str">
        <f t="shared" si="526"/>
        <v>948-65: Nursing Home Services</v>
      </c>
    </row>
    <row r="8213" spans="1:7" x14ac:dyDescent="0.25">
      <c r="A8213" s="1" t="str">
        <f t="shared" si="524"/>
        <v>948</v>
      </c>
      <c r="B8213" s="1" t="str">
        <f>TEXT(68,"00")</f>
        <v>68</v>
      </c>
      <c r="C8213" s="1" t="str">
        <f t="shared" si="525"/>
        <v>948-68</v>
      </c>
      <c r="D8213" t="s">
        <v>8182</v>
      </c>
      <c r="E8213" t="b">
        <f>IF(COUNTIF(D8213,"*"&amp;'Keyword Search'!$C$5&amp;"*"),TRUE,FALSE)</f>
        <v>1</v>
      </c>
      <c r="G8213" t="str">
        <f t="shared" si="526"/>
        <v>948-68: Optician and Optometrical Services. Non-Physician</v>
      </c>
    </row>
    <row r="8214" spans="1:7" x14ac:dyDescent="0.25">
      <c r="A8214" s="1" t="str">
        <f t="shared" si="524"/>
        <v>948</v>
      </c>
      <c r="B8214" s="1" t="str">
        <f>TEXT(71,"00")</f>
        <v>71</v>
      </c>
      <c r="C8214" s="1" t="str">
        <f t="shared" si="525"/>
        <v>948-71</v>
      </c>
      <c r="D8214" t="s">
        <v>8183</v>
      </c>
      <c r="E8214" t="b">
        <f>IF(COUNTIF(D8214,"*"&amp;'Keyword Search'!$C$5&amp;"*"),TRUE,FALSE)</f>
        <v>1</v>
      </c>
      <c r="G8214" t="str">
        <f t="shared" si="526"/>
        <v>948-71: Physician Credentialing Services</v>
      </c>
    </row>
    <row r="8215" spans="1:7" x14ac:dyDescent="0.25">
      <c r="A8215" s="1" t="str">
        <f t="shared" si="524"/>
        <v>948</v>
      </c>
      <c r="B8215" s="1" t="str">
        <f>TEXT(72,"00")</f>
        <v>72</v>
      </c>
      <c r="C8215" s="1" t="str">
        <f t="shared" si="525"/>
        <v>948-72</v>
      </c>
      <c r="D8215" t="s">
        <v>8184</v>
      </c>
      <c r="E8215" t="b">
        <f>IF(COUNTIF(D8215,"*"&amp;'Keyword Search'!$C$5&amp;"*"),TRUE,FALSE)</f>
        <v>1</v>
      </c>
      <c r="G8215" t="str">
        <f t="shared" si="526"/>
        <v>948-72: Pharmaceutical Services</v>
      </c>
    </row>
    <row r="8216" spans="1:7" x14ac:dyDescent="0.25">
      <c r="A8216" s="1" t="str">
        <f t="shared" si="524"/>
        <v>948</v>
      </c>
      <c r="B8216" s="1" t="str">
        <f>TEXT(73,"00")</f>
        <v>73</v>
      </c>
      <c r="C8216" s="1" t="str">
        <f t="shared" si="525"/>
        <v>948-73</v>
      </c>
      <c r="D8216" t="s">
        <v>8185</v>
      </c>
      <c r="E8216" t="b">
        <f>IF(COUNTIF(D8216,"*"&amp;'Keyword Search'!$C$5&amp;"*"),TRUE,FALSE)</f>
        <v>1</v>
      </c>
      <c r="G8216" t="str">
        <f t="shared" si="526"/>
        <v>948-73: Physical Fitness Programs</v>
      </c>
    </row>
    <row r="8217" spans="1:7" x14ac:dyDescent="0.25">
      <c r="A8217" s="1" t="str">
        <f t="shared" si="524"/>
        <v>948</v>
      </c>
      <c r="B8217" s="1" t="str">
        <f>TEXT(74,"00")</f>
        <v>74</v>
      </c>
      <c r="C8217" s="1" t="str">
        <f t="shared" si="525"/>
        <v>948-74</v>
      </c>
      <c r="D8217" t="s">
        <v>8186</v>
      </c>
      <c r="E8217" t="b">
        <f>IF(COUNTIF(D8217,"*"&amp;'Keyword Search'!$C$5&amp;"*"),TRUE,FALSE)</f>
        <v>1</v>
      </c>
      <c r="G8217" t="str">
        <f t="shared" si="526"/>
        <v>948-74: Professional Medical Services: Physicians, Pharmacists, and All Specialties</v>
      </c>
    </row>
    <row r="8218" spans="1:7" x14ac:dyDescent="0.25">
      <c r="A8218" s="1" t="str">
        <f t="shared" si="524"/>
        <v>948</v>
      </c>
      <c r="B8218" s="1" t="str">
        <f>TEXT(75,"00")</f>
        <v>75</v>
      </c>
      <c r="C8218" s="1" t="str">
        <f t="shared" si="525"/>
        <v>948-75</v>
      </c>
      <c r="D8218" t="s">
        <v>8187</v>
      </c>
      <c r="E8218" t="b">
        <f>IF(COUNTIF(D8218,"*"&amp;'Keyword Search'!$C$5&amp;"*"),TRUE,FALSE)</f>
        <v>1</v>
      </c>
      <c r="G8218" t="str">
        <f t="shared" si="526"/>
        <v>948-75: Prosthetic Manufacturing Services, Other Than Dental</v>
      </c>
    </row>
    <row r="8219" spans="1:7" x14ac:dyDescent="0.25">
      <c r="A8219" s="1" t="str">
        <f t="shared" si="524"/>
        <v>948</v>
      </c>
      <c r="B8219" s="1" t="str">
        <f>TEXT(76,"00")</f>
        <v>76</v>
      </c>
      <c r="C8219" s="1" t="str">
        <f t="shared" si="525"/>
        <v>948-76</v>
      </c>
      <c r="D8219" t="s">
        <v>8188</v>
      </c>
      <c r="E8219" t="b">
        <f>IF(COUNTIF(D8219,"*"&amp;'Keyword Search'!$C$5&amp;"*"),TRUE,FALSE)</f>
        <v>1</v>
      </c>
      <c r="G8219" t="str">
        <f t="shared" si="526"/>
        <v>948-76: Psychologists, Psychological and Psychiatric Services, Including Behavioral Management Services</v>
      </c>
    </row>
    <row r="8220" spans="1:7" x14ac:dyDescent="0.25">
      <c r="A8220" s="1" t="str">
        <f t="shared" si="524"/>
        <v>948</v>
      </c>
      <c r="B8220" s="1" t="str">
        <f>TEXT(80,"00")</f>
        <v>80</v>
      </c>
      <c r="C8220" s="1" t="str">
        <f t="shared" si="525"/>
        <v>948-80</v>
      </c>
      <c r="D8220" t="s">
        <v>8189</v>
      </c>
      <c r="E8220" t="b">
        <f>IF(COUNTIF(D8220,"*"&amp;'Keyword Search'!$C$5&amp;"*"),TRUE,FALSE)</f>
        <v>1</v>
      </c>
      <c r="G8220" t="str">
        <f t="shared" si="526"/>
        <v>948-80: Radiation Control and Leak Detection Services</v>
      </c>
    </row>
    <row r="8221" spans="1:7" x14ac:dyDescent="0.25">
      <c r="A8221" s="1" t="str">
        <f t="shared" si="524"/>
        <v>948</v>
      </c>
      <c r="B8221" s="1" t="str">
        <f>TEXT(81,"00")</f>
        <v>81</v>
      </c>
      <c r="C8221" s="1" t="str">
        <f t="shared" si="525"/>
        <v>948-81</v>
      </c>
      <c r="D8221" t="s">
        <v>8190</v>
      </c>
      <c r="E8221" t="b">
        <f>IF(COUNTIF(D8221,"*"&amp;'Keyword Search'!$C$5&amp;"*"),TRUE,FALSE)</f>
        <v>1</v>
      </c>
      <c r="G8221" t="str">
        <f t="shared" si="526"/>
        <v>948-81: Radiation Therapy Treatment Services</v>
      </c>
    </row>
    <row r="8222" spans="1:7" x14ac:dyDescent="0.25">
      <c r="A8222" s="1" t="str">
        <f t="shared" si="524"/>
        <v>948</v>
      </c>
      <c r="B8222" s="1" t="str">
        <f>TEXT(82,"00")</f>
        <v>82</v>
      </c>
      <c r="C8222" s="1" t="str">
        <f t="shared" si="525"/>
        <v>948-82</v>
      </c>
      <c r="D8222" t="s">
        <v>8191</v>
      </c>
      <c r="E8222" t="b">
        <f>IF(COUNTIF(D8222,"*"&amp;'Keyword Search'!$C$5&amp;"*"),TRUE,FALSE)</f>
        <v>1</v>
      </c>
      <c r="G8222" t="str">
        <f t="shared" si="526"/>
        <v>948-82: Research and Science Services, Medical</v>
      </c>
    </row>
    <row r="8223" spans="1:7" x14ac:dyDescent="0.25">
      <c r="A8223" s="1" t="str">
        <f t="shared" si="524"/>
        <v>948</v>
      </c>
      <c r="B8223" s="1" t="str">
        <f>TEXT(84,"00")</f>
        <v>84</v>
      </c>
      <c r="C8223" s="1" t="str">
        <f t="shared" si="525"/>
        <v>948-84</v>
      </c>
      <c r="D8223" t="s">
        <v>8192</v>
      </c>
      <c r="E8223" t="b">
        <f>IF(COUNTIF(D8223,"*"&amp;'Keyword Search'!$C$5&amp;"*"),TRUE,FALSE)</f>
        <v>1</v>
      </c>
      <c r="G8223" t="str">
        <f t="shared" si="526"/>
        <v>948-84: Sanitizing and Disinfecting Services, Health Related Services</v>
      </c>
    </row>
    <row r="8224" spans="1:7" x14ac:dyDescent="0.25">
      <c r="A8224" s="1" t="str">
        <f t="shared" si="524"/>
        <v>948</v>
      </c>
      <c r="B8224" s="1" t="str">
        <f>TEXT(85,"00")</f>
        <v>85</v>
      </c>
      <c r="C8224" s="1" t="str">
        <f t="shared" si="525"/>
        <v>948-85</v>
      </c>
      <c r="D8224" t="s">
        <v>8193</v>
      </c>
      <c r="E8224" t="b">
        <f>IF(COUNTIF(D8224,"*"&amp;'Keyword Search'!$C$5&amp;"*"),TRUE,FALSE)</f>
        <v>1</v>
      </c>
      <c r="G8224" t="str">
        <f t="shared" si="526"/>
        <v>948-85: Sanitary Napkin Disposal Services</v>
      </c>
    </row>
    <row r="8225" spans="1:7" x14ac:dyDescent="0.25">
      <c r="A8225" s="1" t="str">
        <f t="shared" si="524"/>
        <v>948</v>
      </c>
      <c r="B8225" s="1" t="str">
        <f>TEXT(86,"00")</f>
        <v>86</v>
      </c>
      <c r="C8225" s="1" t="str">
        <f t="shared" si="525"/>
        <v>948-86</v>
      </c>
      <c r="D8225" t="s">
        <v>8194</v>
      </c>
      <c r="E8225" t="b">
        <f>IF(COUNTIF(D8225,"*"&amp;'Keyword Search'!$C$5&amp;"*"),TRUE,FALSE)</f>
        <v>1</v>
      </c>
      <c r="G8225" t="str">
        <f t="shared" si="526"/>
        <v>948-86: Therapy and Rehabilitation Services</v>
      </c>
    </row>
    <row r="8226" spans="1:7" x14ac:dyDescent="0.25">
      <c r="A8226" s="1" t="str">
        <f t="shared" si="524"/>
        <v>948</v>
      </c>
      <c r="B8226" s="1" t="str">
        <f>TEXT(87,"00")</f>
        <v>87</v>
      </c>
      <c r="C8226" s="1" t="str">
        <f t="shared" si="525"/>
        <v>948-87</v>
      </c>
      <c r="D8226" t="s">
        <v>8195</v>
      </c>
      <c r="E8226" t="b">
        <f>IF(COUNTIF(D8226,"*"&amp;'Keyword Search'!$C$5&amp;"*"),TRUE,FALSE)</f>
        <v>1</v>
      </c>
      <c r="G8226" t="str">
        <f t="shared" si="526"/>
        <v>948-87: *Telemedical Professional Services</v>
      </c>
    </row>
    <row r="8227" spans="1:7" x14ac:dyDescent="0.25">
      <c r="A8227" s="1" t="str">
        <f t="shared" si="524"/>
        <v>948</v>
      </c>
      <c r="B8227" s="1" t="str">
        <f>TEXT(92,"00")</f>
        <v>92</v>
      </c>
      <c r="C8227" s="1" t="str">
        <f t="shared" si="525"/>
        <v>948-92</v>
      </c>
      <c r="D8227" t="s">
        <v>8196</v>
      </c>
      <c r="E8227" t="b">
        <f>IF(COUNTIF(D8227,"*"&amp;'Keyword Search'!$C$5&amp;"*"),TRUE,FALSE)</f>
        <v>1</v>
      </c>
      <c r="G8227" t="str">
        <f t="shared" si="526"/>
        <v>948-92: Vaccination Program Services</v>
      </c>
    </row>
    <row r="8228" spans="1:7" x14ac:dyDescent="0.25">
      <c r="A8228" s="1" t="str">
        <f t="shared" si="524"/>
        <v>948</v>
      </c>
      <c r="B8228" s="1" t="str">
        <f>TEXT(93,"00")</f>
        <v>93</v>
      </c>
      <c r="C8228" s="1" t="str">
        <f t="shared" si="525"/>
        <v>948-93</v>
      </c>
      <c r="D8228" t="s">
        <v>8197</v>
      </c>
      <c r="E8228" t="b">
        <f>IF(COUNTIF(D8228,"*"&amp;'Keyword Search'!$C$5&amp;"*"),TRUE,FALSE)</f>
        <v>1</v>
      </c>
      <c r="G8228" t="str">
        <f t="shared" si="526"/>
        <v>948-93: Waste Disposal Services, Medical</v>
      </c>
    </row>
    <row r="8229" spans="1:7" x14ac:dyDescent="0.25">
      <c r="A8229" s="1" t="str">
        <f t="shared" si="524"/>
        <v>948</v>
      </c>
      <c r="B8229" s="1" t="str">
        <f>TEXT(97,"00")</f>
        <v>97</v>
      </c>
      <c r="C8229" s="1" t="str">
        <f t="shared" si="525"/>
        <v>948-97</v>
      </c>
      <c r="D8229" t="s">
        <v>8198</v>
      </c>
      <c r="E8229" t="b">
        <f>IF(COUNTIF(D8229,"*"&amp;'Keyword Search'!$C$5&amp;"*"),TRUE,FALSE)</f>
        <v>1</v>
      </c>
      <c r="G8229" t="str">
        <f t="shared" si="526"/>
        <v>948-97: X-Ray Services (Incl. Dental)</v>
      </c>
    </row>
    <row r="8230" spans="1:7" x14ac:dyDescent="0.25">
      <c r="A8230" s="5" t="str">
        <f t="shared" ref="A8230:A8293" si="527">TEXT(949,"000")</f>
        <v>949</v>
      </c>
      <c r="B8230" s="5" t="str">
        <f>TEXT(0,"00")</f>
        <v>00</v>
      </c>
      <c r="C8230" s="1"/>
      <c r="D8230" s="2" t="s">
        <v>8199</v>
      </c>
    </row>
    <row r="8231" spans="1:7" x14ac:dyDescent="0.25">
      <c r="A8231" s="1" t="str">
        <f t="shared" si="527"/>
        <v>949</v>
      </c>
      <c r="B8231" s="1" t="str">
        <f>TEXT(2,"00")</f>
        <v>02</v>
      </c>
      <c r="C8231" s="1" t="str">
        <f t="shared" si="525"/>
        <v>949-02</v>
      </c>
      <c r="D8231" t="s">
        <v>8200</v>
      </c>
      <c r="E8231" t="b">
        <f>IF(COUNTIF(D8231,"*"&amp;'Keyword Search'!$C$5&amp;"*"),TRUE,FALSE)</f>
        <v>1</v>
      </c>
      <c r="G8231" t="str">
        <f t="shared" si="526"/>
        <v>949-02: Arbitrage</v>
      </c>
    </row>
    <row r="8232" spans="1:7" x14ac:dyDescent="0.25">
      <c r="A8232" s="1" t="str">
        <f t="shared" si="527"/>
        <v>949</v>
      </c>
      <c r="B8232" s="1" t="str">
        <f>TEXT(3,"00")</f>
        <v>03</v>
      </c>
      <c r="C8232" s="1" t="str">
        <f t="shared" si="525"/>
        <v>949-03</v>
      </c>
      <c r="D8232" t="s">
        <v>8201</v>
      </c>
      <c r="E8232" t="b">
        <f>IF(COUNTIF(D8232,"*"&amp;'Keyword Search'!$C$5&amp;"*"),TRUE,FALSE)</f>
        <v>1</v>
      </c>
      <c r="G8232" t="str">
        <f t="shared" si="526"/>
        <v>949-03: Assets-Doctoral Fees, University Funded</v>
      </c>
    </row>
    <row r="8233" spans="1:7" x14ac:dyDescent="0.25">
      <c r="A8233" s="1" t="str">
        <f t="shared" si="527"/>
        <v>949</v>
      </c>
      <c r="B8233" s="1" t="str">
        <f>TEXT(4,"00")</f>
        <v>04</v>
      </c>
      <c r="C8233" s="1" t="str">
        <f t="shared" si="525"/>
        <v>949-04</v>
      </c>
      <c r="D8233" t="s">
        <v>8202</v>
      </c>
      <c r="E8233" t="b">
        <f>IF(COUNTIF(D8233,"*"&amp;'Keyword Search'!$C$5&amp;"*"),TRUE,FALSE)</f>
        <v>1</v>
      </c>
      <c r="G8233" t="str">
        <f t="shared" si="526"/>
        <v>949-04: Assets-Doctoral Tuition, University Funded</v>
      </c>
    </row>
    <row r="8234" spans="1:7" x14ac:dyDescent="0.25">
      <c r="A8234" s="1" t="str">
        <f t="shared" si="527"/>
        <v>949</v>
      </c>
      <c r="B8234" s="1" t="str">
        <f>TEXT(5,"00")</f>
        <v>05</v>
      </c>
      <c r="C8234" s="1" t="str">
        <f t="shared" si="525"/>
        <v>949-05</v>
      </c>
      <c r="D8234" t="s">
        <v>8203</v>
      </c>
      <c r="E8234" t="b">
        <f>IF(COUNTIF(D8234,"*"&amp;'Keyword Search'!$C$5&amp;"*"),TRUE,FALSE)</f>
        <v>1</v>
      </c>
      <c r="G8234" t="str">
        <f t="shared" si="526"/>
        <v>949-05: Assets-Masters Fees, University Funded</v>
      </c>
    </row>
    <row r="8235" spans="1:7" x14ac:dyDescent="0.25">
      <c r="A8235" s="1" t="str">
        <f t="shared" si="527"/>
        <v>949</v>
      </c>
      <c r="B8235" s="1" t="str">
        <f>TEXT(6,"00")</f>
        <v>06</v>
      </c>
      <c r="C8235" s="1" t="str">
        <f t="shared" si="525"/>
        <v>949-06</v>
      </c>
      <c r="D8235" t="s">
        <v>8204</v>
      </c>
      <c r="E8235" t="b">
        <f>IF(COUNTIF(D8235,"*"&amp;'Keyword Search'!$C$5&amp;"*"),TRUE,FALSE)</f>
        <v>1</v>
      </c>
      <c r="G8235" t="str">
        <f t="shared" si="526"/>
        <v>949-06: Assets-Masters Tuition, University Funded</v>
      </c>
    </row>
    <row r="8236" spans="1:7" x14ac:dyDescent="0.25">
      <c r="A8236" s="1" t="str">
        <f t="shared" si="527"/>
        <v>949</v>
      </c>
      <c r="B8236" s="1" t="str">
        <f>TEXT(10,"00")</f>
        <v>10</v>
      </c>
      <c r="C8236" s="1" t="str">
        <f t="shared" si="525"/>
        <v>949-10</v>
      </c>
      <c r="D8236" t="s">
        <v>8205</v>
      </c>
      <c r="E8236" t="b">
        <f>IF(COUNTIF(D8236,"*"&amp;'Keyword Search'!$C$5&amp;"*"),TRUE,FALSE)</f>
        <v>1</v>
      </c>
      <c r="G8236" t="str">
        <f t="shared" si="526"/>
        <v>949-10: Bad Debt Expense, C and G Private and Other</v>
      </c>
    </row>
    <row r="8237" spans="1:7" x14ac:dyDescent="0.25">
      <c r="A8237" s="1" t="str">
        <f t="shared" si="527"/>
        <v>949</v>
      </c>
      <c r="B8237" s="1" t="str">
        <f>TEXT(11,"00")</f>
        <v>11</v>
      </c>
      <c r="C8237" s="1" t="str">
        <f t="shared" si="525"/>
        <v>949-11</v>
      </c>
      <c r="D8237" t="s">
        <v>8206</v>
      </c>
      <c r="E8237" t="b">
        <f>IF(COUNTIF(D8237,"*"&amp;'Keyword Search'!$C$5&amp;"*"),TRUE,FALSE)</f>
        <v>1</v>
      </c>
      <c r="G8237" t="str">
        <f t="shared" si="526"/>
        <v>949-11: Bad Debt Expense, Fees</v>
      </c>
    </row>
    <row r="8238" spans="1:7" x14ac:dyDescent="0.25">
      <c r="A8238" s="1" t="str">
        <f t="shared" si="527"/>
        <v>949</v>
      </c>
      <c r="B8238" s="1" t="str">
        <f>TEXT(12,"00")</f>
        <v>12</v>
      </c>
      <c r="C8238" s="1" t="str">
        <f t="shared" si="525"/>
        <v>949-12</v>
      </c>
      <c r="D8238" t="s">
        <v>8207</v>
      </c>
      <c r="E8238" t="b">
        <f>IF(COUNTIF(D8238,"*"&amp;'Keyword Search'!$C$5&amp;"*"),TRUE,FALSE)</f>
        <v>1</v>
      </c>
      <c r="G8238" t="str">
        <f t="shared" si="526"/>
        <v>949-12: Bad Debt Expense, Gift and Pledges</v>
      </c>
    </row>
    <row r="8239" spans="1:7" x14ac:dyDescent="0.25">
      <c r="A8239" s="1" t="str">
        <f t="shared" si="527"/>
        <v>949</v>
      </c>
      <c r="B8239" s="1" t="str">
        <f>TEXT(13,"00")</f>
        <v>13</v>
      </c>
      <c r="C8239" s="1" t="str">
        <f t="shared" si="525"/>
        <v>949-13</v>
      </c>
      <c r="D8239" t="s">
        <v>8208</v>
      </c>
      <c r="E8239" t="b">
        <f>IF(COUNTIF(D8239,"*"&amp;'Keyword Search'!$C$5&amp;"*"),TRUE,FALSE)</f>
        <v>1</v>
      </c>
      <c r="G8239" t="str">
        <f t="shared" si="526"/>
        <v>949-13: Bad Debt Expense, Other Sales</v>
      </c>
    </row>
    <row r="8240" spans="1:7" x14ac:dyDescent="0.25">
      <c r="A8240" s="1" t="str">
        <f t="shared" si="527"/>
        <v>949</v>
      </c>
      <c r="B8240" s="1" t="str">
        <f>TEXT(14,"00")</f>
        <v>14</v>
      </c>
      <c r="C8240" s="1" t="str">
        <f t="shared" si="525"/>
        <v>949-14</v>
      </c>
      <c r="D8240" t="s">
        <v>8209</v>
      </c>
      <c r="E8240" t="b">
        <f>IF(COUNTIF(D8240,"*"&amp;'Keyword Search'!$C$5&amp;"*"),TRUE,FALSE)</f>
        <v>1</v>
      </c>
      <c r="G8240" t="str">
        <f t="shared" si="526"/>
        <v>949-14: Bad Debt Expense, Professional Fees</v>
      </c>
    </row>
    <row r="8241" spans="1:7" x14ac:dyDescent="0.25">
      <c r="A8241" s="1" t="str">
        <f t="shared" si="527"/>
        <v>949</v>
      </c>
      <c r="B8241" s="1" t="str">
        <f>TEXT(15,"00")</f>
        <v>15</v>
      </c>
      <c r="C8241" s="1" t="str">
        <f t="shared" si="525"/>
        <v>949-15</v>
      </c>
      <c r="D8241" t="s">
        <v>8210</v>
      </c>
      <c r="E8241" t="b">
        <f>IF(COUNTIF(D8241,"*"&amp;'Keyword Search'!$C$5&amp;"*"),TRUE,FALSE)</f>
        <v>1</v>
      </c>
      <c r="G8241" t="str">
        <f t="shared" si="526"/>
        <v>949-15: Bad Debt Expense, Tuition</v>
      </c>
    </row>
    <row r="8242" spans="1:7" x14ac:dyDescent="0.25">
      <c r="A8242" s="1" t="str">
        <f t="shared" si="527"/>
        <v>949</v>
      </c>
      <c r="B8242" s="1" t="str">
        <f>TEXT(18,"00")</f>
        <v>18</v>
      </c>
      <c r="C8242" s="1" t="str">
        <f t="shared" si="525"/>
        <v>949-18</v>
      </c>
      <c r="D8242" t="s">
        <v>8211</v>
      </c>
      <c r="E8242" t="b">
        <f>IF(COUNTIF(D8242,"*"&amp;'Keyword Search'!$C$5&amp;"*"),TRUE,FALSE)</f>
        <v>1</v>
      </c>
      <c r="G8242" t="str">
        <f t="shared" si="526"/>
        <v>949-18: Defeasance of State Bonds</v>
      </c>
    </row>
    <row r="8243" spans="1:7" x14ac:dyDescent="0.25">
      <c r="A8243" s="1" t="str">
        <f t="shared" si="527"/>
        <v>949</v>
      </c>
      <c r="B8243" s="1" t="str">
        <f>TEXT(19,"00")</f>
        <v>19</v>
      </c>
      <c r="C8243" s="1" t="str">
        <f t="shared" si="525"/>
        <v>949-19</v>
      </c>
      <c r="D8243" t="s">
        <v>8212</v>
      </c>
      <c r="E8243" t="b">
        <f>IF(COUNTIF(D8243,"*"&amp;'Keyword Search'!$C$5&amp;"*"),TRUE,FALSE)</f>
        <v>1</v>
      </c>
      <c r="G8243" t="str">
        <f t="shared" si="526"/>
        <v>949-19: Development Fee</v>
      </c>
    </row>
    <row r="8244" spans="1:7" x14ac:dyDescent="0.25">
      <c r="A8244" s="1" t="str">
        <f t="shared" si="527"/>
        <v>949</v>
      </c>
      <c r="B8244" s="1" t="str">
        <f>TEXT(20,"00")</f>
        <v>20</v>
      </c>
      <c r="C8244" s="1" t="str">
        <f t="shared" si="525"/>
        <v>949-20</v>
      </c>
      <c r="D8244" t="s">
        <v>8213</v>
      </c>
      <c r="E8244" t="b">
        <f>IF(COUNTIF(D8244,"*"&amp;'Keyword Search'!$C$5&amp;"*"),TRUE,FALSE)</f>
        <v>1</v>
      </c>
      <c r="G8244" t="str">
        <f t="shared" si="526"/>
        <v>949-20: Development Fee Return</v>
      </c>
    </row>
    <row r="8245" spans="1:7" x14ac:dyDescent="0.25">
      <c r="A8245" s="1" t="str">
        <f t="shared" si="527"/>
        <v>949</v>
      </c>
      <c r="B8245" s="1" t="str">
        <f>TEXT(21,"00")</f>
        <v>21</v>
      </c>
      <c r="C8245" s="1" t="str">
        <f t="shared" si="525"/>
        <v>949-21</v>
      </c>
      <c r="D8245" t="s">
        <v>8214</v>
      </c>
      <c r="E8245" t="b">
        <f>IF(COUNTIF(D8245,"*"&amp;'Keyword Search'!$C$5&amp;"*"),TRUE,FALSE)</f>
        <v>1</v>
      </c>
      <c r="G8245" t="str">
        <f t="shared" si="526"/>
        <v>949-21: Dormitory Charges for Students</v>
      </c>
    </row>
    <row r="8246" spans="1:7" x14ac:dyDescent="0.25">
      <c r="A8246" s="1" t="str">
        <f t="shared" si="527"/>
        <v>949</v>
      </c>
      <c r="B8246" s="1" t="str">
        <f>TEXT(25,"00")</f>
        <v>25</v>
      </c>
      <c r="C8246" s="1" t="str">
        <f t="shared" si="525"/>
        <v>949-25</v>
      </c>
      <c r="D8246" t="s">
        <v>8215</v>
      </c>
      <c r="E8246" t="b">
        <f>IF(COUNTIF(D8246,"*"&amp;'Keyword Search'!$C$5&amp;"*"),TRUE,FALSE)</f>
        <v>1</v>
      </c>
      <c r="G8246" t="str">
        <f t="shared" si="526"/>
        <v>949-25: Financial and Accounting Services, Bonds</v>
      </c>
    </row>
    <row r="8247" spans="1:7" x14ac:dyDescent="0.25">
      <c r="A8247" s="1" t="str">
        <f t="shared" si="527"/>
        <v>949</v>
      </c>
      <c r="B8247" s="1" t="str">
        <f>TEXT(26,"00")</f>
        <v>26</v>
      </c>
      <c r="C8247" s="1" t="str">
        <f t="shared" si="525"/>
        <v>949-26</v>
      </c>
      <c r="D8247" t="s">
        <v>8216</v>
      </c>
      <c r="E8247" t="b">
        <f>IF(COUNTIF(D8247,"*"&amp;'Keyword Search'!$C$5&amp;"*"),TRUE,FALSE)</f>
        <v>1</v>
      </c>
      <c r="G8247" t="str">
        <f t="shared" si="526"/>
        <v>949-26: Financial and Accounting Services, Notes and Loans</v>
      </c>
    </row>
    <row r="8248" spans="1:7" x14ac:dyDescent="0.25">
      <c r="A8248" s="1" t="str">
        <f t="shared" si="527"/>
        <v>949</v>
      </c>
      <c r="B8248" s="1" t="str">
        <f>TEXT(27,"00")</f>
        <v>27</v>
      </c>
      <c r="C8248" s="1" t="str">
        <f t="shared" si="525"/>
        <v>949-27</v>
      </c>
      <c r="D8248" t="s">
        <v>8217</v>
      </c>
      <c r="E8248" t="b">
        <f>IF(COUNTIF(D8248,"*"&amp;'Keyword Search'!$C$5&amp;"*"),TRUE,FALSE)</f>
        <v>1</v>
      </c>
      <c r="G8248" t="str">
        <f t="shared" si="526"/>
        <v>949-27: Fines and Penalties</v>
      </c>
    </row>
    <row r="8249" spans="1:7" x14ac:dyDescent="0.25">
      <c r="A8249" s="1" t="str">
        <f t="shared" si="527"/>
        <v>949</v>
      </c>
      <c r="B8249" s="1" t="str">
        <f>TEXT(29,"00")</f>
        <v>29</v>
      </c>
      <c r="C8249" s="1" t="str">
        <f t="shared" si="525"/>
        <v>949-29</v>
      </c>
      <c r="D8249" t="s">
        <v>8218</v>
      </c>
      <c r="E8249" t="b">
        <f>IF(COUNTIF(D8249,"*"&amp;'Keyword Search'!$C$5&amp;"*"),TRUE,FALSE)</f>
        <v>1</v>
      </c>
      <c r="G8249" t="str">
        <f t="shared" si="526"/>
        <v>949-29: Increase and Decrease in Self Insured Liability</v>
      </c>
    </row>
    <row r="8250" spans="1:7" x14ac:dyDescent="0.25">
      <c r="A8250" s="1" t="str">
        <f t="shared" si="527"/>
        <v>949</v>
      </c>
      <c r="B8250" s="1" t="str">
        <f>TEXT(30,"00")</f>
        <v>30</v>
      </c>
      <c r="C8250" s="1" t="str">
        <f t="shared" si="525"/>
        <v>949-30</v>
      </c>
      <c r="D8250" t="s">
        <v>8219</v>
      </c>
      <c r="E8250" t="b">
        <f>IF(COUNTIF(D8250,"*"&amp;'Keyword Search'!$C$5&amp;"*"),TRUE,FALSE)</f>
        <v>1</v>
      </c>
      <c r="G8250" t="str">
        <f t="shared" si="526"/>
        <v>949-30: Inter-Agency Contracts and Transactions</v>
      </c>
    </row>
    <row r="8251" spans="1:7" x14ac:dyDescent="0.25">
      <c r="A8251" s="1" t="str">
        <f t="shared" si="527"/>
        <v>949</v>
      </c>
      <c r="B8251" s="1" t="str">
        <f>TEXT(31,"00")</f>
        <v>31</v>
      </c>
      <c r="C8251" s="1" t="str">
        <f t="shared" si="525"/>
        <v>949-31</v>
      </c>
      <c r="D8251" t="s">
        <v>8220</v>
      </c>
      <c r="E8251" t="b">
        <f>IF(COUNTIF(D8251,"*"&amp;'Keyword Search'!$C$5&amp;"*"),TRUE,FALSE)</f>
        <v>1</v>
      </c>
      <c r="G8251" t="str">
        <f t="shared" si="526"/>
        <v>949-31: Interest, Other</v>
      </c>
    </row>
    <row r="8252" spans="1:7" x14ac:dyDescent="0.25">
      <c r="A8252" s="1" t="str">
        <f t="shared" si="527"/>
        <v>949</v>
      </c>
      <c r="B8252" s="1" t="str">
        <f>TEXT(32,"00")</f>
        <v>32</v>
      </c>
      <c r="C8252" s="1" t="str">
        <f t="shared" si="525"/>
        <v>949-32</v>
      </c>
      <c r="D8252" t="s">
        <v>8221</v>
      </c>
      <c r="E8252" t="b">
        <f>IF(COUNTIF(D8252,"*"&amp;'Keyword Search'!$C$5&amp;"*"),TRUE,FALSE)</f>
        <v>1</v>
      </c>
      <c r="G8252" t="str">
        <f t="shared" si="526"/>
        <v>949-32: Interest on Other, Notes and Loans</v>
      </c>
    </row>
    <row r="8253" spans="1:7" x14ac:dyDescent="0.25">
      <c r="A8253" s="1" t="str">
        <f t="shared" si="527"/>
        <v>949</v>
      </c>
      <c r="B8253" s="1" t="str">
        <f>TEXT(33,"00")</f>
        <v>33</v>
      </c>
      <c r="C8253" s="1" t="str">
        <f t="shared" si="525"/>
        <v>949-33</v>
      </c>
      <c r="D8253" t="s">
        <v>8222</v>
      </c>
      <c r="E8253" t="b">
        <f>IF(COUNTIF(D8253,"*"&amp;'Keyword Search'!$C$5&amp;"*"),TRUE,FALSE)</f>
        <v>1</v>
      </c>
      <c r="G8253" t="str">
        <f t="shared" si="526"/>
        <v>949-33: Interest on State Bonds</v>
      </c>
    </row>
    <row r="8254" spans="1:7" x14ac:dyDescent="0.25">
      <c r="A8254" s="1" t="str">
        <f t="shared" si="527"/>
        <v>949</v>
      </c>
      <c r="B8254" s="1" t="str">
        <f>TEXT(34,"00")</f>
        <v>34</v>
      </c>
      <c r="C8254" s="1" t="str">
        <f t="shared" si="525"/>
        <v>949-34</v>
      </c>
      <c r="D8254" t="s">
        <v>8223</v>
      </c>
      <c r="E8254" t="b">
        <f>IF(COUNTIF(D8254,"*"&amp;'Keyword Search'!$C$5&amp;"*"),TRUE,FALSE)</f>
        <v>1</v>
      </c>
      <c r="G8254" t="str">
        <f t="shared" si="526"/>
        <v>949-34: Interest on State Notes and Loans</v>
      </c>
    </row>
    <row r="8255" spans="1:7" x14ac:dyDescent="0.25">
      <c r="A8255" s="1" t="str">
        <f t="shared" si="527"/>
        <v>949</v>
      </c>
      <c r="B8255" s="1" t="str">
        <f>TEXT(35,"00")</f>
        <v>35</v>
      </c>
      <c r="C8255" s="1" t="str">
        <f t="shared" si="525"/>
        <v>949-35</v>
      </c>
      <c r="D8255" t="s">
        <v>8224</v>
      </c>
      <c r="E8255" t="b">
        <f>IF(COUNTIF(D8255,"*"&amp;'Keyword Search'!$C$5&amp;"*"),TRUE,FALSE)</f>
        <v>1</v>
      </c>
      <c r="G8255" t="str">
        <f t="shared" si="526"/>
        <v>949-35: Inventory Adjustment, Resale Items</v>
      </c>
    </row>
    <row r="8256" spans="1:7" x14ac:dyDescent="0.25">
      <c r="A8256" s="1" t="str">
        <f t="shared" si="527"/>
        <v>949</v>
      </c>
      <c r="B8256" s="1" t="str">
        <f>TEXT(36,"00")</f>
        <v>36</v>
      </c>
      <c r="C8256" s="1" t="str">
        <f t="shared" si="525"/>
        <v>949-36</v>
      </c>
      <c r="D8256" t="s">
        <v>8225</v>
      </c>
      <c r="E8256" t="b">
        <f>IF(COUNTIF(D8256,"*"&amp;'Keyword Search'!$C$5&amp;"*"),TRUE,FALSE)</f>
        <v>1</v>
      </c>
      <c r="G8256" t="str">
        <f t="shared" si="526"/>
        <v>949-36: Investment Fees</v>
      </c>
    </row>
    <row r="8257" spans="1:7" x14ac:dyDescent="0.25">
      <c r="A8257" s="1" t="str">
        <f t="shared" si="527"/>
        <v>949</v>
      </c>
      <c r="B8257" s="1" t="str">
        <f>TEXT(38,"00")</f>
        <v>38</v>
      </c>
      <c r="C8257" s="1" t="str">
        <f t="shared" si="525"/>
        <v>949-38</v>
      </c>
      <c r="D8257" t="s">
        <v>8226</v>
      </c>
      <c r="E8257" t="b">
        <f>IF(COUNTIF(D8257,"*"&amp;'Keyword Search'!$C$5&amp;"*"),TRUE,FALSE)</f>
        <v>1</v>
      </c>
      <c r="G8257" t="str">
        <f t="shared" si="526"/>
        <v>949-38: Loan Repayment to Other State Agencies</v>
      </c>
    </row>
    <row r="8258" spans="1:7" x14ac:dyDescent="0.25">
      <c r="A8258" s="1" t="str">
        <f t="shared" si="527"/>
        <v>949</v>
      </c>
      <c r="B8258" s="1" t="str">
        <f>TEXT(42,"00")</f>
        <v>42</v>
      </c>
      <c r="C8258" s="1" t="str">
        <f t="shared" si="525"/>
        <v>949-42</v>
      </c>
      <c r="D8258" t="s">
        <v>8227</v>
      </c>
      <c r="E8258" t="b">
        <f>IF(COUNTIF(D8258,"*"&amp;'Keyword Search'!$C$5&amp;"*"),TRUE,FALSE)</f>
        <v>1</v>
      </c>
      <c r="G8258" t="str">
        <f t="shared" si="526"/>
        <v>949-42: Named Recipient Deposit</v>
      </c>
    </row>
    <row r="8259" spans="1:7" x14ac:dyDescent="0.25">
      <c r="A8259" s="1" t="str">
        <f t="shared" si="527"/>
        <v>949</v>
      </c>
      <c r="B8259" s="1" t="str">
        <f>TEXT(43,"00")</f>
        <v>43</v>
      </c>
      <c r="C8259" s="1" t="str">
        <f t="shared" ref="C8259:C8322" si="528">CONCATENATE(A8259,"-",B8259)</f>
        <v>949-43</v>
      </c>
      <c r="D8259" t="s">
        <v>8228</v>
      </c>
      <c r="E8259" t="b">
        <f>IF(COUNTIF(D8259,"*"&amp;'Keyword Search'!$C$5&amp;"*"),TRUE,FALSE)</f>
        <v>1</v>
      </c>
      <c r="G8259" t="str">
        <f t="shared" si="526"/>
        <v>949-43: Named Recipient Scholarship Expense</v>
      </c>
    </row>
    <row r="8260" spans="1:7" x14ac:dyDescent="0.25">
      <c r="A8260" s="1" t="str">
        <f t="shared" si="527"/>
        <v>949</v>
      </c>
      <c r="B8260" s="1" t="str">
        <f>TEXT(45,"00")</f>
        <v>45</v>
      </c>
      <c r="C8260" s="1" t="str">
        <f t="shared" si="528"/>
        <v>949-45</v>
      </c>
      <c r="D8260" t="s">
        <v>8229</v>
      </c>
      <c r="E8260" t="b">
        <f>IF(COUNTIF(D8260,"*"&amp;'Keyword Search'!$C$5&amp;"*"),TRUE,FALSE)</f>
        <v>1</v>
      </c>
      <c r="G8260" t="str">
        <f t="shared" ref="G8260:G8323" si="529">CONCATENATE(C8260,": ",D8260)</f>
        <v>949-45: Other Expenses, Local Only</v>
      </c>
    </row>
    <row r="8261" spans="1:7" x14ac:dyDescent="0.25">
      <c r="A8261" s="1" t="str">
        <f t="shared" si="527"/>
        <v>949</v>
      </c>
      <c r="B8261" s="1" t="str">
        <f>TEXT(46,"00")</f>
        <v>46</v>
      </c>
      <c r="C8261" s="1" t="str">
        <f t="shared" si="528"/>
        <v>949-46</v>
      </c>
      <c r="D8261" t="s">
        <v>8230</v>
      </c>
      <c r="E8261" t="b">
        <f>IF(COUNTIF(D8261,"*"&amp;'Keyword Search'!$C$5&amp;"*"),TRUE,FALSE)</f>
        <v>1</v>
      </c>
      <c r="G8261" t="str">
        <f t="shared" si="529"/>
        <v>949-46: Other Intangible Assets-Term &gt;$100K</v>
      </c>
    </row>
    <row r="8262" spans="1:7" x14ac:dyDescent="0.25">
      <c r="A8262" s="1" t="str">
        <f t="shared" si="527"/>
        <v>949</v>
      </c>
      <c r="B8262" s="1" t="str">
        <f>TEXT(48,"00")</f>
        <v>48</v>
      </c>
      <c r="C8262" s="1" t="str">
        <f t="shared" si="528"/>
        <v>949-48</v>
      </c>
      <c r="D8262" t="s">
        <v>8231</v>
      </c>
      <c r="E8262" t="b">
        <f>IF(COUNTIF(D8262,"*"&amp;'Keyword Search'!$C$5&amp;"*"),TRUE,FALSE)</f>
        <v>1</v>
      </c>
      <c r="G8262" t="str">
        <f t="shared" si="529"/>
        <v>949-48: Penalty on Late Payment to Vendor</v>
      </c>
    </row>
    <row r="8263" spans="1:7" x14ac:dyDescent="0.25">
      <c r="A8263" s="1" t="str">
        <f t="shared" si="527"/>
        <v>949</v>
      </c>
      <c r="B8263" s="1" t="str">
        <f>TEXT(49,"00")</f>
        <v>49</v>
      </c>
      <c r="C8263" s="1" t="str">
        <f t="shared" si="528"/>
        <v>949-49</v>
      </c>
      <c r="D8263" t="s">
        <v>8232</v>
      </c>
      <c r="E8263" t="b">
        <f>IF(COUNTIF(D8263,"*"&amp;'Keyword Search'!$C$5&amp;"*"),TRUE,FALSE)</f>
        <v>1</v>
      </c>
      <c r="G8263" t="str">
        <f t="shared" si="529"/>
        <v>949-49: Principal on Other Indebtedness</v>
      </c>
    </row>
    <row r="8264" spans="1:7" x14ac:dyDescent="0.25">
      <c r="A8264" s="1" t="str">
        <f t="shared" si="527"/>
        <v>949</v>
      </c>
      <c r="B8264" s="1" t="str">
        <f>TEXT(50,"00")</f>
        <v>50</v>
      </c>
      <c r="C8264" s="1" t="str">
        <f t="shared" si="528"/>
        <v>949-50</v>
      </c>
      <c r="D8264" t="s">
        <v>8233</v>
      </c>
      <c r="E8264" t="b">
        <f>IF(COUNTIF(D8264,"*"&amp;'Keyword Search'!$C$5&amp;"*"),TRUE,FALSE)</f>
        <v>1</v>
      </c>
      <c r="G8264" t="str">
        <f t="shared" si="529"/>
        <v>949-50: Principal on Other Notes and Loans</v>
      </c>
    </row>
    <row r="8265" spans="1:7" x14ac:dyDescent="0.25">
      <c r="A8265" s="1" t="str">
        <f t="shared" si="527"/>
        <v>949</v>
      </c>
      <c r="B8265" s="1" t="str">
        <f>TEXT(51,"00")</f>
        <v>51</v>
      </c>
      <c r="C8265" s="1" t="str">
        <f t="shared" si="528"/>
        <v>949-51</v>
      </c>
      <c r="D8265" t="s">
        <v>8234</v>
      </c>
      <c r="E8265" t="b">
        <f>IF(COUNTIF(D8265,"*"&amp;'Keyword Search'!$C$5&amp;"*"),TRUE,FALSE)</f>
        <v>1</v>
      </c>
      <c r="G8265" t="str">
        <f t="shared" si="529"/>
        <v>949-51: Principal on State Bonds</v>
      </c>
    </row>
    <row r="8266" spans="1:7" x14ac:dyDescent="0.25">
      <c r="A8266" s="1" t="str">
        <f t="shared" si="527"/>
        <v>949</v>
      </c>
      <c r="B8266" s="1" t="str">
        <f>TEXT(52,"00")</f>
        <v>52</v>
      </c>
      <c r="C8266" s="1" t="str">
        <f t="shared" si="528"/>
        <v>949-52</v>
      </c>
      <c r="D8266" t="s">
        <v>8235</v>
      </c>
      <c r="E8266" t="b">
        <f>IF(COUNTIF(D8266,"*"&amp;'Keyword Search'!$C$5&amp;"*"),TRUE,FALSE)</f>
        <v>1</v>
      </c>
      <c r="G8266" t="str">
        <f t="shared" si="529"/>
        <v>949-52: Principal on State Notes and Loans</v>
      </c>
    </row>
    <row r="8267" spans="1:7" x14ac:dyDescent="0.25">
      <c r="A8267" s="1" t="str">
        <f t="shared" si="527"/>
        <v>949</v>
      </c>
      <c r="B8267" s="1" t="str">
        <f>TEXT(53,"00")</f>
        <v>53</v>
      </c>
      <c r="C8267" s="1" t="str">
        <f t="shared" si="528"/>
        <v>949-53</v>
      </c>
      <c r="D8267" t="s">
        <v>8236</v>
      </c>
      <c r="E8267" t="b">
        <f>IF(COUNTIF(D8267,"*"&amp;'Keyword Search'!$C$5&amp;"*"),TRUE,FALSE)</f>
        <v>1</v>
      </c>
      <c r="G8267" t="str">
        <f t="shared" si="529"/>
        <v>949-53: Procard Expense to be Allocated</v>
      </c>
    </row>
    <row r="8268" spans="1:7" x14ac:dyDescent="0.25">
      <c r="A8268" s="1" t="str">
        <f t="shared" si="527"/>
        <v>949</v>
      </c>
      <c r="B8268" s="1" t="str">
        <f>TEXT(60,"00")</f>
        <v>60</v>
      </c>
      <c r="C8268" s="1" t="str">
        <f t="shared" si="528"/>
        <v>949-60</v>
      </c>
      <c r="D8268" t="s">
        <v>8237</v>
      </c>
      <c r="E8268" t="b">
        <f>IF(COUNTIF(D8268,"*"&amp;'Keyword Search'!$C$5&amp;"*"),TRUE,FALSE)</f>
        <v>1</v>
      </c>
      <c r="G8268" t="str">
        <f t="shared" si="529"/>
        <v>949-60: Return of Loan Funds, Financial Aid Only</v>
      </c>
    </row>
    <row r="8269" spans="1:7" x14ac:dyDescent="0.25">
      <c r="A8269" s="1" t="str">
        <f t="shared" si="527"/>
        <v>949</v>
      </c>
      <c r="B8269" s="1" t="str">
        <f>TEXT(61,"00")</f>
        <v>61</v>
      </c>
      <c r="C8269" s="1" t="str">
        <f t="shared" si="528"/>
        <v>949-61</v>
      </c>
      <c r="D8269" t="s">
        <v>8238</v>
      </c>
      <c r="E8269" t="b">
        <f>IF(COUNTIF(D8269,"*"&amp;'Keyword Search'!$C$5&amp;"*"),TRUE,FALSE)</f>
        <v>1</v>
      </c>
      <c r="G8269" t="str">
        <f t="shared" si="529"/>
        <v>949-61: Royalty Distribution Services</v>
      </c>
    </row>
    <row r="8270" spans="1:7" x14ac:dyDescent="0.25">
      <c r="A8270" s="1" t="str">
        <f t="shared" si="527"/>
        <v>949</v>
      </c>
      <c r="B8270" s="1" t="str">
        <f>TEXT(65,"00")</f>
        <v>65</v>
      </c>
      <c r="C8270" s="1" t="str">
        <f t="shared" si="528"/>
        <v>949-65</v>
      </c>
      <c r="D8270" t="s">
        <v>8239</v>
      </c>
      <c r="E8270" t="b">
        <f>IF(COUNTIF(D8270,"*"&amp;'Keyword Search'!$C$5&amp;"*"),TRUE,FALSE)</f>
        <v>1</v>
      </c>
      <c r="G8270" t="str">
        <f t="shared" si="529"/>
        <v>949-65: Scholar Loan</v>
      </c>
    </row>
    <row r="8271" spans="1:7" x14ac:dyDescent="0.25">
      <c r="A8271" s="1" t="str">
        <f t="shared" si="527"/>
        <v>949</v>
      </c>
      <c r="B8271" s="1" t="str">
        <f>TEXT(66,"00")</f>
        <v>66</v>
      </c>
      <c r="C8271" s="1" t="str">
        <f t="shared" si="528"/>
        <v>949-66</v>
      </c>
      <c r="D8271" t="s">
        <v>8240</v>
      </c>
      <c r="E8271" t="b">
        <f>IF(COUNTIF(D8271,"*"&amp;'Keyword Search'!$C$5&amp;"*"),TRUE,FALSE)</f>
        <v>1</v>
      </c>
      <c r="G8271" t="str">
        <f t="shared" si="529"/>
        <v>949-66: Scholarship Discounts</v>
      </c>
    </row>
    <row r="8272" spans="1:7" x14ac:dyDescent="0.25">
      <c r="A8272" s="1" t="str">
        <f t="shared" si="527"/>
        <v>949</v>
      </c>
      <c r="B8272" s="1" t="str">
        <f>TEXT(67,"00")</f>
        <v>67</v>
      </c>
      <c r="C8272" s="1" t="str">
        <f t="shared" si="528"/>
        <v>949-67</v>
      </c>
      <c r="D8272" t="s">
        <v>8241</v>
      </c>
      <c r="E8272" t="b">
        <f>IF(COUNTIF(D8272,"*"&amp;'Keyword Search'!$C$5&amp;"*"),TRUE,FALSE)</f>
        <v>1</v>
      </c>
      <c r="G8272" t="str">
        <f t="shared" si="529"/>
        <v>949-67: Scholarships, Graduate</v>
      </c>
    </row>
    <row r="8273" spans="1:7" x14ac:dyDescent="0.25">
      <c r="A8273" s="1" t="str">
        <f t="shared" si="527"/>
        <v>949</v>
      </c>
      <c r="B8273" s="1" t="str">
        <f>TEXT(68,"00")</f>
        <v>68</v>
      </c>
      <c r="C8273" s="1" t="str">
        <f t="shared" si="528"/>
        <v>949-68</v>
      </c>
      <c r="D8273" t="s">
        <v>8242</v>
      </c>
      <c r="E8273" t="b">
        <f>IF(COUNTIF(D8273,"*"&amp;'Keyword Search'!$C$5&amp;"*"),TRUE,FALSE)</f>
        <v>1</v>
      </c>
      <c r="G8273" t="str">
        <f t="shared" si="529"/>
        <v>949-68: Scholarships, Post Doctoral</v>
      </c>
    </row>
    <row r="8274" spans="1:7" x14ac:dyDescent="0.25">
      <c r="A8274" s="1" t="str">
        <f t="shared" si="527"/>
        <v>949</v>
      </c>
      <c r="B8274" s="1" t="str">
        <f>TEXT(69,"00")</f>
        <v>69</v>
      </c>
      <c r="C8274" s="1" t="str">
        <f t="shared" si="528"/>
        <v>949-69</v>
      </c>
      <c r="D8274" t="s">
        <v>8243</v>
      </c>
      <c r="E8274" t="b">
        <f>IF(COUNTIF(D8274,"*"&amp;'Keyword Search'!$C$5&amp;"*"),TRUE,FALSE)</f>
        <v>1</v>
      </c>
      <c r="G8274" t="str">
        <f t="shared" si="529"/>
        <v>949-69: Scholarships, Undergraduate</v>
      </c>
    </row>
    <row r="8275" spans="1:7" x14ac:dyDescent="0.25">
      <c r="A8275" s="1" t="str">
        <f t="shared" si="527"/>
        <v>949</v>
      </c>
      <c r="B8275" s="1" t="str">
        <f>TEXT(70,"00")</f>
        <v>70</v>
      </c>
      <c r="C8275" s="1" t="str">
        <f t="shared" si="528"/>
        <v>949-70</v>
      </c>
      <c r="D8275" t="s">
        <v>8244</v>
      </c>
      <c r="E8275" t="b">
        <f>IF(COUNTIF(D8275,"*"&amp;'Keyword Search'!$C$5&amp;"*"),TRUE,FALSE)</f>
        <v>1</v>
      </c>
      <c r="G8275" t="str">
        <f t="shared" si="529"/>
        <v>949-70: Self Insured Program, Authorization Fee</v>
      </c>
    </row>
    <row r="8276" spans="1:7" x14ac:dyDescent="0.25">
      <c r="A8276" s="1" t="str">
        <f t="shared" si="527"/>
        <v>949</v>
      </c>
      <c r="B8276" s="1" t="str">
        <f>TEXT(71,"00")</f>
        <v>71</v>
      </c>
      <c r="C8276" s="1" t="str">
        <f t="shared" si="528"/>
        <v>949-71</v>
      </c>
      <c r="D8276" t="s">
        <v>8245</v>
      </c>
      <c r="E8276" t="b">
        <f>IF(COUNTIF(D8276,"*"&amp;'Keyword Search'!$C$5&amp;"*"),TRUE,FALSE)</f>
        <v>1</v>
      </c>
      <c r="G8276" t="str">
        <f t="shared" si="529"/>
        <v>949-71: Self Insured Program, Administrative COBRA</v>
      </c>
    </row>
    <row r="8277" spans="1:7" x14ac:dyDescent="0.25">
      <c r="A8277" s="1" t="str">
        <f t="shared" si="527"/>
        <v>949</v>
      </c>
      <c r="B8277" s="1" t="str">
        <f>TEXT(72,"00")</f>
        <v>72</v>
      </c>
      <c r="C8277" s="1" t="str">
        <f t="shared" si="528"/>
        <v>949-72</v>
      </c>
      <c r="D8277" t="s">
        <v>8246</v>
      </c>
      <c r="E8277" t="b">
        <f>IF(COUNTIF(D8277,"*"&amp;'Keyword Search'!$C$5&amp;"*"),TRUE,FALSE)</f>
        <v>1</v>
      </c>
      <c r="G8277" t="str">
        <f t="shared" si="529"/>
        <v>949-72: Self Insured Program, Administrative Fee</v>
      </c>
    </row>
    <row r="8278" spans="1:7" x14ac:dyDescent="0.25">
      <c r="A8278" s="1" t="str">
        <f t="shared" si="527"/>
        <v>949</v>
      </c>
      <c r="B8278" s="1" t="str">
        <f>TEXT(73,"00")</f>
        <v>73</v>
      </c>
      <c r="C8278" s="1" t="str">
        <f t="shared" si="528"/>
        <v>949-73</v>
      </c>
      <c r="D8278" t="s">
        <v>8247</v>
      </c>
      <c r="E8278" t="b">
        <f>IF(COUNTIF(D8278,"*"&amp;'Keyword Search'!$C$5&amp;"*"),TRUE,FALSE)</f>
        <v>1</v>
      </c>
      <c r="G8278" t="str">
        <f t="shared" si="529"/>
        <v>949-73: Self Insured Program, Auto Plan</v>
      </c>
    </row>
    <row r="8279" spans="1:7" x14ac:dyDescent="0.25">
      <c r="A8279" s="1" t="str">
        <f t="shared" si="527"/>
        <v>949</v>
      </c>
      <c r="B8279" s="1" t="str">
        <f>TEXT(74,"00")</f>
        <v>74</v>
      </c>
      <c r="C8279" s="1" t="str">
        <f t="shared" si="528"/>
        <v>949-74</v>
      </c>
      <c r="D8279" t="s">
        <v>8248</v>
      </c>
      <c r="E8279" t="b">
        <f>IF(COUNTIF(D8279,"*"&amp;'Keyword Search'!$C$5&amp;"*"),TRUE,FALSE)</f>
        <v>1</v>
      </c>
      <c r="G8279" t="str">
        <f t="shared" si="529"/>
        <v>949-74: Self Insured Program, Dental</v>
      </c>
    </row>
    <row r="8280" spans="1:7" x14ac:dyDescent="0.25">
      <c r="A8280" s="1" t="str">
        <f t="shared" si="527"/>
        <v>949</v>
      </c>
      <c r="B8280" s="1" t="str">
        <f>TEXT(75,"00")</f>
        <v>75</v>
      </c>
      <c r="C8280" s="1" t="str">
        <f t="shared" si="528"/>
        <v>949-75</v>
      </c>
      <c r="D8280" t="s">
        <v>8249</v>
      </c>
      <c r="E8280" t="b">
        <f>IF(COUNTIF(D8280,"*"&amp;'Keyword Search'!$C$5&amp;"*"),TRUE,FALSE)</f>
        <v>1</v>
      </c>
      <c r="G8280" t="str">
        <f t="shared" si="529"/>
        <v>949-75: Self Insured Program, Disease Management</v>
      </c>
    </row>
    <row r="8281" spans="1:7" x14ac:dyDescent="0.25">
      <c r="A8281" s="1" t="str">
        <f t="shared" si="527"/>
        <v>949</v>
      </c>
      <c r="B8281" s="1" t="str">
        <f>TEXT(76,"00")</f>
        <v>76</v>
      </c>
      <c r="C8281" s="1" t="str">
        <f t="shared" si="528"/>
        <v>949-76</v>
      </c>
      <c r="D8281" t="s">
        <v>8250</v>
      </c>
      <c r="E8281" t="b">
        <f>IF(COUNTIF(D8281,"*"&amp;'Keyword Search'!$C$5&amp;"*"),TRUE,FALSE)</f>
        <v>1</v>
      </c>
      <c r="G8281" t="str">
        <f t="shared" si="529"/>
        <v>949-76: Self Insured Program, Medical</v>
      </c>
    </row>
    <row r="8282" spans="1:7" x14ac:dyDescent="0.25">
      <c r="A8282" s="1" t="str">
        <f t="shared" si="527"/>
        <v>949</v>
      </c>
      <c r="B8282" s="1" t="str">
        <f>TEXT(77,"00")</f>
        <v>77</v>
      </c>
      <c r="C8282" s="1" t="str">
        <f t="shared" si="528"/>
        <v>949-77</v>
      </c>
      <c r="D8282" t="s">
        <v>8251</v>
      </c>
      <c r="E8282" t="b">
        <f>IF(COUNTIF(D8282,"*"&amp;'Keyword Search'!$C$5&amp;"*"),TRUE,FALSE)</f>
        <v>1</v>
      </c>
      <c r="G8282" t="str">
        <f t="shared" si="529"/>
        <v>949-77: Self Insured Program, Prescription Drug</v>
      </c>
    </row>
    <row r="8283" spans="1:7" x14ac:dyDescent="0.25">
      <c r="A8283" s="1" t="str">
        <f t="shared" si="527"/>
        <v>949</v>
      </c>
      <c r="B8283" s="1" t="str">
        <f>TEXT(78,"00")</f>
        <v>78</v>
      </c>
      <c r="C8283" s="1" t="str">
        <f t="shared" si="528"/>
        <v>949-78</v>
      </c>
      <c r="D8283" t="s">
        <v>8252</v>
      </c>
      <c r="E8283" t="b">
        <f>IF(COUNTIF(D8283,"*"&amp;'Keyword Search'!$C$5&amp;"*"),TRUE,FALSE)</f>
        <v>1</v>
      </c>
      <c r="G8283" t="str">
        <f t="shared" si="529"/>
        <v>949-78: Self Insured Property Claims Paid</v>
      </c>
    </row>
    <row r="8284" spans="1:7" x14ac:dyDescent="0.25">
      <c r="A8284" s="1" t="str">
        <f t="shared" si="527"/>
        <v>949</v>
      </c>
      <c r="B8284" s="1" t="str">
        <f>TEXT(79,"00")</f>
        <v>79</v>
      </c>
      <c r="C8284" s="1" t="str">
        <f t="shared" si="528"/>
        <v>949-79</v>
      </c>
      <c r="D8284" t="s">
        <v>8253</v>
      </c>
      <c r="E8284" t="b">
        <f>IF(COUNTIF(D8284,"*"&amp;'Keyword Search'!$C$5&amp;"*"),TRUE,FALSE)</f>
        <v>1</v>
      </c>
      <c r="G8284" t="str">
        <f t="shared" si="529"/>
        <v>949-79: Service Charges, Bonds</v>
      </c>
    </row>
    <row r="8285" spans="1:7" x14ac:dyDescent="0.25">
      <c r="A8285" s="1" t="str">
        <f t="shared" si="527"/>
        <v>949</v>
      </c>
      <c r="B8285" s="1" t="str">
        <f>TEXT(80,"00")</f>
        <v>80</v>
      </c>
      <c r="C8285" s="1" t="str">
        <f t="shared" si="528"/>
        <v>949-80</v>
      </c>
      <c r="D8285" t="s">
        <v>8254</v>
      </c>
      <c r="E8285" t="b">
        <f>IF(COUNTIF(D8285,"*"&amp;'Keyword Search'!$C$5&amp;"*"),TRUE,FALSE)</f>
        <v>1</v>
      </c>
      <c r="G8285" t="str">
        <f t="shared" si="529"/>
        <v>949-80: Service Charges, Notes and Loans</v>
      </c>
    </row>
    <row r="8286" spans="1:7" x14ac:dyDescent="0.25">
      <c r="A8286" s="1" t="str">
        <f t="shared" si="527"/>
        <v>949</v>
      </c>
      <c r="B8286" s="1" t="str">
        <f>TEXT(81,"00")</f>
        <v>81</v>
      </c>
      <c r="C8286" s="1" t="str">
        <f t="shared" si="528"/>
        <v>949-81</v>
      </c>
      <c r="D8286" t="s">
        <v>8255</v>
      </c>
      <c r="E8286" t="b">
        <f>IF(COUNTIF(D8286,"*"&amp;'Keyword Search'!$C$5&amp;"*"),TRUE,FALSE)</f>
        <v>1</v>
      </c>
      <c r="G8286" t="str">
        <f t="shared" si="529"/>
        <v>949-81: Stipends for Sponsored Research, Teacher</v>
      </c>
    </row>
    <row r="8287" spans="1:7" x14ac:dyDescent="0.25">
      <c r="A8287" s="1" t="str">
        <f t="shared" si="527"/>
        <v>949</v>
      </c>
      <c r="B8287" s="1" t="str">
        <f>TEXT(82,"00")</f>
        <v>82</v>
      </c>
      <c r="C8287" s="1" t="str">
        <f t="shared" si="528"/>
        <v>949-82</v>
      </c>
      <c r="D8287" t="s">
        <v>8256</v>
      </c>
      <c r="E8287" t="b">
        <f>IF(COUNTIF(D8287,"*"&amp;'Keyword Search'!$C$5&amp;"*"),TRUE,FALSE)</f>
        <v>1</v>
      </c>
      <c r="G8287" t="str">
        <f t="shared" si="529"/>
        <v>949-82: Stop Loss Insurance</v>
      </c>
    </row>
    <row r="8288" spans="1:7" x14ac:dyDescent="0.25">
      <c r="A8288" s="1" t="str">
        <f t="shared" si="527"/>
        <v>949</v>
      </c>
      <c r="B8288" s="1" t="str">
        <f>TEXT(85,"00")</f>
        <v>85</v>
      </c>
      <c r="C8288" s="1" t="str">
        <f t="shared" si="528"/>
        <v>949-85</v>
      </c>
      <c r="D8288" t="s">
        <v>8257</v>
      </c>
      <c r="E8288" t="b">
        <f>IF(COUNTIF(D8288,"*"&amp;'Keyword Search'!$C$5&amp;"*"),TRUE,FALSE)</f>
        <v>1</v>
      </c>
      <c r="G8288" t="str">
        <f t="shared" si="529"/>
        <v>949-85: Teacher Tuition and Fees, Federal and Non-Professional</v>
      </c>
    </row>
    <row r="8289" spans="1:7" x14ac:dyDescent="0.25">
      <c r="A8289" s="1" t="str">
        <f t="shared" si="527"/>
        <v>949</v>
      </c>
      <c r="B8289" s="1" t="str">
        <f>TEXT(86,"00")</f>
        <v>86</v>
      </c>
      <c r="C8289" s="1" t="str">
        <f t="shared" si="528"/>
        <v>949-86</v>
      </c>
      <c r="D8289" t="s">
        <v>8258</v>
      </c>
      <c r="E8289" t="b">
        <f>IF(COUNTIF(D8289,"*"&amp;'Keyword Search'!$C$5&amp;"*"),TRUE,FALSE)</f>
        <v>1</v>
      </c>
      <c r="G8289" t="str">
        <f t="shared" si="529"/>
        <v>949-86: Teacher Tuition and Fees, Private for Professors</v>
      </c>
    </row>
    <row r="8290" spans="1:7" x14ac:dyDescent="0.25">
      <c r="A8290" s="1" t="str">
        <f t="shared" si="527"/>
        <v>949</v>
      </c>
      <c r="B8290" s="1" t="str">
        <f>TEXT(87,"00")</f>
        <v>87</v>
      </c>
      <c r="C8290" s="1" t="str">
        <f t="shared" si="528"/>
        <v>949-87</v>
      </c>
      <c r="D8290" t="s">
        <v>8259</v>
      </c>
      <c r="E8290" t="b">
        <f>IF(COUNTIF(D8290,"*"&amp;'Keyword Search'!$C$5&amp;"*"),TRUE,FALSE)</f>
        <v>1</v>
      </c>
      <c r="G8290" t="str">
        <f t="shared" si="529"/>
        <v>949-87: Travel and Other Part Expense, Teacher</v>
      </c>
    </row>
    <row r="8291" spans="1:7" x14ac:dyDescent="0.25">
      <c r="A8291" s="1" t="str">
        <f t="shared" si="527"/>
        <v>949</v>
      </c>
      <c r="B8291" s="1" t="str">
        <f>TEXT(88,"00")</f>
        <v>88</v>
      </c>
      <c r="C8291" s="1" t="str">
        <f t="shared" si="528"/>
        <v>949-88</v>
      </c>
      <c r="D8291" t="s">
        <v>8260</v>
      </c>
      <c r="E8291" t="b">
        <f>IF(COUNTIF(D8291,"*"&amp;'Keyword Search'!$C$5&amp;"*"),TRUE,FALSE)</f>
        <v>1</v>
      </c>
      <c r="G8291" t="str">
        <f t="shared" si="529"/>
        <v>949-88: Tuition and Fee Remissions and Exemptions</v>
      </c>
    </row>
    <row r="8292" spans="1:7" x14ac:dyDescent="0.25">
      <c r="A8292" s="1" t="str">
        <f t="shared" si="527"/>
        <v>949</v>
      </c>
      <c r="B8292" s="1" t="str">
        <f>TEXT(89,"00")</f>
        <v>89</v>
      </c>
      <c r="C8292" s="1" t="str">
        <f t="shared" si="528"/>
        <v>949-89</v>
      </c>
      <c r="D8292" t="s">
        <v>8261</v>
      </c>
      <c r="E8292" t="b">
        <f>IF(COUNTIF(D8292,"*"&amp;'Keyword Search'!$C$5&amp;"*"),TRUE,FALSE)</f>
        <v>1</v>
      </c>
      <c r="G8292" t="str">
        <f t="shared" si="529"/>
        <v>949-89: Tuition Rebates</v>
      </c>
    </row>
    <row r="8293" spans="1:7" x14ac:dyDescent="0.25">
      <c r="A8293" s="1" t="str">
        <f t="shared" si="527"/>
        <v>949</v>
      </c>
      <c r="B8293" s="1" t="str">
        <f>TEXT(90,"00")</f>
        <v>90</v>
      </c>
      <c r="C8293" s="1" t="str">
        <f t="shared" si="528"/>
        <v>949-90</v>
      </c>
      <c r="D8293" t="s">
        <v>8262</v>
      </c>
      <c r="E8293" t="b">
        <f>IF(COUNTIF(D8293,"*"&amp;'Keyword Search'!$C$5&amp;"*"),TRUE,FALSE)</f>
        <v>1</v>
      </c>
      <c r="G8293" t="str">
        <f t="shared" si="529"/>
        <v>949-90: Unemployment Compensation Claims</v>
      </c>
    </row>
    <row r="8294" spans="1:7" x14ac:dyDescent="0.25">
      <c r="A8294" s="1" t="str">
        <f t="shared" ref="A8294:A8298" si="530">TEXT(949,"000")</f>
        <v>949</v>
      </c>
      <c r="B8294" s="1" t="str">
        <f>TEXT(91,"00")</f>
        <v>91</v>
      </c>
      <c r="C8294" s="1" t="str">
        <f t="shared" si="528"/>
        <v>949-91</v>
      </c>
      <c r="D8294" t="s">
        <v>8263</v>
      </c>
      <c r="E8294" t="b">
        <f>IF(COUNTIF(D8294,"*"&amp;'Keyword Search'!$C$5&amp;"*"),TRUE,FALSE)</f>
        <v>1</v>
      </c>
      <c r="G8294" t="str">
        <f t="shared" si="529"/>
        <v>949-91: Visa Processing Fees</v>
      </c>
    </row>
    <row r="8295" spans="1:7" x14ac:dyDescent="0.25">
      <c r="A8295" s="1" t="str">
        <f t="shared" si="530"/>
        <v>949</v>
      </c>
      <c r="B8295" s="1" t="str">
        <f>TEXT(92,"00")</f>
        <v>92</v>
      </c>
      <c r="C8295" s="1" t="str">
        <f t="shared" si="528"/>
        <v>949-92</v>
      </c>
      <c r="D8295" t="s">
        <v>8264</v>
      </c>
      <c r="E8295" t="b">
        <f>IF(COUNTIF(D8295,"*"&amp;'Keyword Search'!$C$5&amp;"*"),TRUE,FALSE)</f>
        <v>1</v>
      </c>
      <c r="G8295" t="str">
        <f t="shared" si="529"/>
        <v>949-92: Worker's Comp., Employee Mileage, Lodging and Other</v>
      </c>
    </row>
    <row r="8296" spans="1:7" x14ac:dyDescent="0.25">
      <c r="A8296" s="1" t="str">
        <f t="shared" si="530"/>
        <v>949</v>
      </c>
      <c r="B8296" s="1" t="str">
        <f>TEXT(93,"00")</f>
        <v>93</v>
      </c>
      <c r="C8296" s="1" t="str">
        <f t="shared" si="528"/>
        <v>949-93</v>
      </c>
      <c r="D8296" t="s">
        <v>8265</v>
      </c>
      <c r="E8296" t="b">
        <f>IF(COUNTIF(D8296,"*"&amp;'Keyword Search'!$C$5&amp;"*"),TRUE,FALSE)</f>
        <v>1</v>
      </c>
      <c r="G8296" t="str">
        <f t="shared" si="529"/>
        <v>949-93: Worker's Comp., Indemnity Claims</v>
      </c>
    </row>
    <row r="8297" spans="1:7" x14ac:dyDescent="0.25">
      <c r="A8297" s="1" t="str">
        <f t="shared" si="530"/>
        <v>949</v>
      </c>
      <c r="B8297" s="1" t="str">
        <f>TEXT(94,"00")</f>
        <v>94</v>
      </c>
      <c r="C8297" s="1" t="str">
        <f t="shared" si="528"/>
        <v>949-94</v>
      </c>
      <c r="D8297" t="s">
        <v>8266</v>
      </c>
      <c r="E8297" t="b">
        <f>IF(COUNTIF(D8297,"*"&amp;'Keyword Search'!$C$5&amp;"*"),TRUE,FALSE)</f>
        <v>1</v>
      </c>
      <c r="G8297" t="str">
        <f t="shared" si="529"/>
        <v>949-94: Worker's Comp., Medical Services</v>
      </c>
    </row>
    <row r="8298" spans="1:7" x14ac:dyDescent="0.25">
      <c r="A8298" s="1" t="str">
        <f t="shared" si="530"/>
        <v>949</v>
      </c>
      <c r="B8298" s="1" t="str">
        <f>TEXT(95,"00")</f>
        <v>95</v>
      </c>
      <c r="C8298" s="1" t="str">
        <f t="shared" si="528"/>
        <v>949-95</v>
      </c>
      <c r="D8298" t="s">
        <v>8267</v>
      </c>
      <c r="E8298" t="b">
        <f>IF(COUNTIF(D8298,"*"&amp;'Keyword Search'!$C$5&amp;"*"),TRUE,FALSE)</f>
        <v>1</v>
      </c>
      <c r="G8298" t="str">
        <f t="shared" si="529"/>
        <v>949-95: Worker's Comp., Other Contracted Services</v>
      </c>
    </row>
    <row r="8299" spans="1:7" x14ac:dyDescent="0.25">
      <c r="A8299" s="5" t="str">
        <f t="shared" ref="A8299:A8334" si="531">TEXT(950,"000")</f>
        <v>950</v>
      </c>
      <c r="B8299" s="5" t="str">
        <f>TEXT(0,"00")</f>
        <v>00</v>
      </c>
      <c r="C8299" s="1"/>
      <c r="D8299" s="2" t="s">
        <v>8268</v>
      </c>
    </row>
    <row r="8300" spans="1:7" x14ac:dyDescent="0.25">
      <c r="A8300" s="1" t="str">
        <f t="shared" si="531"/>
        <v>950</v>
      </c>
      <c r="B8300" s="1" t="str">
        <f>TEXT(1,"00")</f>
        <v>01</v>
      </c>
      <c r="C8300" s="1" t="str">
        <f t="shared" si="528"/>
        <v>950-01</v>
      </c>
      <c r="D8300" t="s">
        <v>8269</v>
      </c>
      <c r="E8300" t="b">
        <f>IF(COUNTIF(D8300,"*"&amp;'Keyword Search'!$C$5&amp;"*"),TRUE,FALSE)</f>
        <v>1</v>
      </c>
      <c r="G8300" t="str">
        <f t="shared" si="529"/>
        <v>950-01: Administrative Cost Recovery.</v>
      </c>
    </row>
    <row r="8301" spans="1:7" x14ac:dyDescent="0.25">
      <c r="A8301" s="1" t="str">
        <f t="shared" si="531"/>
        <v>950</v>
      </c>
      <c r="B8301" s="1" t="str">
        <f>TEXT(10,"00")</f>
        <v>10</v>
      </c>
      <c r="C8301" s="1" t="str">
        <f t="shared" si="528"/>
        <v>950-10</v>
      </c>
      <c r="D8301" t="s">
        <v>8270</v>
      </c>
      <c r="E8301" t="b">
        <f>IF(COUNTIF(D8301,"*"&amp;'Keyword Search'!$C$5&amp;"*"),TRUE,FALSE)</f>
        <v>1</v>
      </c>
      <c r="G8301" t="str">
        <f t="shared" si="529"/>
        <v>950-10: Grants, Cities</v>
      </c>
    </row>
    <row r="8302" spans="1:7" x14ac:dyDescent="0.25">
      <c r="A8302" s="1" t="str">
        <f t="shared" si="531"/>
        <v>950</v>
      </c>
      <c r="B8302" s="1" t="str">
        <f>TEXT(11,"00")</f>
        <v>11</v>
      </c>
      <c r="C8302" s="1" t="str">
        <f t="shared" si="528"/>
        <v>950-11</v>
      </c>
      <c r="D8302" t="s">
        <v>8271</v>
      </c>
      <c r="E8302" t="b">
        <f>IF(COUNTIF(D8302,"*"&amp;'Keyword Search'!$C$5&amp;"*"),TRUE,FALSE)</f>
        <v>1</v>
      </c>
      <c r="G8302" t="str">
        <f t="shared" si="529"/>
        <v>950-11: Grants, Cities, Indirect Cost</v>
      </c>
    </row>
    <row r="8303" spans="1:7" x14ac:dyDescent="0.25">
      <c r="A8303" s="1" t="str">
        <f t="shared" si="531"/>
        <v>950</v>
      </c>
      <c r="B8303" s="1" t="str">
        <f>TEXT(12,"00")</f>
        <v>12</v>
      </c>
      <c r="C8303" s="1" t="str">
        <f t="shared" si="528"/>
        <v>950-12</v>
      </c>
      <c r="D8303" t="s">
        <v>8272</v>
      </c>
      <c r="E8303" t="b">
        <f>IF(COUNTIF(D8303,"*"&amp;'Keyword Search'!$C$5&amp;"*"),TRUE,FALSE)</f>
        <v>1</v>
      </c>
      <c r="G8303" t="str">
        <f t="shared" si="529"/>
        <v>950-12: Grants, Community Service Projects, IDC</v>
      </c>
    </row>
    <row r="8304" spans="1:7" x14ac:dyDescent="0.25">
      <c r="A8304" s="1" t="str">
        <f t="shared" si="531"/>
        <v>950</v>
      </c>
      <c r="B8304" s="1" t="str">
        <f>TEXT(13,"00")</f>
        <v>13</v>
      </c>
      <c r="C8304" s="1" t="str">
        <f t="shared" si="528"/>
        <v>950-13</v>
      </c>
      <c r="D8304" t="s">
        <v>8273</v>
      </c>
      <c r="E8304" t="b">
        <f>IF(COUNTIF(D8304,"*"&amp;'Keyword Search'!$C$5&amp;"*"),TRUE,FALSE)</f>
        <v>1</v>
      </c>
      <c r="G8304" t="str">
        <f t="shared" si="529"/>
        <v>950-13: Grants, Community Service Programs</v>
      </c>
    </row>
    <row r="8305" spans="1:7" x14ac:dyDescent="0.25">
      <c r="A8305" s="1" t="str">
        <f t="shared" si="531"/>
        <v>950</v>
      </c>
      <c r="B8305" s="1" t="str">
        <f>TEXT(14,"00")</f>
        <v>14</v>
      </c>
      <c r="C8305" s="1" t="str">
        <f t="shared" si="528"/>
        <v>950-14</v>
      </c>
      <c r="D8305" t="s">
        <v>8274</v>
      </c>
      <c r="E8305" t="b">
        <f>IF(COUNTIF(D8305,"*"&amp;'Keyword Search'!$C$5&amp;"*"),TRUE,FALSE)</f>
        <v>1</v>
      </c>
      <c r="G8305" t="str">
        <f t="shared" si="529"/>
        <v>950-14: Grants, Conferences and Seminars</v>
      </c>
    </row>
    <row r="8306" spans="1:7" x14ac:dyDescent="0.25">
      <c r="A8306" s="1" t="str">
        <f t="shared" si="531"/>
        <v>950</v>
      </c>
      <c r="B8306" s="1" t="str">
        <f>TEXT(15,"00")</f>
        <v>15</v>
      </c>
      <c r="C8306" s="1" t="str">
        <f t="shared" si="528"/>
        <v>950-15</v>
      </c>
      <c r="D8306" t="s">
        <v>8275</v>
      </c>
      <c r="E8306" t="b">
        <f>IF(COUNTIF(D8306,"*"&amp;'Keyword Search'!$C$5&amp;"*"),TRUE,FALSE)</f>
        <v>1</v>
      </c>
      <c r="G8306" t="str">
        <f t="shared" si="529"/>
        <v>950-15: Grants, Counties</v>
      </c>
    </row>
    <row r="8307" spans="1:7" x14ac:dyDescent="0.25">
      <c r="A8307" s="1" t="str">
        <f t="shared" si="531"/>
        <v>950</v>
      </c>
      <c r="B8307" s="1" t="str">
        <f>TEXT(16,"00")</f>
        <v>16</v>
      </c>
      <c r="C8307" s="1" t="str">
        <f t="shared" si="528"/>
        <v>950-16</v>
      </c>
      <c r="D8307" t="s">
        <v>8276</v>
      </c>
      <c r="E8307" t="b">
        <f>IF(COUNTIF(D8307,"*"&amp;'Keyword Search'!$C$5&amp;"*"),TRUE,FALSE)</f>
        <v>1</v>
      </c>
      <c r="G8307" t="str">
        <f t="shared" si="529"/>
        <v>950-16: Grants, Counties, IDC, HIGHER EDUCATION</v>
      </c>
    </row>
    <row r="8308" spans="1:7" x14ac:dyDescent="0.25">
      <c r="A8308" s="1" t="str">
        <f t="shared" si="531"/>
        <v>950</v>
      </c>
      <c r="B8308" s="1" t="str">
        <f>TEXT(20,"00")</f>
        <v>20</v>
      </c>
      <c r="C8308" s="1" t="str">
        <f t="shared" si="528"/>
        <v>950-20</v>
      </c>
      <c r="D8308" t="s">
        <v>8277</v>
      </c>
      <c r="E8308" t="b">
        <f>IF(COUNTIF(D8308,"*"&amp;'Keyword Search'!$C$5&amp;"*"),TRUE,FALSE)</f>
        <v>1</v>
      </c>
      <c r="G8308" t="str">
        <f t="shared" si="529"/>
        <v>950-20: Grants, Individuals</v>
      </c>
    </row>
    <row r="8309" spans="1:7" x14ac:dyDescent="0.25">
      <c r="A8309" s="1" t="str">
        <f t="shared" si="531"/>
        <v>950</v>
      </c>
      <c r="B8309" s="1" t="str">
        <f>TEXT(21,"00")</f>
        <v>21</v>
      </c>
      <c r="C8309" s="1" t="str">
        <f t="shared" si="528"/>
        <v>950-21</v>
      </c>
      <c r="D8309" t="s">
        <v>8278</v>
      </c>
      <c r="E8309" t="b">
        <f>IF(COUNTIF(D8309,"*"&amp;'Keyword Search'!$C$5&amp;"*"),TRUE,FALSE)</f>
        <v>1</v>
      </c>
      <c r="G8309" t="str">
        <f t="shared" si="529"/>
        <v>950-21: Grants, Individuals, IDC</v>
      </c>
    </row>
    <row r="8310" spans="1:7" x14ac:dyDescent="0.25">
      <c r="A8310" s="1" t="str">
        <f t="shared" si="531"/>
        <v>950</v>
      </c>
      <c r="B8310" s="1" t="str">
        <f>TEXT(23,"00")</f>
        <v>23</v>
      </c>
      <c r="C8310" s="1" t="str">
        <f t="shared" si="528"/>
        <v>950-23</v>
      </c>
      <c r="D8310" t="s">
        <v>8279</v>
      </c>
      <c r="E8310" t="b">
        <f>IF(COUNTIF(D8310,"*"&amp;'Keyword Search'!$C$5&amp;"*"),TRUE,FALSE)</f>
        <v>1</v>
      </c>
      <c r="G8310" t="str">
        <f t="shared" si="529"/>
        <v>950-23: Grants, Junior Colleges</v>
      </c>
    </row>
    <row r="8311" spans="1:7" x14ac:dyDescent="0.25">
      <c r="A8311" s="1" t="str">
        <f t="shared" si="531"/>
        <v>950</v>
      </c>
      <c r="B8311" s="1" t="str">
        <f>TEXT(24,"00")</f>
        <v>24</v>
      </c>
      <c r="C8311" s="1" t="str">
        <f t="shared" si="528"/>
        <v>950-24</v>
      </c>
      <c r="D8311" t="s">
        <v>8280</v>
      </c>
      <c r="E8311" t="b">
        <f>IF(COUNTIF(D8311,"*"&amp;'Keyword Search'!$C$5&amp;"*"),TRUE,FALSE)</f>
        <v>1</v>
      </c>
      <c r="G8311" t="str">
        <f t="shared" si="529"/>
        <v>950-24: Grants, Junior Colleges, IDC</v>
      </c>
    </row>
    <row r="8312" spans="1:7" x14ac:dyDescent="0.25">
      <c r="A8312" s="1" t="str">
        <f t="shared" si="531"/>
        <v>950</v>
      </c>
      <c r="B8312" s="1" t="str">
        <f>TEXT(40,"00")</f>
        <v>40</v>
      </c>
      <c r="C8312" s="1" t="str">
        <f t="shared" si="528"/>
        <v>950-40</v>
      </c>
      <c r="D8312" t="s">
        <v>8281</v>
      </c>
      <c r="E8312" t="b">
        <f>IF(COUNTIF(D8312,"*"&amp;'Keyword Search'!$C$5&amp;"*"),TRUE,FALSE)</f>
        <v>1</v>
      </c>
      <c r="G8312" t="str">
        <f t="shared" si="529"/>
        <v>950-40: Grants, Other Political Subdivisions, IDC</v>
      </c>
    </row>
    <row r="8313" spans="1:7" x14ac:dyDescent="0.25">
      <c r="A8313" s="1" t="str">
        <f t="shared" si="531"/>
        <v>950</v>
      </c>
      <c r="B8313" s="1" t="str">
        <f>TEXT(41,"00")</f>
        <v>41</v>
      </c>
      <c r="C8313" s="1" t="str">
        <f t="shared" si="528"/>
        <v>950-41</v>
      </c>
      <c r="D8313" t="s">
        <v>8282</v>
      </c>
      <c r="E8313" t="b">
        <f>IF(COUNTIF(D8313,"*"&amp;'Keyword Search'!$C$5&amp;"*"),TRUE,FALSE)</f>
        <v>1</v>
      </c>
      <c r="G8313" t="str">
        <f t="shared" si="529"/>
        <v>950-41: Grants, Other Political Subdivisions</v>
      </c>
    </row>
    <row r="8314" spans="1:7" x14ac:dyDescent="0.25">
      <c r="A8314" s="1" t="str">
        <f t="shared" si="531"/>
        <v>950</v>
      </c>
      <c r="B8314" s="1" t="str">
        <f>TEXT(50,"00")</f>
        <v>50</v>
      </c>
      <c r="C8314" s="1" t="str">
        <f t="shared" si="528"/>
        <v>950-50</v>
      </c>
      <c r="D8314" t="s">
        <v>8283</v>
      </c>
      <c r="E8314" t="b">
        <f>IF(COUNTIF(D8314,"*"&amp;'Keyword Search'!$C$5&amp;"*"),TRUE,FALSE)</f>
        <v>1</v>
      </c>
      <c r="G8314" t="str">
        <f t="shared" si="529"/>
        <v>950-50: Grants, Senior Colleges and Universities</v>
      </c>
    </row>
    <row r="8315" spans="1:7" x14ac:dyDescent="0.25">
      <c r="A8315" s="1" t="str">
        <f t="shared" si="531"/>
        <v>950</v>
      </c>
      <c r="B8315" s="1" t="str">
        <f>TEXT(51,"00")</f>
        <v>51</v>
      </c>
      <c r="C8315" s="1" t="str">
        <f t="shared" si="528"/>
        <v>950-51</v>
      </c>
      <c r="D8315" t="s">
        <v>8284</v>
      </c>
      <c r="E8315" t="b">
        <f>IF(COUNTIF(D8315,"*"&amp;'Keyword Search'!$C$5&amp;"*"),TRUE,FALSE)</f>
        <v>1</v>
      </c>
      <c r="G8315" t="str">
        <f t="shared" si="529"/>
        <v>950-51: Grants, Senior Colleges and Universities, IDC</v>
      </c>
    </row>
    <row r="8316" spans="1:7" x14ac:dyDescent="0.25">
      <c r="A8316" s="1" t="str">
        <f t="shared" si="531"/>
        <v>950</v>
      </c>
      <c r="B8316" s="1" t="str">
        <f>TEXT(52,"00")</f>
        <v>52</v>
      </c>
      <c r="C8316" s="1" t="str">
        <f t="shared" si="528"/>
        <v>950-52</v>
      </c>
      <c r="D8316" t="s">
        <v>8285</v>
      </c>
      <c r="E8316" t="b">
        <f>IF(COUNTIF(D8316,"*"&amp;'Keyword Search'!$C$5&amp;"*"),TRUE,FALSE)</f>
        <v>1</v>
      </c>
      <c r="G8316" t="str">
        <f t="shared" si="529"/>
        <v>950-52: Grants, Student Tuition and Fees, No IDC</v>
      </c>
    </row>
    <row r="8317" spans="1:7" x14ac:dyDescent="0.25">
      <c r="A8317" s="1" t="str">
        <f t="shared" si="531"/>
        <v>950</v>
      </c>
      <c r="B8317" s="1" t="str">
        <f>TEXT(53,"00")</f>
        <v>53</v>
      </c>
      <c r="C8317" s="1" t="str">
        <f t="shared" si="528"/>
        <v>950-53</v>
      </c>
      <c r="D8317" t="s">
        <v>8286</v>
      </c>
      <c r="E8317" t="b">
        <f>IF(COUNTIF(D8317,"*"&amp;'Keyword Search'!$C$5&amp;"*"),TRUE,FALSE)</f>
        <v>1</v>
      </c>
      <c r="G8317" t="str">
        <f t="shared" si="529"/>
        <v>950-53: Grants, Student Stipends on SPR</v>
      </c>
    </row>
    <row r="8318" spans="1:7" x14ac:dyDescent="0.25">
      <c r="A8318" s="1" t="str">
        <f t="shared" si="531"/>
        <v>950</v>
      </c>
      <c r="B8318" s="1" t="str">
        <f>TEXT(54,"00")</f>
        <v>54</v>
      </c>
      <c r="C8318" s="1" t="str">
        <f t="shared" si="528"/>
        <v>950-54</v>
      </c>
      <c r="D8318" t="s">
        <v>8287</v>
      </c>
      <c r="E8318" t="b">
        <f>IF(COUNTIF(D8318,"*"&amp;'Keyword Search'!$C$5&amp;"*"),TRUE,FALSE)</f>
        <v>1</v>
      </c>
      <c r="G8318" t="str">
        <f t="shared" si="529"/>
        <v>950-54: Grants, Student Tuition and Fees</v>
      </c>
    </row>
    <row r="8319" spans="1:7" x14ac:dyDescent="0.25">
      <c r="A8319" s="1" t="str">
        <f t="shared" si="531"/>
        <v>950</v>
      </c>
      <c r="B8319" s="1" t="str">
        <f>TEXT(56,"00")</f>
        <v>56</v>
      </c>
      <c r="C8319" s="1" t="str">
        <f t="shared" si="528"/>
        <v>950-56</v>
      </c>
      <c r="D8319" t="s">
        <v>8288</v>
      </c>
      <c r="E8319" t="b">
        <f>IF(COUNTIF(D8319,"*"&amp;'Keyword Search'!$C$5&amp;"*"),TRUE,FALSE)</f>
        <v>1</v>
      </c>
      <c r="G8319" t="str">
        <f t="shared" si="529"/>
        <v>950-56: Grants, Travel and Other Related Expenses</v>
      </c>
    </row>
    <row r="8320" spans="1:7" x14ac:dyDescent="0.25">
      <c r="A8320" s="1" t="str">
        <f t="shared" si="531"/>
        <v>950</v>
      </c>
      <c r="B8320" s="1" t="str">
        <f>TEXT(60,"00")</f>
        <v>60</v>
      </c>
      <c r="C8320" s="1" t="str">
        <f t="shared" si="528"/>
        <v>950-60</v>
      </c>
      <c r="D8320" t="s">
        <v>8289</v>
      </c>
      <c r="E8320" t="b">
        <f>IF(COUNTIF(D8320,"*"&amp;'Keyword Search'!$C$5&amp;"*"),TRUE,FALSE)</f>
        <v>1</v>
      </c>
      <c r="G8320" t="str">
        <f t="shared" si="529"/>
        <v>950-60: Subawards, Federal, Other First $25,000</v>
      </c>
    </row>
    <row r="8321" spans="1:7" x14ac:dyDescent="0.25">
      <c r="A8321" s="1" t="str">
        <f t="shared" si="531"/>
        <v>950</v>
      </c>
      <c r="B8321" s="1" t="str">
        <f>TEXT(61,"00")</f>
        <v>61</v>
      </c>
      <c r="C8321" s="1" t="str">
        <f t="shared" si="528"/>
        <v>950-61</v>
      </c>
      <c r="D8321" t="s">
        <v>8290</v>
      </c>
      <c r="E8321" t="b">
        <f>IF(COUNTIF(D8321,"*"&amp;'Keyword Search'!$C$5&amp;"*"),TRUE,FALSE)</f>
        <v>1</v>
      </c>
      <c r="G8321" t="str">
        <f t="shared" si="529"/>
        <v>950-61: Subawards, Federal, State, First $25,000</v>
      </c>
    </row>
    <row r="8322" spans="1:7" x14ac:dyDescent="0.25">
      <c r="A8322" s="1" t="str">
        <f t="shared" si="531"/>
        <v>950</v>
      </c>
      <c r="B8322" s="1" t="str">
        <f>TEXT(62,"00")</f>
        <v>62</v>
      </c>
      <c r="C8322" s="1" t="str">
        <f t="shared" si="528"/>
        <v>950-62</v>
      </c>
      <c r="D8322" t="s">
        <v>8291</v>
      </c>
      <c r="E8322" t="b">
        <f>IF(COUNTIF(D8322,"*"&amp;'Keyword Search'!$C$5&amp;"*"),TRUE,FALSE)</f>
        <v>1</v>
      </c>
      <c r="G8322" t="str">
        <f t="shared" si="529"/>
        <v>950-62: Subawards, Federal, First $25.000</v>
      </c>
    </row>
    <row r="8323" spans="1:7" x14ac:dyDescent="0.25">
      <c r="A8323" s="1" t="str">
        <f t="shared" si="531"/>
        <v>950</v>
      </c>
      <c r="B8323" s="1" t="str">
        <f>TEXT(63,"00")</f>
        <v>63</v>
      </c>
      <c r="C8323" s="1" t="str">
        <f t="shared" ref="C8323:C8386" si="532">CONCATENATE(A8323,"-",B8323)</f>
        <v>950-63</v>
      </c>
      <c r="D8323" t="s">
        <v>8292</v>
      </c>
      <c r="E8323" t="b">
        <f>IF(COUNTIF(D8323,"*"&amp;'Keyword Search'!$C$5&amp;"*"),TRUE,FALSE)</f>
        <v>1</v>
      </c>
      <c r="G8323" t="str">
        <f t="shared" si="529"/>
        <v>950-63: Subawards, State, First $25,000</v>
      </c>
    </row>
    <row r="8324" spans="1:7" x14ac:dyDescent="0.25">
      <c r="A8324" s="1" t="str">
        <f t="shared" si="531"/>
        <v>950</v>
      </c>
      <c r="B8324" s="1" t="str">
        <f>TEXT(64,"00")</f>
        <v>64</v>
      </c>
      <c r="C8324" s="1" t="str">
        <f t="shared" si="532"/>
        <v>950-64</v>
      </c>
      <c r="D8324" t="s">
        <v>8293</v>
      </c>
      <c r="E8324" t="b">
        <f>IF(COUNTIF(D8324,"*"&amp;'Keyword Search'!$C$5&amp;"*"),TRUE,FALSE)</f>
        <v>1</v>
      </c>
      <c r="G8324" t="str">
        <f t="shared" ref="G8324:G8387" si="533">CONCATENATE(C8324,": ",D8324)</f>
        <v>950-64: Subawards, Other Srcs-Oth Ents-First $25.000</v>
      </c>
    </row>
    <row r="8325" spans="1:7" x14ac:dyDescent="0.25">
      <c r="A8325" s="1" t="str">
        <f t="shared" si="531"/>
        <v>950</v>
      </c>
      <c r="B8325" s="1" t="str">
        <f>TEXT(65,"00")</f>
        <v>65</v>
      </c>
      <c r="C8325" s="1" t="str">
        <f t="shared" si="532"/>
        <v>950-65</v>
      </c>
      <c r="D8325" t="s">
        <v>8294</v>
      </c>
      <c r="E8325" t="b">
        <f>IF(COUNTIF(D8325,"*"&amp;'Keyword Search'!$C$5&amp;"*"),TRUE,FALSE)</f>
        <v>1</v>
      </c>
      <c r="G8325" t="str">
        <f t="shared" si="533"/>
        <v>950-65: Subs Fed Other After First $25,000</v>
      </c>
    </row>
    <row r="8326" spans="1:7" x14ac:dyDescent="0.25">
      <c r="A8326" s="1" t="str">
        <f t="shared" si="531"/>
        <v>950</v>
      </c>
      <c r="B8326" s="1" t="str">
        <f>TEXT(66,"00")</f>
        <v>66</v>
      </c>
      <c r="C8326" s="1" t="str">
        <f t="shared" si="532"/>
        <v>950-66</v>
      </c>
      <c r="D8326" t="s">
        <v>8295</v>
      </c>
      <c r="E8326" t="b">
        <f>IF(COUNTIF(D8326,"*"&amp;'Keyword Search'!$C$5&amp;"*"),TRUE,FALSE)</f>
        <v>1</v>
      </c>
      <c r="G8326" t="str">
        <f t="shared" si="533"/>
        <v>950-66: Subs Other Feds, Other After First $25,000</v>
      </c>
    </row>
    <row r="8327" spans="1:7" x14ac:dyDescent="0.25">
      <c r="A8327" s="1" t="str">
        <f t="shared" si="531"/>
        <v>950</v>
      </c>
      <c r="B8327" s="1" t="str">
        <f>TEXT(67,"00")</f>
        <v>67</v>
      </c>
      <c r="C8327" s="1" t="str">
        <f t="shared" si="532"/>
        <v>950-67</v>
      </c>
      <c r="D8327" t="s">
        <v>8296</v>
      </c>
      <c r="E8327" t="b">
        <f>IF(COUNTIF(D8327,"*"&amp;'Keyword Search'!$C$5&amp;"*"),TRUE,FALSE)</f>
        <v>1</v>
      </c>
      <c r="G8327" t="str">
        <f t="shared" si="533"/>
        <v>950-67: Subs-Fed-State, After First $25,000</v>
      </c>
    </row>
    <row r="8328" spans="1:7" x14ac:dyDescent="0.25">
      <c r="A8328" s="1" t="str">
        <f t="shared" si="531"/>
        <v>950</v>
      </c>
      <c r="B8328" s="1" t="str">
        <f>TEXT(68,"00")</f>
        <v>68</v>
      </c>
      <c r="C8328" s="1" t="str">
        <f t="shared" si="532"/>
        <v>950-68</v>
      </c>
      <c r="D8328" t="s">
        <v>8297</v>
      </c>
      <c r="E8328" t="b">
        <f>IF(COUNTIF(D8328,"*"&amp;'Keyword Search'!$C$5&amp;"*"),TRUE,FALSE)</f>
        <v>1</v>
      </c>
      <c r="G8328" t="str">
        <f t="shared" si="533"/>
        <v>950-68: Subs-Fed, After First $25,000</v>
      </c>
    </row>
    <row r="8329" spans="1:7" x14ac:dyDescent="0.25">
      <c r="A8329" s="1" t="str">
        <f t="shared" si="531"/>
        <v>950</v>
      </c>
      <c r="B8329" s="1" t="str">
        <f>TEXT(69,"00")</f>
        <v>69</v>
      </c>
      <c r="C8329" s="1" t="str">
        <f t="shared" si="532"/>
        <v>950-69</v>
      </c>
      <c r="D8329" t="s">
        <v>8298</v>
      </c>
      <c r="E8329" t="b">
        <f>IF(COUNTIF(D8329,"*"&amp;'Keyword Search'!$C$5&amp;"*"),TRUE,FALSE)</f>
        <v>1</v>
      </c>
      <c r="G8329" t="str">
        <f t="shared" si="533"/>
        <v>950-69: Subs-Other, After First $25,000</v>
      </c>
    </row>
    <row r="8330" spans="1:7" x14ac:dyDescent="0.25">
      <c r="A8330" s="1" t="str">
        <f t="shared" si="531"/>
        <v>950</v>
      </c>
      <c r="B8330" s="1" t="str">
        <f>TEXT(70,"00")</f>
        <v>70</v>
      </c>
      <c r="C8330" s="1" t="str">
        <f t="shared" si="532"/>
        <v>950-70</v>
      </c>
      <c r="D8330" t="s">
        <v>8299</v>
      </c>
      <c r="E8330" t="b">
        <f>IF(COUNTIF(D8330,"*"&amp;'Keyword Search'!$C$5&amp;"*"),TRUE,FALSE)</f>
        <v>1</v>
      </c>
      <c r="G8330" t="str">
        <f t="shared" si="533"/>
        <v>950-70: Subs-Other, First $25,000</v>
      </c>
    </row>
    <row r="8331" spans="1:7" x14ac:dyDescent="0.25">
      <c r="A8331" s="1" t="str">
        <f t="shared" si="531"/>
        <v>950</v>
      </c>
      <c r="B8331" s="1" t="str">
        <f>TEXT(73,"00")</f>
        <v>73</v>
      </c>
      <c r="C8331" s="1" t="str">
        <f t="shared" si="532"/>
        <v>950-73</v>
      </c>
      <c r="D8331" t="s">
        <v>8300</v>
      </c>
      <c r="E8331" t="b">
        <f>IF(COUNTIF(D8331,"*"&amp;'Keyword Search'!$C$5&amp;"*"),TRUE,FALSE)</f>
        <v>1</v>
      </c>
      <c r="G8331" t="str">
        <f t="shared" si="533"/>
        <v>950-73: Subs-State, State after first $25,000</v>
      </c>
    </row>
    <row r="8332" spans="1:7" x14ac:dyDescent="0.25">
      <c r="A8332" s="1" t="str">
        <f t="shared" si="531"/>
        <v>950</v>
      </c>
      <c r="B8332" s="1" t="str">
        <f>TEXT(74,"00")</f>
        <v>74</v>
      </c>
      <c r="C8332" s="1" t="str">
        <f t="shared" si="532"/>
        <v>950-74</v>
      </c>
      <c r="D8332" t="s">
        <v>8301</v>
      </c>
      <c r="E8332" t="b">
        <f>IF(COUNTIF(D8332,"*"&amp;'Keyword Search'!$C$5&amp;"*"),TRUE,FALSE)</f>
        <v>1</v>
      </c>
      <c r="G8332" t="str">
        <f t="shared" si="533"/>
        <v>950-74: Subs-State, State first $25,000</v>
      </c>
    </row>
    <row r="8333" spans="1:7" x14ac:dyDescent="0.25">
      <c r="A8333" s="1" t="str">
        <f t="shared" si="531"/>
        <v>950</v>
      </c>
      <c r="B8333" s="1" t="str">
        <f>TEXT(75,"00")</f>
        <v>75</v>
      </c>
      <c r="C8333" s="1" t="str">
        <f t="shared" si="532"/>
        <v>950-75</v>
      </c>
      <c r="D8333" t="s">
        <v>8302</v>
      </c>
      <c r="E8333" t="b">
        <f>IF(COUNTIF(D8333,"*"&amp;'Keyword Search'!$C$5&amp;"*"),TRUE,FALSE)</f>
        <v>1</v>
      </c>
      <c r="G8333" t="str">
        <f t="shared" si="533"/>
        <v>950-75: Subs-State, After First $25,000</v>
      </c>
    </row>
    <row r="8334" spans="1:7" x14ac:dyDescent="0.25">
      <c r="A8334" s="1" t="str">
        <f t="shared" si="531"/>
        <v>950</v>
      </c>
      <c r="B8334" s="1" t="str">
        <f>TEXT(78,"00")</f>
        <v>78</v>
      </c>
      <c r="C8334" s="1" t="str">
        <f t="shared" si="532"/>
        <v>950-78</v>
      </c>
      <c r="D8334" t="s">
        <v>8303</v>
      </c>
      <c r="E8334" t="b">
        <f>IF(COUNTIF(D8334,"*"&amp;'Keyword Search'!$C$5&amp;"*"),TRUE,FALSE)</f>
        <v>1</v>
      </c>
      <c r="G8334" t="str">
        <f t="shared" si="533"/>
        <v>950-78: SWCAP Reimbursement to GR</v>
      </c>
    </row>
    <row r="8335" spans="1:7" x14ac:dyDescent="0.25">
      <c r="A8335" s="5" t="str">
        <f t="shared" ref="A8335:A8370" si="534">TEXT(951,"000")</f>
        <v>951</v>
      </c>
      <c r="B8335" s="5" t="str">
        <f>TEXT(0,"00")</f>
        <v>00</v>
      </c>
      <c r="C8335" s="1"/>
      <c r="D8335" s="2" t="s">
        <v>8304</v>
      </c>
    </row>
    <row r="8336" spans="1:7" x14ac:dyDescent="0.25">
      <c r="A8336" s="1" t="str">
        <f t="shared" si="534"/>
        <v>951</v>
      </c>
      <c r="B8336" s="1" t="str">
        <f>TEXT(1,"00")</f>
        <v>01</v>
      </c>
      <c r="C8336" s="1" t="str">
        <f t="shared" si="532"/>
        <v>951-01</v>
      </c>
      <c r="D8336" t="s">
        <v>8305</v>
      </c>
      <c r="E8336" t="b">
        <f>IF(COUNTIF(D8336,"*"&amp;'Keyword Search'!$C$5&amp;"*"),TRUE,FALSE)</f>
        <v>1</v>
      </c>
      <c r="G8336" t="str">
        <f t="shared" si="533"/>
        <v>951-01: Administrative Allowance, Higher Education</v>
      </c>
    </row>
    <row r="8337" spans="1:7" x14ac:dyDescent="0.25">
      <c r="A8337" s="1" t="str">
        <f t="shared" si="534"/>
        <v>951</v>
      </c>
      <c r="B8337" s="1" t="str">
        <f>TEXT(2,"00")</f>
        <v>02</v>
      </c>
      <c r="C8337" s="1" t="str">
        <f t="shared" si="532"/>
        <v>951-02</v>
      </c>
      <c r="D8337" t="s">
        <v>8306</v>
      </c>
      <c r="E8337" t="b">
        <f>IF(COUNTIF(D8337,"*"&amp;'Keyword Search'!$C$5&amp;"*"),TRUE,FALSE)</f>
        <v>1</v>
      </c>
      <c r="G8337" t="str">
        <f t="shared" si="533"/>
        <v>951-02: Auxiliary Administrative Cost</v>
      </c>
    </row>
    <row r="8338" spans="1:7" x14ac:dyDescent="0.25">
      <c r="A8338" s="1" t="str">
        <f t="shared" si="534"/>
        <v>951</v>
      </c>
      <c r="B8338" s="1" t="str">
        <f>TEXT(5,"00")</f>
        <v>05</v>
      </c>
      <c r="C8338" s="1" t="str">
        <f t="shared" si="532"/>
        <v>951-05</v>
      </c>
      <c r="D8338" t="s">
        <v>8307</v>
      </c>
      <c r="E8338" t="b">
        <f>IF(COUNTIF(D8338,"*"&amp;'Keyword Search'!$C$5&amp;"*"),TRUE,FALSE)</f>
        <v>1</v>
      </c>
      <c r="G8338" t="str">
        <f t="shared" si="533"/>
        <v>951-05: Employee Comp Training, Tuition</v>
      </c>
    </row>
    <row r="8339" spans="1:7" x14ac:dyDescent="0.25">
      <c r="A8339" s="1" t="str">
        <f t="shared" si="534"/>
        <v>951</v>
      </c>
      <c r="B8339" s="1" t="str">
        <f>TEXT(6,"00")</f>
        <v>06</v>
      </c>
      <c r="C8339" s="1" t="str">
        <f t="shared" si="532"/>
        <v>951-06</v>
      </c>
      <c r="D8339" t="s">
        <v>8308</v>
      </c>
      <c r="E8339" t="b">
        <f>IF(COUNTIF(D8339,"*"&amp;'Keyword Search'!$C$5&amp;"*"),TRUE,FALSE)</f>
        <v>1</v>
      </c>
      <c r="G8339" t="str">
        <f t="shared" si="533"/>
        <v>951-06: Employment Contract Payout (SAGO only)</v>
      </c>
    </row>
    <row r="8340" spans="1:7" x14ac:dyDescent="0.25">
      <c r="A8340" s="1" t="str">
        <f t="shared" si="534"/>
        <v>951</v>
      </c>
      <c r="B8340" s="1" t="str">
        <f>TEXT(7,"00")</f>
        <v>07</v>
      </c>
      <c r="C8340" s="1" t="str">
        <f t="shared" si="532"/>
        <v>951-07</v>
      </c>
      <c r="D8340" t="s">
        <v>8309</v>
      </c>
      <c r="E8340" t="b">
        <f>IF(COUNTIF(D8340,"*"&amp;'Keyword Search'!$C$5&amp;"*"),TRUE,FALSE)</f>
        <v>1</v>
      </c>
      <c r="G8340" t="str">
        <f t="shared" si="533"/>
        <v>951-07: Facilities and Other Improvements, Drives, Parking Lots, Paths, Trails</v>
      </c>
    </row>
    <row r="8341" spans="1:7" x14ac:dyDescent="0.25">
      <c r="A8341" s="1" t="str">
        <f t="shared" si="534"/>
        <v>951</v>
      </c>
      <c r="B8341" s="1" t="str">
        <f>TEXT(8,"00")</f>
        <v>08</v>
      </c>
      <c r="C8341" s="1" t="str">
        <f t="shared" si="532"/>
        <v>951-08</v>
      </c>
      <c r="D8341" t="s">
        <v>8310</v>
      </c>
      <c r="E8341" t="b">
        <f>IF(COUNTIF(D8341,"*"&amp;'Keyword Search'!$C$5&amp;"*"),TRUE,FALSE)</f>
        <v>1</v>
      </c>
      <c r="G8341" t="str">
        <f t="shared" si="533"/>
        <v>951-08: Facilities and Other Improvements, Fences</v>
      </c>
    </row>
    <row r="8342" spans="1:7" x14ac:dyDescent="0.25">
      <c r="A8342" s="1" t="str">
        <f t="shared" si="534"/>
        <v>951</v>
      </c>
      <c r="B8342" s="1" t="str">
        <f>TEXT(9,"00")</f>
        <v>09</v>
      </c>
      <c r="C8342" s="1" t="str">
        <f t="shared" si="532"/>
        <v>951-09</v>
      </c>
      <c r="D8342" t="s">
        <v>7256</v>
      </c>
      <c r="E8342" t="b">
        <f>IF(COUNTIF(D8342,"*"&amp;'Keyword Search'!$C$5&amp;"*"),TRUE,FALSE)</f>
        <v>1</v>
      </c>
      <c r="G8342" t="str">
        <f t="shared" si="533"/>
        <v>951-09: Facilities and Other Improvements</v>
      </c>
    </row>
    <row r="8343" spans="1:7" x14ac:dyDescent="0.25">
      <c r="A8343" s="1" t="str">
        <f t="shared" si="534"/>
        <v>951</v>
      </c>
      <c r="B8343" s="1" t="str">
        <f>TEXT(10,"00")</f>
        <v>10</v>
      </c>
      <c r="C8343" s="1" t="str">
        <f t="shared" si="532"/>
        <v>951-10</v>
      </c>
      <c r="D8343" t="s">
        <v>8311</v>
      </c>
      <c r="E8343" t="b">
        <f>IF(COUNTIF(D8343,"*"&amp;'Keyword Search'!$C$5&amp;"*"),TRUE,FALSE)</f>
        <v>1</v>
      </c>
      <c r="G8343" t="str">
        <f t="shared" si="533"/>
        <v>951-10: Facilities and Other Improvements, Sports Facilities</v>
      </c>
    </row>
    <row r="8344" spans="1:7" x14ac:dyDescent="0.25">
      <c r="A8344" s="1" t="str">
        <f t="shared" si="534"/>
        <v>951</v>
      </c>
      <c r="B8344" s="1" t="str">
        <f>TEXT(11,"00")</f>
        <v>11</v>
      </c>
      <c r="C8344" s="1" t="str">
        <f t="shared" si="532"/>
        <v>951-11</v>
      </c>
      <c r="D8344" t="s">
        <v>8312</v>
      </c>
      <c r="E8344" t="b">
        <f>IF(COUNTIF(D8344,"*"&amp;'Keyword Search'!$C$5&amp;"*"),TRUE,FALSE)</f>
        <v>1</v>
      </c>
      <c r="G8344" t="str">
        <f t="shared" si="533"/>
        <v>951-11: Filing Fees, Documents</v>
      </c>
    </row>
    <row r="8345" spans="1:7" x14ac:dyDescent="0.25">
      <c r="A8345" s="1" t="str">
        <f t="shared" si="534"/>
        <v>951</v>
      </c>
      <c r="B8345" s="1" t="str">
        <f>TEXT(12,"00")</f>
        <v>12</v>
      </c>
      <c r="C8345" s="1" t="str">
        <f t="shared" si="532"/>
        <v>951-12</v>
      </c>
      <c r="D8345" t="s">
        <v>8313</v>
      </c>
      <c r="E8345" t="b">
        <f>IF(COUNTIF(D8345,"*"&amp;'Keyword Search'!$C$5&amp;"*"),TRUE,FALSE)</f>
        <v>1</v>
      </c>
      <c r="G8345" t="str">
        <f t="shared" si="533"/>
        <v>951-12: Game Guarantee Expense</v>
      </c>
    </row>
    <row r="8346" spans="1:7" x14ac:dyDescent="0.25">
      <c r="A8346" s="1" t="str">
        <f t="shared" si="534"/>
        <v>951</v>
      </c>
      <c r="B8346" s="1" t="str">
        <f>TEXT(13,"00")</f>
        <v>13</v>
      </c>
      <c r="C8346" s="1" t="str">
        <f t="shared" si="532"/>
        <v>951-13</v>
      </c>
      <c r="D8346" t="s">
        <v>8314</v>
      </c>
      <c r="E8346" t="b">
        <f>IF(COUNTIF(D8346,"*"&amp;'Keyword Search'!$C$5&amp;"*"),TRUE,FALSE)</f>
        <v>1</v>
      </c>
      <c r="G8346" t="str">
        <f t="shared" si="533"/>
        <v>951-13: Infrastructure, Preservation Costs</v>
      </c>
    </row>
    <row r="8347" spans="1:7" x14ac:dyDescent="0.25">
      <c r="A8347" s="1" t="str">
        <f t="shared" si="534"/>
        <v>951</v>
      </c>
      <c r="B8347" s="1" t="str">
        <f>TEXT(14,"00")</f>
        <v>14</v>
      </c>
      <c r="C8347" s="1" t="str">
        <f t="shared" si="532"/>
        <v>951-14</v>
      </c>
      <c r="D8347" t="s">
        <v>8315</v>
      </c>
      <c r="E8347" t="b">
        <f>IF(COUNTIF(D8347,"*"&amp;'Keyword Search'!$C$5&amp;"*"),TRUE,FALSE)</f>
        <v>1</v>
      </c>
      <c r="G8347" t="str">
        <f t="shared" si="533"/>
        <v>951-14: Infrastructure, Telecommunications</v>
      </c>
    </row>
    <row r="8348" spans="1:7" x14ac:dyDescent="0.25">
      <c r="A8348" s="1" t="str">
        <f t="shared" si="534"/>
        <v>951</v>
      </c>
      <c r="B8348" s="1" t="str">
        <f>TEXT(15,"00")</f>
        <v>15</v>
      </c>
      <c r="C8348" s="1" t="str">
        <f t="shared" si="532"/>
        <v>951-15</v>
      </c>
      <c r="D8348" t="s">
        <v>8316</v>
      </c>
      <c r="E8348" t="b">
        <f>IF(COUNTIF(D8348,"*"&amp;'Keyword Search'!$C$5&amp;"*"),TRUE,FALSE)</f>
        <v>1</v>
      </c>
      <c r="G8348" t="str">
        <f t="shared" si="533"/>
        <v>951-15: Infrastructure and Infrastructure Improvements</v>
      </c>
    </row>
    <row r="8349" spans="1:7" x14ac:dyDescent="0.25">
      <c r="A8349" s="1" t="str">
        <f t="shared" si="534"/>
        <v>951</v>
      </c>
      <c r="B8349" s="1" t="str">
        <f>TEXT(16,"00")</f>
        <v>16</v>
      </c>
      <c r="C8349" s="1" t="str">
        <f t="shared" si="532"/>
        <v>951-16</v>
      </c>
      <c r="D8349" t="s">
        <v>8317</v>
      </c>
      <c r="E8349" t="b">
        <f>IF(COUNTIF(D8349,"*"&amp;'Keyword Search'!$C$5&amp;"*"),TRUE,FALSE)</f>
        <v>1</v>
      </c>
      <c r="G8349" t="str">
        <f t="shared" si="533"/>
        <v>951-16: Infrastructure Support</v>
      </c>
    </row>
    <row r="8350" spans="1:7" x14ac:dyDescent="0.25">
      <c r="A8350" s="1" t="str">
        <f t="shared" si="534"/>
        <v>951</v>
      </c>
      <c r="B8350" s="1" t="str">
        <f>TEXT(17,"00")</f>
        <v>17</v>
      </c>
      <c r="C8350" s="1" t="str">
        <f t="shared" si="532"/>
        <v>951-17</v>
      </c>
      <c r="D8350" t="s">
        <v>8318</v>
      </c>
      <c r="E8350" t="b">
        <f>IF(COUNTIF(D8350,"*"&amp;'Keyword Search'!$C$5&amp;"*"),TRUE,FALSE)</f>
        <v>1</v>
      </c>
      <c r="G8350" t="str">
        <f t="shared" si="533"/>
        <v>951-17: Inter Divisional Services</v>
      </c>
    </row>
    <row r="8351" spans="1:7" x14ac:dyDescent="0.25">
      <c r="A8351" s="1" t="str">
        <f t="shared" si="534"/>
        <v>951</v>
      </c>
      <c r="B8351" s="1" t="str">
        <f>TEXT(20,"00")</f>
        <v>20</v>
      </c>
      <c r="C8351" s="1" t="str">
        <f t="shared" si="532"/>
        <v>951-20</v>
      </c>
      <c r="D8351" t="s">
        <v>8319</v>
      </c>
      <c r="E8351" t="b">
        <f>IF(COUNTIF(D8351,"*"&amp;'Keyword Search'!$C$5&amp;"*"),TRUE,FALSE)</f>
        <v>1</v>
      </c>
      <c r="G8351" t="str">
        <f t="shared" si="533"/>
        <v>951-20: Items for Resale, Books</v>
      </c>
    </row>
    <row r="8352" spans="1:7" x14ac:dyDescent="0.25">
      <c r="A8352" s="1" t="str">
        <f t="shared" si="534"/>
        <v>951</v>
      </c>
      <c r="B8352" s="1" t="str">
        <f>TEXT(21,"00")</f>
        <v>21</v>
      </c>
      <c r="C8352" s="1" t="str">
        <f t="shared" si="532"/>
        <v>951-21</v>
      </c>
      <c r="D8352" t="s">
        <v>8320</v>
      </c>
      <c r="E8352" t="b">
        <f>IF(COUNTIF(D8352,"*"&amp;'Keyword Search'!$C$5&amp;"*"),TRUE,FALSE)</f>
        <v>1</v>
      </c>
      <c r="G8352" t="str">
        <f t="shared" si="533"/>
        <v>951-21: Items for Resale, Rebates</v>
      </c>
    </row>
    <row r="8353" spans="1:7" x14ac:dyDescent="0.25">
      <c r="A8353" s="1" t="str">
        <f t="shared" si="534"/>
        <v>951</v>
      </c>
      <c r="B8353" s="1" t="str">
        <f>TEXT(22,"00")</f>
        <v>22</v>
      </c>
      <c r="C8353" s="1" t="str">
        <f t="shared" si="532"/>
        <v>951-22</v>
      </c>
      <c r="D8353" t="s">
        <v>8321</v>
      </c>
      <c r="E8353" t="b">
        <f>IF(COUNTIF(D8353,"*"&amp;'Keyword Search'!$C$5&amp;"*"),TRUE,FALSE)</f>
        <v>1</v>
      </c>
      <c r="G8353" t="str">
        <f t="shared" si="533"/>
        <v>951-22: Items Purchased for Resale</v>
      </c>
    </row>
    <row r="8354" spans="1:7" x14ac:dyDescent="0.25">
      <c r="A8354" s="1" t="str">
        <f t="shared" si="534"/>
        <v>951</v>
      </c>
      <c r="B8354" s="1" t="str">
        <f>TEXT(23,"00")</f>
        <v>23</v>
      </c>
      <c r="C8354" s="1" t="str">
        <f t="shared" si="532"/>
        <v>951-23</v>
      </c>
      <c r="D8354" t="s">
        <v>8322</v>
      </c>
      <c r="E8354" t="b">
        <f>IF(COUNTIF(D8354,"*"&amp;'Keyword Search'!$C$5&amp;"*"),TRUE,FALSE)</f>
        <v>1</v>
      </c>
      <c r="G8354" t="str">
        <f t="shared" si="533"/>
        <v>951-23: Items Purchased for Resale, Exempt</v>
      </c>
    </row>
    <row r="8355" spans="1:7" x14ac:dyDescent="0.25">
      <c r="A8355" s="1" t="str">
        <f t="shared" si="534"/>
        <v>951</v>
      </c>
      <c r="B8355" s="1" t="str">
        <f>TEXT(25,"00")</f>
        <v>25</v>
      </c>
      <c r="C8355" s="1" t="str">
        <f t="shared" si="532"/>
        <v>951-25</v>
      </c>
      <c r="D8355" t="s">
        <v>8323</v>
      </c>
      <c r="E8355" t="b">
        <f>IF(COUNTIF(D8355,"*"&amp;'Keyword Search'!$C$5&amp;"*"),TRUE,FALSE)</f>
        <v>1</v>
      </c>
      <c r="G8355" t="str">
        <f t="shared" si="533"/>
        <v>951-25: Land Improvements</v>
      </c>
    </row>
    <row r="8356" spans="1:7" x14ac:dyDescent="0.25">
      <c r="A8356" s="1" t="str">
        <f t="shared" si="534"/>
        <v>951</v>
      </c>
      <c r="B8356" s="1" t="str">
        <f>TEXT(26,"00")</f>
        <v>26</v>
      </c>
      <c r="C8356" s="1" t="str">
        <f t="shared" si="532"/>
        <v>951-26</v>
      </c>
      <c r="D8356" t="s">
        <v>8324</v>
      </c>
      <c r="E8356" t="b">
        <f>IF(COUNTIF(D8356,"*"&amp;'Keyword Search'!$C$5&amp;"*"),TRUE,FALSE)</f>
        <v>1</v>
      </c>
      <c r="G8356" t="str">
        <f t="shared" si="533"/>
        <v>951-26: Leasehold Improvements</v>
      </c>
    </row>
    <row r="8357" spans="1:7" x14ac:dyDescent="0.25">
      <c r="A8357" s="1" t="str">
        <f t="shared" si="534"/>
        <v>951</v>
      </c>
      <c r="B8357" s="1" t="str">
        <f>TEXT(30,"00")</f>
        <v>30</v>
      </c>
      <c r="C8357" s="1" t="str">
        <f t="shared" si="532"/>
        <v>951-30</v>
      </c>
      <c r="D8357" t="s">
        <v>8325</v>
      </c>
      <c r="E8357" t="b">
        <f>IF(COUNTIF(D8357,"*"&amp;'Keyword Search'!$C$5&amp;"*"),TRUE,FALSE)</f>
        <v>1</v>
      </c>
      <c r="G8357" t="str">
        <f t="shared" si="533"/>
        <v>951-30: Materials Resold to Department, Physical Plant Only</v>
      </c>
    </row>
    <row r="8358" spans="1:7" x14ac:dyDescent="0.25">
      <c r="A8358" s="1" t="str">
        <f t="shared" si="534"/>
        <v>951</v>
      </c>
      <c r="B8358" s="1" t="str">
        <f>TEXT(32,"00")</f>
        <v>32</v>
      </c>
      <c r="C8358" s="1" t="str">
        <f t="shared" si="532"/>
        <v>951-32</v>
      </c>
      <c r="D8358" t="s">
        <v>8326</v>
      </c>
      <c r="E8358" t="b">
        <f>IF(COUNTIF(D8358,"*"&amp;'Keyword Search'!$C$5&amp;"*"),TRUE,FALSE)</f>
        <v>1</v>
      </c>
      <c r="G8358" t="str">
        <f t="shared" si="533"/>
        <v>951-32: Net Change in Pollution Rem Oblig</v>
      </c>
    </row>
    <row r="8359" spans="1:7" x14ac:dyDescent="0.25">
      <c r="A8359" s="1" t="str">
        <f t="shared" si="534"/>
        <v>951</v>
      </c>
      <c r="B8359" s="1" t="str">
        <f>TEXT(38,"00")</f>
        <v>38</v>
      </c>
      <c r="C8359" s="1" t="str">
        <f t="shared" si="532"/>
        <v>951-38</v>
      </c>
      <c r="D8359" t="s">
        <v>8327</v>
      </c>
      <c r="E8359" t="b">
        <f>IF(COUNTIF(D8359,"*"&amp;'Keyword Search'!$C$5&amp;"*"),TRUE,FALSE)</f>
        <v>1</v>
      </c>
      <c r="G8359" t="str">
        <f t="shared" si="533"/>
        <v>951-38: Proving Grounds Services</v>
      </c>
    </row>
    <row r="8360" spans="1:7" x14ac:dyDescent="0.25">
      <c r="A8360" s="1" t="str">
        <f t="shared" si="534"/>
        <v>951</v>
      </c>
      <c r="B8360" s="1" t="str">
        <f>TEXT(40,"00")</f>
        <v>40</v>
      </c>
      <c r="C8360" s="1" t="str">
        <f t="shared" si="532"/>
        <v>951-40</v>
      </c>
      <c r="D8360" t="s">
        <v>8328</v>
      </c>
      <c r="E8360" t="b">
        <f>IF(COUNTIF(D8360,"*"&amp;'Keyword Search'!$C$5&amp;"*"),TRUE,FALSE)</f>
        <v>1</v>
      </c>
      <c r="G8360" t="str">
        <f t="shared" si="533"/>
        <v>951-40: Raw Materials Purchased</v>
      </c>
    </row>
    <row r="8361" spans="1:7" x14ac:dyDescent="0.25">
      <c r="A8361" s="1" t="str">
        <f t="shared" si="534"/>
        <v>951</v>
      </c>
      <c r="B8361" s="1" t="str">
        <f>TEXT(41,"00")</f>
        <v>41</v>
      </c>
      <c r="C8361" s="1" t="str">
        <f t="shared" si="532"/>
        <v>951-41</v>
      </c>
      <c r="D8361" t="s">
        <v>8329</v>
      </c>
      <c r="E8361" t="b">
        <f>IF(COUNTIF(D8361,"*"&amp;'Keyword Search'!$C$5&amp;"*"),TRUE,FALSE)</f>
        <v>1</v>
      </c>
      <c r="G8361" t="str">
        <f t="shared" si="533"/>
        <v>951-41: Raw Materials Purchased, Exempt</v>
      </c>
    </row>
    <row r="8362" spans="1:7" x14ac:dyDescent="0.25">
      <c r="A8362" s="1" t="str">
        <f t="shared" si="534"/>
        <v>951</v>
      </c>
      <c r="B8362" s="1" t="str">
        <f>TEXT(42,"00")</f>
        <v>42</v>
      </c>
      <c r="C8362" s="1" t="str">
        <f t="shared" si="532"/>
        <v>951-42</v>
      </c>
      <c r="D8362" t="s">
        <v>8330</v>
      </c>
      <c r="E8362" t="b">
        <f>IF(COUNTIF(D8362,"*"&amp;'Keyword Search'!$C$5&amp;"*"),TRUE,FALSE)</f>
        <v>1</v>
      </c>
      <c r="G8362" t="str">
        <f t="shared" si="533"/>
        <v>951-42: Recreational Facility Fee</v>
      </c>
    </row>
    <row r="8363" spans="1:7" x14ac:dyDescent="0.25">
      <c r="A8363" s="1" t="str">
        <f t="shared" si="534"/>
        <v>951</v>
      </c>
      <c r="B8363" s="1" t="str">
        <f>TEXT(43,"00")</f>
        <v>43</v>
      </c>
      <c r="C8363" s="1" t="str">
        <f t="shared" si="532"/>
        <v>951-43</v>
      </c>
      <c r="D8363" t="s">
        <v>8331</v>
      </c>
      <c r="E8363" t="b">
        <f>IF(COUNTIF(D8363,"*"&amp;'Keyword Search'!$C$5&amp;"*"),TRUE,FALSE)</f>
        <v>1</v>
      </c>
      <c r="G8363" t="str">
        <f t="shared" si="533"/>
        <v>951-43: Residents</v>
      </c>
    </row>
    <row r="8364" spans="1:7" x14ac:dyDescent="0.25">
      <c r="A8364" s="1" t="str">
        <f t="shared" si="534"/>
        <v>951</v>
      </c>
      <c r="B8364" s="1" t="str">
        <f>TEXT(45,"00")</f>
        <v>45</v>
      </c>
      <c r="C8364" s="1" t="str">
        <f t="shared" si="532"/>
        <v>951-45</v>
      </c>
      <c r="D8364" t="s">
        <v>8332</v>
      </c>
      <c r="E8364" t="b">
        <f>IF(COUNTIF(D8364,"*"&amp;'Keyword Search'!$C$5&amp;"*"),TRUE,FALSE)</f>
        <v>1</v>
      </c>
      <c r="G8364" t="str">
        <f t="shared" si="533"/>
        <v>951-45: Service Charges</v>
      </c>
    </row>
    <row r="8365" spans="1:7" x14ac:dyDescent="0.25">
      <c r="A8365" s="1" t="str">
        <f t="shared" si="534"/>
        <v>951</v>
      </c>
      <c r="B8365" s="1" t="str">
        <f>TEXT(46,"00")</f>
        <v>46</v>
      </c>
      <c r="C8365" s="1" t="str">
        <f t="shared" si="532"/>
        <v>951-46</v>
      </c>
      <c r="D8365" t="s">
        <v>8333</v>
      </c>
      <c r="E8365" t="b">
        <f>IF(COUNTIF(D8365,"*"&amp;'Keyword Search'!$C$5&amp;"*"),TRUE,FALSE)</f>
        <v>1</v>
      </c>
      <c r="G8365" t="str">
        <f t="shared" si="533"/>
        <v>951-46: Student Organization Finance Center, Clothing</v>
      </c>
    </row>
    <row r="8366" spans="1:7" x14ac:dyDescent="0.25">
      <c r="A8366" s="1" t="str">
        <f t="shared" si="534"/>
        <v>951</v>
      </c>
      <c r="B8366" s="1" t="str">
        <f>TEXT(48,"00")</f>
        <v>48</v>
      </c>
      <c r="C8366" s="1" t="str">
        <f t="shared" si="532"/>
        <v>951-48</v>
      </c>
      <c r="D8366" t="s">
        <v>8334</v>
      </c>
      <c r="E8366" t="b">
        <f>IF(COUNTIF(D8366,"*"&amp;'Keyword Search'!$C$5&amp;"*"),TRUE,FALSE)</f>
        <v>1</v>
      </c>
      <c r="G8366" t="str">
        <f t="shared" si="533"/>
        <v>951-48: Student Organization Finance Center, Other Expenses</v>
      </c>
    </row>
    <row r="8367" spans="1:7" x14ac:dyDescent="0.25">
      <c r="A8367" s="1" t="str">
        <f t="shared" si="534"/>
        <v>951</v>
      </c>
      <c r="B8367" s="1" t="str">
        <f>TEXT(49,"00")</f>
        <v>49</v>
      </c>
      <c r="C8367" s="1" t="str">
        <f t="shared" si="532"/>
        <v>951-49</v>
      </c>
      <c r="D8367" t="s">
        <v>8335</v>
      </c>
      <c r="E8367" t="b">
        <f>IF(COUNTIF(D8367,"*"&amp;'Keyword Search'!$C$5&amp;"*"),TRUE,FALSE)</f>
        <v>1</v>
      </c>
      <c r="G8367" t="str">
        <f t="shared" si="533"/>
        <v>951-49: Student Organization Finance Center, Rent</v>
      </c>
    </row>
    <row r="8368" spans="1:7" x14ac:dyDescent="0.25">
      <c r="A8368" s="1" t="str">
        <f t="shared" si="534"/>
        <v>951</v>
      </c>
      <c r="B8368" s="1" t="str">
        <f>TEXT(50,"00")</f>
        <v>50</v>
      </c>
      <c r="C8368" s="1" t="str">
        <f t="shared" si="532"/>
        <v>951-50</v>
      </c>
      <c r="D8368" t="s">
        <v>8336</v>
      </c>
      <c r="E8368" t="b">
        <f>IF(COUNTIF(D8368,"*"&amp;'Keyword Search'!$C$5&amp;"*"),TRUE,FALSE)</f>
        <v>1</v>
      </c>
      <c r="G8368" t="str">
        <f t="shared" si="533"/>
        <v>951-50: Subs-State-State-After First $25,000</v>
      </c>
    </row>
    <row r="8369" spans="1:7" x14ac:dyDescent="0.25">
      <c r="A8369" s="1" t="str">
        <f t="shared" si="534"/>
        <v>951</v>
      </c>
      <c r="B8369" s="1" t="str">
        <f>TEXT(51,"00")</f>
        <v>51</v>
      </c>
      <c r="C8369" s="1" t="str">
        <f t="shared" si="532"/>
        <v>951-51</v>
      </c>
      <c r="D8369" t="s">
        <v>8337</v>
      </c>
      <c r="E8369" t="b">
        <f>IF(COUNTIF(D8369,"*"&amp;'Keyword Search'!$C$5&amp;"*"),TRUE,FALSE)</f>
        <v>1</v>
      </c>
      <c r="G8369" t="str">
        <f t="shared" si="533"/>
        <v>951-51: Subs-State-State-First $25,000</v>
      </c>
    </row>
    <row r="8370" spans="1:7" x14ac:dyDescent="0.25">
      <c r="A8370" s="1" t="str">
        <f t="shared" si="534"/>
        <v>951</v>
      </c>
      <c r="B8370" s="1" t="str">
        <f>TEXT(60,"00")</f>
        <v>60</v>
      </c>
      <c r="C8370" s="1" t="str">
        <f t="shared" si="532"/>
        <v>951-60</v>
      </c>
      <c r="D8370" t="s">
        <v>8338</v>
      </c>
      <c r="E8370" t="b">
        <f>IF(COUNTIF(D8370,"*"&amp;'Keyword Search'!$C$5&amp;"*"),TRUE,FALSE)</f>
        <v>1</v>
      </c>
      <c r="G8370" t="str">
        <f t="shared" si="533"/>
        <v>951-60: TIPS Services</v>
      </c>
    </row>
    <row r="8371" spans="1:7" x14ac:dyDescent="0.25">
      <c r="A8371" s="5" t="str">
        <f t="shared" ref="A8371:A8434" si="535">TEXT(952,"000")</f>
        <v>952</v>
      </c>
      <c r="B8371" s="5" t="str">
        <f>TEXT(0,"00")</f>
        <v>00</v>
      </c>
      <c r="C8371" s="1"/>
      <c r="D8371" s="2" t="s">
        <v>8339</v>
      </c>
    </row>
    <row r="8372" spans="1:7" x14ac:dyDescent="0.25">
      <c r="A8372" s="1" t="str">
        <f t="shared" si="535"/>
        <v>952</v>
      </c>
      <c r="B8372" s="1" t="str">
        <f>TEXT(1,"00")</f>
        <v>01</v>
      </c>
      <c r="C8372" s="1" t="str">
        <f t="shared" si="532"/>
        <v>952-01</v>
      </c>
      <c r="D8372" t="s">
        <v>8340</v>
      </c>
      <c r="E8372" t="b">
        <f>IF(COUNTIF(D8372,"*"&amp;'Keyword Search'!$C$5&amp;"*"),TRUE,FALSE)</f>
        <v>1</v>
      </c>
      <c r="G8372" t="str">
        <f t="shared" si="533"/>
        <v>952-01: Adoption Services</v>
      </c>
    </row>
    <row r="8373" spans="1:7" x14ac:dyDescent="0.25">
      <c r="A8373" s="1" t="str">
        <f t="shared" si="535"/>
        <v>952</v>
      </c>
      <c r="B8373" s="1" t="str">
        <f>TEXT(5,"00")</f>
        <v>05</v>
      </c>
      <c r="C8373" s="1" t="str">
        <f t="shared" si="532"/>
        <v>952-05</v>
      </c>
      <c r="D8373" t="s">
        <v>8341</v>
      </c>
      <c r="E8373" t="b">
        <f>IF(COUNTIF(D8373,"*"&amp;'Keyword Search'!$C$5&amp;"*"),TRUE,FALSE)</f>
        <v>1</v>
      </c>
      <c r="G8373" t="str">
        <f t="shared" si="533"/>
        <v>952-05: Alcohol and Drug Detoxification, Including Rehabilitation)</v>
      </c>
    </row>
    <row r="8374" spans="1:7" x14ac:dyDescent="0.25">
      <c r="A8374" s="1" t="str">
        <f t="shared" si="535"/>
        <v>952</v>
      </c>
      <c r="B8374" s="1" t="str">
        <f>TEXT(6,"00")</f>
        <v>06</v>
      </c>
      <c r="C8374" s="1" t="str">
        <f t="shared" si="532"/>
        <v>952-06</v>
      </c>
      <c r="D8374" t="s">
        <v>8342</v>
      </c>
      <c r="E8374" t="b">
        <f>IF(COUNTIF(D8374,"*"&amp;'Keyword Search'!$C$5&amp;"*"),TRUE,FALSE)</f>
        <v>1</v>
      </c>
      <c r="G8374" t="str">
        <f t="shared" si="533"/>
        <v>952-06: Alcohol and Drug Prevention</v>
      </c>
    </row>
    <row r="8375" spans="1:7" x14ac:dyDescent="0.25">
      <c r="A8375" s="1" t="str">
        <f t="shared" si="535"/>
        <v>952</v>
      </c>
      <c r="B8375" s="1" t="str">
        <f>TEXT(7,"00")</f>
        <v>07</v>
      </c>
      <c r="C8375" s="1" t="str">
        <f t="shared" si="532"/>
        <v>952-07</v>
      </c>
      <c r="D8375" t="s">
        <v>8343</v>
      </c>
      <c r="E8375" t="b">
        <f>IF(COUNTIF(D8375,"*"&amp;'Keyword Search'!$C$5&amp;"*"),TRUE,FALSE)</f>
        <v>1</v>
      </c>
      <c r="G8375" t="str">
        <f t="shared" si="533"/>
        <v>952-07: Alcohol and Drug Testing Services</v>
      </c>
    </row>
    <row r="8376" spans="1:7" x14ac:dyDescent="0.25">
      <c r="A8376" s="1" t="str">
        <f t="shared" si="535"/>
        <v>952</v>
      </c>
      <c r="B8376" s="1" t="str">
        <f>TEXT(8,"00")</f>
        <v>08</v>
      </c>
      <c r="C8376" s="1" t="str">
        <f t="shared" si="532"/>
        <v>952-08</v>
      </c>
      <c r="D8376" t="s">
        <v>8344</v>
      </c>
      <c r="E8376" t="b">
        <f>IF(COUNTIF(D8376,"*"&amp;'Keyword Search'!$C$5&amp;"*"),TRUE,FALSE)</f>
        <v>1</v>
      </c>
      <c r="G8376" t="str">
        <f t="shared" si="533"/>
        <v>952-08: Assisted Living Services</v>
      </c>
    </row>
    <row r="8377" spans="1:7" x14ac:dyDescent="0.25">
      <c r="A8377" s="1" t="str">
        <f t="shared" si="535"/>
        <v>952</v>
      </c>
      <c r="B8377" s="1" t="str">
        <f>TEXT(9,"00")</f>
        <v>09</v>
      </c>
      <c r="C8377" s="1" t="str">
        <f t="shared" si="532"/>
        <v>952-09</v>
      </c>
      <c r="D8377" t="s">
        <v>8345</v>
      </c>
      <c r="E8377" t="b">
        <f>IF(COUNTIF(D8377,"*"&amp;'Keyword Search'!$C$5&amp;"*"),TRUE,FALSE)</f>
        <v>1</v>
      </c>
      <c r="G8377" t="str">
        <f t="shared" si="533"/>
        <v>952-09: Autopsy and Other Coroner Type Services</v>
      </c>
    </row>
    <row r="8378" spans="1:7" x14ac:dyDescent="0.25">
      <c r="A8378" s="1" t="str">
        <f t="shared" si="535"/>
        <v>952</v>
      </c>
      <c r="B8378" s="1" t="str">
        <f>TEXT(10,"00")</f>
        <v>10</v>
      </c>
      <c r="C8378" s="1" t="str">
        <f t="shared" si="532"/>
        <v>952-10</v>
      </c>
      <c r="D8378" t="s">
        <v>8346</v>
      </c>
      <c r="E8378" t="b">
        <f>IF(COUNTIF(D8378,"*"&amp;'Keyword Search'!$C$5&amp;"*"),TRUE,FALSE)</f>
        <v>1</v>
      </c>
      <c r="G8378" t="str">
        <f t="shared" si="533"/>
        <v>952-10: Barber and Beautician Services</v>
      </c>
    </row>
    <row r="8379" spans="1:7" x14ac:dyDescent="0.25">
      <c r="A8379" s="1" t="str">
        <f t="shared" si="535"/>
        <v>952</v>
      </c>
      <c r="B8379" s="1" t="str">
        <f>TEXT(11,"00")</f>
        <v>11</v>
      </c>
      <c r="C8379" s="1" t="str">
        <f t="shared" si="532"/>
        <v>952-11</v>
      </c>
      <c r="D8379" t="s">
        <v>8347</v>
      </c>
      <c r="E8379" t="b">
        <f>IF(COUNTIF(D8379,"*"&amp;'Keyword Search'!$C$5&amp;"*"),TRUE,FALSE)</f>
        <v>1</v>
      </c>
      <c r="G8379" t="str">
        <f t="shared" si="533"/>
        <v>952-11: Babysitting or Nanny Services</v>
      </c>
    </row>
    <row r="8380" spans="1:7" x14ac:dyDescent="0.25">
      <c r="A8380" s="1" t="str">
        <f t="shared" si="535"/>
        <v>952</v>
      </c>
      <c r="B8380" s="1" t="str">
        <f>TEXT(12,"00")</f>
        <v>12</v>
      </c>
      <c r="C8380" s="1" t="str">
        <f t="shared" si="532"/>
        <v>952-12</v>
      </c>
      <c r="D8380" t="s">
        <v>8348</v>
      </c>
      <c r="E8380" t="b">
        <f>IF(COUNTIF(D8380,"*"&amp;'Keyword Search'!$C$5&amp;"*"),TRUE,FALSE)</f>
        <v>1</v>
      </c>
      <c r="G8380" t="str">
        <f t="shared" si="533"/>
        <v>952-12: Bioethical Services</v>
      </c>
    </row>
    <row r="8381" spans="1:7" x14ac:dyDescent="0.25">
      <c r="A8381" s="1" t="str">
        <f t="shared" si="535"/>
        <v>952</v>
      </c>
      <c r="B8381" s="1" t="str">
        <f>TEXT(13,"00")</f>
        <v>13</v>
      </c>
      <c r="C8381" s="1" t="str">
        <f t="shared" si="532"/>
        <v>952-13</v>
      </c>
      <c r="D8381" t="s">
        <v>8349</v>
      </c>
      <c r="E8381" t="b">
        <f>IF(COUNTIF(D8381,"*"&amp;'Keyword Search'!$C$5&amp;"*"),TRUE,FALSE)</f>
        <v>1</v>
      </c>
      <c r="G8381" t="str">
        <f t="shared" si="533"/>
        <v>952-13: Big Brother, Big Sister, and Similar Type Program Services</v>
      </c>
    </row>
    <row r="8382" spans="1:7" x14ac:dyDescent="0.25">
      <c r="A8382" s="1" t="str">
        <f t="shared" si="535"/>
        <v>952</v>
      </c>
      <c r="B8382" s="1" t="str">
        <f>TEXT(14,"00")</f>
        <v>14</v>
      </c>
      <c r="C8382" s="1" t="str">
        <f t="shared" si="532"/>
        <v>952-14</v>
      </c>
      <c r="D8382" t="s">
        <v>8350</v>
      </c>
      <c r="E8382" t="b">
        <f>IF(COUNTIF(D8382,"*"&amp;'Keyword Search'!$C$5&amp;"*"),TRUE,FALSE)</f>
        <v>1</v>
      </c>
      <c r="G8382" t="str">
        <f t="shared" si="533"/>
        <v>952-14: Cemetery Services, Including Operation, Management, and Maintenance</v>
      </c>
    </row>
    <row r="8383" spans="1:7" x14ac:dyDescent="0.25">
      <c r="A8383" s="1" t="str">
        <f t="shared" si="535"/>
        <v>952</v>
      </c>
      <c r="B8383" s="1" t="str">
        <f>TEXT(15,"00")</f>
        <v>15</v>
      </c>
      <c r="C8383" s="1" t="str">
        <f t="shared" si="532"/>
        <v>952-15</v>
      </c>
      <c r="D8383" t="s">
        <v>8351</v>
      </c>
      <c r="E8383" t="b">
        <f>IF(COUNTIF(D8383,"*"&amp;'Keyword Search'!$C$5&amp;"*"),TRUE,FALSE)</f>
        <v>1</v>
      </c>
      <c r="G8383" t="str">
        <f t="shared" si="533"/>
        <v>952-15: Case Management</v>
      </c>
    </row>
    <row r="8384" spans="1:7" x14ac:dyDescent="0.25">
      <c r="A8384" s="1" t="str">
        <f t="shared" si="535"/>
        <v>952</v>
      </c>
      <c r="B8384" s="1" t="str">
        <f>TEXT(16,"00")</f>
        <v>16</v>
      </c>
      <c r="C8384" s="1" t="str">
        <f t="shared" si="532"/>
        <v>952-16</v>
      </c>
      <c r="D8384" t="s">
        <v>8352</v>
      </c>
      <c r="E8384" t="b">
        <f>IF(COUNTIF(D8384,"*"&amp;'Keyword Search'!$C$5&amp;"*"),TRUE,FALSE)</f>
        <v>1</v>
      </c>
      <c r="G8384" t="str">
        <f t="shared" si="533"/>
        <v>952-16: Chaplain and Minister Services</v>
      </c>
    </row>
    <row r="8385" spans="1:7" x14ac:dyDescent="0.25">
      <c r="A8385" s="1" t="str">
        <f t="shared" si="535"/>
        <v>952</v>
      </c>
      <c r="B8385" s="1" t="str">
        <f>TEXT(17,"00")</f>
        <v>17</v>
      </c>
      <c r="C8385" s="1" t="str">
        <f t="shared" si="532"/>
        <v>952-17</v>
      </c>
      <c r="D8385" t="s">
        <v>8353</v>
      </c>
      <c r="E8385" t="b">
        <f>IF(COUNTIF(D8385,"*"&amp;'Keyword Search'!$C$5&amp;"*"),TRUE,FALSE)</f>
        <v>1</v>
      </c>
      <c r="G8385" t="str">
        <f t="shared" si="533"/>
        <v>952-17: Child Abuse: Identification, Treatment, and Prevention, Including Sexual Abuse</v>
      </c>
    </row>
    <row r="8386" spans="1:7" x14ac:dyDescent="0.25">
      <c r="A8386" s="1" t="str">
        <f t="shared" si="535"/>
        <v>952</v>
      </c>
      <c r="B8386" s="1" t="str">
        <f>TEXT(18,"00")</f>
        <v>18</v>
      </c>
      <c r="C8386" s="1" t="str">
        <f t="shared" si="532"/>
        <v>952-18</v>
      </c>
      <c r="D8386" t="s">
        <v>8354</v>
      </c>
      <c r="E8386" t="b">
        <f>IF(COUNTIF(D8386,"*"&amp;'Keyword Search'!$C$5&amp;"*"),TRUE,FALSE)</f>
        <v>1</v>
      </c>
      <c r="G8386" t="str">
        <f t="shared" si="533"/>
        <v>952-18: Child Care Services, Including  Food Programs</v>
      </c>
    </row>
    <row r="8387" spans="1:7" x14ac:dyDescent="0.25">
      <c r="A8387" s="1" t="str">
        <f t="shared" si="535"/>
        <v>952</v>
      </c>
      <c r="B8387" s="1" t="str">
        <f>TEXT(19,"00")</f>
        <v>19</v>
      </c>
      <c r="C8387" s="1" t="str">
        <f t="shared" ref="C8387:C8449" si="536">CONCATENATE(A8387,"-",B8387)</f>
        <v>952-19</v>
      </c>
      <c r="D8387" t="s">
        <v>8355</v>
      </c>
      <c r="E8387" t="b">
        <f>IF(COUNTIF(D8387,"*"&amp;'Keyword Search'!$C$5&amp;"*"),TRUE,FALSE)</f>
        <v>1</v>
      </c>
      <c r="G8387" t="str">
        <f t="shared" si="533"/>
        <v>952-19: Community Garden Program</v>
      </c>
    </row>
    <row r="8388" spans="1:7" x14ac:dyDescent="0.25">
      <c r="A8388" s="1" t="str">
        <f t="shared" si="535"/>
        <v>952</v>
      </c>
      <c r="B8388" s="1" t="str">
        <f>TEXT(20,"00")</f>
        <v>20</v>
      </c>
      <c r="C8388" s="1" t="str">
        <f t="shared" si="536"/>
        <v>952-20</v>
      </c>
      <c r="D8388" t="s">
        <v>8356</v>
      </c>
      <c r="E8388" t="b">
        <f>IF(COUNTIF(D8388,"*"&amp;'Keyword Search'!$C$5&amp;"*"),TRUE,FALSE)</f>
        <v>1</v>
      </c>
      <c r="G8388" t="str">
        <f t="shared" ref="G8388:G8451" si="537">CONCATENATE(C8388,": ",D8388)</f>
        <v>952-20: Correctional Services</v>
      </c>
    </row>
    <row r="8389" spans="1:7" x14ac:dyDescent="0.25">
      <c r="A8389" s="1" t="str">
        <f t="shared" si="535"/>
        <v>952</v>
      </c>
      <c r="B8389" s="1" t="str">
        <f>TEXT(21,"00")</f>
        <v>21</v>
      </c>
      <c r="C8389" s="1" t="str">
        <f t="shared" si="536"/>
        <v>952-21</v>
      </c>
      <c r="D8389" t="s">
        <v>8357</v>
      </c>
      <c r="E8389" t="b">
        <f>IF(COUNTIF(D8389,"*"&amp;'Keyword Search'!$C$5&amp;"*"),TRUE,FALSE)</f>
        <v>1</v>
      </c>
      <c r="G8389" t="str">
        <f t="shared" si="537"/>
        <v>952-21: Counseling Services</v>
      </c>
    </row>
    <row r="8390" spans="1:7" x14ac:dyDescent="0.25">
      <c r="A8390" s="1" t="str">
        <f t="shared" si="535"/>
        <v>952</v>
      </c>
      <c r="B8390" s="1" t="str">
        <f>TEXT(22,"00")</f>
        <v>22</v>
      </c>
      <c r="C8390" s="1" t="str">
        <f t="shared" si="536"/>
        <v>952-22</v>
      </c>
      <c r="D8390" t="s">
        <v>8358</v>
      </c>
      <c r="E8390" t="b">
        <f>IF(COUNTIF(D8390,"*"&amp;'Keyword Search'!$C$5&amp;"*"),TRUE,FALSE)</f>
        <v>1</v>
      </c>
      <c r="G8390" t="str">
        <f t="shared" si="537"/>
        <v>952-22: Community Service Campaigns, Anti-Litter Programs, Bicycle Share Programs etc.</v>
      </c>
    </row>
    <row r="8391" spans="1:7" x14ac:dyDescent="0.25">
      <c r="A8391" s="1" t="str">
        <f t="shared" si="535"/>
        <v>952</v>
      </c>
      <c r="B8391" s="1" t="str">
        <f>TEXT(23,"00")</f>
        <v>23</v>
      </c>
      <c r="C8391" s="1" t="str">
        <f t="shared" si="536"/>
        <v>952-23</v>
      </c>
      <c r="D8391" t="s">
        <v>8359</v>
      </c>
      <c r="E8391" t="b">
        <f>IF(COUNTIF(D8391,"*"&amp;'Keyword Search'!$C$5&amp;"*"),TRUE,FALSE)</f>
        <v>1</v>
      </c>
      <c r="G8391" t="str">
        <f t="shared" si="537"/>
        <v>952-23: Court Intervention Services</v>
      </c>
    </row>
    <row r="8392" spans="1:7" x14ac:dyDescent="0.25">
      <c r="A8392" s="1" t="str">
        <f t="shared" si="535"/>
        <v>952</v>
      </c>
      <c r="B8392" s="1" t="str">
        <f>TEXT(24,"00")</f>
        <v>24</v>
      </c>
      <c r="C8392" s="1" t="str">
        <f t="shared" si="536"/>
        <v>952-24</v>
      </c>
      <c r="D8392" t="s">
        <v>8360</v>
      </c>
      <c r="E8392" t="b">
        <f>IF(COUNTIF(D8392,"*"&amp;'Keyword Search'!$C$5&amp;"*"),TRUE,FALSE)</f>
        <v>1</v>
      </c>
      <c r="G8392" t="str">
        <f t="shared" si="537"/>
        <v>952-24: Cultural Administration and Promotion Services</v>
      </c>
    </row>
    <row r="8393" spans="1:7" x14ac:dyDescent="0.25">
      <c r="A8393" s="1" t="str">
        <f t="shared" si="535"/>
        <v>952</v>
      </c>
      <c r="B8393" s="1" t="str">
        <f>TEXT(25,"00")</f>
        <v>25</v>
      </c>
      <c r="C8393" s="1" t="str">
        <f t="shared" si="536"/>
        <v>952-25</v>
      </c>
      <c r="D8393" t="s">
        <v>8361</v>
      </c>
      <c r="E8393" t="b">
        <f>IF(COUNTIF(D8393,"*"&amp;'Keyword Search'!$C$5&amp;"*"),TRUE,FALSE)</f>
        <v>1</v>
      </c>
      <c r="G8393" t="str">
        <f t="shared" si="537"/>
        <v>952-25: Day Care, Preschool</v>
      </c>
    </row>
    <row r="8394" spans="1:7" x14ac:dyDescent="0.25">
      <c r="A8394" s="1" t="str">
        <f t="shared" si="535"/>
        <v>952</v>
      </c>
      <c r="B8394" s="1" t="str">
        <f>TEXT(26,"00")</f>
        <v>26</v>
      </c>
      <c r="C8394" s="1" t="str">
        <f t="shared" si="536"/>
        <v>952-26</v>
      </c>
      <c r="D8394" t="s">
        <v>8362</v>
      </c>
      <c r="E8394" t="b">
        <f>IF(COUNTIF(D8394,"*"&amp;'Keyword Search'!$C$5&amp;"*"),TRUE,FALSE)</f>
        <v>1</v>
      </c>
      <c r="G8394" t="str">
        <f t="shared" si="537"/>
        <v>952-26: Day Care, Adult</v>
      </c>
    </row>
    <row r="8395" spans="1:7" x14ac:dyDescent="0.25">
      <c r="A8395" s="1" t="str">
        <f t="shared" si="535"/>
        <v>952</v>
      </c>
      <c r="B8395" s="1" t="str">
        <f>TEXT(28,"00")</f>
        <v>28</v>
      </c>
      <c r="C8395" s="1" t="str">
        <f t="shared" si="536"/>
        <v>952-28</v>
      </c>
      <c r="D8395" t="s">
        <v>8363</v>
      </c>
      <c r="E8395" t="b">
        <f>IF(COUNTIF(D8395,"*"&amp;'Keyword Search'!$C$5&amp;"*"),TRUE,FALSE)</f>
        <v>1</v>
      </c>
      <c r="G8395" t="str">
        <f t="shared" si="537"/>
        <v>952-28: Day Care Training Consortium</v>
      </c>
    </row>
    <row r="8396" spans="1:7" x14ac:dyDescent="0.25">
      <c r="A8396" s="1" t="str">
        <f t="shared" si="535"/>
        <v>952</v>
      </c>
      <c r="B8396" s="1" t="str">
        <f>TEXT(29,"00")</f>
        <v>29</v>
      </c>
      <c r="C8396" s="1" t="str">
        <f t="shared" si="536"/>
        <v>952-29</v>
      </c>
      <c r="D8396" t="s">
        <v>8364</v>
      </c>
      <c r="E8396" t="b">
        <f>IF(COUNTIF(D8396,"*"&amp;'Keyword Search'!$C$5&amp;"*"),TRUE,FALSE)</f>
        <v>1</v>
      </c>
      <c r="G8396" t="str">
        <f t="shared" si="537"/>
        <v xml:space="preserve">952-29: Dating and Escort Services                                                                                                                                                                                                                                </v>
      </c>
    </row>
    <row r="8397" spans="1:7" x14ac:dyDescent="0.25">
      <c r="A8397" s="1" t="str">
        <f t="shared" si="535"/>
        <v>952</v>
      </c>
      <c r="B8397" s="1" t="str">
        <f>TEXT(30,"00")</f>
        <v>30</v>
      </c>
      <c r="C8397" s="1" t="str">
        <f t="shared" si="536"/>
        <v>952-30</v>
      </c>
      <c r="D8397" t="s">
        <v>8365</v>
      </c>
      <c r="E8397" t="b">
        <f>IF(COUNTIF(D8397,"*"&amp;'Keyword Search'!$C$5&amp;"*"),TRUE,FALSE)</f>
        <v>1</v>
      </c>
      <c r="G8397" t="str">
        <f t="shared" si="537"/>
        <v>952-30: Delivered Meals</v>
      </c>
    </row>
    <row r="8398" spans="1:7" x14ac:dyDescent="0.25">
      <c r="A8398" s="1" t="str">
        <f t="shared" si="535"/>
        <v>952</v>
      </c>
      <c r="B8398" s="1" t="str">
        <f>TEXT(31,"00")</f>
        <v>31</v>
      </c>
      <c r="C8398" s="1" t="str">
        <f t="shared" si="536"/>
        <v>952-31</v>
      </c>
      <c r="D8398" t="s">
        <v>8366</v>
      </c>
      <c r="E8398" t="b">
        <f>IF(COUNTIF(D8398,"*"&amp;'Keyword Search'!$C$5&amp;"*"),TRUE,FALSE)</f>
        <v>1</v>
      </c>
      <c r="G8398" t="str">
        <f t="shared" si="537"/>
        <v>952-31: Discrimination Investigation</v>
      </c>
    </row>
    <row r="8399" spans="1:7" x14ac:dyDescent="0.25">
      <c r="A8399" s="1" t="str">
        <f t="shared" si="535"/>
        <v>952</v>
      </c>
      <c r="B8399" s="1" t="str">
        <f>TEXT(32,"00")</f>
        <v>32</v>
      </c>
      <c r="C8399" s="1" t="str">
        <f t="shared" si="536"/>
        <v>952-32</v>
      </c>
      <c r="D8399" t="s">
        <v>8367</v>
      </c>
      <c r="E8399" t="b">
        <f>IF(COUNTIF(D8399,"*"&amp;'Keyword Search'!$C$5&amp;"*"),TRUE,FALSE)</f>
        <v>1</v>
      </c>
      <c r="G8399" t="str">
        <f t="shared" si="537"/>
        <v>952-32: Domicile Services</v>
      </c>
    </row>
    <row r="8400" spans="1:7" x14ac:dyDescent="0.25">
      <c r="A8400" s="1" t="str">
        <f t="shared" si="535"/>
        <v>952</v>
      </c>
      <c r="B8400" s="1" t="str">
        <f>TEXT(35,"00")</f>
        <v>35</v>
      </c>
      <c r="C8400" s="1" t="str">
        <f t="shared" si="536"/>
        <v>952-35</v>
      </c>
      <c r="D8400" t="s">
        <v>8368</v>
      </c>
      <c r="E8400" t="b">
        <f>IF(COUNTIF(D8400,"*"&amp;'Keyword Search'!$C$5&amp;"*"),TRUE,FALSE)</f>
        <v>1</v>
      </c>
      <c r="G8400" t="str">
        <f t="shared" si="537"/>
        <v>952-35: Elder Abuse Prevention Services</v>
      </c>
    </row>
    <row r="8401" spans="1:7" x14ac:dyDescent="0.25">
      <c r="A8401" s="1" t="str">
        <f t="shared" si="535"/>
        <v>952</v>
      </c>
      <c r="B8401" s="1" t="str">
        <f>TEXT(36,"00")</f>
        <v>36</v>
      </c>
      <c r="C8401" s="1" t="str">
        <f t="shared" si="536"/>
        <v>952-36</v>
      </c>
      <c r="D8401" t="s">
        <v>8369</v>
      </c>
      <c r="E8401" t="b">
        <f>IF(COUNTIF(D8401,"*"&amp;'Keyword Search'!$C$5&amp;"*"),TRUE,FALSE)</f>
        <v>1</v>
      </c>
      <c r="G8401" t="str">
        <f t="shared" si="537"/>
        <v>952-36: Emergency Food Services</v>
      </c>
    </row>
    <row r="8402" spans="1:7" x14ac:dyDescent="0.25">
      <c r="A8402" s="1" t="str">
        <f t="shared" si="535"/>
        <v>952</v>
      </c>
      <c r="B8402" s="1" t="str">
        <f>TEXT(37,"00")</f>
        <v>37</v>
      </c>
      <c r="C8402" s="1" t="str">
        <f t="shared" si="536"/>
        <v>952-37</v>
      </c>
      <c r="D8402" t="s">
        <v>8370</v>
      </c>
      <c r="E8402" t="b">
        <f>IF(COUNTIF(D8402,"*"&amp;'Keyword Search'!$C$5&amp;"*"),TRUE,FALSE)</f>
        <v>1</v>
      </c>
      <c r="G8402" t="str">
        <f t="shared" si="537"/>
        <v>952-37: Emergency Shelter Services</v>
      </c>
    </row>
    <row r="8403" spans="1:7" x14ac:dyDescent="0.25">
      <c r="A8403" s="1" t="str">
        <f t="shared" si="535"/>
        <v>952</v>
      </c>
      <c r="B8403" s="1" t="str">
        <f>TEXT(38,"00")</f>
        <v>38</v>
      </c>
      <c r="C8403" s="1" t="str">
        <f t="shared" si="536"/>
        <v>952-38</v>
      </c>
      <c r="D8403" t="s">
        <v>8371</v>
      </c>
      <c r="E8403" t="b">
        <f>IF(COUNTIF(D8403,"*"&amp;'Keyword Search'!$C$5&amp;"*"),TRUE,FALSE)</f>
        <v>1</v>
      </c>
      <c r="G8403" t="str">
        <f t="shared" si="537"/>
        <v>952-38: Employee Assistance Programs, Including Unemployment Compensation Administration Services and Try-out Employment</v>
      </c>
    </row>
    <row r="8404" spans="1:7" x14ac:dyDescent="0.25">
      <c r="A8404" s="1" t="str">
        <f t="shared" si="535"/>
        <v>952</v>
      </c>
      <c r="B8404" s="1" t="str">
        <f>TEXT(39,"00")</f>
        <v>39</v>
      </c>
      <c r="C8404" s="1" t="str">
        <f t="shared" si="536"/>
        <v>952-39</v>
      </c>
      <c r="D8404" t="s">
        <v>8372</v>
      </c>
      <c r="E8404" t="b">
        <f>IF(COUNTIF(D8404,"*"&amp;'Keyword Search'!$C$5&amp;"*"),TRUE,FALSE)</f>
        <v>1</v>
      </c>
      <c r="G8404" t="str">
        <f t="shared" si="537"/>
        <v>952-39: Employment Generating Activities</v>
      </c>
    </row>
    <row r="8405" spans="1:7" x14ac:dyDescent="0.25">
      <c r="A8405" s="1" t="str">
        <f t="shared" si="535"/>
        <v>952</v>
      </c>
      <c r="B8405" s="1" t="str">
        <f>TEXT(40,"00")</f>
        <v>40</v>
      </c>
      <c r="C8405" s="1" t="str">
        <f t="shared" si="536"/>
        <v>952-40</v>
      </c>
      <c r="D8405" t="s">
        <v>8373</v>
      </c>
      <c r="E8405" t="b">
        <f>IF(COUNTIF(D8405,"*"&amp;'Keyword Search'!$C$5&amp;"*"),TRUE,FALSE)</f>
        <v>1</v>
      </c>
      <c r="G8405" t="str">
        <f t="shared" si="537"/>
        <v>952-40: Elderly Assistance Services</v>
      </c>
    </row>
    <row r="8406" spans="1:7" x14ac:dyDescent="0.25">
      <c r="A8406" s="1" t="str">
        <f t="shared" si="535"/>
        <v>952</v>
      </c>
      <c r="B8406" s="1" t="str">
        <f>TEXT(41,"00")</f>
        <v>41</v>
      </c>
      <c r="C8406" s="1" t="str">
        <f t="shared" si="536"/>
        <v>952-41</v>
      </c>
      <c r="D8406" t="s">
        <v>8374</v>
      </c>
      <c r="E8406" t="b">
        <f>IF(COUNTIF(D8406,"*"&amp;'Keyword Search'!$C$5&amp;"*"),TRUE,FALSE)</f>
        <v>1</v>
      </c>
      <c r="G8406" t="str">
        <f t="shared" si="537"/>
        <v>952-41: Face and Body Beauty Treatment Services</v>
      </c>
    </row>
    <row r="8407" spans="1:7" x14ac:dyDescent="0.25">
      <c r="A8407" s="1" t="str">
        <f t="shared" si="535"/>
        <v>952</v>
      </c>
      <c r="B8407" s="1" t="str">
        <f>TEXT(42,"00")</f>
        <v>42</v>
      </c>
      <c r="C8407" s="1" t="str">
        <f t="shared" si="536"/>
        <v>952-42</v>
      </c>
      <c r="D8407" t="s">
        <v>8375</v>
      </c>
      <c r="E8407" t="b">
        <f>IF(COUNTIF(D8407,"*"&amp;'Keyword Search'!$C$5&amp;"*"),TRUE,FALSE)</f>
        <v>1</v>
      </c>
      <c r="G8407" t="str">
        <f t="shared" si="537"/>
        <v>952-42: Family Planning</v>
      </c>
    </row>
    <row r="8408" spans="1:7" x14ac:dyDescent="0.25">
      <c r="A8408" s="1" t="str">
        <f t="shared" si="535"/>
        <v>952</v>
      </c>
      <c r="B8408" s="1" t="str">
        <f>TEXT(43,"00")</f>
        <v>43</v>
      </c>
      <c r="C8408" s="1" t="str">
        <f t="shared" si="536"/>
        <v>952-43</v>
      </c>
      <c r="D8408" t="s">
        <v>8376</v>
      </c>
      <c r="E8408" t="b">
        <f>IF(COUNTIF(D8408,"*"&amp;'Keyword Search'!$C$5&amp;"*"),TRUE,FALSE)</f>
        <v>1</v>
      </c>
      <c r="G8408" t="str">
        <f t="shared" si="537"/>
        <v>952-43: Family and Social Services, Including Shopping and Buying Services</v>
      </c>
    </row>
    <row r="8409" spans="1:7" x14ac:dyDescent="0.25">
      <c r="A8409" s="1" t="str">
        <f t="shared" si="535"/>
        <v>952</v>
      </c>
      <c r="B8409" s="1" t="str">
        <f>TEXT(44,"00")</f>
        <v>44</v>
      </c>
      <c r="C8409" s="1" t="str">
        <f t="shared" si="536"/>
        <v>952-44</v>
      </c>
      <c r="D8409" t="s">
        <v>8377</v>
      </c>
      <c r="E8409" t="b">
        <f>IF(COUNTIF(D8409,"*"&amp;'Keyword Search'!$C$5&amp;"*"),TRUE,FALSE)</f>
        <v>1</v>
      </c>
      <c r="G8409" t="str">
        <f t="shared" si="537"/>
        <v>952-44: Fire Fighting and Prevention Services, Buildings, Homes, etc., (See 990-43 for Oil and Gas Well Fires)</v>
      </c>
    </row>
    <row r="8410" spans="1:7" x14ac:dyDescent="0.25">
      <c r="A8410" s="1" t="str">
        <f t="shared" si="535"/>
        <v>952</v>
      </c>
      <c r="B8410" s="1" t="str">
        <f>TEXT(45,"00")</f>
        <v>45</v>
      </c>
      <c r="C8410" s="1" t="str">
        <f t="shared" si="536"/>
        <v>952-45</v>
      </c>
      <c r="D8410" t="s">
        <v>8378</v>
      </c>
      <c r="E8410" t="b">
        <f>IF(COUNTIF(D8410,"*"&amp;'Keyword Search'!$C$5&amp;"*"),TRUE,FALSE)</f>
        <v>1</v>
      </c>
      <c r="G8410" t="str">
        <f t="shared" si="537"/>
        <v>952-45: Food Stamps and Coupons</v>
      </c>
    </row>
    <row r="8411" spans="1:7" x14ac:dyDescent="0.25">
      <c r="A8411" s="1" t="str">
        <f t="shared" si="535"/>
        <v>952</v>
      </c>
      <c r="B8411" s="1" t="str">
        <f>TEXT(47,"00")</f>
        <v>47</v>
      </c>
      <c r="C8411" s="1" t="str">
        <f t="shared" si="536"/>
        <v>952-47</v>
      </c>
      <c r="D8411" t="s">
        <v>8379</v>
      </c>
      <c r="E8411" t="b">
        <f>IF(COUNTIF(D8411,"*"&amp;'Keyword Search'!$C$5&amp;"*"),TRUE,FALSE)</f>
        <v>1</v>
      </c>
      <c r="G8411" t="str">
        <f t="shared" si="537"/>
        <v>952-47: Foster Care Services</v>
      </c>
    </row>
    <row r="8412" spans="1:7" x14ac:dyDescent="0.25">
      <c r="A8412" s="1" t="str">
        <f t="shared" si="535"/>
        <v>952</v>
      </c>
      <c r="B8412" s="1" t="str">
        <f>TEXT(48,"00")</f>
        <v>48</v>
      </c>
      <c r="C8412" s="1" t="str">
        <f t="shared" si="536"/>
        <v>952-48</v>
      </c>
      <c r="D8412" t="s">
        <v>8380</v>
      </c>
      <c r="E8412" t="b">
        <f>IF(COUNTIF(D8412,"*"&amp;'Keyword Search'!$C$5&amp;"*"),TRUE,FALSE)</f>
        <v>1</v>
      </c>
      <c r="G8412" t="str">
        <f t="shared" si="537"/>
        <v>952-48: Genetic Parentage Testing Services (DNA)</v>
      </c>
    </row>
    <row r="8413" spans="1:7" x14ac:dyDescent="0.25">
      <c r="A8413" s="1" t="str">
        <f t="shared" si="535"/>
        <v>952</v>
      </c>
      <c r="B8413" s="1" t="str">
        <f>TEXT(49,"00")</f>
        <v>49</v>
      </c>
      <c r="C8413" s="1" t="str">
        <f t="shared" si="536"/>
        <v>952-49</v>
      </c>
      <c r="D8413" t="s">
        <v>8381</v>
      </c>
      <c r="E8413" t="b">
        <f>IF(COUNTIF(D8413,"*"&amp;'Keyword Search'!$C$5&amp;"*"),TRUE,FALSE)</f>
        <v>1</v>
      </c>
      <c r="G8413" t="str">
        <f t="shared" si="537"/>
        <v>952-49: Housing Services</v>
      </c>
    </row>
    <row r="8414" spans="1:7" x14ac:dyDescent="0.25">
      <c r="A8414" s="1" t="str">
        <f t="shared" si="535"/>
        <v>952</v>
      </c>
      <c r="B8414" s="1" t="str">
        <f>TEXT(51,"00")</f>
        <v>51</v>
      </c>
      <c r="C8414" s="1" t="str">
        <f t="shared" si="536"/>
        <v>952-51</v>
      </c>
      <c r="D8414" t="s">
        <v>8382</v>
      </c>
      <c r="E8414" t="b">
        <f>IF(COUNTIF(D8414,"*"&amp;'Keyword Search'!$C$5&amp;"*"),TRUE,FALSE)</f>
        <v>1</v>
      </c>
      <c r="G8414" t="str">
        <f t="shared" si="537"/>
        <v>952-51: Head Start Program</v>
      </c>
    </row>
    <row r="8415" spans="1:7" x14ac:dyDescent="0.25">
      <c r="A8415" s="1" t="str">
        <f t="shared" si="535"/>
        <v>952</v>
      </c>
      <c r="B8415" s="1" t="str">
        <f>TEXT(53,"00")</f>
        <v>53</v>
      </c>
      <c r="C8415" s="1" t="str">
        <f t="shared" si="536"/>
        <v>952-53</v>
      </c>
      <c r="D8415" t="s">
        <v>8383</v>
      </c>
      <c r="E8415" t="b">
        <f>IF(COUNTIF(D8415,"*"&amp;'Keyword Search'!$C$5&amp;"*"),TRUE,FALSE)</f>
        <v>1</v>
      </c>
      <c r="G8415" t="str">
        <f t="shared" si="537"/>
        <v>952-53: Home Management</v>
      </c>
    </row>
    <row r="8416" spans="1:7" x14ac:dyDescent="0.25">
      <c r="A8416" s="1" t="str">
        <f t="shared" si="535"/>
        <v>952</v>
      </c>
      <c r="B8416" s="1" t="str">
        <f>TEXT(54,"00")</f>
        <v>54</v>
      </c>
      <c r="C8416" s="1" t="str">
        <f t="shared" si="536"/>
        <v>952-54</v>
      </c>
      <c r="D8416" t="s">
        <v>8384</v>
      </c>
      <c r="E8416" t="b">
        <f>IF(COUNTIF(D8416,"*"&amp;'Keyword Search'!$C$5&amp;"*"),TRUE,FALSE)</f>
        <v>1</v>
      </c>
      <c r="G8416" t="str">
        <f t="shared" si="537"/>
        <v>952-54: Homemaker Services</v>
      </c>
    </row>
    <row r="8417" spans="1:7" x14ac:dyDescent="0.25">
      <c r="A8417" s="1" t="str">
        <f t="shared" si="535"/>
        <v>952</v>
      </c>
      <c r="B8417" s="1" t="str">
        <f>TEXT(55,"00")</f>
        <v>55</v>
      </c>
      <c r="C8417" s="1" t="str">
        <f t="shared" si="536"/>
        <v>952-55</v>
      </c>
      <c r="D8417" t="s">
        <v>8385</v>
      </c>
      <c r="E8417" t="b">
        <f>IF(COUNTIF(D8417,"*"&amp;'Keyword Search'!$C$5&amp;"*"),TRUE,FALSE)</f>
        <v>1</v>
      </c>
      <c r="G8417" t="str">
        <f t="shared" si="537"/>
        <v>952-55: Homelessness Prevention Services</v>
      </c>
    </row>
    <row r="8418" spans="1:7" x14ac:dyDescent="0.25">
      <c r="A8418" s="1" t="str">
        <f t="shared" si="535"/>
        <v>952</v>
      </c>
      <c r="B8418" s="1" t="str">
        <f>TEXT(56,"00")</f>
        <v>56</v>
      </c>
      <c r="C8418" s="1" t="str">
        <f t="shared" si="536"/>
        <v>952-56</v>
      </c>
      <c r="D8418" t="s">
        <v>8386</v>
      </c>
      <c r="E8418" t="b">
        <f>IF(COUNTIF(D8418,"*"&amp;'Keyword Search'!$C$5&amp;"*"),TRUE,FALSE)</f>
        <v>1</v>
      </c>
      <c r="G8418" t="str">
        <f t="shared" si="537"/>
        <v>952-56: Housekeeping Services</v>
      </c>
    </row>
    <row r="8419" spans="1:7" x14ac:dyDescent="0.25">
      <c r="A8419" s="1" t="str">
        <f t="shared" si="535"/>
        <v>952</v>
      </c>
      <c r="B8419" s="1" t="str">
        <f>TEXT(57,"00")</f>
        <v>57</v>
      </c>
      <c r="C8419" s="1" t="str">
        <f t="shared" si="536"/>
        <v>952-57</v>
      </c>
      <c r="D8419" t="s">
        <v>8387</v>
      </c>
      <c r="E8419" t="b">
        <f>IF(COUNTIF(D8419,"*"&amp;'Keyword Search'!$C$5&amp;"*"),TRUE,FALSE)</f>
        <v>1</v>
      </c>
      <c r="G8419" t="str">
        <f t="shared" si="537"/>
        <v>952-57: Human Population Census Services</v>
      </c>
    </row>
    <row r="8420" spans="1:7" x14ac:dyDescent="0.25">
      <c r="A8420" s="1" t="str">
        <f t="shared" si="535"/>
        <v>952</v>
      </c>
      <c r="B8420" s="1" t="str">
        <f>TEXT(58,"00")</f>
        <v>58</v>
      </c>
      <c r="C8420" s="1" t="str">
        <f t="shared" si="536"/>
        <v>952-58</v>
      </c>
      <c r="D8420" t="s">
        <v>8388</v>
      </c>
      <c r="E8420" t="b">
        <f>IF(COUNTIF(D8420,"*"&amp;'Keyword Search'!$C$5&amp;"*"),TRUE,FALSE)</f>
        <v>1</v>
      </c>
      <c r="G8420" t="str">
        <f t="shared" si="537"/>
        <v>952-58: Human Resources Development Services</v>
      </c>
    </row>
    <row r="8421" spans="1:7" x14ac:dyDescent="0.25">
      <c r="A8421" s="1" t="str">
        <f t="shared" si="535"/>
        <v>952</v>
      </c>
      <c r="B8421" s="1" t="str">
        <f>TEXT(59,"00")</f>
        <v>59</v>
      </c>
      <c r="C8421" s="1" t="str">
        <f t="shared" si="536"/>
        <v>952-59</v>
      </c>
      <c r="D8421" t="s">
        <v>8389</v>
      </c>
      <c r="E8421" t="b">
        <f>IF(COUNTIF(D8421,"*"&amp;'Keyword Search'!$C$5&amp;"*"),TRUE,FALSE)</f>
        <v>1</v>
      </c>
      <c r="G8421" t="str">
        <f t="shared" si="537"/>
        <v>952-59: Human Services (Not Otherwise Classified)</v>
      </c>
    </row>
    <row r="8422" spans="1:7" x14ac:dyDescent="0.25">
      <c r="A8422" s="1" t="str">
        <f t="shared" si="535"/>
        <v>952</v>
      </c>
      <c r="B8422" s="1" t="str">
        <f>TEXT(60,"00")</f>
        <v>60</v>
      </c>
      <c r="C8422" s="1" t="str">
        <f t="shared" si="536"/>
        <v>952-60</v>
      </c>
      <c r="D8422" t="s">
        <v>8390</v>
      </c>
      <c r="E8422" t="b">
        <f>IF(COUNTIF(D8422,"*"&amp;'Keyword Search'!$C$5&amp;"*"),TRUE,FALSE)</f>
        <v>1</v>
      </c>
      <c r="G8422" t="str">
        <f t="shared" si="537"/>
        <v>952-60: Job Search Workshop</v>
      </c>
    </row>
    <row r="8423" spans="1:7" x14ac:dyDescent="0.25">
      <c r="A8423" s="1" t="str">
        <f t="shared" si="535"/>
        <v>952</v>
      </c>
      <c r="B8423" s="1" t="str">
        <f>TEXT(61,"00")</f>
        <v>61</v>
      </c>
      <c r="C8423" s="1" t="str">
        <f t="shared" si="536"/>
        <v>952-61</v>
      </c>
      <c r="D8423" t="s">
        <v>8391</v>
      </c>
      <c r="E8423" t="b">
        <f>IF(COUNTIF(D8423,"*"&amp;'Keyword Search'!$C$5&amp;"*"),TRUE,FALSE)</f>
        <v>1</v>
      </c>
      <c r="G8423" t="str">
        <f t="shared" si="537"/>
        <v>952-61: Law Enforcement, Community Relations Services, Including Victim Notification Services</v>
      </c>
    </row>
    <row r="8424" spans="1:7" x14ac:dyDescent="0.25">
      <c r="A8424" s="1" t="str">
        <f t="shared" si="535"/>
        <v>952</v>
      </c>
      <c r="B8424" s="1" t="str">
        <f>TEXT(62,"00")</f>
        <v>62</v>
      </c>
      <c r="C8424" s="1" t="str">
        <f t="shared" si="536"/>
        <v>952-62</v>
      </c>
      <c r="D8424" t="s">
        <v>8392</v>
      </c>
      <c r="E8424" t="b">
        <f>IF(COUNTIF(D8424,"*"&amp;'Keyword Search'!$C$5&amp;"*"),TRUE,FALSE)</f>
        <v>1</v>
      </c>
      <c r="G8424" t="str">
        <f t="shared" si="537"/>
        <v>952-62: Mental Health Services: Vocational, Residential, Etc.</v>
      </c>
    </row>
    <row r="8425" spans="1:7" x14ac:dyDescent="0.25">
      <c r="A8425" s="1" t="str">
        <f t="shared" si="535"/>
        <v>952</v>
      </c>
      <c r="B8425" s="1" t="str">
        <f>TEXT(64,"00")</f>
        <v>64</v>
      </c>
      <c r="C8425" s="1" t="str">
        <f t="shared" si="536"/>
        <v>952-64</v>
      </c>
      <c r="D8425" t="s">
        <v>8393</v>
      </c>
      <c r="E8425" t="b">
        <f>IF(COUNTIF(D8425,"*"&amp;'Keyword Search'!$C$5&amp;"*"),TRUE,FALSE)</f>
        <v>1</v>
      </c>
      <c r="G8425" t="str">
        <f t="shared" si="537"/>
        <v>952-64: Mortuary and Funeral Services, Including Crematory Services</v>
      </c>
    </row>
    <row r="8426" spans="1:7" x14ac:dyDescent="0.25">
      <c r="A8426" s="1" t="str">
        <f t="shared" si="535"/>
        <v>952</v>
      </c>
      <c r="B8426" s="1" t="str">
        <f>TEXT(65,"00")</f>
        <v>65</v>
      </c>
      <c r="C8426" s="1" t="str">
        <f t="shared" si="536"/>
        <v>952-65</v>
      </c>
      <c r="D8426" t="s">
        <v>8394</v>
      </c>
      <c r="E8426" t="b">
        <f>IF(COUNTIF(D8426,"*"&amp;'Keyword Search'!$C$5&amp;"*"),TRUE,FALSE)</f>
        <v>1</v>
      </c>
      <c r="G8426" t="str">
        <f t="shared" si="537"/>
        <v>952-65: Musical Awareness Services</v>
      </c>
    </row>
    <row r="8427" spans="1:7" x14ac:dyDescent="0.25">
      <c r="A8427" s="1" t="str">
        <f t="shared" si="535"/>
        <v>952</v>
      </c>
      <c r="B8427" s="1" t="str">
        <f>TEXT(67,"00")</f>
        <v>67</v>
      </c>
      <c r="C8427" s="1" t="str">
        <f t="shared" si="536"/>
        <v>952-67</v>
      </c>
      <c r="D8427" t="s">
        <v>8395</v>
      </c>
      <c r="E8427" t="b">
        <f>IF(COUNTIF(D8427,"*"&amp;'Keyword Search'!$C$5&amp;"*"),TRUE,FALSE)</f>
        <v>1</v>
      </c>
      <c r="G8427" t="str">
        <f t="shared" si="537"/>
        <v>952-67: Parenting Intervention Services</v>
      </c>
    </row>
    <row r="8428" spans="1:7" x14ac:dyDescent="0.25">
      <c r="A8428" s="1" t="str">
        <f t="shared" si="535"/>
        <v>952</v>
      </c>
      <c r="B8428" s="1" t="str">
        <f>TEXT(68,"00")</f>
        <v>68</v>
      </c>
      <c r="C8428" s="1" t="str">
        <f t="shared" si="536"/>
        <v>952-68</v>
      </c>
      <c r="D8428" t="s">
        <v>8396</v>
      </c>
      <c r="E8428" t="b">
        <f>IF(COUNTIF(D8428,"*"&amp;'Keyword Search'!$C$5&amp;"*"),TRUE,FALSE)</f>
        <v>1</v>
      </c>
      <c r="G8428" t="str">
        <f t="shared" si="537"/>
        <v>952-68: Personal Care Services</v>
      </c>
    </row>
    <row r="8429" spans="1:7" x14ac:dyDescent="0.25">
      <c r="A8429" s="1" t="str">
        <f t="shared" si="535"/>
        <v>952</v>
      </c>
      <c r="B8429" s="1" t="str">
        <f>TEXT(71,"00")</f>
        <v>71</v>
      </c>
      <c r="C8429" s="1" t="str">
        <f t="shared" si="536"/>
        <v>952-71</v>
      </c>
      <c r="D8429" t="s">
        <v>8397</v>
      </c>
      <c r="E8429" t="b">
        <f>IF(COUNTIF(D8429,"*"&amp;'Keyword Search'!$C$5&amp;"*"),TRUE,FALSE)</f>
        <v>1</v>
      </c>
      <c r="G8429" t="str">
        <f t="shared" si="537"/>
        <v>952-71: Rape and Sexual Assault Prevention Services</v>
      </c>
    </row>
    <row r="8430" spans="1:7" x14ac:dyDescent="0.25">
      <c r="A8430" s="1" t="str">
        <f t="shared" si="535"/>
        <v>952</v>
      </c>
      <c r="B8430" s="1" t="str">
        <f>TEXT(72,"00")</f>
        <v>72</v>
      </c>
      <c r="C8430" s="1" t="str">
        <f t="shared" si="536"/>
        <v>952-72</v>
      </c>
      <c r="D8430" t="s">
        <v>8398</v>
      </c>
      <c r="E8430" t="b">
        <f>IF(COUNTIF(D8430,"*"&amp;'Keyword Search'!$C$5&amp;"*"),TRUE,FALSE)</f>
        <v>1</v>
      </c>
      <c r="G8430" t="str">
        <f t="shared" si="537"/>
        <v>952-72: Reading Services for the Blind</v>
      </c>
    </row>
    <row r="8431" spans="1:7" x14ac:dyDescent="0.25">
      <c r="A8431" s="1" t="str">
        <f t="shared" si="535"/>
        <v>952</v>
      </c>
      <c r="B8431" s="1" t="str">
        <f>TEXT(74,"00")</f>
        <v>74</v>
      </c>
      <c r="C8431" s="1" t="str">
        <f t="shared" si="536"/>
        <v>952-74</v>
      </c>
      <c r="D8431" t="s">
        <v>8399</v>
      </c>
      <c r="E8431" t="b">
        <f>IF(COUNTIF(D8431,"*"&amp;'Keyword Search'!$C$5&amp;"*"),TRUE,FALSE)</f>
        <v>1</v>
      </c>
      <c r="G8431" t="str">
        <f t="shared" si="537"/>
        <v>952-74: Referral Services</v>
      </c>
    </row>
    <row r="8432" spans="1:7" x14ac:dyDescent="0.25">
      <c r="A8432" s="1" t="str">
        <f t="shared" si="535"/>
        <v>952</v>
      </c>
      <c r="B8432" s="1" t="str">
        <f>TEXT(75,"00")</f>
        <v>75</v>
      </c>
      <c r="C8432" s="1" t="str">
        <f t="shared" si="536"/>
        <v>952-75</v>
      </c>
      <c r="D8432" t="s">
        <v>8400</v>
      </c>
      <c r="E8432" t="b">
        <f>IF(COUNTIF(D8432,"*"&amp;'Keyword Search'!$C$5&amp;"*"),TRUE,FALSE)</f>
        <v>1</v>
      </c>
      <c r="G8432" t="str">
        <f t="shared" si="537"/>
        <v>952-75: Refugee Assistance Services</v>
      </c>
    </row>
    <row r="8433" spans="1:7" x14ac:dyDescent="0.25">
      <c r="A8433" s="1" t="str">
        <f t="shared" si="535"/>
        <v>952</v>
      </c>
      <c r="B8433" s="1" t="str">
        <f>TEXT(76,"00")</f>
        <v>76</v>
      </c>
      <c r="C8433" s="1" t="str">
        <f t="shared" si="536"/>
        <v>952-76</v>
      </c>
      <c r="D8433" t="s">
        <v>8401</v>
      </c>
      <c r="E8433" t="b">
        <f>IF(COUNTIF(D8433,"*"&amp;'Keyword Search'!$C$5&amp;"*"),TRUE,FALSE)</f>
        <v>1</v>
      </c>
      <c r="G8433" t="str">
        <f t="shared" si="537"/>
        <v>952-76: Respite Care Services</v>
      </c>
    </row>
    <row r="8434" spans="1:7" x14ac:dyDescent="0.25">
      <c r="A8434" s="1" t="str">
        <f t="shared" si="535"/>
        <v>952</v>
      </c>
      <c r="B8434" s="1" t="str">
        <f>TEXT(77,"00")</f>
        <v>77</v>
      </c>
      <c r="C8434" s="1" t="str">
        <f t="shared" si="536"/>
        <v>952-77</v>
      </c>
      <c r="D8434" t="s">
        <v>8402</v>
      </c>
      <c r="E8434" t="b">
        <f>IF(COUNTIF(D8434,"*"&amp;'Keyword Search'!$C$5&amp;"*"),TRUE,FALSE)</f>
        <v>1</v>
      </c>
      <c r="G8434" t="str">
        <f t="shared" si="537"/>
        <v>952-77: *Research and Evaluation, Human Services, Including Productivity Audits</v>
      </c>
    </row>
    <row r="8435" spans="1:7" x14ac:dyDescent="0.25">
      <c r="A8435" s="1" t="str">
        <f t="shared" ref="A8435:A8449" si="538">TEXT(952,"000")</f>
        <v>952</v>
      </c>
      <c r="B8435" s="1" t="str">
        <f>TEXT(78,"00")</f>
        <v>78</v>
      </c>
      <c r="C8435" s="1" t="str">
        <f t="shared" si="536"/>
        <v>952-78</v>
      </c>
      <c r="D8435" t="s">
        <v>8403</v>
      </c>
      <c r="E8435" t="b">
        <f>IF(COUNTIF(D8435,"*"&amp;'Keyword Search'!$C$5&amp;"*"),TRUE,FALSE)</f>
        <v>1</v>
      </c>
      <c r="G8435" t="str">
        <f t="shared" si="537"/>
        <v>952-78: Safe Housing</v>
      </c>
    </row>
    <row r="8436" spans="1:7" x14ac:dyDescent="0.25">
      <c r="A8436" s="1" t="str">
        <f t="shared" si="538"/>
        <v>952</v>
      </c>
      <c r="B8436" s="1" t="str">
        <f>TEXT(80,"00")</f>
        <v>80</v>
      </c>
      <c r="C8436" s="1" t="str">
        <f t="shared" si="536"/>
        <v>952-80</v>
      </c>
      <c r="D8436" t="s">
        <v>8404</v>
      </c>
      <c r="E8436" t="b">
        <f>IF(COUNTIF(D8436,"*"&amp;'Keyword Search'!$C$5&amp;"*"),TRUE,FALSE)</f>
        <v>1</v>
      </c>
      <c r="G8436" t="str">
        <f t="shared" si="537"/>
        <v>952-80: Senior Aides Program</v>
      </c>
    </row>
    <row r="8437" spans="1:7" x14ac:dyDescent="0.25">
      <c r="A8437" s="1" t="str">
        <f t="shared" si="538"/>
        <v>952</v>
      </c>
      <c r="B8437" s="1" t="str">
        <f>TEXT(81,"00")</f>
        <v>81</v>
      </c>
      <c r="C8437" s="1" t="str">
        <f t="shared" si="536"/>
        <v>952-81</v>
      </c>
      <c r="D8437" t="s">
        <v>8405</v>
      </c>
      <c r="E8437" t="b">
        <f>IF(COUNTIF(D8437,"*"&amp;'Keyword Search'!$C$5&amp;"*"),TRUE,FALSE)</f>
        <v>1</v>
      </c>
      <c r="G8437" t="str">
        <f t="shared" si="537"/>
        <v>952-81: Community Redevelopment Services</v>
      </c>
    </row>
    <row r="8438" spans="1:7" x14ac:dyDescent="0.25">
      <c r="A8438" s="1" t="str">
        <f t="shared" si="538"/>
        <v>952</v>
      </c>
      <c r="B8438" s="1" t="str">
        <f>TEXT(82,"00")</f>
        <v>82</v>
      </c>
      <c r="C8438" s="1" t="str">
        <f t="shared" si="536"/>
        <v>952-82</v>
      </c>
      <c r="D8438" t="s">
        <v>8406</v>
      </c>
      <c r="E8438" t="b">
        <f>IF(COUNTIF(D8438,"*"&amp;'Keyword Search'!$C$5&amp;"*"),TRUE,FALSE)</f>
        <v>1</v>
      </c>
      <c r="G8438" t="str">
        <f t="shared" si="537"/>
        <v>952-82: SUICIDE PREVENTION SERVICES</v>
      </c>
    </row>
    <row r="8439" spans="1:7" x14ac:dyDescent="0.25">
      <c r="A8439" s="1" t="str">
        <f t="shared" si="538"/>
        <v>952</v>
      </c>
      <c r="B8439" s="1" t="str">
        <f>TEXT(83,"00")</f>
        <v>83</v>
      </c>
      <c r="C8439" s="1" t="str">
        <f t="shared" si="536"/>
        <v>952-83</v>
      </c>
      <c r="D8439" t="s">
        <v>8407</v>
      </c>
      <c r="E8439" t="b">
        <f>IF(COUNTIF(D8439,"*"&amp;'Keyword Search'!$C$5&amp;"*"),TRUE,FALSE)</f>
        <v>1</v>
      </c>
      <c r="G8439" t="str">
        <f t="shared" si="537"/>
        <v>952-83: Youth Program Services</v>
      </c>
    </row>
    <row r="8440" spans="1:7" x14ac:dyDescent="0.25">
      <c r="A8440" s="1" t="str">
        <f t="shared" si="538"/>
        <v>952</v>
      </c>
      <c r="B8440" s="1" t="str">
        <f>TEXT(84,"00")</f>
        <v>84</v>
      </c>
      <c r="C8440" s="1" t="str">
        <f t="shared" si="536"/>
        <v>952-84</v>
      </c>
      <c r="D8440" t="s">
        <v>8408</v>
      </c>
      <c r="E8440" t="b">
        <f>IF(COUNTIF(D8440,"*"&amp;'Keyword Search'!$C$5&amp;"*"),TRUE,FALSE)</f>
        <v>1</v>
      </c>
      <c r="G8440" t="str">
        <f t="shared" si="537"/>
        <v>952-84: Supplemental Food Services</v>
      </c>
    </row>
    <row r="8441" spans="1:7" x14ac:dyDescent="0.25">
      <c r="A8441" s="1" t="str">
        <f t="shared" si="538"/>
        <v>952</v>
      </c>
      <c r="B8441" s="1" t="str">
        <f>TEXT(85,"00")</f>
        <v>85</v>
      </c>
      <c r="C8441" s="1" t="str">
        <f t="shared" si="536"/>
        <v>952-85</v>
      </c>
      <c r="D8441" t="s">
        <v>8409</v>
      </c>
      <c r="E8441" t="b">
        <f>IF(COUNTIF(D8441,"*"&amp;'Keyword Search'!$C$5&amp;"*"),TRUE,FALSE)</f>
        <v>1</v>
      </c>
      <c r="G8441" t="str">
        <f t="shared" si="537"/>
        <v>952-85: Support Services</v>
      </c>
    </row>
    <row r="8442" spans="1:7" x14ac:dyDescent="0.25">
      <c r="A8442" s="1" t="str">
        <f t="shared" si="538"/>
        <v>952</v>
      </c>
      <c r="B8442" s="1" t="str">
        <f>TEXT(88,"00")</f>
        <v>88</v>
      </c>
      <c r="C8442" s="1" t="str">
        <f t="shared" si="536"/>
        <v>952-88</v>
      </c>
      <c r="D8442" t="s">
        <v>8410</v>
      </c>
      <c r="E8442" t="b">
        <f>IF(COUNTIF(D8442,"*"&amp;'Keyword Search'!$C$5&amp;"*"),TRUE,FALSE)</f>
        <v>1</v>
      </c>
      <c r="G8442" t="str">
        <f t="shared" si="537"/>
        <v>952-88: Teenage Pregnancy Services</v>
      </c>
    </row>
    <row r="8443" spans="1:7" x14ac:dyDescent="0.25">
      <c r="A8443" s="1" t="str">
        <f t="shared" si="538"/>
        <v>952</v>
      </c>
      <c r="B8443" s="1" t="str">
        <f>TEXT(90,"00")</f>
        <v>90</v>
      </c>
      <c r="C8443" s="1" t="str">
        <f t="shared" si="536"/>
        <v>952-90</v>
      </c>
      <c r="D8443" t="s">
        <v>8411</v>
      </c>
      <c r="E8443" t="b">
        <f>IF(COUNTIF(D8443,"*"&amp;'Keyword Search'!$C$5&amp;"*"),TRUE,FALSE)</f>
        <v>1</v>
      </c>
      <c r="G8443" t="str">
        <f t="shared" si="537"/>
        <v>952-90: *Training and Instruction Services, Clients, Not Staff</v>
      </c>
    </row>
    <row r="8444" spans="1:7" x14ac:dyDescent="0.25">
      <c r="A8444" s="1" t="str">
        <f t="shared" si="538"/>
        <v>952</v>
      </c>
      <c r="B8444" s="1" t="str">
        <f>TEXT(91,"00")</f>
        <v>91</v>
      </c>
      <c r="C8444" s="1" t="str">
        <f t="shared" si="536"/>
        <v>952-91</v>
      </c>
      <c r="D8444" t="s">
        <v>8412</v>
      </c>
      <c r="E8444" t="b">
        <f>IF(COUNTIF(D8444,"*"&amp;'Keyword Search'!$C$5&amp;"*"),TRUE,FALSE)</f>
        <v>1</v>
      </c>
      <c r="G8444" t="str">
        <f t="shared" si="537"/>
        <v>952-91: Transitional Domicile Services</v>
      </c>
    </row>
    <row r="8445" spans="1:7" x14ac:dyDescent="0.25">
      <c r="A8445" s="1" t="str">
        <f t="shared" si="538"/>
        <v>952</v>
      </c>
      <c r="B8445" s="1" t="str">
        <f>TEXT(92,"00")</f>
        <v>92</v>
      </c>
      <c r="C8445" s="1" t="str">
        <f t="shared" si="536"/>
        <v>952-92</v>
      </c>
      <c r="D8445" t="s">
        <v>8413</v>
      </c>
      <c r="E8445" t="b">
        <f>IF(COUNTIF(D8445,"*"&amp;'Keyword Search'!$C$5&amp;"*"),TRUE,FALSE)</f>
        <v>1</v>
      </c>
      <c r="G8445" t="str">
        <f t="shared" si="537"/>
        <v>952-92: Transitional Living Services</v>
      </c>
    </row>
    <row r="8446" spans="1:7" x14ac:dyDescent="0.25">
      <c r="A8446" s="1" t="str">
        <f t="shared" si="538"/>
        <v>952</v>
      </c>
      <c r="B8446" s="1" t="str">
        <f>TEXT(93,"00")</f>
        <v>93</v>
      </c>
      <c r="C8446" s="1" t="str">
        <f t="shared" si="536"/>
        <v>952-93</v>
      </c>
      <c r="D8446" t="s">
        <v>8414</v>
      </c>
      <c r="E8446" t="b">
        <f>IF(COUNTIF(D8446,"*"&amp;'Keyword Search'!$C$5&amp;"*"),TRUE,FALSE)</f>
        <v>1</v>
      </c>
      <c r="G8446" t="str">
        <f t="shared" si="537"/>
        <v>952-93: Try-out Employment Services</v>
      </c>
    </row>
    <row r="8447" spans="1:7" x14ac:dyDescent="0.25">
      <c r="A8447" s="1" t="str">
        <f t="shared" si="538"/>
        <v>952</v>
      </c>
      <c r="B8447" s="1" t="str">
        <f>TEXT(94,"00")</f>
        <v>94</v>
      </c>
      <c r="C8447" s="1" t="str">
        <f t="shared" si="536"/>
        <v>952-94</v>
      </c>
      <c r="D8447" t="s">
        <v>8415</v>
      </c>
      <c r="E8447" t="b">
        <f>IF(COUNTIF(D8447,"*"&amp;'Keyword Search'!$C$5&amp;"*"),TRUE,FALSE)</f>
        <v>1</v>
      </c>
      <c r="G8447" t="str">
        <f t="shared" si="537"/>
        <v>952-94: Transportation Services: Elderly, Handicapped, Incapacitated, Prisoners, Juries, Students. Etc.</v>
      </c>
    </row>
    <row r="8448" spans="1:7" x14ac:dyDescent="0.25">
      <c r="A8448" s="1" t="str">
        <f t="shared" si="538"/>
        <v>952</v>
      </c>
      <c r="B8448" s="1" t="str">
        <f>TEXT(95,"00")</f>
        <v>95</v>
      </c>
      <c r="C8448" s="1" t="str">
        <f t="shared" si="536"/>
        <v>952-95</v>
      </c>
      <c r="D8448" t="s">
        <v>8416</v>
      </c>
      <c r="E8448" t="b">
        <f>IF(COUNTIF(D8448,"*"&amp;'Keyword Search'!$C$5&amp;"*"),TRUE,FALSE)</f>
        <v>1</v>
      </c>
      <c r="G8448" t="str">
        <f t="shared" si="537"/>
        <v>952-95: Youth Care Services</v>
      </c>
    </row>
    <row r="8449" spans="1:7" x14ac:dyDescent="0.25">
      <c r="A8449" s="1" t="str">
        <f t="shared" si="538"/>
        <v>952</v>
      </c>
      <c r="B8449" s="1" t="str">
        <f>TEXT(96,"00")</f>
        <v>96</v>
      </c>
      <c r="C8449" s="1" t="str">
        <f t="shared" si="536"/>
        <v>952-96</v>
      </c>
      <c r="D8449" t="s">
        <v>8417</v>
      </c>
      <c r="E8449" t="b">
        <f>IF(COUNTIF(D8449,"*"&amp;'Keyword Search'!$C$5&amp;"*"),TRUE,FALSE)</f>
        <v>1</v>
      </c>
      <c r="G8449" t="str">
        <f t="shared" si="537"/>
        <v>952-96: Urban and Regional Development Services</v>
      </c>
    </row>
    <row r="8450" spans="1:7" x14ac:dyDescent="0.25">
      <c r="A8450" s="5" t="str">
        <f t="shared" ref="A8450:A8481" si="539">TEXT(953,"000")</f>
        <v>953</v>
      </c>
      <c r="B8450" s="5" t="str">
        <f>TEXT(0,"00")</f>
        <v>00</v>
      </c>
      <c r="C8450" s="1"/>
      <c r="D8450" s="2" t="s">
        <v>8418</v>
      </c>
    </row>
    <row r="8451" spans="1:7" x14ac:dyDescent="0.25">
      <c r="A8451" s="1" t="str">
        <f t="shared" si="539"/>
        <v>953</v>
      </c>
      <c r="B8451" s="1" t="str">
        <f>TEXT(6,"00")</f>
        <v>06</v>
      </c>
      <c r="C8451" s="1" t="str">
        <f t="shared" ref="C8451:C8514" si="540">CONCATENATE(A8451,"-",B8451)</f>
        <v>953-06</v>
      </c>
      <c r="D8451" t="s">
        <v>8419</v>
      </c>
      <c r="E8451" t="b">
        <f>IF(COUNTIF(D8451,"*"&amp;'Keyword Search'!$C$5&amp;"*"),TRUE,FALSE)</f>
        <v>1</v>
      </c>
      <c r="G8451" t="str">
        <f t="shared" si="537"/>
        <v>953-06: Accident Insurance</v>
      </c>
    </row>
    <row r="8452" spans="1:7" x14ac:dyDescent="0.25">
      <c r="A8452" s="1" t="str">
        <f t="shared" si="539"/>
        <v>953</v>
      </c>
      <c r="B8452" s="1" t="str">
        <f>TEXT(13,"00")</f>
        <v>13</v>
      </c>
      <c r="C8452" s="1" t="str">
        <f t="shared" si="540"/>
        <v>953-13</v>
      </c>
      <c r="D8452" t="s">
        <v>8420</v>
      </c>
      <c r="E8452" t="b">
        <f>IF(COUNTIF(D8452,"*"&amp;'Keyword Search'!$C$5&amp;"*"),TRUE,FALSE)</f>
        <v>1</v>
      </c>
      <c r="G8452" t="str">
        <f t="shared" ref="G8452:G8515" si="541">CONCATENATE(C8452,": ",D8452)</f>
        <v>953-13: Aviation Insurance</v>
      </c>
    </row>
    <row r="8453" spans="1:7" x14ac:dyDescent="0.25">
      <c r="A8453" s="1" t="str">
        <f t="shared" si="539"/>
        <v>953</v>
      </c>
      <c r="B8453" s="1" t="str">
        <f>TEXT(22,"00")</f>
        <v>22</v>
      </c>
      <c r="C8453" s="1" t="str">
        <f t="shared" si="540"/>
        <v>953-22</v>
      </c>
      <c r="D8453" t="s">
        <v>8421</v>
      </c>
      <c r="E8453" t="b">
        <f>IF(COUNTIF(D8453,"*"&amp;'Keyword Search'!$C$5&amp;"*"),TRUE,FALSE)</f>
        <v>1</v>
      </c>
      <c r="G8453" t="str">
        <f t="shared" si="541"/>
        <v>953-22: Boiler Insurance</v>
      </c>
    </row>
    <row r="8454" spans="1:7" x14ac:dyDescent="0.25">
      <c r="A8454" s="1" t="str">
        <f t="shared" si="539"/>
        <v>953</v>
      </c>
      <c r="B8454" s="1" t="str">
        <f>TEXT(27,"00")</f>
        <v>27</v>
      </c>
      <c r="C8454" s="1" t="str">
        <f t="shared" si="540"/>
        <v>953-27</v>
      </c>
      <c r="D8454" t="s">
        <v>8422</v>
      </c>
      <c r="E8454" t="b">
        <f>IF(COUNTIF(D8454,"*"&amp;'Keyword Search'!$C$5&amp;"*"),TRUE,FALSE)</f>
        <v>1</v>
      </c>
      <c r="G8454" t="str">
        <f t="shared" si="541"/>
        <v>953-27: Claims Processing</v>
      </c>
    </row>
    <row r="8455" spans="1:7" x14ac:dyDescent="0.25">
      <c r="A8455" s="1" t="str">
        <f t="shared" si="539"/>
        <v>953</v>
      </c>
      <c r="B8455" s="1" t="str">
        <f>TEXT(30,"00")</f>
        <v>30</v>
      </c>
      <c r="C8455" s="1" t="str">
        <f t="shared" si="540"/>
        <v>953-30</v>
      </c>
      <c r="D8455" t="s">
        <v>8423</v>
      </c>
      <c r="E8455" t="b">
        <f>IF(COUNTIF(D8455,"*"&amp;'Keyword Search'!$C$5&amp;"*"),TRUE,FALSE)</f>
        <v>1</v>
      </c>
      <c r="G8455" t="str">
        <f t="shared" si="541"/>
        <v>953-30: Collision Insurance, Automotive</v>
      </c>
    </row>
    <row r="8456" spans="1:7" x14ac:dyDescent="0.25">
      <c r="A8456" s="1" t="str">
        <f t="shared" si="539"/>
        <v>953</v>
      </c>
      <c r="B8456" s="1" t="str">
        <f>TEXT(33,"00")</f>
        <v>33</v>
      </c>
      <c r="C8456" s="1" t="str">
        <f t="shared" si="540"/>
        <v>953-33</v>
      </c>
      <c r="D8456" t="s">
        <v>8424</v>
      </c>
      <c r="E8456" t="b">
        <f>IF(COUNTIF(D8456,"*"&amp;'Keyword Search'!$C$5&amp;"*"),TRUE,FALSE)</f>
        <v>1</v>
      </c>
      <c r="G8456" t="str">
        <f t="shared" si="541"/>
        <v>953-33: Comprehensive Insurance, Automotive</v>
      </c>
    </row>
    <row r="8457" spans="1:7" x14ac:dyDescent="0.25">
      <c r="A8457" s="1" t="str">
        <f t="shared" si="539"/>
        <v>953</v>
      </c>
      <c r="B8457" s="1" t="str">
        <f>TEXT(34,"00")</f>
        <v>34</v>
      </c>
      <c r="C8457" s="1" t="str">
        <f t="shared" si="540"/>
        <v>953-34</v>
      </c>
      <c r="D8457" t="s">
        <v>8425</v>
      </c>
      <c r="E8457" t="b">
        <f>IF(COUNTIF(D8457,"*"&amp;'Keyword Search'!$C$5&amp;"*"),TRUE,FALSE)</f>
        <v>1</v>
      </c>
      <c r="G8457" t="str">
        <f t="shared" si="541"/>
        <v>953-34: Crime Insurance</v>
      </c>
    </row>
    <row r="8458" spans="1:7" x14ac:dyDescent="0.25">
      <c r="A8458" s="1" t="str">
        <f t="shared" si="539"/>
        <v>953</v>
      </c>
      <c r="B8458" s="1" t="str">
        <f>TEXT(37,"00")</f>
        <v>37</v>
      </c>
      <c r="C8458" s="1" t="str">
        <f t="shared" si="540"/>
        <v>953-37</v>
      </c>
      <c r="D8458" t="s">
        <v>8426</v>
      </c>
      <c r="E8458" t="b">
        <f>IF(COUNTIF(D8458,"*"&amp;'Keyword Search'!$C$5&amp;"*"),TRUE,FALSE)</f>
        <v>1</v>
      </c>
      <c r="G8458" t="str">
        <f t="shared" si="541"/>
        <v>953-37: Disability Insurance</v>
      </c>
    </row>
    <row r="8459" spans="1:7" x14ac:dyDescent="0.25">
      <c r="A8459" s="1" t="str">
        <f t="shared" si="539"/>
        <v>953</v>
      </c>
      <c r="B8459" s="1" t="str">
        <f>TEXT(41,"00")</f>
        <v>41</v>
      </c>
      <c r="C8459" s="1" t="str">
        <f t="shared" si="540"/>
        <v>953-41</v>
      </c>
      <c r="D8459" t="s">
        <v>8427</v>
      </c>
      <c r="E8459" t="b">
        <f>IF(COUNTIF(D8459,"*"&amp;'Keyword Search'!$C$5&amp;"*"),TRUE,FALSE)</f>
        <v>1</v>
      </c>
      <c r="G8459" t="str">
        <f t="shared" si="541"/>
        <v>953-41: Fidelity and Surety Insurance</v>
      </c>
    </row>
    <row r="8460" spans="1:7" x14ac:dyDescent="0.25">
      <c r="A8460" s="1" t="str">
        <f t="shared" si="539"/>
        <v>953</v>
      </c>
      <c r="B8460" s="1" t="str">
        <f>TEXT(43,"00")</f>
        <v>43</v>
      </c>
      <c r="C8460" s="1" t="str">
        <f t="shared" si="540"/>
        <v>953-43</v>
      </c>
      <c r="D8460" t="s">
        <v>8428</v>
      </c>
      <c r="E8460" t="b">
        <f>IF(COUNTIF(D8460,"*"&amp;'Keyword Search'!$C$5&amp;"*"),TRUE,FALSE)</f>
        <v>1</v>
      </c>
      <c r="G8460" t="str">
        <f t="shared" si="541"/>
        <v>953-43: Fire Insurance</v>
      </c>
    </row>
    <row r="8461" spans="1:7" x14ac:dyDescent="0.25">
      <c r="A8461" s="1" t="str">
        <f t="shared" si="539"/>
        <v>953</v>
      </c>
      <c r="B8461" s="1" t="str">
        <f>TEXT(45,"00")</f>
        <v>45</v>
      </c>
      <c r="C8461" s="1" t="str">
        <f t="shared" si="540"/>
        <v>953-45</v>
      </c>
      <c r="D8461" t="s">
        <v>8429</v>
      </c>
      <c r="E8461" t="b">
        <f>IF(COUNTIF(D8461,"*"&amp;'Keyword Search'!$C$5&amp;"*"),TRUE,FALSE)</f>
        <v>1</v>
      </c>
      <c r="G8461" t="str">
        <f t="shared" si="541"/>
        <v>953-45: Flood Insurance</v>
      </c>
    </row>
    <row r="8462" spans="1:7" x14ac:dyDescent="0.25">
      <c r="A8462" s="1" t="str">
        <f t="shared" si="539"/>
        <v>953</v>
      </c>
      <c r="B8462" s="1" t="str">
        <f>TEXT(48,"00")</f>
        <v>48</v>
      </c>
      <c r="C8462" s="1" t="str">
        <f t="shared" si="540"/>
        <v>953-48</v>
      </c>
      <c r="D8462" t="s">
        <v>8430</v>
      </c>
      <c r="E8462" t="b">
        <f>IF(COUNTIF(D8462,"*"&amp;'Keyword Search'!$C$5&amp;"*"),TRUE,FALSE)</f>
        <v>1</v>
      </c>
      <c r="G8462" t="str">
        <f t="shared" si="541"/>
        <v>953-48: Health and Hospitalization Insurance, Including Dental and Visual Insurance</v>
      </c>
    </row>
    <row r="8463" spans="1:7" x14ac:dyDescent="0.25">
      <c r="A8463" s="1" t="str">
        <f t="shared" si="539"/>
        <v>953</v>
      </c>
      <c r="B8463" s="1" t="str">
        <f>TEXT(51,"00")</f>
        <v>51</v>
      </c>
      <c r="C8463" s="1" t="str">
        <f t="shared" si="540"/>
        <v>953-51</v>
      </c>
      <c r="D8463" t="s">
        <v>8431</v>
      </c>
      <c r="E8463" t="b">
        <f>IF(COUNTIF(D8463,"*"&amp;'Keyword Search'!$C$5&amp;"*"),TRUE,FALSE)</f>
        <v>1</v>
      </c>
      <c r="G8463" t="str">
        <f t="shared" si="541"/>
        <v>953-51: Inland Marine Insurance</v>
      </c>
    </row>
    <row r="8464" spans="1:7" x14ac:dyDescent="0.25">
      <c r="A8464" s="1" t="str">
        <f t="shared" si="539"/>
        <v>953</v>
      </c>
      <c r="B8464" s="1" t="str">
        <f>TEXT(52,"00")</f>
        <v>52</v>
      </c>
      <c r="C8464" s="1" t="str">
        <f t="shared" si="540"/>
        <v>953-52</v>
      </c>
      <c r="D8464" t="s">
        <v>8432</v>
      </c>
      <c r="E8464" t="b">
        <f>IF(COUNTIF(D8464,"*"&amp;'Keyword Search'!$C$5&amp;"*"),TRUE,FALSE)</f>
        <v>1</v>
      </c>
      <c r="G8464" t="str">
        <f t="shared" si="541"/>
        <v>953-52: Insurance and Insurance Services (Not Otherwise Classified)</v>
      </c>
    </row>
    <row r="8465" spans="1:7" x14ac:dyDescent="0.25">
      <c r="A8465" s="1" t="str">
        <f t="shared" si="539"/>
        <v>953</v>
      </c>
      <c r="B8465" s="1" t="str">
        <f>TEXT(53,"00")</f>
        <v>53</v>
      </c>
      <c r="C8465" s="1" t="str">
        <f t="shared" si="540"/>
        <v>953-53</v>
      </c>
      <c r="D8465" t="s">
        <v>8433</v>
      </c>
      <c r="E8465" t="b">
        <f>IF(COUNTIF(D8465,"*"&amp;'Keyword Search'!$C$5&amp;"*"),TRUE,FALSE)</f>
        <v>1</v>
      </c>
      <c r="G8465" t="str">
        <f t="shared" si="541"/>
        <v>953-53: Investigation Services</v>
      </c>
    </row>
    <row r="8466" spans="1:7" x14ac:dyDescent="0.25">
      <c r="A8466" s="1" t="str">
        <f t="shared" si="539"/>
        <v>953</v>
      </c>
      <c r="B8466" s="1" t="str">
        <f>TEXT(54,"00")</f>
        <v>54</v>
      </c>
      <c r="C8466" s="1" t="str">
        <f t="shared" si="540"/>
        <v>953-54</v>
      </c>
      <c r="D8466" t="s">
        <v>8434</v>
      </c>
      <c r="E8466" t="b">
        <f>IF(COUNTIF(D8466,"*"&amp;'Keyword Search'!$C$5&amp;"*"),TRUE,FALSE)</f>
        <v>1</v>
      </c>
      <c r="G8466" t="str">
        <f t="shared" si="541"/>
        <v>953-54: Liability Insurance, Automotive</v>
      </c>
    </row>
    <row r="8467" spans="1:7" x14ac:dyDescent="0.25">
      <c r="A8467" s="1" t="str">
        <f t="shared" si="539"/>
        <v>953</v>
      </c>
      <c r="B8467" s="1" t="str">
        <f>TEXT(56,"00")</f>
        <v>56</v>
      </c>
      <c r="C8467" s="1" t="str">
        <f t="shared" si="540"/>
        <v>953-56</v>
      </c>
      <c r="D8467" t="s">
        <v>8435</v>
      </c>
      <c r="E8467" t="b">
        <f>IF(COUNTIF(D8467,"*"&amp;'Keyword Search'!$C$5&amp;"*"),TRUE,FALSE)</f>
        <v>1</v>
      </c>
      <c r="G8467" t="str">
        <f t="shared" si="541"/>
        <v>953-56: Liability Insurance, General</v>
      </c>
    </row>
    <row r="8468" spans="1:7" x14ac:dyDescent="0.25">
      <c r="A8468" s="1" t="str">
        <f t="shared" si="539"/>
        <v>953</v>
      </c>
      <c r="B8468" s="1" t="str">
        <f>TEXT(58,"00")</f>
        <v>58</v>
      </c>
      <c r="C8468" s="1" t="str">
        <f t="shared" si="540"/>
        <v>953-58</v>
      </c>
      <c r="D8468" t="s">
        <v>8436</v>
      </c>
      <c r="E8468" t="b">
        <f>IF(COUNTIF(D8468,"*"&amp;'Keyword Search'!$C$5&amp;"*"),TRUE,FALSE)</f>
        <v>1</v>
      </c>
      <c r="G8468" t="str">
        <f t="shared" si="541"/>
        <v>953-58: Liability Insurance, Professional</v>
      </c>
    </row>
    <row r="8469" spans="1:7" x14ac:dyDescent="0.25">
      <c r="A8469" s="1" t="str">
        <f t="shared" si="539"/>
        <v>953</v>
      </c>
      <c r="B8469" s="1" t="str">
        <f>TEXT(60,"00")</f>
        <v>60</v>
      </c>
      <c r="C8469" s="1" t="str">
        <f t="shared" si="540"/>
        <v>953-60</v>
      </c>
      <c r="D8469" t="s">
        <v>8437</v>
      </c>
      <c r="E8469" t="b">
        <f>IF(COUNTIF(D8469,"*"&amp;'Keyword Search'!$C$5&amp;"*"),TRUE,FALSE)</f>
        <v>1</v>
      </c>
      <c r="G8469" t="str">
        <f t="shared" si="541"/>
        <v>953-60: Liability Insurance, Public Official and Government</v>
      </c>
    </row>
    <row r="8470" spans="1:7" x14ac:dyDescent="0.25">
      <c r="A8470" s="1" t="str">
        <f t="shared" si="539"/>
        <v>953</v>
      </c>
      <c r="B8470" s="1" t="str">
        <f>TEXT(63,"00")</f>
        <v>63</v>
      </c>
      <c r="C8470" s="1" t="str">
        <f t="shared" si="540"/>
        <v>953-63</v>
      </c>
      <c r="D8470" t="s">
        <v>8438</v>
      </c>
      <c r="E8470" t="b">
        <f>IF(COUNTIF(D8470,"*"&amp;'Keyword Search'!$C$5&amp;"*"),TRUE,FALSE)</f>
        <v>1</v>
      </c>
      <c r="G8470" t="str">
        <f t="shared" si="541"/>
        <v>953-63: Life Insurance</v>
      </c>
    </row>
    <row r="8471" spans="1:7" x14ac:dyDescent="0.25">
      <c r="A8471" s="1" t="str">
        <f t="shared" si="539"/>
        <v>953</v>
      </c>
      <c r="B8471" s="1" t="str">
        <f>TEXT(66,"00")</f>
        <v>66</v>
      </c>
      <c r="C8471" s="1" t="str">
        <f t="shared" si="540"/>
        <v>953-66</v>
      </c>
      <c r="D8471" t="s">
        <v>8439</v>
      </c>
      <c r="E8471" t="b">
        <f>IF(COUNTIF(D8471,"*"&amp;'Keyword Search'!$C$5&amp;"*"),TRUE,FALSE)</f>
        <v>1</v>
      </c>
      <c r="G8471" t="str">
        <f t="shared" si="541"/>
        <v>953-66: Malpractice Insurance, General</v>
      </c>
    </row>
    <row r="8472" spans="1:7" x14ac:dyDescent="0.25">
      <c r="A8472" s="1" t="str">
        <f t="shared" si="539"/>
        <v>953</v>
      </c>
      <c r="B8472" s="1" t="str">
        <f>TEXT(68,"00")</f>
        <v>68</v>
      </c>
      <c r="C8472" s="1" t="str">
        <f t="shared" si="540"/>
        <v>953-68</v>
      </c>
      <c r="D8472" t="s">
        <v>8440</v>
      </c>
      <c r="E8472" t="b">
        <f>IF(COUNTIF(D8472,"*"&amp;'Keyword Search'!$C$5&amp;"*"),TRUE,FALSE)</f>
        <v>1</v>
      </c>
      <c r="G8472" t="str">
        <f t="shared" si="541"/>
        <v>953-68: Malpractice Insurance, Legal</v>
      </c>
    </row>
    <row r="8473" spans="1:7" x14ac:dyDescent="0.25">
      <c r="A8473" s="1" t="str">
        <f t="shared" si="539"/>
        <v>953</v>
      </c>
      <c r="B8473" s="1" t="str">
        <f>TEXT(70,"00")</f>
        <v>70</v>
      </c>
      <c r="C8473" s="1" t="str">
        <f t="shared" si="540"/>
        <v>953-70</v>
      </c>
      <c r="D8473" t="s">
        <v>8441</v>
      </c>
      <c r="E8473" t="b">
        <f>IF(COUNTIF(D8473,"*"&amp;'Keyword Search'!$C$5&amp;"*"),TRUE,FALSE)</f>
        <v>1</v>
      </c>
      <c r="G8473" t="str">
        <f t="shared" si="541"/>
        <v>953-70: Malpractice Insurance, Medical</v>
      </c>
    </row>
    <row r="8474" spans="1:7" x14ac:dyDescent="0.25">
      <c r="A8474" s="1" t="str">
        <f t="shared" si="539"/>
        <v>953</v>
      </c>
      <c r="B8474" s="1" t="str">
        <f>TEXT(77,"00")</f>
        <v>77</v>
      </c>
      <c r="C8474" s="1" t="str">
        <f t="shared" si="540"/>
        <v>953-77</v>
      </c>
      <c r="D8474" t="s">
        <v>8442</v>
      </c>
      <c r="E8474" t="b">
        <f>IF(COUNTIF(D8474,"*"&amp;'Keyword Search'!$C$5&amp;"*"),TRUE,FALSE)</f>
        <v>1</v>
      </c>
      <c r="G8474" t="str">
        <f t="shared" si="541"/>
        <v>953-77: Property and Casualty Insurance</v>
      </c>
    </row>
    <row r="8475" spans="1:7" x14ac:dyDescent="0.25">
      <c r="A8475" s="1" t="str">
        <f t="shared" si="539"/>
        <v>953</v>
      </c>
      <c r="B8475" s="1" t="str">
        <f>TEXT(78,"00")</f>
        <v>78</v>
      </c>
      <c r="C8475" s="1" t="str">
        <f t="shared" si="540"/>
        <v>953-78</v>
      </c>
      <c r="D8475" t="s">
        <v>8443</v>
      </c>
      <c r="E8475" t="b">
        <f>IF(COUNTIF(D8475,"*"&amp;'Keyword Search'!$C$5&amp;"*"),TRUE,FALSE)</f>
        <v>1</v>
      </c>
      <c r="G8475" t="str">
        <f t="shared" si="541"/>
        <v>953-78: Receiver Services, Special Deputy, Insurance</v>
      </c>
    </row>
    <row r="8476" spans="1:7" x14ac:dyDescent="0.25">
      <c r="A8476" s="1" t="str">
        <f t="shared" si="539"/>
        <v>953</v>
      </c>
      <c r="B8476" s="1" t="str">
        <f>TEXT(79,"00")</f>
        <v>79</v>
      </c>
      <c r="C8476" s="1" t="str">
        <f t="shared" si="540"/>
        <v>953-79</v>
      </c>
      <c r="D8476" t="s">
        <v>8444</v>
      </c>
      <c r="E8476" t="b">
        <f>IF(COUNTIF(D8476,"*"&amp;'Keyword Search'!$C$5&amp;"*"),TRUE,FALSE)</f>
        <v>1</v>
      </c>
      <c r="G8476" t="str">
        <f t="shared" si="541"/>
        <v>953-79: Reinsurance Services</v>
      </c>
    </row>
    <row r="8477" spans="1:7" x14ac:dyDescent="0.25">
      <c r="A8477" s="1" t="str">
        <f t="shared" si="539"/>
        <v>953</v>
      </c>
      <c r="B8477" s="1" t="str">
        <f>TEXT(80,"00")</f>
        <v>80</v>
      </c>
      <c r="C8477" s="1" t="str">
        <f t="shared" si="540"/>
        <v>953-80</v>
      </c>
      <c r="D8477" t="s">
        <v>8445</v>
      </c>
      <c r="E8477" t="b">
        <f>IF(COUNTIF(D8477,"*"&amp;'Keyword Search'!$C$5&amp;"*"),TRUE,FALSE)</f>
        <v>1</v>
      </c>
      <c r="G8477" t="str">
        <f t="shared" si="541"/>
        <v>953-80: Retirement Benefit Plan Insurance</v>
      </c>
    </row>
    <row r="8478" spans="1:7" x14ac:dyDescent="0.25">
      <c r="A8478" s="1" t="str">
        <f t="shared" si="539"/>
        <v>953</v>
      </c>
      <c r="B8478" s="1" t="str">
        <f>TEXT(83,"00")</f>
        <v>83</v>
      </c>
      <c r="C8478" s="1" t="str">
        <f t="shared" si="540"/>
        <v>953-83</v>
      </c>
      <c r="D8478" t="s">
        <v>8446</v>
      </c>
      <c r="E8478" t="b">
        <f>IF(COUNTIF(D8478,"*"&amp;'Keyword Search'!$C$5&amp;"*"),TRUE,FALSE)</f>
        <v>1</v>
      </c>
      <c r="G8478" t="str">
        <f t="shared" si="541"/>
        <v>953-83: Sports Insurance</v>
      </c>
    </row>
    <row r="8479" spans="1:7" x14ac:dyDescent="0.25">
      <c r="A8479" s="1" t="str">
        <f t="shared" si="539"/>
        <v>953</v>
      </c>
      <c r="B8479" s="1" t="str">
        <f>TEXT(87,"00")</f>
        <v>87</v>
      </c>
      <c r="C8479" s="1" t="str">
        <f t="shared" si="540"/>
        <v>953-87</v>
      </c>
      <c r="D8479" t="s">
        <v>8447</v>
      </c>
      <c r="E8479" t="b">
        <f>IF(COUNTIF(D8479,"*"&amp;'Keyword Search'!$C$5&amp;"*"),TRUE,FALSE)</f>
        <v>1</v>
      </c>
      <c r="G8479" t="str">
        <f t="shared" si="541"/>
        <v>953-87: Title Insurance</v>
      </c>
    </row>
    <row r="8480" spans="1:7" x14ac:dyDescent="0.25">
      <c r="A8480" s="1" t="str">
        <f t="shared" si="539"/>
        <v>953</v>
      </c>
      <c r="B8480" s="1" t="str">
        <f>TEXT(91,"00")</f>
        <v>91</v>
      </c>
      <c r="C8480" s="1" t="str">
        <f t="shared" si="540"/>
        <v>953-91</v>
      </c>
      <c r="D8480" t="s">
        <v>8448</v>
      </c>
      <c r="E8480" t="b">
        <f>IF(COUNTIF(D8480,"*"&amp;'Keyword Search'!$C$5&amp;"*"),TRUE,FALSE)</f>
        <v>1</v>
      </c>
      <c r="G8480" t="str">
        <f t="shared" si="541"/>
        <v>953-91: Unemployment Insurance</v>
      </c>
    </row>
    <row r="8481" spans="1:7" x14ac:dyDescent="0.25">
      <c r="A8481" s="1" t="str">
        <f t="shared" si="539"/>
        <v>953</v>
      </c>
      <c r="B8481" s="1" t="str">
        <f>TEXT(92,"00")</f>
        <v>92</v>
      </c>
      <c r="C8481" s="1" t="str">
        <f t="shared" si="540"/>
        <v>953-92</v>
      </c>
      <c r="D8481" t="s">
        <v>8449</v>
      </c>
      <c r="E8481" t="b">
        <f>IF(COUNTIF(D8481,"*"&amp;'Keyword Search'!$C$5&amp;"*"),TRUE,FALSE)</f>
        <v>1</v>
      </c>
      <c r="G8481" t="str">
        <f t="shared" si="541"/>
        <v>953-92: Worker's Compensation</v>
      </c>
    </row>
    <row r="8482" spans="1:7" x14ac:dyDescent="0.25">
      <c r="A8482" s="5" t="str">
        <f t="shared" ref="A8482:A8488" si="542">TEXT(954,"000")</f>
        <v>954</v>
      </c>
      <c r="B8482" s="5" t="str">
        <f>TEXT(0,"00")</f>
        <v>00</v>
      </c>
      <c r="C8482" s="1"/>
      <c r="D8482" s="2" t="s">
        <v>8450</v>
      </c>
    </row>
    <row r="8483" spans="1:7" x14ac:dyDescent="0.25">
      <c r="A8483" s="1" t="str">
        <f t="shared" si="542"/>
        <v>954</v>
      </c>
      <c r="B8483" s="1" t="str">
        <f>TEXT(3,"00")</f>
        <v>03</v>
      </c>
      <c r="C8483" s="1" t="str">
        <f t="shared" si="540"/>
        <v>954-03</v>
      </c>
      <c r="D8483" t="s">
        <v>8451</v>
      </c>
      <c r="E8483" t="b">
        <f>IF(COUNTIF(D8483,"*"&amp;'Keyword Search'!$C$5&amp;"*"),TRUE,FALSE)</f>
        <v>1</v>
      </c>
      <c r="G8483" t="str">
        <f t="shared" si="541"/>
        <v>954-03: Cloth Towel Service</v>
      </c>
    </row>
    <row r="8484" spans="1:7" x14ac:dyDescent="0.25">
      <c r="A8484" s="1" t="str">
        <f t="shared" si="542"/>
        <v>954</v>
      </c>
      <c r="B8484" s="1" t="str">
        <f>TEXT(4,"00")</f>
        <v>04</v>
      </c>
      <c r="C8484" s="1" t="str">
        <f t="shared" si="540"/>
        <v>954-04</v>
      </c>
      <c r="D8484" t="s">
        <v>8452</v>
      </c>
      <c r="E8484" t="b">
        <f>IF(COUNTIF(D8484,"*"&amp;'Keyword Search'!$C$5&amp;"*"),TRUE,FALSE)</f>
        <v>1</v>
      </c>
      <c r="G8484" t="str">
        <f t="shared" si="541"/>
        <v>954-04: Laundry Services, Clothing, Hats and Uniforms</v>
      </c>
    </row>
    <row r="8485" spans="1:7" x14ac:dyDescent="0.25">
      <c r="A8485" s="1" t="str">
        <f t="shared" si="542"/>
        <v>954</v>
      </c>
      <c r="B8485" s="1" t="str">
        <f>TEXT(5,"00")</f>
        <v>05</v>
      </c>
      <c r="C8485" s="1" t="str">
        <f t="shared" si="540"/>
        <v>954-05</v>
      </c>
      <c r="D8485" t="s">
        <v>8453</v>
      </c>
      <c r="E8485" t="b">
        <f>IF(COUNTIF(D8485,"*"&amp;'Keyword Search'!$C$5&amp;"*"),TRUE,FALSE)</f>
        <v>1</v>
      </c>
      <c r="G8485" t="str">
        <f t="shared" si="541"/>
        <v>954-05: Laundry and Linen Service, (Not Otherwise Classified)</v>
      </c>
    </row>
    <row r="8486" spans="1:7" x14ac:dyDescent="0.25">
      <c r="A8486" s="1" t="str">
        <f t="shared" si="542"/>
        <v>954</v>
      </c>
      <c r="B8486" s="1" t="str">
        <f>TEXT(10,"00")</f>
        <v>10</v>
      </c>
      <c r="C8486" s="1" t="str">
        <f t="shared" si="540"/>
        <v>954-10</v>
      </c>
      <c r="D8486" t="s">
        <v>8454</v>
      </c>
      <c r="E8486" t="b">
        <f>IF(COUNTIF(D8486,"*"&amp;'Keyword Search'!$C$5&amp;"*"),TRUE,FALSE)</f>
        <v>1</v>
      </c>
      <c r="G8486" t="str">
        <f t="shared" si="541"/>
        <v>954-10: Mop Cleaning Service</v>
      </c>
    </row>
    <row r="8487" spans="1:7" x14ac:dyDescent="0.25">
      <c r="A8487" s="1" t="str">
        <f t="shared" si="542"/>
        <v>954</v>
      </c>
      <c r="B8487" s="1" t="str">
        <f>TEXT(20,"00")</f>
        <v>20</v>
      </c>
      <c r="C8487" s="1" t="str">
        <f t="shared" si="540"/>
        <v>954-20</v>
      </c>
      <c r="D8487" t="s">
        <v>8455</v>
      </c>
      <c r="E8487" t="b">
        <f>IF(COUNTIF(D8487,"*"&amp;'Keyword Search'!$C$5&amp;"*"),TRUE,FALSE)</f>
        <v>1</v>
      </c>
      <c r="G8487" t="str">
        <f t="shared" si="541"/>
        <v>954-20: Dry Cleaning Service</v>
      </c>
    </row>
    <row r="8488" spans="1:7" x14ac:dyDescent="0.25">
      <c r="A8488" s="1" t="str">
        <f t="shared" si="542"/>
        <v>954</v>
      </c>
      <c r="B8488" s="1" t="str">
        <f>TEXT(70,"00")</f>
        <v>70</v>
      </c>
      <c r="C8488" s="1" t="str">
        <f t="shared" si="540"/>
        <v>954-70</v>
      </c>
      <c r="D8488" t="s">
        <v>8456</v>
      </c>
      <c r="E8488" t="b">
        <f>IF(COUNTIF(D8488,"*"&amp;'Keyword Search'!$C$5&amp;"*"),TRUE,FALSE)</f>
        <v>1</v>
      </c>
      <c r="G8488" t="str">
        <f t="shared" si="541"/>
        <v>954-70: Shop Towels, Shop Aprons, Floor Mats, etc. Cleaning Services</v>
      </c>
    </row>
    <row r="8489" spans="1:7" x14ac:dyDescent="0.25">
      <c r="A8489" s="5" t="str">
        <f t="shared" ref="A8489:A8504" si="543">TEXT(956,"000")</f>
        <v>956</v>
      </c>
      <c r="B8489" s="5" t="str">
        <f>TEXT(0,"00")</f>
        <v>00</v>
      </c>
      <c r="C8489" s="1"/>
      <c r="D8489" s="2" t="s">
        <v>8457</v>
      </c>
    </row>
    <row r="8490" spans="1:7" x14ac:dyDescent="0.25">
      <c r="A8490" s="1" t="str">
        <f t="shared" si="543"/>
        <v>956</v>
      </c>
      <c r="B8490" s="1" t="str">
        <f>TEXT(5,"00")</f>
        <v>05</v>
      </c>
      <c r="C8490" s="1" t="str">
        <f t="shared" si="540"/>
        <v>956-05</v>
      </c>
      <c r="D8490" t="s">
        <v>8458</v>
      </c>
      <c r="E8490" t="b">
        <f>IF(COUNTIF(D8490,"*"&amp;'Keyword Search'!$C$5&amp;"*"),TRUE,FALSE)</f>
        <v>1</v>
      </c>
      <c r="G8490" t="str">
        <f t="shared" si="541"/>
        <v>956-05: *Business Research Services</v>
      </c>
    </row>
    <row r="8491" spans="1:7" x14ac:dyDescent="0.25">
      <c r="A8491" s="1" t="str">
        <f t="shared" si="543"/>
        <v>956</v>
      </c>
      <c r="B8491" s="1" t="str">
        <f>TEXT(10,"00")</f>
        <v>10</v>
      </c>
      <c r="C8491" s="1" t="str">
        <f t="shared" si="540"/>
        <v>956-10</v>
      </c>
      <c r="D8491" t="s">
        <v>8459</v>
      </c>
      <c r="E8491" t="b">
        <f>IF(COUNTIF(D8491,"*"&amp;'Keyword Search'!$C$5&amp;"*"),TRUE,FALSE)</f>
        <v>1</v>
      </c>
      <c r="G8491" t="str">
        <f t="shared" si="541"/>
        <v>956-10: Cataloging Services</v>
      </c>
    </row>
    <row r="8492" spans="1:7" x14ac:dyDescent="0.25">
      <c r="A8492" s="1" t="str">
        <f t="shared" si="543"/>
        <v>956</v>
      </c>
      <c r="B8492" s="1" t="str">
        <f>TEXT(30,"00")</f>
        <v>30</v>
      </c>
      <c r="C8492" s="1" t="str">
        <f t="shared" si="540"/>
        <v>956-30</v>
      </c>
      <c r="D8492" t="s">
        <v>8460</v>
      </c>
      <c r="E8492" t="b">
        <f>IF(COUNTIF(D8492,"*"&amp;'Keyword Search'!$C$5&amp;"*"),TRUE,FALSE)</f>
        <v>1</v>
      </c>
      <c r="G8492" t="str">
        <f t="shared" si="541"/>
        <v>956-30: Historical Studies and Services</v>
      </c>
    </row>
    <row r="8493" spans="1:7" x14ac:dyDescent="0.25">
      <c r="A8493" s="1" t="str">
        <f t="shared" si="543"/>
        <v>956</v>
      </c>
      <c r="B8493" s="1" t="str">
        <f>TEXT(35,"00")</f>
        <v>35</v>
      </c>
      <c r="C8493" s="1" t="str">
        <f t="shared" si="540"/>
        <v>956-35</v>
      </c>
      <c r="D8493" t="s">
        <v>8461</v>
      </c>
      <c r="E8493" t="b">
        <f>IF(COUNTIF(D8493,"*"&amp;'Keyword Search'!$C$5&amp;"*"),TRUE,FALSE)</f>
        <v>1</v>
      </c>
      <c r="G8493" t="str">
        <f t="shared" si="541"/>
        <v>956-35: *Internet Database Subscriptions</v>
      </c>
    </row>
    <row r="8494" spans="1:7" x14ac:dyDescent="0.25">
      <c r="A8494" s="1" t="str">
        <f t="shared" si="543"/>
        <v>956</v>
      </c>
      <c r="B8494" s="1" t="str">
        <f>TEXT(38,"00")</f>
        <v>38</v>
      </c>
      <c r="C8494" s="1" t="str">
        <f t="shared" si="540"/>
        <v>956-38</v>
      </c>
      <c r="D8494" t="s">
        <v>8462</v>
      </c>
      <c r="E8494" t="b">
        <f>IF(COUNTIF(D8494,"*"&amp;'Keyword Search'!$C$5&amp;"*"),TRUE,FALSE)</f>
        <v>1</v>
      </c>
      <c r="G8494" t="str">
        <f t="shared" si="541"/>
        <v>956-38: Library Services, (Not Otherwise Classified)</v>
      </c>
    </row>
    <row r="8495" spans="1:7" x14ac:dyDescent="0.25">
      <c r="A8495" s="1" t="str">
        <f t="shared" si="543"/>
        <v>956</v>
      </c>
      <c r="B8495" s="1" t="str">
        <f>TEXT(40,"00")</f>
        <v>40</v>
      </c>
      <c r="C8495" s="1" t="str">
        <f t="shared" si="540"/>
        <v>956-40</v>
      </c>
      <c r="D8495" t="s">
        <v>8463</v>
      </c>
      <c r="E8495" t="b">
        <f>IF(COUNTIF(D8495,"*"&amp;'Keyword Search'!$C$5&amp;"*"),TRUE,FALSE)</f>
        <v>1</v>
      </c>
      <c r="G8495" t="str">
        <f t="shared" si="541"/>
        <v>956-40: Magazine Subscriptions</v>
      </c>
    </row>
    <row r="8496" spans="1:7" x14ac:dyDescent="0.25">
      <c r="A8496" s="1" t="str">
        <f t="shared" si="543"/>
        <v>956</v>
      </c>
      <c r="B8496" s="1" t="str">
        <f>TEXT(45,"00")</f>
        <v>45</v>
      </c>
      <c r="C8496" s="1" t="str">
        <f t="shared" si="540"/>
        <v>956-45</v>
      </c>
      <c r="D8496" t="s">
        <v>8464</v>
      </c>
      <c r="E8496" t="b">
        <f>IF(COUNTIF(D8496,"*"&amp;'Keyword Search'!$C$5&amp;"*"),TRUE,FALSE)</f>
        <v>1</v>
      </c>
      <c r="G8496" t="str">
        <f t="shared" si="541"/>
        <v>956-45: Microfilm Subscriptions</v>
      </c>
    </row>
    <row r="8497" spans="1:7" x14ac:dyDescent="0.25">
      <c r="A8497" s="1" t="str">
        <f t="shared" si="543"/>
        <v>956</v>
      </c>
      <c r="B8497" s="1" t="str">
        <f>TEXT(49,"00")</f>
        <v>49</v>
      </c>
      <c r="C8497" s="1" t="str">
        <f t="shared" si="540"/>
        <v>956-49</v>
      </c>
      <c r="D8497" t="s">
        <v>8465</v>
      </c>
      <c r="E8497" t="b">
        <f>IF(COUNTIF(D8497,"*"&amp;'Keyword Search'!$C$5&amp;"*"),TRUE,FALSE)</f>
        <v>1</v>
      </c>
      <c r="G8497" t="str">
        <f t="shared" si="541"/>
        <v>956-49: Newsletter Subscriptions</v>
      </c>
    </row>
    <row r="8498" spans="1:7" x14ac:dyDescent="0.25">
      <c r="A8498" s="1" t="str">
        <f t="shared" si="543"/>
        <v>956</v>
      </c>
      <c r="B8498" s="1" t="str">
        <f>TEXT(50,"00")</f>
        <v>50</v>
      </c>
      <c r="C8498" s="1" t="str">
        <f t="shared" si="540"/>
        <v>956-50</v>
      </c>
      <c r="D8498" t="s">
        <v>8466</v>
      </c>
      <c r="E8498" t="b">
        <f>IF(COUNTIF(D8498,"*"&amp;'Keyword Search'!$C$5&amp;"*"),TRUE,FALSE)</f>
        <v>1</v>
      </c>
      <c r="G8498" t="str">
        <f t="shared" si="541"/>
        <v>956-50: Newspaper Subscriptions</v>
      </c>
    </row>
    <row r="8499" spans="1:7" x14ac:dyDescent="0.25">
      <c r="A8499" s="1" t="str">
        <f t="shared" si="543"/>
        <v>956</v>
      </c>
      <c r="B8499" s="1" t="str">
        <f>TEXT(58,"00")</f>
        <v>58</v>
      </c>
      <c r="C8499" s="1" t="str">
        <f t="shared" si="540"/>
        <v>956-58</v>
      </c>
      <c r="D8499" t="s">
        <v>8467</v>
      </c>
      <c r="E8499" t="b">
        <f>IF(COUNTIF(D8499,"*"&amp;'Keyword Search'!$C$5&amp;"*"),TRUE,FALSE)</f>
        <v>1</v>
      </c>
      <c r="G8499" t="str">
        <f t="shared" si="541"/>
        <v>956-58: Professional Document and Publication Subscriptions: Legal, Medical, etc.</v>
      </c>
    </row>
    <row r="8500" spans="1:7" x14ac:dyDescent="0.25">
      <c r="A8500" s="1" t="str">
        <f t="shared" si="543"/>
        <v>956</v>
      </c>
      <c r="B8500" s="1" t="str">
        <f>TEXT(60,"00")</f>
        <v>60</v>
      </c>
      <c r="C8500" s="1" t="str">
        <f t="shared" si="540"/>
        <v>956-60</v>
      </c>
      <c r="D8500" t="s">
        <v>8468</v>
      </c>
      <c r="E8500" t="b">
        <f>IF(COUNTIF(D8500,"*"&amp;'Keyword Search'!$C$5&amp;"*"),TRUE,FALSE)</f>
        <v>1</v>
      </c>
      <c r="G8500" t="str">
        <f t="shared" si="541"/>
        <v>956-60: Professional Journal Subscriptions</v>
      </c>
    </row>
    <row r="8501" spans="1:7" x14ac:dyDescent="0.25">
      <c r="A8501" s="1" t="str">
        <f t="shared" si="543"/>
        <v>956</v>
      </c>
      <c r="B8501" s="1" t="str">
        <f>TEXT(70,"00")</f>
        <v>70</v>
      </c>
      <c r="C8501" s="1" t="str">
        <f t="shared" si="540"/>
        <v>956-70</v>
      </c>
      <c r="D8501" t="s">
        <v>8469</v>
      </c>
      <c r="E8501" t="b">
        <f>IF(COUNTIF(D8501,"*"&amp;'Keyword Search'!$C$5&amp;"*"),TRUE,FALSE)</f>
        <v>1</v>
      </c>
      <c r="G8501" t="str">
        <f t="shared" si="541"/>
        <v>956-70: Research Services, Other Than Business</v>
      </c>
    </row>
    <row r="8502" spans="1:7" x14ac:dyDescent="0.25">
      <c r="A8502" s="1" t="str">
        <f t="shared" si="543"/>
        <v>956</v>
      </c>
      <c r="B8502" s="1" t="str">
        <f>TEXT(75,"00")</f>
        <v>75</v>
      </c>
      <c r="C8502" s="1" t="str">
        <f t="shared" si="540"/>
        <v>956-75</v>
      </c>
      <c r="D8502" t="s">
        <v>8470</v>
      </c>
      <c r="E8502" t="b">
        <f>IF(COUNTIF(D8502,"*"&amp;'Keyword Search'!$C$5&amp;"*"),TRUE,FALSE)</f>
        <v>1</v>
      </c>
      <c r="G8502" t="str">
        <f t="shared" si="541"/>
        <v>956-75: Scientific Research Services</v>
      </c>
    </row>
    <row r="8503" spans="1:7" x14ac:dyDescent="0.25">
      <c r="A8503" s="1" t="str">
        <f t="shared" si="543"/>
        <v>956</v>
      </c>
      <c r="B8503" s="1" t="str">
        <f>TEXT(80,"00")</f>
        <v>80</v>
      </c>
      <c r="C8503" s="1" t="str">
        <f t="shared" si="540"/>
        <v>956-80</v>
      </c>
      <c r="D8503" t="s">
        <v>8471</v>
      </c>
      <c r="E8503" t="b">
        <f>IF(COUNTIF(D8503,"*"&amp;'Keyword Search'!$C$5&amp;"*"),TRUE,FALSE)</f>
        <v>1</v>
      </c>
      <c r="G8503" t="str">
        <f t="shared" si="541"/>
        <v>956-80: Talking Books, Cassettes, etc.</v>
      </c>
    </row>
    <row r="8504" spans="1:7" x14ac:dyDescent="0.25">
      <c r="A8504" s="1" t="str">
        <f t="shared" si="543"/>
        <v>956</v>
      </c>
      <c r="B8504" s="1" t="str">
        <f>TEXT(85,"00")</f>
        <v>85</v>
      </c>
      <c r="C8504" s="1" t="str">
        <f t="shared" si="540"/>
        <v>956-85</v>
      </c>
      <c r="D8504" t="s">
        <v>8472</v>
      </c>
      <c r="E8504" t="b">
        <f>IF(COUNTIF(D8504,"*"&amp;'Keyword Search'!$C$5&amp;"*"),TRUE,FALSE)</f>
        <v>1</v>
      </c>
      <c r="G8504" t="str">
        <f t="shared" si="541"/>
        <v>956-85: Training Material Subscriptions</v>
      </c>
    </row>
    <row r="8505" spans="1:7" x14ac:dyDescent="0.25">
      <c r="A8505" s="5" t="str">
        <f t="shared" ref="A8505:A8568" si="544">TEXT(958,"000")</f>
        <v>958</v>
      </c>
      <c r="B8505" s="5" t="str">
        <f>TEXT(0,"00")</f>
        <v>00</v>
      </c>
      <c r="C8505" s="1"/>
      <c r="D8505" s="2" t="s">
        <v>8473</v>
      </c>
    </row>
    <row r="8506" spans="1:7" x14ac:dyDescent="0.25">
      <c r="A8506" s="1" t="str">
        <f t="shared" si="544"/>
        <v>958</v>
      </c>
      <c r="B8506" s="1" t="str">
        <f>TEXT(2,"00")</f>
        <v>02</v>
      </c>
      <c r="C8506" s="1" t="str">
        <f t="shared" si="540"/>
        <v>958-02</v>
      </c>
      <c r="D8506" t="s">
        <v>8474</v>
      </c>
      <c r="E8506" t="b">
        <f>IF(COUNTIF(D8506,"*"&amp;'Keyword Search'!$C$5&amp;"*"),TRUE,FALSE)</f>
        <v>1</v>
      </c>
      <c r="G8506" t="str">
        <f t="shared" si="541"/>
        <v>958-02: Agricultural Management Services (Not Otherwise Classified)</v>
      </c>
    </row>
    <row r="8507" spans="1:7" x14ac:dyDescent="0.25">
      <c r="A8507" s="1" t="str">
        <f t="shared" si="544"/>
        <v>958</v>
      </c>
      <c r="B8507" s="1" t="str">
        <f>TEXT(3,"00")</f>
        <v>03</v>
      </c>
      <c r="C8507" s="1" t="str">
        <f t="shared" si="540"/>
        <v>958-03</v>
      </c>
      <c r="D8507" t="s">
        <v>8475</v>
      </c>
      <c r="E8507" t="b">
        <f>IF(COUNTIF(D8507,"*"&amp;'Keyword Search'!$C$5&amp;"*"),TRUE,FALSE)</f>
        <v>1</v>
      </c>
      <c r="G8507" t="str">
        <f t="shared" si="541"/>
        <v>958-03: Airport Management Services</v>
      </c>
    </row>
    <row r="8508" spans="1:7" x14ac:dyDescent="0.25">
      <c r="A8508" s="1" t="str">
        <f t="shared" si="544"/>
        <v>958</v>
      </c>
      <c r="B8508" s="1" t="str">
        <f>TEXT(5,"00")</f>
        <v>05</v>
      </c>
      <c r="C8508" s="1" t="str">
        <f t="shared" si="540"/>
        <v>958-05</v>
      </c>
      <c r="D8508" t="s">
        <v>8476</v>
      </c>
      <c r="E8508" t="b">
        <f>IF(COUNTIF(D8508,"*"&amp;'Keyword Search'!$C$5&amp;"*"),TRUE,FALSE)</f>
        <v>1</v>
      </c>
      <c r="G8508" t="str">
        <f t="shared" si="541"/>
        <v>958-05: *Asset Management Services</v>
      </c>
    </row>
    <row r="8509" spans="1:7" x14ac:dyDescent="0.25">
      <c r="A8509" s="1" t="str">
        <f t="shared" si="544"/>
        <v>958</v>
      </c>
      <c r="B8509" s="1" t="str">
        <f>TEXT(11,"00")</f>
        <v>11</v>
      </c>
      <c r="C8509" s="1" t="str">
        <f t="shared" si="540"/>
        <v>958-11</v>
      </c>
      <c r="D8509" t="s">
        <v>8477</v>
      </c>
      <c r="E8509" t="b">
        <f>IF(COUNTIF(D8509,"*"&amp;'Keyword Search'!$C$5&amp;"*"),TRUE,FALSE)</f>
        <v>1</v>
      </c>
      <c r="G8509" t="str">
        <f t="shared" si="541"/>
        <v>958-11: Wastewater Mud Treatment Services</v>
      </c>
    </row>
    <row r="8510" spans="1:7" x14ac:dyDescent="0.25">
      <c r="A8510" s="1" t="str">
        <f t="shared" si="544"/>
        <v>958</v>
      </c>
      <c r="B8510" s="1" t="str">
        <f>TEXT(12,"00")</f>
        <v>12</v>
      </c>
      <c r="C8510" s="1" t="str">
        <f t="shared" si="540"/>
        <v>958-12</v>
      </c>
      <c r="D8510" t="s">
        <v>8478</v>
      </c>
      <c r="E8510" t="b">
        <f>IF(COUNTIF(D8510,"*"&amp;'Keyword Search'!$C$5&amp;"*"),TRUE,FALSE)</f>
        <v>1</v>
      </c>
      <c r="G8510" t="str">
        <f t="shared" si="541"/>
        <v>958-12: Bio-Solids Management Services</v>
      </c>
    </row>
    <row r="8511" spans="1:7" x14ac:dyDescent="0.25">
      <c r="A8511" s="1" t="str">
        <f t="shared" si="544"/>
        <v>958</v>
      </c>
      <c r="B8511" s="1" t="str">
        <f>TEXT(13,"00")</f>
        <v>13</v>
      </c>
      <c r="C8511" s="1" t="str">
        <f t="shared" si="540"/>
        <v>958-13</v>
      </c>
      <c r="D8511" t="s">
        <v>8479</v>
      </c>
      <c r="E8511" t="b">
        <f>IF(COUNTIF(D8511,"*"&amp;'Keyword Search'!$C$5&amp;"*"),TRUE,FALSE)</f>
        <v>1</v>
      </c>
      <c r="G8511" t="str">
        <f t="shared" si="541"/>
        <v>958-13: Bookstore Management Services</v>
      </c>
    </row>
    <row r="8512" spans="1:7" x14ac:dyDescent="0.25">
      <c r="A8512" s="1" t="str">
        <f t="shared" si="544"/>
        <v>958</v>
      </c>
      <c r="B8512" s="1" t="str">
        <f>TEXT(14,"00")</f>
        <v>14</v>
      </c>
      <c r="C8512" s="1" t="str">
        <f t="shared" si="540"/>
        <v>958-14</v>
      </c>
      <c r="D8512" t="s">
        <v>8480</v>
      </c>
      <c r="E8512" t="b">
        <f>IF(COUNTIF(D8512,"*"&amp;'Keyword Search'!$C$5&amp;"*"),TRUE,FALSE)</f>
        <v>1</v>
      </c>
      <c r="G8512" t="str">
        <f t="shared" si="541"/>
        <v>958-14: Border Security Management and Operation Services</v>
      </c>
    </row>
    <row r="8513" spans="1:7" x14ac:dyDescent="0.25">
      <c r="A8513" s="1" t="str">
        <f t="shared" si="544"/>
        <v>958</v>
      </c>
      <c r="B8513" s="1" t="str">
        <f>TEXT(15,"00")</f>
        <v>15</v>
      </c>
      <c r="C8513" s="1" t="str">
        <f t="shared" si="540"/>
        <v>958-15</v>
      </c>
      <c r="D8513" t="s">
        <v>8481</v>
      </c>
      <c r="E8513" t="b">
        <f>IF(COUNTIF(D8513,"*"&amp;'Keyword Search'!$C$5&amp;"*"),TRUE,FALSE)</f>
        <v>1</v>
      </c>
      <c r="G8513" t="str">
        <f t="shared" si="541"/>
        <v>958-15: Building and Facilities Management Services</v>
      </c>
    </row>
    <row r="8514" spans="1:7" x14ac:dyDescent="0.25">
      <c r="A8514" s="1" t="str">
        <f t="shared" si="544"/>
        <v>958</v>
      </c>
      <c r="B8514" s="1" t="str">
        <f>TEXT(16,"00")</f>
        <v>16</v>
      </c>
      <c r="C8514" s="1" t="str">
        <f t="shared" si="540"/>
        <v>958-16</v>
      </c>
      <c r="D8514" t="s">
        <v>8482</v>
      </c>
      <c r="E8514" t="b">
        <f>IF(COUNTIF(D8514,"*"&amp;'Keyword Search'!$C$5&amp;"*"),TRUE,FALSE)</f>
        <v>1</v>
      </c>
      <c r="G8514" t="str">
        <f t="shared" si="541"/>
        <v>958-16: Business Management Services</v>
      </c>
    </row>
    <row r="8515" spans="1:7" x14ac:dyDescent="0.25">
      <c r="A8515" s="1" t="str">
        <f t="shared" si="544"/>
        <v>958</v>
      </c>
      <c r="B8515" s="1" t="str">
        <f>TEXT(20,"00")</f>
        <v>20</v>
      </c>
      <c r="C8515" s="1" t="str">
        <f t="shared" ref="C8515:C8578" si="545">CONCATENATE(A8515,"-",B8515)</f>
        <v>958-20</v>
      </c>
      <c r="D8515" t="s">
        <v>8483</v>
      </c>
      <c r="E8515" t="b">
        <f>IF(COUNTIF(D8515,"*"&amp;'Keyword Search'!$C$5&amp;"*"),TRUE,FALSE)</f>
        <v>1</v>
      </c>
      <c r="G8515" t="str">
        <f t="shared" si="541"/>
        <v>958-20: Cemetery Management Services</v>
      </c>
    </row>
    <row r="8516" spans="1:7" x14ac:dyDescent="0.25">
      <c r="A8516" s="1" t="str">
        <f t="shared" si="544"/>
        <v>958</v>
      </c>
      <c r="B8516" s="1" t="str">
        <f>TEXT(22,"00")</f>
        <v>22</v>
      </c>
      <c r="C8516" s="1" t="str">
        <f t="shared" si="545"/>
        <v>958-22</v>
      </c>
      <c r="D8516" t="s">
        <v>8484</v>
      </c>
      <c r="E8516" t="b">
        <f>IF(COUNTIF(D8516,"*"&amp;'Keyword Search'!$C$5&amp;"*"),TRUE,FALSE)</f>
        <v>1</v>
      </c>
      <c r="G8516" t="str">
        <f t="shared" ref="G8516:G8579" si="546">CONCATENATE(C8516,": ",D8516)</f>
        <v>958-22: Child Care Center Management and Operation Services</v>
      </c>
    </row>
    <row r="8517" spans="1:7" x14ac:dyDescent="0.25">
      <c r="A8517" s="1" t="str">
        <f t="shared" si="544"/>
        <v>958</v>
      </c>
      <c r="B8517" s="1" t="str">
        <f>TEXT(23,"00")</f>
        <v>23</v>
      </c>
      <c r="C8517" s="1" t="str">
        <f t="shared" si="545"/>
        <v>958-23</v>
      </c>
      <c r="D8517" t="s">
        <v>8485</v>
      </c>
      <c r="E8517" t="b">
        <f>IF(COUNTIF(D8517,"*"&amp;'Keyword Search'!$C$5&amp;"*"),TRUE,FALSE)</f>
        <v>1</v>
      </c>
      <c r="G8517" t="str">
        <f t="shared" si="546"/>
        <v>958-23: *Computer Management Services</v>
      </c>
    </row>
    <row r="8518" spans="1:7" x14ac:dyDescent="0.25">
      <c r="A8518" s="1" t="str">
        <f t="shared" si="544"/>
        <v>958</v>
      </c>
      <c r="B8518" s="1" t="str">
        <f>TEXT(25,"00")</f>
        <v>25</v>
      </c>
      <c r="C8518" s="1" t="str">
        <f t="shared" si="545"/>
        <v>958-25</v>
      </c>
      <c r="D8518" t="s">
        <v>8486</v>
      </c>
      <c r="E8518" t="b">
        <f>IF(COUNTIF(D8518,"*"&amp;'Keyword Search'!$C$5&amp;"*"),TRUE,FALSE)</f>
        <v>1</v>
      </c>
      <c r="G8518" t="str">
        <f t="shared" si="546"/>
        <v>958-25: Conservation/Resource Management Services</v>
      </c>
    </row>
    <row r="8519" spans="1:7" x14ac:dyDescent="0.25">
      <c r="A8519" s="1" t="str">
        <f t="shared" si="544"/>
        <v>958</v>
      </c>
      <c r="B8519" s="1" t="str">
        <f>TEXT(26,"00")</f>
        <v>26</v>
      </c>
      <c r="C8519" s="1" t="str">
        <f t="shared" si="545"/>
        <v>958-26</v>
      </c>
      <c r="D8519" t="s">
        <v>8487</v>
      </c>
      <c r="E8519" t="b">
        <f>IF(COUNTIF(D8519,"*"&amp;'Keyword Search'!$C$5&amp;"*"),TRUE,FALSE)</f>
        <v>1</v>
      </c>
      <c r="G8519" t="str">
        <f t="shared" si="546"/>
        <v>958-26: Construction Management Services</v>
      </c>
    </row>
    <row r="8520" spans="1:7" x14ac:dyDescent="0.25">
      <c r="A8520" s="1" t="str">
        <f t="shared" si="544"/>
        <v>958</v>
      </c>
      <c r="B8520" s="1" t="str">
        <f>TEXT(28,"00")</f>
        <v>28</v>
      </c>
      <c r="C8520" s="1" t="str">
        <f t="shared" si="545"/>
        <v>958-28</v>
      </c>
      <c r="D8520" t="s">
        <v>8488</v>
      </c>
      <c r="E8520" t="b">
        <f>IF(COUNTIF(D8520,"*"&amp;'Keyword Search'!$C$5&amp;"*"),TRUE,FALSE)</f>
        <v>1</v>
      </c>
      <c r="G8520" t="str">
        <f t="shared" si="546"/>
        <v>958-28: Corrections Management Services</v>
      </c>
    </row>
    <row r="8521" spans="1:7" x14ac:dyDescent="0.25">
      <c r="A8521" s="1" t="str">
        <f t="shared" si="544"/>
        <v>958</v>
      </c>
      <c r="B8521" s="1" t="str">
        <f>TEXT(30,"00")</f>
        <v>30</v>
      </c>
      <c r="C8521" s="1" t="str">
        <f t="shared" si="545"/>
        <v>958-30</v>
      </c>
      <c r="D8521" t="s">
        <v>8489</v>
      </c>
      <c r="E8521" t="b">
        <f>IF(COUNTIF(D8521,"*"&amp;'Keyword Search'!$C$5&amp;"*"),TRUE,FALSE)</f>
        <v>1</v>
      </c>
      <c r="G8521" t="str">
        <f t="shared" si="546"/>
        <v>958-30: Crop Management Services, Including Production, Protection, etc.</v>
      </c>
    </row>
    <row r="8522" spans="1:7" x14ac:dyDescent="0.25">
      <c r="A8522" s="1" t="str">
        <f t="shared" si="544"/>
        <v>958</v>
      </c>
      <c r="B8522" s="1" t="str">
        <f>TEXT(36,"00")</f>
        <v>36</v>
      </c>
      <c r="C8522" s="1" t="str">
        <f t="shared" si="545"/>
        <v>958-36</v>
      </c>
      <c r="D8522" t="s">
        <v>8490</v>
      </c>
      <c r="E8522" t="b">
        <f>IF(COUNTIF(D8522,"*"&amp;'Keyword Search'!$C$5&amp;"*"),TRUE,FALSE)</f>
        <v>1</v>
      </c>
      <c r="G8522" t="str">
        <f t="shared" si="546"/>
        <v>958-36: Exhibition/Exposition Management Services</v>
      </c>
    </row>
    <row r="8523" spans="1:7" x14ac:dyDescent="0.25">
      <c r="A8523" s="1" t="str">
        <f t="shared" si="544"/>
        <v>958</v>
      </c>
      <c r="B8523" s="1" t="str">
        <f>TEXT(38,"00")</f>
        <v>38</v>
      </c>
      <c r="C8523" s="1" t="str">
        <f t="shared" si="545"/>
        <v>958-38</v>
      </c>
      <c r="D8523" t="s">
        <v>8491</v>
      </c>
      <c r="E8523" t="b">
        <f>IF(COUNTIF(D8523,"*"&amp;'Keyword Search'!$C$5&amp;"*"),TRUE,FALSE)</f>
        <v>1</v>
      </c>
      <c r="G8523" t="str">
        <f t="shared" si="546"/>
        <v>958-38: Farm Management Services, Including Dairy, Pasture and Range Management</v>
      </c>
    </row>
    <row r="8524" spans="1:7" x14ac:dyDescent="0.25">
      <c r="A8524" s="1" t="str">
        <f t="shared" si="544"/>
        <v>958</v>
      </c>
      <c r="B8524" s="1" t="str">
        <f>TEXT(39,"00")</f>
        <v>39</v>
      </c>
      <c r="C8524" s="1" t="str">
        <f t="shared" si="545"/>
        <v>958-39</v>
      </c>
      <c r="D8524" t="s">
        <v>8492</v>
      </c>
      <c r="E8524" t="b">
        <f>IF(COUNTIF(D8524,"*"&amp;'Keyword Search'!$C$5&amp;"*"),TRUE,FALSE)</f>
        <v>1</v>
      </c>
      <c r="G8524" t="str">
        <f t="shared" si="546"/>
        <v>958-39: Financial Management Services</v>
      </c>
    </row>
    <row r="8525" spans="1:7" x14ac:dyDescent="0.25">
      <c r="A8525" s="1" t="str">
        <f t="shared" si="544"/>
        <v>958</v>
      </c>
      <c r="B8525" s="1" t="str">
        <f>TEXT(40,"00")</f>
        <v>40</v>
      </c>
      <c r="C8525" s="1" t="str">
        <f t="shared" si="545"/>
        <v>958-40</v>
      </c>
      <c r="D8525" t="s">
        <v>8493</v>
      </c>
      <c r="E8525" t="b">
        <f>IF(COUNTIF(D8525,"*"&amp;'Keyword Search'!$C$5&amp;"*"),TRUE,FALSE)</f>
        <v>1</v>
      </c>
      <c r="G8525" t="str">
        <f t="shared" si="546"/>
        <v>958-40: Fishery Management Services, Including Data Collection, Research and Experimentation, Resources Protection, etc.</v>
      </c>
    </row>
    <row r="8526" spans="1:7" x14ac:dyDescent="0.25">
      <c r="A8526" s="1" t="str">
        <f t="shared" si="544"/>
        <v>958</v>
      </c>
      <c r="B8526" s="1" t="str">
        <f>TEXT(41,"00")</f>
        <v>41</v>
      </c>
      <c r="C8526" s="1" t="str">
        <f t="shared" si="545"/>
        <v>958-41</v>
      </c>
      <c r="D8526" t="s">
        <v>8494</v>
      </c>
      <c r="E8526" t="b">
        <f>IF(COUNTIF(D8526,"*"&amp;'Keyword Search'!$C$5&amp;"*"),TRUE,FALSE)</f>
        <v>1</v>
      </c>
      <c r="G8526" t="str">
        <f t="shared" si="546"/>
        <v>958-41: *Fleet Management Services</v>
      </c>
    </row>
    <row r="8527" spans="1:7" x14ac:dyDescent="0.25">
      <c r="A8527" s="1" t="str">
        <f t="shared" si="544"/>
        <v>958</v>
      </c>
      <c r="B8527" s="1" t="str">
        <f>TEXT(44,"00")</f>
        <v>44</v>
      </c>
      <c r="C8527" s="1" t="str">
        <f t="shared" si="545"/>
        <v>958-44</v>
      </c>
      <c r="D8527" t="s">
        <v>8495</v>
      </c>
      <c r="E8527" t="b">
        <f>IF(COUNTIF(D8527,"*"&amp;'Keyword Search'!$C$5&amp;"*"),TRUE,FALSE)</f>
        <v>1</v>
      </c>
      <c r="G8527" t="str">
        <f t="shared" si="546"/>
        <v>958-44: Food Management Services, Including Hygiene, Contamination, Preservation, Research, etc.</v>
      </c>
    </row>
    <row r="8528" spans="1:7" x14ac:dyDescent="0.25">
      <c r="A8528" s="1" t="str">
        <f t="shared" si="544"/>
        <v>958</v>
      </c>
      <c r="B8528" s="1" t="str">
        <f>TEXT(45,"00")</f>
        <v>45</v>
      </c>
      <c r="C8528" s="1" t="str">
        <f t="shared" si="545"/>
        <v>958-45</v>
      </c>
      <c r="D8528" t="s">
        <v>8496</v>
      </c>
      <c r="E8528" t="b">
        <f>IF(COUNTIF(D8528,"*"&amp;'Keyword Search'!$C$5&amp;"*"),TRUE,FALSE)</f>
        <v>1</v>
      </c>
      <c r="G8528" t="str">
        <f t="shared" si="546"/>
        <v>958-45: Forestry Management Services, Including Inventory, Monitoring, Extension, Pest Control, etc.</v>
      </c>
    </row>
    <row r="8529" spans="1:7" x14ac:dyDescent="0.25">
      <c r="A8529" s="1" t="str">
        <f t="shared" si="544"/>
        <v>958</v>
      </c>
      <c r="B8529" s="1" t="str">
        <f>TEXT(47,"00")</f>
        <v>47</v>
      </c>
      <c r="C8529" s="1" t="str">
        <f t="shared" si="545"/>
        <v>958-47</v>
      </c>
      <c r="D8529" t="s">
        <v>8497</v>
      </c>
      <c r="E8529" t="b">
        <f>IF(COUNTIF(D8529,"*"&amp;'Keyword Search'!$C$5&amp;"*"),TRUE,FALSE)</f>
        <v>1</v>
      </c>
      <c r="G8529" t="str">
        <f t="shared" si="546"/>
        <v>958-47: Freight Management Services</v>
      </c>
    </row>
    <row r="8530" spans="1:7" x14ac:dyDescent="0.25">
      <c r="A8530" s="1" t="str">
        <f t="shared" si="544"/>
        <v>958</v>
      </c>
      <c r="B8530" s="1" t="str">
        <f>TEXT(50,"00")</f>
        <v>50</v>
      </c>
      <c r="C8530" s="1" t="str">
        <f t="shared" si="545"/>
        <v>958-50</v>
      </c>
      <c r="D8530" t="s">
        <v>8498</v>
      </c>
      <c r="E8530" t="b">
        <f>IF(COUNTIF(D8530,"*"&amp;'Keyword Search'!$C$5&amp;"*"),TRUE,FALSE)</f>
        <v>1</v>
      </c>
      <c r="G8530" t="str">
        <f t="shared" si="546"/>
        <v>958-50: *Fuel Management Services</v>
      </c>
    </row>
    <row r="8531" spans="1:7" x14ac:dyDescent="0.25">
      <c r="A8531" s="1" t="str">
        <f t="shared" si="544"/>
        <v>958</v>
      </c>
      <c r="B8531" s="1" t="str">
        <f>TEXT(56,"00")</f>
        <v>56</v>
      </c>
      <c r="C8531" s="1" t="str">
        <f t="shared" si="545"/>
        <v>958-56</v>
      </c>
      <c r="D8531" t="s">
        <v>8499</v>
      </c>
      <c r="E8531" t="b">
        <f>IF(COUNTIF(D8531,"*"&amp;'Keyword Search'!$C$5&amp;"*"),TRUE,FALSE)</f>
        <v>1</v>
      </c>
      <c r="G8531" t="str">
        <f t="shared" si="546"/>
        <v>958-56: Health Care Management Services, Including Managed Care Services</v>
      </c>
    </row>
    <row r="8532" spans="1:7" x14ac:dyDescent="0.25">
      <c r="A8532" s="1" t="str">
        <f t="shared" si="544"/>
        <v>958</v>
      </c>
      <c r="B8532" s="1" t="str">
        <f>TEXT(57,"00")</f>
        <v>57</v>
      </c>
      <c r="C8532" s="1" t="str">
        <f t="shared" si="545"/>
        <v>958-57</v>
      </c>
      <c r="D8532" t="s">
        <v>8500</v>
      </c>
      <c r="E8532" t="b">
        <f>IF(COUNTIF(D8532,"*"&amp;'Keyword Search'!$C$5&amp;"*"),TRUE,FALSE)</f>
        <v>1</v>
      </c>
      <c r="G8532" t="str">
        <f t="shared" si="546"/>
        <v>958-57: Housekeeping Management Services</v>
      </c>
    </row>
    <row r="8533" spans="1:7" x14ac:dyDescent="0.25">
      <c r="A8533" s="1" t="str">
        <f t="shared" si="544"/>
        <v>958</v>
      </c>
      <c r="B8533" s="1" t="str">
        <f>TEXT(58,"00")</f>
        <v>58</v>
      </c>
      <c r="C8533" s="1" t="str">
        <f t="shared" si="545"/>
        <v>958-58</v>
      </c>
      <c r="D8533" t="s">
        <v>8501</v>
      </c>
      <c r="E8533" t="b">
        <f>IF(COUNTIF(D8533,"*"&amp;'Keyword Search'!$C$5&amp;"*"),TRUE,FALSE)</f>
        <v>1</v>
      </c>
      <c r="G8533" t="str">
        <f t="shared" si="546"/>
        <v>958-58: Hospital Management Services</v>
      </c>
    </row>
    <row r="8534" spans="1:7" x14ac:dyDescent="0.25">
      <c r="A8534" s="1" t="str">
        <f t="shared" si="544"/>
        <v>958</v>
      </c>
      <c r="B8534" s="1" t="str">
        <f>TEXT(59,"00")</f>
        <v>59</v>
      </c>
      <c r="C8534" s="1" t="str">
        <f t="shared" si="545"/>
        <v>958-59</v>
      </c>
      <c r="D8534" t="s">
        <v>8502</v>
      </c>
      <c r="E8534" t="b">
        <f>IF(COUNTIF(D8534,"*"&amp;'Keyword Search'!$C$5&amp;"*"),TRUE,FALSE)</f>
        <v>1</v>
      </c>
      <c r="G8534" t="str">
        <f t="shared" si="546"/>
        <v>958-59: Industrial Management Services</v>
      </c>
    </row>
    <row r="8535" spans="1:7" x14ac:dyDescent="0.25">
      <c r="A8535" s="1" t="str">
        <f t="shared" si="544"/>
        <v>958</v>
      </c>
      <c r="B8535" s="1" t="str">
        <f>TEXT(60,"00")</f>
        <v>60</v>
      </c>
      <c r="C8535" s="1" t="str">
        <f t="shared" si="545"/>
        <v>958-60</v>
      </c>
      <c r="D8535" t="s">
        <v>8503</v>
      </c>
      <c r="E8535" t="b">
        <f>IF(COUNTIF(D8535,"*"&amp;'Keyword Search'!$C$5&amp;"*"),TRUE,FALSE)</f>
        <v>1</v>
      </c>
      <c r="G8535" t="str">
        <f t="shared" si="546"/>
        <v>958-60: Incentive Management Program Services, Safety, etc.</v>
      </c>
    </row>
    <row r="8536" spans="1:7" x14ac:dyDescent="0.25">
      <c r="A8536" s="1" t="str">
        <f t="shared" si="544"/>
        <v>958</v>
      </c>
      <c r="B8536" s="1" t="str">
        <f>TEXT(61,"00")</f>
        <v>61</v>
      </c>
      <c r="C8536" s="1" t="str">
        <f t="shared" si="545"/>
        <v>958-61</v>
      </c>
      <c r="D8536" t="s">
        <v>8504</v>
      </c>
      <c r="E8536" t="b">
        <f>IF(COUNTIF(D8536,"*"&amp;'Keyword Search'!$C$5&amp;"*"),TRUE,FALSE)</f>
        <v>1</v>
      </c>
      <c r="G8536" t="str">
        <f t="shared" si="546"/>
        <v>958-61: Insurance and Risk Management Services</v>
      </c>
    </row>
    <row r="8537" spans="1:7" x14ac:dyDescent="0.25">
      <c r="A8537" s="1" t="str">
        <f t="shared" si="544"/>
        <v>958</v>
      </c>
      <c r="B8537" s="1" t="str">
        <f>TEXT(62,"00")</f>
        <v>62</v>
      </c>
      <c r="C8537" s="1" t="str">
        <f t="shared" si="545"/>
        <v>958-62</v>
      </c>
      <c r="D8537" t="s">
        <v>8505</v>
      </c>
      <c r="E8537" t="b">
        <f>IF(COUNTIF(D8537,"*"&amp;'Keyword Search'!$C$5&amp;"*"),TRUE,FALSE)</f>
        <v>1</v>
      </c>
      <c r="G8537" t="str">
        <f t="shared" si="546"/>
        <v>958-62: Irrigation System Management Services</v>
      </c>
    </row>
    <row r="8538" spans="1:7" x14ac:dyDescent="0.25">
      <c r="A8538" s="1" t="str">
        <f t="shared" si="544"/>
        <v>958</v>
      </c>
      <c r="B8538" s="1" t="str">
        <f>TEXT(63,"00")</f>
        <v>63</v>
      </c>
      <c r="C8538" s="1" t="str">
        <f t="shared" si="545"/>
        <v>958-63</v>
      </c>
      <c r="D8538" t="s">
        <v>8506</v>
      </c>
      <c r="E8538" t="b">
        <f>IF(COUNTIF(D8538,"*"&amp;'Keyword Search'!$C$5&amp;"*"),TRUE,FALSE)</f>
        <v>1</v>
      </c>
      <c r="G8538" t="str">
        <f t="shared" si="546"/>
        <v>958-63: Janitorial Management Services</v>
      </c>
    </row>
    <row r="8539" spans="1:7" x14ac:dyDescent="0.25">
      <c r="A8539" s="1" t="str">
        <f t="shared" si="544"/>
        <v>958</v>
      </c>
      <c r="B8539" s="1" t="str">
        <f>TEXT(64,"00")</f>
        <v>64</v>
      </c>
      <c r="C8539" s="1" t="str">
        <f t="shared" si="545"/>
        <v>958-64</v>
      </c>
      <c r="D8539" t="s">
        <v>8507</v>
      </c>
      <c r="E8539" t="b">
        <f>IF(COUNTIF(D8539,"*"&amp;'Keyword Search'!$C$5&amp;"*"),TRUE,FALSE)</f>
        <v>1</v>
      </c>
      <c r="G8539" t="str">
        <f t="shared" si="546"/>
        <v>958-64: Laundry Management Services</v>
      </c>
    </row>
    <row r="8540" spans="1:7" x14ac:dyDescent="0.25">
      <c r="A8540" s="1" t="str">
        <f t="shared" si="544"/>
        <v>958</v>
      </c>
      <c r="B8540" s="1" t="str">
        <f>TEXT(65,"00")</f>
        <v>65</v>
      </c>
      <c r="C8540" s="1" t="str">
        <f t="shared" si="545"/>
        <v>958-65</v>
      </c>
      <c r="D8540" t="s">
        <v>8508</v>
      </c>
      <c r="E8540" t="b">
        <f>IF(COUNTIF(D8540,"*"&amp;'Keyword Search'!$C$5&amp;"*"),TRUE,FALSE)</f>
        <v>1</v>
      </c>
      <c r="G8540" t="str">
        <f t="shared" si="546"/>
        <v>958-65: Livestock Management and Industry Services</v>
      </c>
    </row>
    <row r="8541" spans="1:7" x14ac:dyDescent="0.25">
      <c r="A8541" s="1" t="str">
        <f t="shared" si="544"/>
        <v>958</v>
      </c>
      <c r="B8541" s="1" t="str">
        <f>TEXT(66,"00")</f>
        <v>66</v>
      </c>
      <c r="C8541" s="1" t="str">
        <f t="shared" si="545"/>
        <v>958-66</v>
      </c>
      <c r="D8541" t="s">
        <v>8509</v>
      </c>
      <c r="E8541" t="b">
        <f>IF(COUNTIF(D8541,"*"&amp;'Keyword Search'!$C$5&amp;"*"),TRUE,FALSE)</f>
        <v>1</v>
      </c>
      <c r="G8541" t="str">
        <f t="shared" si="546"/>
        <v>958-66: Lottery Management Services</v>
      </c>
    </row>
    <row r="8542" spans="1:7" x14ac:dyDescent="0.25">
      <c r="A8542" s="1" t="str">
        <f t="shared" si="544"/>
        <v>958</v>
      </c>
      <c r="B8542" s="1" t="str">
        <f>TEXT(67,"00")</f>
        <v>67</v>
      </c>
      <c r="C8542" s="1" t="str">
        <f t="shared" si="545"/>
        <v>958-67</v>
      </c>
      <c r="D8542" t="s">
        <v>8510</v>
      </c>
      <c r="E8542" t="b">
        <f>IF(COUNTIF(D8542,"*"&amp;'Keyword Search'!$C$5&amp;"*"),TRUE,FALSE)</f>
        <v>1</v>
      </c>
      <c r="G8542" t="str">
        <f t="shared" si="546"/>
        <v>958-67: Mental Health Management Services, Including Operations, Facilities Maintenance, Nursing, Food Service, etc. 24/7</v>
      </c>
    </row>
    <row r="8543" spans="1:7" x14ac:dyDescent="0.25">
      <c r="A8543" s="1" t="str">
        <f t="shared" si="544"/>
        <v>958</v>
      </c>
      <c r="B8543" s="1" t="str">
        <f>TEXT(68,"00")</f>
        <v>68</v>
      </c>
      <c r="C8543" s="1" t="str">
        <f t="shared" si="545"/>
        <v>958-68</v>
      </c>
      <c r="D8543" t="s">
        <v>8511</v>
      </c>
      <c r="E8543" t="b">
        <f>IF(COUNTIF(D8543,"*"&amp;'Keyword Search'!$C$5&amp;"*"),TRUE,FALSE)</f>
        <v>1</v>
      </c>
      <c r="G8543" t="str">
        <f t="shared" si="546"/>
        <v>958-68: *Support Services, Management</v>
      </c>
    </row>
    <row r="8544" spans="1:7" x14ac:dyDescent="0.25">
      <c r="A8544" s="1" t="str">
        <f t="shared" si="544"/>
        <v>958</v>
      </c>
      <c r="B8544" s="1" t="str">
        <f>TEXT(69,"00")</f>
        <v>69</v>
      </c>
      <c r="C8544" s="1" t="str">
        <f t="shared" si="545"/>
        <v>958-69</v>
      </c>
      <c r="D8544" t="s">
        <v>8512</v>
      </c>
      <c r="E8544" t="b">
        <f>IF(COUNTIF(D8544,"*"&amp;'Keyword Search'!$C$5&amp;"*"),TRUE,FALSE)</f>
        <v>1</v>
      </c>
      <c r="G8544" t="str">
        <f t="shared" si="546"/>
        <v>958-69: Lakes, Rivers, and Other Waterways Management</v>
      </c>
    </row>
    <row r="8545" spans="1:7" x14ac:dyDescent="0.25">
      <c r="A8545" s="1" t="str">
        <f t="shared" si="544"/>
        <v>958</v>
      </c>
      <c r="B8545" s="1" t="str">
        <f>TEXT(70,"00")</f>
        <v>70</v>
      </c>
      <c r="C8545" s="1" t="str">
        <f t="shared" si="545"/>
        <v>958-70</v>
      </c>
      <c r="D8545" t="s">
        <v>8513</v>
      </c>
      <c r="E8545" t="b">
        <f>IF(COUNTIF(D8545,"*"&amp;'Keyword Search'!$C$5&amp;"*"),TRUE,FALSE)</f>
        <v>1</v>
      </c>
      <c r="G8545" t="str">
        <f t="shared" si="546"/>
        <v>958-70: *Outsourcing Services for Management, Operation, Purchasing, etc.</v>
      </c>
    </row>
    <row r="8546" spans="1:7" x14ac:dyDescent="0.25">
      <c r="A8546" s="1" t="str">
        <f t="shared" si="544"/>
        <v>958</v>
      </c>
      <c r="B8546" s="1" t="str">
        <f>TEXT(71,"00")</f>
        <v>71</v>
      </c>
      <c r="C8546" s="1" t="str">
        <f t="shared" si="545"/>
        <v>958-71</v>
      </c>
      <c r="D8546" t="s">
        <v>8514</v>
      </c>
      <c r="E8546" t="b">
        <f>IF(COUNTIF(D8546,"*"&amp;'Keyword Search'!$C$5&amp;"*"),TRUE,FALSE)</f>
        <v>1</v>
      </c>
      <c r="G8546" t="str">
        <f t="shared" si="546"/>
        <v>958-71: Orchard and Vineyard Management Services</v>
      </c>
    </row>
    <row r="8547" spans="1:7" x14ac:dyDescent="0.25">
      <c r="A8547" s="1" t="str">
        <f t="shared" si="544"/>
        <v>958</v>
      </c>
      <c r="B8547" s="1" t="str">
        <f>TEXT(72,"00")</f>
        <v>72</v>
      </c>
      <c r="C8547" s="1" t="str">
        <f t="shared" si="545"/>
        <v>958-72</v>
      </c>
      <c r="D8547" t="s">
        <v>8515</v>
      </c>
      <c r="E8547" t="b">
        <f>IF(COUNTIF(D8547,"*"&amp;'Keyword Search'!$C$5&amp;"*"),TRUE,FALSE)</f>
        <v>1</v>
      </c>
      <c r="G8547" t="str">
        <f t="shared" si="546"/>
        <v>958-72: Parking Management Services, Including Operations, Admissions, and Supervision</v>
      </c>
    </row>
    <row r="8548" spans="1:7" x14ac:dyDescent="0.25">
      <c r="A8548" s="1" t="str">
        <f t="shared" si="544"/>
        <v>958</v>
      </c>
      <c r="B8548" s="1" t="str">
        <f>TEXT(74,"00")</f>
        <v>74</v>
      </c>
      <c r="C8548" s="1" t="str">
        <f t="shared" si="545"/>
        <v>958-74</v>
      </c>
      <c r="D8548" t="s">
        <v>8516</v>
      </c>
      <c r="E8548" t="b">
        <f>IF(COUNTIF(D8548,"*"&amp;'Keyword Search'!$C$5&amp;"*"),TRUE,FALSE)</f>
        <v>1</v>
      </c>
      <c r="G8548" t="str">
        <f t="shared" si="546"/>
        <v>958-74: *Human Resources Management Services</v>
      </c>
    </row>
    <row r="8549" spans="1:7" x14ac:dyDescent="0.25">
      <c r="A8549" s="1" t="str">
        <f t="shared" si="544"/>
        <v>958</v>
      </c>
      <c r="B8549" s="1" t="str">
        <f>TEXT(76,"00")</f>
        <v>76</v>
      </c>
      <c r="C8549" s="1" t="str">
        <f t="shared" si="545"/>
        <v>958-76</v>
      </c>
      <c r="D8549" t="s">
        <v>8517</v>
      </c>
      <c r="E8549" t="b">
        <f>IF(COUNTIF(D8549,"*"&amp;'Keyword Search'!$C$5&amp;"*"),TRUE,FALSE)</f>
        <v>1</v>
      </c>
      <c r="G8549" t="str">
        <f t="shared" si="546"/>
        <v>958-76: Pipeline Management Services</v>
      </c>
    </row>
    <row r="8550" spans="1:7" x14ac:dyDescent="0.25">
      <c r="A8550" s="1" t="str">
        <f t="shared" si="544"/>
        <v>958</v>
      </c>
      <c r="B8550" s="1" t="str">
        <f>TEXT(77,"00")</f>
        <v>77</v>
      </c>
      <c r="C8550" s="1" t="str">
        <f t="shared" si="545"/>
        <v>958-77</v>
      </c>
      <c r="D8550" t="s">
        <v>8518</v>
      </c>
      <c r="E8550" t="b">
        <f>IF(COUNTIF(D8550,"*"&amp;'Keyword Search'!$C$5&amp;"*"),TRUE,FALSE)</f>
        <v>1</v>
      </c>
      <c r="G8550" t="str">
        <f t="shared" si="546"/>
        <v>958-77: *Project Management Services</v>
      </c>
    </row>
    <row r="8551" spans="1:7" x14ac:dyDescent="0.25">
      <c r="A8551" s="1" t="str">
        <f t="shared" si="544"/>
        <v>958</v>
      </c>
      <c r="B8551" s="1" t="str">
        <f>TEXT(78,"00")</f>
        <v>78</v>
      </c>
      <c r="C8551" s="1" t="str">
        <f t="shared" si="545"/>
        <v>958-78</v>
      </c>
      <c r="D8551" t="s">
        <v>8519</v>
      </c>
      <c r="E8551" t="b">
        <f>IF(COUNTIF(D8551,"*"&amp;'Keyword Search'!$C$5&amp;"*"),TRUE,FALSE)</f>
        <v>1</v>
      </c>
      <c r="G8551" t="str">
        <f t="shared" si="546"/>
        <v>958-78: Property Management Services</v>
      </c>
    </row>
    <row r="8552" spans="1:7" x14ac:dyDescent="0.25">
      <c r="A8552" s="1" t="str">
        <f t="shared" si="544"/>
        <v>958</v>
      </c>
      <c r="B8552" s="1" t="str">
        <f>TEXT(81,"00")</f>
        <v>81</v>
      </c>
      <c r="C8552" s="1" t="str">
        <f t="shared" si="545"/>
        <v>958-81</v>
      </c>
      <c r="D8552" t="s">
        <v>8520</v>
      </c>
      <c r="E8552" t="b">
        <f>IF(COUNTIF(D8552,"*"&amp;'Keyword Search'!$C$5&amp;"*"),TRUE,FALSE)</f>
        <v>1</v>
      </c>
      <c r="G8552" t="str">
        <f t="shared" si="546"/>
        <v>958-81: Racing Management Services</v>
      </c>
    </row>
    <row r="8553" spans="1:7" x14ac:dyDescent="0.25">
      <c r="A8553" s="1" t="str">
        <f t="shared" si="544"/>
        <v>958</v>
      </c>
      <c r="B8553" s="1" t="str">
        <f>TEXT(82,"00")</f>
        <v>82</v>
      </c>
      <c r="C8553" s="1" t="str">
        <f t="shared" si="545"/>
        <v>958-82</v>
      </c>
      <c r="D8553" t="s">
        <v>8521</v>
      </c>
      <c r="E8553" t="b">
        <f>IF(COUNTIF(D8553,"*"&amp;'Keyword Search'!$C$5&amp;"*"),TRUE,FALSE)</f>
        <v>1</v>
      </c>
      <c r="G8553" t="str">
        <f t="shared" si="546"/>
        <v>958-82: *Records Management Services, Including Document Management Services and Technology Integration</v>
      </c>
    </row>
    <row r="8554" spans="1:7" x14ac:dyDescent="0.25">
      <c r="A8554" s="1" t="str">
        <f t="shared" si="544"/>
        <v>958</v>
      </c>
      <c r="B8554" s="1" t="str">
        <f>TEXT(83,"00")</f>
        <v>83</v>
      </c>
      <c r="C8554" s="1" t="str">
        <f t="shared" si="545"/>
        <v>958-83</v>
      </c>
      <c r="D8554" t="s">
        <v>8522</v>
      </c>
      <c r="E8554" t="b">
        <f>IF(COUNTIF(D8554,"*"&amp;'Keyword Search'!$C$5&amp;"*"),TRUE,FALSE)</f>
        <v>1</v>
      </c>
      <c r="G8554" t="str">
        <f t="shared" si="546"/>
        <v>958-83: Real Estate Management Services, Including Listing, Sales And Broker Services</v>
      </c>
    </row>
    <row r="8555" spans="1:7" x14ac:dyDescent="0.25">
      <c r="A8555" s="1" t="str">
        <f t="shared" si="544"/>
        <v>958</v>
      </c>
      <c r="B8555" s="1" t="str">
        <f>TEXT(84,"00")</f>
        <v>84</v>
      </c>
      <c r="C8555" s="1" t="str">
        <f t="shared" si="545"/>
        <v>958-84</v>
      </c>
      <c r="D8555" t="s">
        <v>8523</v>
      </c>
      <c r="E8555" t="b">
        <f>IF(COUNTIF(D8555,"*"&amp;'Keyword Search'!$C$5&amp;"*"),TRUE,FALSE)</f>
        <v>1</v>
      </c>
      <c r="G8555" t="str">
        <f t="shared" si="546"/>
        <v>958-84: *Social Media Management Services</v>
      </c>
    </row>
    <row r="8556" spans="1:7" x14ac:dyDescent="0.25">
      <c r="A8556" s="1" t="str">
        <f t="shared" si="544"/>
        <v>958</v>
      </c>
      <c r="B8556" s="1" t="str">
        <f>TEXT(85,"00")</f>
        <v>85</v>
      </c>
      <c r="C8556" s="1" t="str">
        <f t="shared" si="545"/>
        <v>958-85</v>
      </c>
      <c r="D8556" t="s">
        <v>8524</v>
      </c>
      <c r="E8556" t="b">
        <f>IF(COUNTIF(D8556,"*"&amp;'Keyword Search'!$C$5&amp;"*"),TRUE,FALSE)</f>
        <v>1</v>
      </c>
      <c r="G8556" t="str">
        <f t="shared" si="546"/>
        <v>958-85: Soil and Land Management Services, Including Testing, Protection, Preparation, Planning, etc.</v>
      </c>
    </row>
    <row r="8557" spans="1:7" x14ac:dyDescent="0.25">
      <c r="A8557" s="1" t="str">
        <f t="shared" si="544"/>
        <v>958</v>
      </c>
      <c r="B8557" s="1" t="str">
        <f>TEXT(86,"00")</f>
        <v>86</v>
      </c>
      <c r="C8557" s="1" t="str">
        <f t="shared" si="545"/>
        <v>958-86</v>
      </c>
      <c r="D8557" t="s">
        <v>8525</v>
      </c>
      <c r="E8557" t="b">
        <f>IF(COUNTIF(D8557,"*"&amp;'Keyword Search'!$C$5&amp;"*"),TRUE,FALSE)</f>
        <v>1</v>
      </c>
      <c r="G8557" t="str">
        <f t="shared" si="546"/>
        <v>958-86: Storage/Impound Lot Management Services</v>
      </c>
    </row>
    <row r="8558" spans="1:7" x14ac:dyDescent="0.25">
      <c r="A8558" s="1" t="str">
        <f t="shared" si="544"/>
        <v>958</v>
      </c>
      <c r="B8558" s="1" t="str">
        <f>TEXT(87,"00")</f>
        <v>87</v>
      </c>
      <c r="C8558" s="1" t="str">
        <f t="shared" si="545"/>
        <v>958-87</v>
      </c>
      <c r="D8558" t="s">
        <v>8526</v>
      </c>
      <c r="E8558" t="b">
        <f>IF(COUNTIF(D8558,"*"&amp;'Keyword Search'!$C$5&amp;"*"),TRUE,FALSE)</f>
        <v>1</v>
      </c>
      <c r="G8558" t="str">
        <f t="shared" si="546"/>
        <v>958-87: Storage Tank Management Services</v>
      </c>
    </row>
    <row r="8559" spans="1:7" x14ac:dyDescent="0.25">
      <c r="A8559" s="1" t="str">
        <f t="shared" si="544"/>
        <v>958</v>
      </c>
      <c r="B8559" s="1" t="str">
        <f>TEXT(88,"00")</f>
        <v>88</v>
      </c>
      <c r="C8559" s="1" t="str">
        <f t="shared" si="545"/>
        <v>958-88</v>
      </c>
      <c r="D8559" t="s">
        <v>8527</v>
      </c>
      <c r="E8559" t="b">
        <f>IF(COUNTIF(D8559,"*"&amp;'Keyword Search'!$C$5&amp;"*"),TRUE,FALSE)</f>
        <v>1</v>
      </c>
      <c r="G8559" t="str">
        <f t="shared" si="546"/>
        <v>958-88: Supply Chain Management Services</v>
      </c>
    </row>
    <row r="8560" spans="1:7" x14ac:dyDescent="0.25">
      <c r="A8560" s="1" t="str">
        <f t="shared" si="544"/>
        <v>958</v>
      </c>
      <c r="B8560" s="1" t="str">
        <f>TEXT(89,"00")</f>
        <v>89</v>
      </c>
      <c r="C8560" s="1" t="str">
        <f t="shared" si="545"/>
        <v>958-89</v>
      </c>
      <c r="D8560" t="s">
        <v>8528</v>
      </c>
      <c r="E8560" t="b">
        <f>IF(COUNTIF(D8560,"*"&amp;'Keyword Search'!$C$5&amp;"*"),TRUE,FALSE)</f>
        <v>1</v>
      </c>
      <c r="G8560" t="str">
        <f t="shared" si="546"/>
        <v>958-89: *Telecommunications Management Services</v>
      </c>
    </row>
    <row r="8561" spans="1:7" x14ac:dyDescent="0.25">
      <c r="A8561" s="1" t="str">
        <f t="shared" si="544"/>
        <v>958</v>
      </c>
      <c r="B8561" s="1" t="str">
        <f>TEXT(90,"00")</f>
        <v>90</v>
      </c>
      <c r="C8561" s="1" t="str">
        <f t="shared" si="545"/>
        <v>958-90</v>
      </c>
      <c r="D8561" t="s">
        <v>8529</v>
      </c>
      <c r="E8561" t="b">
        <f>IF(COUNTIF(D8561,"*"&amp;'Keyword Search'!$C$5&amp;"*"),TRUE,FALSE)</f>
        <v>1</v>
      </c>
      <c r="G8561" t="str">
        <f t="shared" si="546"/>
        <v>958-90: Traffic Safety Program Management Services</v>
      </c>
    </row>
    <row r="8562" spans="1:7" x14ac:dyDescent="0.25">
      <c r="A8562" s="1" t="str">
        <f t="shared" si="544"/>
        <v>958</v>
      </c>
      <c r="B8562" s="1" t="str">
        <f>TEXT(91,"00")</f>
        <v>91</v>
      </c>
      <c r="C8562" s="1" t="str">
        <f t="shared" si="545"/>
        <v>958-91</v>
      </c>
      <c r="D8562" t="s">
        <v>8530</v>
      </c>
      <c r="E8562" t="b">
        <f>IF(COUNTIF(D8562,"*"&amp;'Keyword Search'!$C$5&amp;"*"),TRUE,FALSE)</f>
        <v>1</v>
      </c>
      <c r="G8562" t="str">
        <f t="shared" si="546"/>
        <v>958-91: Transit Management Services</v>
      </c>
    </row>
    <row r="8563" spans="1:7" x14ac:dyDescent="0.25">
      <c r="A8563" s="1" t="str">
        <f t="shared" si="544"/>
        <v>958</v>
      </c>
      <c r="B8563" s="1" t="str">
        <f>TEXT(92,"00")</f>
        <v>92</v>
      </c>
      <c r="C8563" s="1" t="str">
        <f t="shared" si="545"/>
        <v>958-92</v>
      </c>
      <c r="D8563" t="s">
        <v>8531</v>
      </c>
      <c r="E8563" t="b">
        <f>IF(COUNTIF(D8563,"*"&amp;'Keyword Search'!$C$5&amp;"*"),TRUE,FALSE)</f>
        <v>1</v>
      </c>
      <c r="G8563" t="str">
        <f t="shared" si="546"/>
        <v>958-92: Travel Management Services</v>
      </c>
    </row>
    <row r="8564" spans="1:7" x14ac:dyDescent="0.25">
      <c r="A8564" s="1" t="str">
        <f t="shared" si="544"/>
        <v>958</v>
      </c>
      <c r="B8564" s="1" t="str">
        <f>TEXT(93,"00")</f>
        <v>93</v>
      </c>
      <c r="C8564" s="1" t="str">
        <f t="shared" si="545"/>
        <v>958-93</v>
      </c>
      <c r="D8564" t="s">
        <v>8532</v>
      </c>
      <c r="E8564" t="b">
        <f>IF(COUNTIF(D8564,"*"&amp;'Keyword Search'!$C$5&amp;"*"),TRUE,FALSE)</f>
        <v>1</v>
      </c>
      <c r="G8564" t="str">
        <f t="shared" si="546"/>
        <v>958-93: Toll Management and Operations Services</v>
      </c>
    </row>
    <row r="8565" spans="1:7" x14ac:dyDescent="0.25">
      <c r="A8565" s="1" t="str">
        <f t="shared" si="544"/>
        <v>958</v>
      </c>
      <c r="B8565" s="1" t="str">
        <f>TEXT(94,"00")</f>
        <v>94</v>
      </c>
      <c r="C8565" s="1" t="str">
        <f t="shared" si="545"/>
        <v>958-94</v>
      </c>
      <c r="D8565" t="s">
        <v>8533</v>
      </c>
      <c r="E8565" t="b">
        <f>IF(COUNTIF(D8565,"*"&amp;'Keyword Search'!$C$5&amp;"*"),TRUE,FALSE)</f>
        <v>1</v>
      </c>
      <c r="G8565" t="str">
        <f t="shared" si="546"/>
        <v>958-94: Warehouse Management Services</v>
      </c>
    </row>
    <row r="8566" spans="1:7" x14ac:dyDescent="0.25">
      <c r="A8566" s="1" t="str">
        <f t="shared" si="544"/>
        <v>958</v>
      </c>
      <c r="B8566" s="1" t="str">
        <f>TEXT(95,"00")</f>
        <v>95</v>
      </c>
      <c r="C8566" s="1" t="str">
        <f t="shared" si="545"/>
        <v>958-95</v>
      </c>
      <c r="D8566" t="s">
        <v>8534</v>
      </c>
      <c r="E8566" t="b">
        <f>IF(COUNTIF(D8566,"*"&amp;'Keyword Search'!$C$5&amp;"*"),TRUE,FALSE)</f>
        <v>1</v>
      </c>
      <c r="G8566" t="str">
        <f t="shared" si="546"/>
        <v>958-95: Utility Management Services</v>
      </c>
    </row>
    <row r="8567" spans="1:7" x14ac:dyDescent="0.25">
      <c r="A8567" s="1" t="str">
        <f t="shared" si="544"/>
        <v>958</v>
      </c>
      <c r="B8567" s="1" t="str">
        <f>TEXT(96,"00")</f>
        <v>96</v>
      </c>
      <c r="C8567" s="1" t="str">
        <f t="shared" si="545"/>
        <v>958-96</v>
      </c>
      <c r="D8567" t="s">
        <v>8535</v>
      </c>
      <c r="E8567" t="b">
        <f>IF(COUNTIF(D8567,"*"&amp;'Keyword Search'!$C$5&amp;"*"),TRUE,FALSE)</f>
        <v>1</v>
      </c>
      <c r="G8567" t="str">
        <f t="shared" si="546"/>
        <v>958-96: Waste Management Services</v>
      </c>
    </row>
    <row r="8568" spans="1:7" x14ac:dyDescent="0.25">
      <c r="A8568" s="1" t="str">
        <f t="shared" si="544"/>
        <v>958</v>
      </c>
      <c r="B8568" s="1" t="str">
        <f>TEXT(97,"00")</f>
        <v>97</v>
      </c>
      <c r="C8568" s="1" t="str">
        <f t="shared" si="545"/>
        <v>958-97</v>
      </c>
      <c r="D8568" t="s">
        <v>8536</v>
      </c>
      <c r="E8568" t="b">
        <f>IF(COUNTIF(D8568,"*"&amp;'Keyword Search'!$C$5&amp;"*"),TRUE,FALSE)</f>
        <v>1</v>
      </c>
      <c r="G8568" t="str">
        <f t="shared" si="546"/>
        <v>958-97: Wildlife and Fish Management Services, Including Endangered Species and Wildlife Census</v>
      </c>
    </row>
    <row r="8569" spans="1:7" x14ac:dyDescent="0.25">
      <c r="A8569" s="5" t="str">
        <f t="shared" ref="A8569:A8600" si="547">TEXT(959,"000")</f>
        <v>959</v>
      </c>
      <c r="B8569" s="5" t="str">
        <f>TEXT(0,"00")</f>
        <v>00</v>
      </c>
      <c r="C8569" s="1"/>
      <c r="D8569" s="2" t="s">
        <v>8537</v>
      </c>
    </row>
    <row r="8570" spans="1:7" x14ac:dyDescent="0.25">
      <c r="A8570" s="1" t="str">
        <f t="shared" si="547"/>
        <v>959</v>
      </c>
      <c r="B8570" s="1" t="str">
        <f>TEXT(17,"00")</f>
        <v>17</v>
      </c>
      <c r="C8570" s="1" t="str">
        <f t="shared" si="545"/>
        <v>959-17</v>
      </c>
      <c r="D8570" t="s">
        <v>8538</v>
      </c>
      <c r="E8570" t="b">
        <f>IF(COUNTIF(D8570,"*"&amp;'Keyword Search'!$C$5&amp;"*"),TRUE,FALSE)</f>
        <v>1</v>
      </c>
      <c r="G8570" t="str">
        <f t="shared" si="546"/>
        <v>959-17: Aquatic Planting and Harvesting Services</v>
      </c>
    </row>
    <row r="8571" spans="1:7" x14ac:dyDescent="0.25">
      <c r="A8571" s="1" t="str">
        <f t="shared" si="547"/>
        <v>959</v>
      </c>
      <c r="B8571" s="1" t="str">
        <f>TEXT(22,"00")</f>
        <v>22</v>
      </c>
      <c r="C8571" s="1" t="str">
        <f t="shared" si="545"/>
        <v>959-22</v>
      </c>
      <c r="D8571" t="s">
        <v>8539</v>
      </c>
      <c r="E8571" t="b">
        <f>IF(COUNTIF(D8571,"*"&amp;'Keyword Search'!$C$5&amp;"*"),TRUE,FALSE)</f>
        <v>1</v>
      </c>
      <c r="G8571" t="str">
        <f t="shared" si="546"/>
        <v>959-22: Barge Maintenance and Repair</v>
      </c>
    </row>
    <row r="8572" spans="1:7" x14ac:dyDescent="0.25">
      <c r="A8572" s="1" t="str">
        <f t="shared" si="547"/>
        <v>959</v>
      </c>
      <c r="B8572" s="1" t="str">
        <f>TEXT(24,"00")</f>
        <v>24</v>
      </c>
      <c r="C8572" s="1" t="str">
        <f t="shared" si="545"/>
        <v>959-24</v>
      </c>
      <c r="D8572" t="s">
        <v>8540</v>
      </c>
      <c r="E8572" t="b">
        <f>IF(COUNTIF(D8572,"*"&amp;'Keyword Search'!$C$5&amp;"*"),TRUE,FALSE)</f>
        <v>1</v>
      </c>
      <c r="G8572" t="str">
        <f t="shared" si="546"/>
        <v>959-24: Boats and Motors Maintenance and Repair</v>
      </c>
    </row>
    <row r="8573" spans="1:7" x14ac:dyDescent="0.25">
      <c r="A8573" s="1" t="str">
        <f t="shared" si="547"/>
        <v>959</v>
      </c>
      <c r="B8573" s="1" t="str">
        <f>TEXT(26,"00")</f>
        <v>26</v>
      </c>
      <c r="C8573" s="1" t="str">
        <f t="shared" si="545"/>
        <v>959-26</v>
      </c>
      <c r="D8573" t="s">
        <v>8541</v>
      </c>
      <c r="E8573" t="b">
        <f>IF(COUNTIF(D8573,"*"&amp;'Keyword Search'!$C$5&amp;"*"),TRUE,FALSE)</f>
        <v>1</v>
      </c>
      <c r="G8573" t="str">
        <f t="shared" si="546"/>
        <v>959-26: Breakwater Construction, Maintenance, and Repair</v>
      </c>
    </row>
    <row r="8574" spans="1:7" x14ac:dyDescent="0.25">
      <c r="A8574" s="1" t="str">
        <f t="shared" si="547"/>
        <v>959</v>
      </c>
      <c r="B8574" s="1" t="str">
        <f>TEXT(29,"00")</f>
        <v>29</v>
      </c>
      <c r="C8574" s="1" t="str">
        <f t="shared" si="545"/>
        <v>959-29</v>
      </c>
      <c r="D8574" t="s">
        <v>8542</v>
      </c>
      <c r="E8574" t="b">
        <f>IF(COUNTIF(D8574,"*"&amp;'Keyword Search'!$C$5&amp;"*"),TRUE,FALSE)</f>
        <v>1</v>
      </c>
      <c r="G8574" t="str">
        <f t="shared" si="546"/>
        <v>959-29: Buoys and Light Services Including Lighthouses, etc., Maintenance and Repair</v>
      </c>
    </row>
    <row r="8575" spans="1:7" x14ac:dyDescent="0.25">
      <c r="A8575" s="1" t="str">
        <f t="shared" si="547"/>
        <v>959</v>
      </c>
      <c r="B8575" s="1" t="str">
        <f>TEXT(30,"00")</f>
        <v>30</v>
      </c>
      <c r="C8575" s="1" t="str">
        <f t="shared" si="545"/>
        <v>959-30</v>
      </c>
      <c r="D8575" t="s">
        <v>8543</v>
      </c>
      <c r="E8575" t="b">
        <f>IF(COUNTIF(D8575,"*"&amp;'Keyword Search'!$C$5&amp;"*"),TRUE,FALSE)</f>
        <v>1</v>
      </c>
      <c r="G8575" t="str">
        <f t="shared" si="546"/>
        <v>959-30: Cargo Handling Services, Marine</v>
      </c>
    </row>
    <row r="8576" spans="1:7" x14ac:dyDescent="0.25">
      <c r="A8576" s="1" t="str">
        <f t="shared" si="547"/>
        <v>959</v>
      </c>
      <c r="B8576" s="1" t="str">
        <f>TEXT(31,"00")</f>
        <v>31</v>
      </c>
      <c r="C8576" s="1" t="str">
        <f t="shared" si="545"/>
        <v>959-31</v>
      </c>
      <c r="D8576" t="s">
        <v>8544</v>
      </c>
      <c r="E8576" t="b">
        <f>IF(COUNTIF(D8576,"*"&amp;'Keyword Search'!$C$5&amp;"*"),TRUE,FALSE)</f>
        <v>1</v>
      </c>
      <c r="G8576" t="str">
        <f t="shared" si="546"/>
        <v>959-31: Cargo Transport Services, Marine:  Air-Ocean, Ocean-Rail, Ocean-Truck Intermodal Cargo Services</v>
      </c>
    </row>
    <row r="8577" spans="1:7" x14ac:dyDescent="0.25">
      <c r="A8577" s="1" t="str">
        <f t="shared" si="547"/>
        <v>959</v>
      </c>
      <c r="B8577" s="1" t="str">
        <f>TEXT(34,"00")</f>
        <v>34</v>
      </c>
      <c r="C8577" s="1" t="str">
        <f t="shared" si="545"/>
        <v>959-34</v>
      </c>
      <c r="D8577" t="s">
        <v>8545</v>
      </c>
      <c r="E8577" t="b">
        <f>IF(COUNTIF(D8577,"*"&amp;'Keyword Search'!$C$5&amp;"*"),TRUE,FALSE)</f>
        <v>1</v>
      </c>
      <c r="G8577" t="str">
        <f t="shared" si="546"/>
        <v>959-34: Construction Services: Boats, Barges, Ferries, Ships, etc.</v>
      </c>
    </row>
    <row r="8578" spans="1:7" x14ac:dyDescent="0.25">
      <c r="A8578" s="1" t="str">
        <f t="shared" si="547"/>
        <v>959</v>
      </c>
      <c r="B8578" s="1" t="str">
        <f>TEXT(35,"00")</f>
        <v>35</v>
      </c>
      <c r="C8578" s="1" t="str">
        <f t="shared" si="545"/>
        <v>959-35</v>
      </c>
      <c r="D8578" t="s">
        <v>8546</v>
      </c>
      <c r="E8578" t="b">
        <f>IF(COUNTIF(D8578,"*"&amp;'Keyword Search'!$C$5&amp;"*"),TRUE,FALSE)</f>
        <v>1</v>
      </c>
      <c r="G8578" t="str">
        <f t="shared" si="546"/>
        <v>959-35: Construction Services, General Marine</v>
      </c>
    </row>
    <row r="8579" spans="1:7" x14ac:dyDescent="0.25">
      <c r="A8579" s="1" t="str">
        <f t="shared" si="547"/>
        <v>959</v>
      </c>
      <c r="B8579" s="1" t="str">
        <f>TEXT(36,"00")</f>
        <v>36</v>
      </c>
      <c r="C8579" s="1" t="str">
        <f t="shared" ref="C8579:C8642" si="548">CONCATENATE(A8579,"-",B8579)</f>
        <v>959-36</v>
      </c>
      <c r="D8579" t="s">
        <v>8547</v>
      </c>
      <c r="E8579" t="b">
        <f>IF(COUNTIF(D8579,"*"&amp;'Keyword Search'!$C$5&amp;"*"),TRUE,FALSE)</f>
        <v>1</v>
      </c>
      <c r="G8579" t="str">
        <f t="shared" si="546"/>
        <v>959-36: Crane Maintenance and Repair, Marine</v>
      </c>
    </row>
    <row r="8580" spans="1:7" x14ac:dyDescent="0.25">
      <c r="A8580" s="1" t="str">
        <f t="shared" si="547"/>
        <v>959</v>
      </c>
      <c r="B8580" s="1" t="str">
        <f>TEXT(39,"00")</f>
        <v>39</v>
      </c>
      <c r="C8580" s="1" t="str">
        <f t="shared" si="548"/>
        <v>959-39</v>
      </c>
      <c r="D8580" t="s">
        <v>8548</v>
      </c>
      <c r="E8580" t="b">
        <f>IF(COUNTIF(D8580,"*"&amp;'Keyword Search'!$C$5&amp;"*"),TRUE,FALSE)</f>
        <v>1</v>
      </c>
      <c r="G8580" t="str">
        <f t="shared" ref="G8580:G8643" si="549">CONCATENATE(C8580,": ",D8580)</f>
        <v>959-39: Dam and Levee Construction, Maintenance, Management and Repair</v>
      </c>
    </row>
    <row r="8581" spans="1:7" x14ac:dyDescent="0.25">
      <c r="A8581" s="1" t="str">
        <f t="shared" si="547"/>
        <v>959</v>
      </c>
      <c r="B8581" s="1" t="str">
        <f>TEXT(42,"00")</f>
        <v>42</v>
      </c>
      <c r="C8581" s="1" t="str">
        <f t="shared" si="548"/>
        <v>959-42</v>
      </c>
      <c r="D8581" t="s">
        <v>8549</v>
      </c>
      <c r="E8581" t="b">
        <f>IF(COUNTIF(D8581,"*"&amp;'Keyword Search'!$C$5&amp;"*"),TRUE,FALSE)</f>
        <v>1</v>
      </c>
      <c r="G8581" t="str">
        <f t="shared" si="549"/>
        <v>959-42: Docking and Stevedoring Services</v>
      </c>
    </row>
    <row r="8582" spans="1:7" x14ac:dyDescent="0.25">
      <c r="A8582" s="1" t="str">
        <f t="shared" si="547"/>
        <v>959</v>
      </c>
      <c r="B8582" s="1" t="str">
        <f>TEXT(43,"00")</f>
        <v>43</v>
      </c>
      <c r="C8582" s="1" t="str">
        <f t="shared" si="548"/>
        <v>959-43</v>
      </c>
      <c r="D8582" t="s">
        <v>8550</v>
      </c>
      <c r="E8582" t="b">
        <f>IF(COUNTIF(D8582,"*"&amp;'Keyword Search'!$C$5&amp;"*"),TRUE,FALSE)</f>
        <v>1</v>
      </c>
      <c r="G8582" t="str">
        <f t="shared" si="549"/>
        <v>959-43: Drawbridge Operations Services</v>
      </c>
    </row>
    <row r="8583" spans="1:7" x14ac:dyDescent="0.25">
      <c r="A8583" s="1" t="str">
        <f t="shared" si="547"/>
        <v>959</v>
      </c>
      <c r="B8583" s="1" t="str">
        <f>TEXT(44,"00")</f>
        <v>44</v>
      </c>
      <c r="C8583" s="1" t="str">
        <f t="shared" si="548"/>
        <v>959-44</v>
      </c>
      <c r="D8583" t="s">
        <v>8551</v>
      </c>
      <c r="E8583" t="b">
        <f>IF(COUNTIF(D8583,"*"&amp;'Keyword Search'!$C$5&amp;"*"),TRUE,FALSE)</f>
        <v>1</v>
      </c>
      <c r="G8583" t="str">
        <f t="shared" si="549"/>
        <v>959-44: Electronic and Communication Equipment Services, Including Installation, Maintenance and Repair</v>
      </c>
    </row>
    <row r="8584" spans="1:7" x14ac:dyDescent="0.25">
      <c r="A8584" s="1" t="str">
        <f t="shared" si="547"/>
        <v>959</v>
      </c>
      <c r="B8584" s="1" t="str">
        <f>TEXT(46,"00")</f>
        <v>46</v>
      </c>
      <c r="C8584" s="1" t="str">
        <f t="shared" si="548"/>
        <v>959-46</v>
      </c>
      <c r="D8584" t="s">
        <v>8552</v>
      </c>
      <c r="E8584" t="b">
        <f>IF(COUNTIF(D8584,"*"&amp;'Keyword Search'!$C$5&amp;"*"),TRUE,FALSE)</f>
        <v>1</v>
      </c>
      <c r="G8584" t="str">
        <f t="shared" si="549"/>
        <v>959-46: Ferry Maintenance and Repair</v>
      </c>
    </row>
    <row r="8585" spans="1:7" x14ac:dyDescent="0.25">
      <c r="A8585" s="1" t="str">
        <f t="shared" si="547"/>
        <v>959</v>
      </c>
      <c r="B8585" s="1" t="str">
        <f>TEXT(50,"00")</f>
        <v>50</v>
      </c>
      <c r="C8585" s="1" t="str">
        <f t="shared" si="548"/>
        <v>959-50</v>
      </c>
      <c r="D8585" t="s">
        <v>8553</v>
      </c>
      <c r="E8585" t="b">
        <f>IF(COUNTIF(D8585,"*"&amp;'Keyword Search'!$C$5&amp;"*"),TRUE,FALSE)</f>
        <v>1</v>
      </c>
      <c r="G8585" t="str">
        <f t="shared" si="549"/>
        <v>959-50: Marina Services</v>
      </c>
    </row>
    <row r="8586" spans="1:7" x14ac:dyDescent="0.25">
      <c r="A8586" s="1" t="str">
        <f t="shared" si="547"/>
        <v>959</v>
      </c>
      <c r="B8586" s="1" t="str">
        <f>TEXT(51,"00")</f>
        <v>51</v>
      </c>
      <c r="C8586" s="1" t="str">
        <f t="shared" si="548"/>
        <v>959-51</v>
      </c>
      <c r="D8586" t="s">
        <v>8554</v>
      </c>
      <c r="E8586" t="b">
        <f>IF(COUNTIF(D8586,"*"&amp;'Keyword Search'!$C$5&amp;"*"),TRUE,FALSE)</f>
        <v>1</v>
      </c>
      <c r="G8586" t="str">
        <f t="shared" si="549"/>
        <v>959-51: Marine Equipment Maintenance and Repair, (Not Otherwise Classified)</v>
      </c>
    </row>
    <row r="8587" spans="1:7" x14ac:dyDescent="0.25">
      <c r="A8587" s="1" t="str">
        <f t="shared" si="547"/>
        <v>959</v>
      </c>
      <c r="B8587" s="1" t="str">
        <f>TEXT(52,"00")</f>
        <v>52</v>
      </c>
      <c r="C8587" s="1" t="str">
        <f t="shared" si="548"/>
        <v>959-52</v>
      </c>
      <c r="D8587" t="s">
        <v>8555</v>
      </c>
      <c r="E8587" t="b">
        <f>IF(COUNTIF(D8587,"*"&amp;'Keyword Search'!$C$5&amp;"*"),TRUE,FALSE)</f>
        <v>1</v>
      </c>
      <c r="G8587" t="str">
        <f t="shared" si="549"/>
        <v>959-52: Marine Life Services</v>
      </c>
    </row>
    <row r="8588" spans="1:7" x14ac:dyDescent="0.25">
      <c r="A8588" s="1" t="str">
        <f t="shared" si="547"/>
        <v>959</v>
      </c>
      <c r="B8588" s="1" t="str">
        <f>TEXT(53,"00")</f>
        <v>53</v>
      </c>
      <c r="C8588" s="1" t="str">
        <f t="shared" si="548"/>
        <v>959-53</v>
      </c>
      <c r="D8588" t="s">
        <v>8556</v>
      </c>
      <c r="E8588" t="b">
        <f>IF(COUNTIF(D8588,"*"&amp;'Keyword Search'!$C$5&amp;"*"),TRUE,FALSE)</f>
        <v>1</v>
      </c>
      <c r="G8588" t="str">
        <f t="shared" si="549"/>
        <v>959-53: Marine Survey Services: Sonar Radar, Location/Recovery of Sunken Objects, etc.</v>
      </c>
    </row>
    <row r="8589" spans="1:7" x14ac:dyDescent="0.25">
      <c r="A8589" s="1" t="str">
        <f t="shared" si="547"/>
        <v>959</v>
      </c>
      <c r="B8589" s="1" t="str">
        <f>TEXT(56,"00")</f>
        <v>56</v>
      </c>
      <c r="C8589" s="1" t="str">
        <f t="shared" si="548"/>
        <v>959-56</v>
      </c>
      <c r="D8589" t="s">
        <v>8557</v>
      </c>
      <c r="E8589" t="b">
        <f>IF(COUNTIF(D8589,"*"&amp;'Keyword Search'!$C$5&amp;"*"),TRUE,FALSE)</f>
        <v>1</v>
      </c>
      <c r="G8589" t="str">
        <f t="shared" si="549"/>
        <v>959-56: Passenger Transportation Services, Ship and Ferry, Including Water Taxis</v>
      </c>
    </row>
    <row r="8590" spans="1:7" x14ac:dyDescent="0.25">
      <c r="A8590" s="1" t="str">
        <f t="shared" si="547"/>
        <v>959</v>
      </c>
      <c r="B8590" s="1" t="str">
        <f>TEXT(59,"00")</f>
        <v>59</v>
      </c>
      <c r="C8590" s="1" t="str">
        <f t="shared" si="548"/>
        <v>959-59</v>
      </c>
      <c r="D8590" t="s">
        <v>8558</v>
      </c>
      <c r="E8590" t="b">
        <f>IF(COUNTIF(D8590,"*"&amp;'Keyword Search'!$C$5&amp;"*"),TRUE,FALSE)</f>
        <v>1</v>
      </c>
      <c r="G8590" t="str">
        <f t="shared" si="549"/>
        <v>959-59: Port and Harbor Operation Services</v>
      </c>
    </row>
    <row r="8591" spans="1:7" x14ac:dyDescent="0.25">
      <c r="A8591" s="1" t="str">
        <f t="shared" si="547"/>
        <v>959</v>
      </c>
      <c r="B8591" s="1" t="str">
        <f>TEXT(64,"00")</f>
        <v>64</v>
      </c>
      <c r="C8591" s="1" t="str">
        <f t="shared" si="548"/>
        <v>959-64</v>
      </c>
      <c r="D8591" t="s">
        <v>8559</v>
      </c>
      <c r="E8591" t="b">
        <f>IF(COUNTIF(D8591,"*"&amp;'Keyword Search'!$C$5&amp;"*"),TRUE,FALSE)</f>
        <v>1</v>
      </c>
      <c r="G8591" t="str">
        <f t="shared" si="549"/>
        <v>959-64: Reef Services, Artificial</v>
      </c>
    </row>
    <row r="8592" spans="1:7" x14ac:dyDescent="0.25">
      <c r="A8592" s="1" t="str">
        <f t="shared" si="547"/>
        <v>959</v>
      </c>
      <c r="B8592" s="1" t="str">
        <f>TEXT(65,"00")</f>
        <v>65</v>
      </c>
      <c r="C8592" s="1" t="str">
        <f t="shared" si="548"/>
        <v>959-65</v>
      </c>
      <c r="D8592" t="s">
        <v>8560</v>
      </c>
      <c r="E8592" t="b">
        <f>IF(COUNTIF(D8592,"*"&amp;'Keyword Search'!$C$5&amp;"*"),TRUE,FALSE)</f>
        <v>1</v>
      </c>
      <c r="G8592" t="str">
        <f t="shared" si="549"/>
        <v>959-65: Reef Construction Services Including Maintenance and Repair</v>
      </c>
    </row>
    <row r="8593" spans="1:7" x14ac:dyDescent="0.25">
      <c r="A8593" s="1" t="str">
        <f t="shared" si="547"/>
        <v>959</v>
      </c>
      <c r="B8593" s="1" t="str">
        <f>TEXT(66,"00")</f>
        <v>66</v>
      </c>
      <c r="C8593" s="1" t="str">
        <f t="shared" si="548"/>
        <v>959-66</v>
      </c>
      <c r="D8593" t="s">
        <v>8561</v>
      </c>
      <c r="E8593" t="b">
        <f>IF(COUNTIF(D8593,"*"&amp;'Keyword Search'!$C$5&amp;"*"),TRUE,FALSE)</f>
        <v>1</v>
      </c>
      <c r="G8593" t="str">
        <f t="shared" si="549"/>
        <v>959-66: Reservoir Maintenance and Management Services</v>
      </c>
    </row>
    <row r="8594" spans="1:7" x14ac:dyDescent="0.25">
      <c r="A8594" s="1" t="str">
        <f t="shared" si="547"/>
        <v>959</v>
      </c>
      <c r="B8594" s="1" t="str">
        <f>TEXT(72,"00")</f>
        <v>72</v>
      </c>
      <c r="C8594" s="1" t="str">
        <f t="shared" si="548"/>
        <v>959-72</v>
      </c>
      <c r="D8594" t="s">
        <v>8562</v>
      </c>
      <c r="E8594" t="b">
        <f>IF(COUNTIF(D8594,"*"&amp;'Keyword Search'!$C$5&amp;"*"),TRUE,FALSE)</f>
        <v>1</v>
      </c>
      <c r="G8594" t="str">
        <f t="shared" si="549"/>
        <v>959-72: Seeding Services, Clam and Oyster Bed</v>
      </c>
    </row>
    <row r="8595" spans="1:7" x14ac:dyDescent="0.25">
      <c r="A8595" s="1" t="str">
        <f t="shared" si="547"/>
        <v>959</v>
      </c>
      <c r="B8595" s="1" t="str">
        <f>TEXT(73,"00")</f>
        <v>73</v>
      </c>
      <c r="C8595" s="1" t="str">
        <f t="shared" si="548"/>
        <v>959-73</v>
      </c>
      <c r="D8595" t="s">
        <v>8563</v>
      </c>
      <c r="E8595" t="b">
        <f>IF(COUNTIF(D8595,"*"&amp;'Keyword Search'!$C$5&amp;"*"),TRUE,FALSE)</f>
        <v>1</v>
      </c>
      <c r="G8595" t="str">
        <f t="shared" si="549"/>
        <v>959-73: Ship Maintenance and Repair</v>
      </c>
    </row>
    <row r="8596" spans="1:7" x14ac:dyDescent="0.25">
      <c r="A8596" s="1" t="str">
        <f t="shared" si="547"/>
        <v>959</v>
      </c>
      <c r="B8596" s="1" t="str">
        <f>TEXT(76,"00")</f>
        <v>76</v>
      </c>
      <c r="C8596" s="1" t="str">
        <f t="shared" si="548"/>
        <v>959-76</v>
      </c>
      <c r="D8596" t="s">
        <v>8564</v>
      </c>
      <c r="E8596" t="b">
        <f>IF(COUNTIF(D8596,"*"&amp;'Keyword Search'!$C$5&amp;"*"),TRUE,FALSE)</f>
        <v>1</v>
      </c>
      <c r="G8596" t="str">
        <f t="shared" si="549"/>
        <v>959-76: Storage, Lifting, and Launching of Boats</v>
      </c>
    </row>
    <row r="8597" spans="1:7" x14ac:dyDescent="0.25">
      <c r="A8597" s="1" t="str">
        <f t="shared" si="547"/>
        <v>959</v>
      </c>
      <c r="B8597" s="1" t="str">
        <f>TEXT(77,"00")</f>
        <v>77</v>
      </c>
      <c r="C8597" s="1" t="str">
        <f t="shared" si="548"/>
        <v>959-77</v>
      </c>
      <c r="D8597" t="s">
        <v>8565</v>
      </c>
      <c r="E8597" t="b">
        <f>IF(COUNTIF(D8597,"*"&amp;'Keyword Search'!$C$5&amp;"*"),TRUE,FALSE)</f>
        <v>1</v>
      </c>
      <c r="G8597" t="str">
        <f t="shared" si="549"/>
        <v>959-77: Sunken Vessel Services, Raising, etc.</v>
      </c>
    </row>
    <row r="8598" spans="1:7" x14ac:dyDescent="0.25">
      <c r="A8598" s="1" t="str">
        <f t="shared" si="547"/>
        <v>959</v>
      </c>
      <c r="B8598" s="1" t="str">
        <f>TEXT(83,"00")</f>
        <v>83</v>
      </c>
      <c r="C8598" s="1" t="str">
        <f t="shared" si="548"/>
        <v>959-83</v>
      </c>
      <c r="D8598" t="s">
        <v>8566</v>
      </c>
      <c r="E8598" t="b">
        <f>IF(COUNTIF(D8598,"*"&amp;'Keyword Search'!$C$5&amp;"*"),TRUE,FALSE)</f>
        <v>1</v>
      </c>
      <c r="G8598" t="str">
        <f t="shared" si="549"/>
        <v>959-83: Touring Transportation, Marine</v>
      </c>
    </row>
    <row r="8599" spans="1:7" x14ac:dyDescent="0.25">
      <c r="A8599" s="1" t="str">
        <f t="shared" si="547"/>
        <v>959</v>
      </c>
      <c r="B8599" s="1" t="str">
        <f>TEXT(84,"00")</f>
        <v>84</v>
      </c>
      <c r="C8599" s="1" t="str">
        <f t="shared" si="548"/>
        <v>959-84</v>
      </c>
      <c r="D8599" t="s">
        <v>8567</v>
      </c>
      <c r="E8599" t="b">
        <f>IF(COUNTIF(D8599,"*"&amp;'Keyword Search'!$C$5&amp;"*"),TRUE,FALSE)</f>
        <v>1</v>
      </c>
      <c r="G8599" t="str">
        <f t="shared" si="549"/>
        <v>959-84: Towing Services, Marine</v>
      </c>
    </row>
    <row r="8600" spans="1:7" x14ac:dyDescent="0.25">
      <c r="A8600" s="1" t="str">
        <f t="shared" si="547"/>
        <v>959</v>
      </c>
      <c r="B8600" s="1" t="str">
        <f>TEXT(90,"00")</f>
        <v>90</v>
      </c>
      <c r="C8600" s="1" t="str">
        <f t="shared" si="548"/>
        <v>959-90</v>
      </c>
      <c r="D8600" t="s">
        <v>8568</v>
      </c>
      <c r="E8600" t="b">
        <f>IF(COUNTIF(D8600,"*"&amp;'Keyword Search'!$C$5&amp;"*"),TRUE,FALSE)</f>
        <v>1</v>
      </c>
      <c r="G8600" t="str">
        <f t="shared" si="549"/>
        <v>959-90: Waterfront Construction Services: Piers, Docks, Decking, etc., Including Maintenance and Repair</v>
      </c>
    </row>
    <row r="8601" spans="1:7" x14ac:dyDescent="0.25">
      <c r="A8601" s="5" t="str">
        <f t="shared" ref="A8601:A8664" si="550">TEXT(961,"000")</f>
        <v>961</v>
      </c>
      <c r="B8601" s="5" t="str">
        <f>TEXT(0,"00")</f>
        <v>00</v>
      </c>
      <c r="C8601" s="1"/>
      <c r="D8601" s="2" t="s">
        <v>8569</v>
      </c>
    </row>
    <row r="8602" spans="1:7" x14ac:dyDescent="0.25">
      <c r="A8602" s="1" t="str">
        <f t="shared" si="550"/>
        <v>961</v>
      </c>
      <c r="B8602" s="1" t="str">
        <f>TEXT(1,"00")</f>
        <v>01</v>
      </c>
      <c r="C8602" s="1" t="str">
        <f t="shared" si="548"/>
        <v>961-01</v>
      </c>
      <c r="D8602" t="s">
        <v>8570</v>
      </c>
      <c r="E8602" t="b">
        <f>IF(COUNTIF(D8602,"*"&amp;'Keyword Search'!$C$5&amp;"*"),TRUE,FALSE)</f>
        <v>1</v>
      </c>
      <c r="G8602" t="str">
        <f t="shared" si="549"/>
        <v>961-01: Archeological Services, Other than Consulting</v>
      </c>
    </row>
    <row r="8603" spans="1:7" x14ac:dyDescent="0.25">
      <c r="A8603" s="1" t="str">
        <f t="shared" si="550"/>
        <v>961</v>
      </c>
      <c r="B8603" s="1" t="str">
        <f>TEXT(2,"00")</f>
        <v>02</v>
      </c>
      <c r="C8603" s="1" t="str">
        <f t="shared" si="548"/>
        <v>961-02</v>
      </c>
      <c r="D8603" t="s">
        <v>8571</v>
      </c>
      <c r="E8603" t="b">
        <f>IF(COUNTIF(D8603,"*"&amp;'Keyword Search'!$C$5&amp;"*"),TRUE,FALSE)</f>
        <v>1</v>
      </c>
      <c r="G8603" t="str">
        <f t="shared" si="549"/>
        <v>961-02: Administrative Services, All Kinds</v>
      </c>
    </row>
    <row r="8604" spans="1:7" x14ac:dyDescent="0.25">
      <c r="A8604" s="1" t="str">
        <f t="shared" si="550"/>
        <v>961</v>
      </c>
      <c r="B8604" s="1" t="str">
        <f>TEXT(3,"00")</f>
        <v>03</v>
      </c>
      <c r="C8604" s="1" t="str">
        <f t="shared" si="548"/>
        <v>961-03</v>
      </c>
      <c r="D8604" t="s">
        <v>8572</v>
      </c>
      <c r="E8604" t="b">
        <f>IF(COUNTIF(D8604,"*"&amp;'Keyword Search'!$C$5&amp;"*"),TRUE,FALSE)</f>
        <v>1</v>
      </c>
      <c r="G8604" t="str">
        <f t="shared" si="549"/>
        <v>961-03: Agricultural Services, Including Environmental</v>
      </c>
    </row>
    <row r="8605" spans="1:7" x14ac:dyDescent="0.25">
      <c r="A8605" s="1" t="str">
        <f t="shared" si="550"/>
        <v>961</v>
      </c>
      <c r="B8605" s="1" t="str">
        <f>TEXT(4,"00")</f>
        <v>04</v>
      </c>
      <c r="C8605" s="1" t="str">
        <f t="shared" si="548"/>
        <v>961-04</v>
      </c>
      <c r="D8605" t="s">
        <v>8573</v>
      </c>
      <c r="E8605" t="b">
        <f>IF(COUNTIF(D8605,"*"&amp;'Keyword Search'!$C$5&amp;"*"),TRUE,FALSE)</f>
        <v>1</v>
      </c>
      <c r="G8605" t="str">
        <f t="shared" si="549"/>
        <v>961-04: Artists: Digital, CAD,  Disk Jockey, cultural designs and visual designs</v>
      </c>
    </row>
    <row r="8606" spans="1:7" x14ac:dyDescent="0.25">
      <c r="A8606" s="1" t="str">
        <f t="shared" si="550"/>
        <v>961</v>
      </c>
      <c r="B8606" s="1" t="str">
        <f>TEXT(5,"00")</f>
        <v>05</v>
      </c>
      <c r="C8606" s="1" t="str">
        <f t="shared" si="548"/>
        <v>961-05</v>
      </c>
      <c r="D8606" t="s">
        <v>8574</v>
      </c>
      <c r="E8606" t="b">
        <f>IF(COUNTIF(D8606,"*"&amp;'Keyword Search'!$C$5&amp;"*"),TRUE,FALSE)</f>
        <v>1</v>
      </c>
      <c r="G8606" t="str">
        <f t="shared" si="549"/>
        <v>961-05: Arbitration, Mediation, and Alternative Dispute Resolution Services</v>
      </c>
    </row>
    <row r="8607" spans="1:7" x14ac:dyDescent="0.25">
      <c r="A8607" s="1" t="str">
        <f t="shared" si="550"/>
        <v>961</v>
      </c>
      <c r="B8607" s="1" t="str">
        <f>TEXT(6,"00")</f>
        <v>06</v>
      </c>
      <c r="C8607" s="1" t="str">
        <f t="shared" si="548"/>
        <v>961-06</v>
      </c>
      <c r="D8607" t="s">
        <v>8575</v>
      </c>
      <c r="E8607" t="b">
        <f>IF(COUNTIF(D8607,"*"&amp;'Keyword Search'!$C$5&amp;"*"),TRUE,FALSE)</f>
        <v>1</v>
      </c>
      <c r="G8607" t="str">
        <f t="shared" si="549"/>
        <v>961-06: Beef, Pork, and Other Meat Processing Services (See 961-59 for Poultry Processing and 962-75 for Seafood Processing) (Inactive, please see commodity code 961-38 effective January 1, 2016)</v>
      </c>
    </row>
    <row r="8608" spans="1:7" x14ac:dyDescent="0.25">
      <c r="A8608" s="1" t="str">
        <f t="shared" si="550"/>
        <v>961</v>
      </c>
      <c r="B8608" s="1" t="str">
        <f>TEXT(7,"00")</f>
        <v>07</v>
      </c>
      <c r="C8608" s="1" t="str">
        <f t="shared" si="548"/>
        <v>961-07</v>
      </c>
      <c r="D8608" t="s">
        <v>8576</v>
      </c>
      <c r="E8608" t="b">
        <f>IF(COUNTIF(D8608,"*"&amp;'Keyword Search'!$C$5&amp;"*"),TRUE,FALSE)</f>
        <v>1</v>
      </c>
      <c r="G8608" t="str">
        <f t="shared" si="549"/>
        <v>961-07: Beverage Processing Services All Types</v>
      </c>
    </row>
    <row r="8609" spans="1:7" x14ac:dyDescent="0.25">
      <c r="A8609" s="1" t="str">
        <f t="shared" si="550"/>
        <v>961</v>
      </c>
      <c r="B8609" s="1" t="str">
        <f>TEXT(9,"00")</f>
        <v>09</v>
      </c>
      <c r="C8609" s="1" t="str">
        <f t="shared" si="548"/>
        <v>961-09</v>
      </c>
      <c r="D8609" t="s">
        <v>8577</v>
      </c>
      <c r="E8609" t="b">
        <f>IF(COUNTIF(D8609,"*"&amp;'Keyword Search'!$C$5&amp;"*"),TRUE,FALSE)</f>
        <v>1</v>
      </c>
      <c r="G8609" t="str">
        <f t="shared" si="549"/>
        <v>961-09: Building Permit Services</v>
      </c>
    </row>
    <row r="8610" spans="1:7" x14ac:dyDescent="0.25">
      <c r="A8610" s="1" t="str">
        <f t="shared" si="550"/>
        <v>961</v>
      </c>
      <c r="B8610" s="1" t="str">
        <f>TEXT(10,"00")</f>
        <v>10</v>
      </c>
      <c r="C8610" s="1" t="str">
        <f t="shared" si="548"/>
        <v>961-10</v>
      </c>
      <c r="D8610" t="s">
        <v>8578</v>
      </c>
      <c r="E8610" t="b">
        <f>IF(COUNTIF(D8610,"*"&amp;'Keyword Search'!$C$5&amp;"*"),TRUE,FALSE)</f>
        <v>1</v>
      </c>
      <c r="G8610" t="str">
        <f t="shared" si="549"/>
        <v>961-10: Business Plan Development Services  (Inactive, please see commodity code 918-21 effective January 1, 2016)</v>
      </c>
    </row>
    <row r="8611" spans="1:7" x14ac:dyDescent="0.25">
      <c r="A8611" s="1" t="str">
        <f t="shared" si="550"/>
        <v>961</v>
      </c>
      <c r="B8611" s="1" t="str">
        <f>TEXT(11,"00")</f>
        <v>11</v>
      </c>
      <c r="C8611" s="1" t="str">
        <f t="shared" si="548"/>
        <v>961-11</v>
      </c>
      <c r="D8611" t="s">
        <v>8579</v>
      </c>
      <c r="E8611" t="b">
        <f>IF(COUNTIF(D8611,"*"&amp;'Keyword Search'!$C$5&amp;"*"),TRUE,FALSE)</f>
        <v>1</v>
      </c>
      <c r="G8611" t="str">
        <f t="shared" si="549"/>
        <v>961-11: Chartering Services, Other than services included in 961-13 (Inactive, effective January 1, 2016)</v>
      </c>
    </row>
    <row r="8612" spans="1:7" x14ac:dyDescent="0.25">
      <c r="A8612" s="1" t="str">
        <f t="shared" si="550"/>
        <v>961</v>
      </c>
      <c r="B8612" s="1" t="str">
        <f>TEXT(12,"00")</f>
        <v>12</v>
      </c>
      <c r="C8612" s="1" t="str">
        <f t="shared" si="548"/>
        <v>961-12</v>
      </c>
      <c r="D8612" t="s">
        <v>8580</v>
      </c>
      <c r="E8612" t="b">
        <f>IF(COUNTIF(D8612,"*"&amp;'Keyword Search'!$C$5&amp;"*"),TRUE,FALSE)</f>
        <v>1</v>
      </c>
      <c r="G8612" t="str">
        <f t="shared" si="549"/>
        <v>961-12: Codification of Government Codes, Including Code Conversion and Code Maintenance Services</v>
      </c>
    </row>
    <row r="8613" spans="1:7" x14ac:dyDescent="0.25">
      <c r="A8613" s="1" t="str">
        <f t="shared" si="550"/>
        <v>961</v>
      </c>
      <c r="B8613" s="1" t="str">
        <f>TEXT(13,"00")</f>
        <v>13</v>
      </c>
      <c r="C8613" s="1" t="str">
        <f t="shared" si="548"/>
        <v>961-13</v>
      </c>
      <c r="D8613" t="s">
        <v>8581</v>
      </c>
      <c r="E8613" t="b">
        <f>IF(COUNTIF(D8613,"*"&amp;'Keyword Search'!$C$5&amp;"*"),TRUE,FALSE)</f>
        <v>1</v>
      </c>
      <c r="G8613" t="str">
        <f t="shared" si="549"/>
        <v>961-13: Chartering Services for Aircraft, Boats, Buses, School Buses, and other Transportation</v>
      </c>
    </row>
    <row r="8614" spans="1:7" x14ac:dyDescent="0.25">
      <c r="A8614" s="1" t="str">
        <f t="shared" si="550"/>
        <v>961</v>
      </c>
      <c r="B8614" s="1" t="str">
        <f>TEXT(14,"00")</f>
        <v>14</v>
      </c>
      <c r="C8614" s="1" t="str">
        <f t="shared" si="548"/>
        <v>961-14</v>
      </c>
      <c r="D8614" t="s">
        <v>8582</v>
      </c>
      <c r="E8614" t="b">
        <f>IF(COUNTIF(D8614,"*"&amp;'Keyword Search'!$C$5&amp;"*"),TRUE,FALSE)</f>
        <v>1</v>
      </c>
      <c r="G8614" t="str">
        <f t="shared" si="549"/>
        <v>961-14: Commissioning of Facilities Service, Functional and Prefunctional (Inactive, effective January 1, 2016)</v>
      </c>
    </row>
    <row r="8615" spans="1:7" x14ac:dyDescent="0.25">
      <c r="A8615" s="1" t="str">
        <f t="shared" si="550"/>
        <v>961</v>
      </c>
      <c r="B8615" s="1" t="str">
        <f>TEXT(15,"00")</f>
        <v>15</v>
      </c>
      <c r="C8615" s="1" t="str">
        <f t="shared" si="548"/>
        <v>961-15</v>
      </c>
      <c r="D8615" t="s">
        <v>8583</v>
      </c>
      <c r="E8615" t="b">
        <f>IF(COUNTIF(D8615,"*"&amp;'Keyword Search'!$C$5&amp;"*"),TRUE,FALSE)</f>
        <v>1</v>
      </c>
      <c r="G8615" t="str">
        <f t="shared" si="549"/>
        <v>961-15: Concessions, Catering, Vending: Mobile and Stationary (See Class 905 for Airport Concessions)</v>
      </c>
    </row>
    <row r="8616" spans="1:7" x14ac:dyDescent="0.25">
      <c r="A8616" s="1" t="str">
        <f t="shared" si="550"/>
        <v>961</v>
      </c>
      <c r="B8616" s="1" t="str">
        <f>TEXT(16,"00")</f>
        <v>16</v>
      </c>
      <c r="C8616" s="1" t="str">
        <f t="shared" si="548"/>
        <v>961-16</v>
      </c>
      <c r="D8616" t="s">
        <v>8584</v>
      </c>
      <c r="E8616" t="b">
        <f>IF(COUNTIF(D8616,"*"&amp;'Keyword Search'!$C$5&amp;"*"),TRUE,FALSE)</f>
        <v>1</v>
      </c>
      <c r="G8616" t="str">
        <f t="shared" si="549"/>
        <v>961-16: Claims Processing Services</v>
      </c>
    </row>
    <row r="8617" spans="1:7" x14ac:dyDescent="0.25">
      <c r="A8617" s="1" t="str">
        <f t="shared" si="550"/>
        <v>961</v>
      </c>
      <c r="B8617" s="1" t="str">
        <f>TEXT(17,"00")</f>
        <v>17</v>
      </c>
      <c r="C8617" s="1" t="str">
        <f t="shared" si="548"/>
        <v>961-17</v>
      </c>
      <c r="D8617" t="s">
        <v>8585</v>
      </c>
      <c r="E8617" t="b">
        <f>IF(COUNTIF(D8617,"*"&amp;'Keyword Search'!$C$5&amp;"*"),TRUE,FALSE)</f>
        <v>1</v>
      </c>
      <c r="G8617" t="str">
        <f t="shared" si="549"/>
        <v>961-17: *Interpreter Services - Electronically Assisted - Foreign Language, Hearing Impaired, etc., (See Item 46 For Interpreter Services - Not Electronically Assisted)</v>
      </c>
    </row>
    <row r="8618" spans="1:7" x14ac:dyDescent="0.25">
      <c r="A8618" s="1" t="str">
        <f t="shared" si="550"/>
        <v>961</v>
      </c>
      <c r="B8618" s="1" t="str">
        <f>TEXT(18,"00")</f>
        <v>18</v>
      </c>
      <c r="C8618" s="1" t="str">
        <f t="shared" si="548"/>
        <v>961-18</v>
      </c>
      <c r="D8618" t="s">
        <v>8586</v>
      </c>
      <c r="E8618" t="b">
        <f>IF(COUNTIF(D8618,"*"&amp;'Keyword Search'!$C$5&amp;"*"),TRUE,FALSE)</f>
        <v>1</v>
      </c>
      <c r="G8618" t="str">
        <f t="shared" si="549"/>
        <v>961-18: Refinishing and Resurfacing Services, Concrete, Swimming Pools, Driveways, Patios, etc.</v>
      </c>
    </row>
    <row r="8619" spans="1:7" x14ac:dyDescent="0.25">
      <c r="A8619" s="1" t="str">
        <f t="shared" si="550"/>
        <v>961</v>
      </c>
      <c r="B8619" s="1" t="str">
        <f>TEXT(19,"00")</f>
        <v>19</v>
      </c>
      <c r="C8619" s="1" t="str">
        <f t="shared" si="548"/>
        <v>961-19</v>
      </c>
      <c r="D8619" t="s">
        <v>8587</v>
      </c>
      <c r="E8619" t="b">
        <f>IF(COUNTIF(D8619,"*"&amp;'Keyword Search'!$C$5&amp;"*"),TRUE,FALSE)</f>
        <v>1</v>
      </c>
      <c r="G8619" t="str">
        <f t="shared" si="549"/>
        <v>961-19: Food Trucks and Mobile Catering Carts</v>
      </c>
    </row>
    <row r="8620" spans="1:7" x14ac:dyDescent="0.25">
      <c r="A8620" s="1" t="str">
        <f t="shared" si="550"/>
        <v>961</v>
      </c>
      <c r="B8620" s="1" t="str">
        <f>TEXT(20,"00")</f>
        <v>20</v>
      </c>
      <c r="C8620" s="1" t="str">
        <f t="shared" si="548"/>
        <v>961-20</v>
      </c>
      <c r="D8620" t="s">
        <v>8588</v>
      </c>
      <c r="E8620" t="b">
        <f>IF(COUNTIF(D8620,"*"&amp;'Keyword Search'!$C$5&amp;"*"),TRUE,FALSE)</f>
        <v>1</v>
      </c>
      <c r="G8620" t="str">
        <f t="shared" si="549"/>
        <v>961-20: Customer Service Evaluation Services</v>
      </c>
    </row>
    <row r="8621" spans="1:7" x14ac:dyDescent="0.25">
      <c r="A8621" s="1" t="str">
        <f t="shared" si="550"/>
        <v>961</v>
      </c>
      <c r="B8621" s="1" t="str">
        <f>TEXT(21,"00")</f>
        <v>21</v>
      </c>
      <c r="C8621" s="1" t="str">
        <f t="shared" si="548"/>
        <v>961-21</v>
      </c>
      <c r="D8621" t="s">
        <v>8589</v>
      </c>
      <c r="E8621" t="b">
        <f>IF(COUNTIF(D8621,"*"&amp;'Keyword Search'!$C$5&amp;"*"),TRUE,FALSE)</f>
        <v>1</v>
      </c>
      <c r="G8621" t="str">
        <f t="shared" si="549"/>
        <v>961-21: Cost Estimating</v>
      </c>
    </row>
    <row r="8622" spans="1:7" x14ac:dyDescent="0.25">
      <c r="A8622" s="1" t="str">
        <f t="shared" si="550"/>
        <v>961</v>
      </c>
      <c r="B8622" s="1" t="str">
        <f>TEXT(22,"00")</f>
        <v>22</v>
      </c>
      <c r="C8622" s="1" t="str">
        <f t="shared" si="548"/>
        <v>961-22</v>
      </c>
      <c r="D8622" t="s">
        <v>8590</v>
      </c>
      <c r="E8622" t="b">
        <f>IF(COUNTIF(D8622,"*"&amp;'Keyword Search'!$C$5&amp;"*"),TRUE,FALSE)</f>
        <v>1</v>
      </c>
      <c r="G8622" t="str">
        <f t="shared" si="549"/>
        <v>961-22: Costume Design and Creation Services  (Inactive, please see commodity code 961-73 effective January 1, 2016)</v>
      </c>
    </row>
    <row r="8623" spans="1:7" x14ac:dyDescent="0.25">
      <c r="A8623" s="1" t="str">
        <f t="shared" si="550"/>
        <v>961</v>
      </c>
      <c r="B8623" s="1" t="str">
        <f>TEXT(23,"00")</f>
        <v>23</v>
      </c>
      <c r="C8623" s="1" t="str">
        <f t="shared" si="548"/>
        <v>961-23</v>
      </c>
      <c r="D8623" t="s">
        <v>8591</v>
      </c>
      <c r="E8623" t="b">
        <f>IF(COUNTIF(D8623,"*"&amp;'Keyword Search'!$C$5&amp;"*"),TRUE,FALSE)</f>
        <v>1</v>
      </c>
      <c r="G8623" t="str">
        <f t="shared" si="549"/>
        <v>961-23: Cryogenic Treatment Services for Metals, Plastics, and Glass</v>
      </c>
    </row>
    <row r="8624" spans="1:7" x14ac:dyDescent="0.25">
      <c r="A8624" s="1" t="str">
        <f t="shared" si="550"/>
        <v>961</v>
      </c>
      <c r="B8624" s="1" t="str">
        <f>TEXT(24,"00")</f>
        <v>24</v>
      </c>
      <c r="C8624" s="1" t="str">
        <f t="shared" si="548"/>
        <v>961-24</v>
      </c>
      <c r="D8624" t="s">
        <v>8592</v>
      </c>
      <c r="E8624" t="b">
        <f>IF(COUNTIF(D8624,"*"&amp;'Keyword Search'!$C$5&amp;"*"),TRUE,FALSE)</f>
        <v>1</v>
      </c>
      <c r="G8624" t="str">
        <f t="shared" si="549"/>
        <v>961-24: Court Reporting Services, Including Electronic</v>
      </c>
    </row>
    <row r="8625" spans="1:7" x14ac:dyDescent="0.25">
      <c r="A8625" s="1" t="str">
        <f t="shared" si="550"/>
        <v>961</v>
      </c>
      <c r="B8625" s="1" t="str">
        <f>TEXT(25,"00")</f>
        <v>25</v>
      </c>
      <c r="C8625" s="1" t="str">
        <f t="shared" si="548"/>
        <v>961-25</v>
      </c>
      <c r="D8625" t="s">
        <v>8593</v>
      </c>
      <c r="E8625" t="b">
        <f>IF(COUNTIF(D8625,"*"&amp;'Keyword Search'!$C$5&amp;"*"),TRUE,FALSE)</f>
        <v>1</v>
      </c>
      <c r="G8625" t="str">
        <f t="shared" si="549"/>
        <v>961-25: Dairy Products Processing Services  (Inactive, please see commodity code 961-38 effective January 1, 2016)</v>
      </c>
    </row>
    <row r="8626" spans="1:7" x14ac:dyDescent="0.25">
      <c r="A8626" s="1" t="str">
        <f t="shared" si="550"/>
        <v>961</v>
      </c>
      <c r="B8626" s="1" t="str">
        <f>TEXT(26,"00")</f>
        <v>26</v>
      </c>
      <c r="C8626" s="1" t="str">
        <f t="shared" si="548"/>
        <v>961-26</v>
      </c>
      <c r="D8626" t="s">
        <v>8594</v>
      </c>
      <c r="E8626" t="b">
        <f>IF(COUNTIF(D8626,"*"&amp;'Keyword Search'!$C$5&amp;"*"),TRUE,FALSE)</f>
        <v>1</v>
      </c>
      <c r="G8626" t="str">
        <f t="shared" si="549"/>
        <v>961-26: Material Handling Services: Crating and Packing Services for Transportation</v>
      </c>
    </row>
    <row r="8627" spans="1:7" x14ac:dyDescent="0.25">
      <c r="A8627" s="1" t="str">
        <f t="shared" si="550"/>
        <v>961</v>
      </c>
      <c r="B8627" s="1" t="str">
        <f>TEXT(27,"00")</f>
        <v>27</v>
      </c>
      <c r="C8627" s="1" t="str">
        <f t="shared" si="548"/>
        <v>961-27</v>
      </c>
      <c r="D8627" t="s">
        <v>8595</v>
      </c>
      <c r="E8627" t="b">
        <f>IF(COUNTIF(D8627,"*"&amp;'Keyword Search'!$C$5&amp;"*"),TRUE,FALSE)</f>
        <v>1</v>
      </c>
      <c r="G8627" t="str">
        <f t="shared" si="549"/>
        <v>961-27: Decontamination Services, Including Hazardous Material Decontamination</v>
      </c>
    </row>
    <row r="8628" spans="1:7" x14ac:dyDescent="0.25">
      <c r="A8628" s="1" t="str">
        <f t="shared" si="550"/>
        <v>961</v>
      </c>
      <c r="B8628" s="1" t="str">
        <f>TEXT(28,"00")</f>
        <v>28</v>
      </c>
      <c r="C8628" s="1" t="str">
        <f t="shared" si="548"/>
        <v>961-28</v>
      </c>
      <c r="D8628" t="s">
        <v>8596</v>
      </c>
      <c r="E8628" t="b">
        <f>IF(COUNTIF(D8628,"*"&amp;'Keyword Search'!$C$5&amp;"*"),TRUE,FALSE)</f>
        <v>1</v>
      </c>
      <c r="G8628" t="str">
        <f t="shared" si="549"/>
        <v>961-28: Economic Development, Domestic and Foreign</v>
      </c>
    </row>
    <row r="8629" spans="1:7" x14ac:dyDescent="0.25">
      <c r="A8629" s="1" t="str">
        <f t="shared" si="550"/>
        <v>961</v>
      </c>
      <c r="B8629" s="1" t="str">
        <f>TEXT(29,"00")</f>
        <v>29</v>
      </c>
      <c r="C8629" s="1" t="str">
        <f t="shared" si="548"/>
        <v>961-29</v>
      </c>
      <c r="D8629" t="s">
        <v>8597</v>
      </c>
      <c r="E8629" t="b">
        <f>IF(COUNTIF(D8629,"*"&amp;'Keyword Search'!$C$5&amp;"*"),TRUE,FALSE)</f>
        <v>1</v>
      </c>
      <c r="G8629" t="str">
        <f t="shared" si="549"/>
        <v>961-29: Economic Impact Studies  (Inactive, please see commodity code 918-49 effective January 1, 2016)</v>
      </c>
    </row>
    <row r="8630" spans="1:7" x14ac:dyDescent="0.25">
      <c r="A8630" s="1" t="str">
        <f t="shared" si="550"/>
        <v>961</v>
      </c>
      <c r="B8630" s="1" t="str">
        <f>TEXT(30,"00")</f>
        <v>30</v>
      </c>
      <c r="C8630" s="1" t="str">
        <f t="shared" si="548"/>
        <v>961-30</v>
      </c>
      <c r="D8630" t="s">
        <v>8598</v>
      </c>
      <c r="E8630" t="b">
        <f>IF(COUNTIF(D8630,"*"&amp;'Keyword Search'!$C$5&amp;"*"),TRUE,FALSE)</f>
        <v>1</v>
      </c>
      <c r="G8630" t="str">
        <f t="shared" si="549"/>
        <v>961-30: Employment Agency and Search Firm Service, Including Background Investigations and Drug Testing for Employment</v>
      </c>
    </row>
    <row r="8631" spans="1:7" x14ac:dyDescent="0.25">
      <c r="A8631" s="1" t="str">
        <f t="shared" si="550"/>
        <v>961</v>
      </c>
      <c r="B8631" s="1" t="str">
        <f>TEXT(31,"00")</f>
        <v>31</v>
      </c>
      <c r="C8631" s="1" t="str">
        <f t="shared" si="548"/>
        <v>961-31</v>
      </c>
      <c r="D8631" t="s">
        <v>8599</v>
      </c>
      <c r="E8631" t="b">
        <f>IF(COUNTIF(D8631,"*"&amp;'Keyword Search'!$C$5&amp;"*"),TRUE,FALSE)</f>
        <v>1</v>
      </c>
      <c r="G8631" t="str">
        <f t="shared" si="549"/>
        <v>961-31: Energy Comprehensive Performance Services, Complete Conservation Program (Inactive, please see commodity code 918-41 effective January 1, 2016)</v>
      </c>
    </row>
    <row r="8632" spans="1:7" x14ac:dyDescent="0.25">
      <c r="A8632" s="1" t="str">
        <f t="shared" si="550"/>
        <v>961</v>
      </c>
      <c r="B8632" s="1" t="str">
        <f>TEXT(32,"00")</f>
        <v>32</v>
      </c>
      <c r="C8632" s="1" t="str">
        <f t="shared" si="548"/>
        <v>961-32</v>
      </c>
      <c r="D8632" t="s">
        <v>8600</v>
      </c>
      <c r="E8632" t="b">
        <f>IF(COUNTIF(D8632,"*"&amp;'Keyword Search'!$C$5&amp;"*"),TRUE,FALSE)</f>
        <v>1</v>
      </c>
      <c r="G8632" t="str">
        <f t="shared" si="549"/>
        <v>961-32: Environmental Impact Studies  (Inactive, please see commodity code 918-43 effective January 1, 2016)</v>
      </c>
    </row>
    <row r="8633" spans="1:7" x14ac:dyDescent="0.25">
      <c r="A8633" s="1" t="str">
        <f t="shared" si="550"/>
        <v>961</v>
      </c>
      <c r="B8633" s="1" t="str">
        <f>TEXT(33,"00")</f>
        <v>33</v>
      </c>
      <c r="C8633" s="1" t="str">
        <f t="shared" si="548"/>
        <v>961-33</v>
      </c>
      <c r="D8633" t="s">
        <v>8601</v>
      </c>
      <c r="E8633" t="b">
        <f>IF(COUNTIF(D8633,"*"&amp;'Keyword Search'!$C$5&amp;"*"),TRUE,FALSE)</f>
        <v>1</v>
      </c>
      <c r="G8633" t="str">
        <f t="shared" si="549"/>
        <v>961-33: Geese Control Services  (Inactive, please see commodity code 962-06 effective January 1, 2016)</v>
      </c>
    </row>
    <row r="8634" spans="1:7" x14ac:dyDescent="0.25">
      <c r="A8634" s="1" t="str">
        <f t="shared" si="550"/>
        <v>961</v>
      </c>
      <c r="B8634" s="1" t="str">
        <f>TEXT(34,"00")</f>
        <v>34</v>
      </c>
      <c r="C8634" s="1" t="str">
        <f t="shared" si="548"/>
        <v>961-34</v>
      </c>
      <c r="D8634" t="s">
        <v>8602</v>
      </c>
      <c r="E8634" t="b">
        <f>IF(COUNTIF(D8634,"*"&amp;'Keyword Search'!$C$5&amp;"*"),TRUE,FALSE)</f>
        <v>1</v>
      </c>
      <c r="G8634" t="str">
        <f t="shared" si="549"/>
        <v>961-34: Escort Services, Public Safety</v>
      </c>
    </row>
    <row r="8635" spans="1:7" x14ac:dyDescent="0.25">
      <c r="A8635" s="1" t="str">
        <f t="shared" si="550"/>
        <v>961</v>
      </c>
      <c r="B8635" s="1" t="str">
        <f>TEXT(35,"00")</f>
        <v>35</v>
      </c>
      <c r="C8635" s="1" t="str">
        <f t="shared" si="548"/>
        <v>961-35</v>
      </c>
      <c r="D8635" t="s">
        <v>8603</v>
      </c>
      <c r="E8635" t="b">
        <f>IF(COUNTIF(D8635,"*"&amp;'Keyword Search'!$C$5&amp;"*"),TRUE,FALSE)</f>
        <v>1</v>
      </c>
      <c r="G8635" t="str">
        <f t="shared" si="549"/>
        <v>961-35: Lock Box, Caging Services</v>
      </c>
    </row>
    <row r="8636" spans="1:7" x14ac:dyDescent="0.25">
      <c r="A8636" s="1" t="str">
        <f t="shared" si="550"/>
        <v>961</v>
      </c>
      <c r="B8636" s="1" t="str">
        <f>TEXT(36,"00")</f>
        <v>36</v>
      </c>
      <c r="C8636" s="1" t="str">
        <f t="shared" si="548"/>
        <v>961-36</v>
      </c>
      <c r="D8636" t="s">
        <v>8604</v>
      </c>
      <c r="E8636" t="b">
        <f>IF(COUNTIF(D8636,"*"&amp;'Keyword Search'!$C$5&amp;"*"),TRUE,FALSE)</f>
        <v>1</v>
      </c>
      <c r="G8636" t="str">
        <f t="shared" si="549"/>
        <v>961-36: Food Administrative Services, Including Policy, Standards, Evaluation, etc. (Inactive, please see commodity code 958-44 effective January 1, 2016)</v>
      </c>
    </row>
    <row r="8637" spans="1:7" x14ac:dyDescent="0.25">
      <c r="A8637" s="1" t="str">
        <f t="shared" si="550"/>
        <v>961</v>
      </c>
      <c r="B8637" s="1" t="str">
        <f>TEXT(37,"00")</f>
        <v>37</v>
      </c>
      <c r="C8637" s="1" t="str">
        <f t="shared" si="548"/>
        <v>961-37</v>
      </c>
      <c r="D8637" t="s">
        <v>8605</v>
      </c>
      <c r="E8637" t="b">
        <f>IF(COUNTIF(D8637,"*"&amp;'Keyword Search'!$C$5&amp;"*"),TRUE,FALSE)</f>
        <v>1</v>
      </c>
      <c r="G8637" t="str">
        <f t="shared" si="549"/>
        <v>961-37: Fruit and Vegetable Processing Services  (Inactive, please see commodity code 961-18 effective January 1, 2016)</v>
      </c>
    </row>
    <row r="8638" spans="1:7" x14ac:dyDescent="0.25">
      <c r="A8638" s="1" t="str">
        <f t="shared" si="550"/>
        <v>961</v>
      </c>
      <c r="B8638" s="1" t="str">
        <f>TEXT(38,"00")</f>
        <v>38</v>
      </c>
      <c r="C8638" s="1" t="str">
        <f t="shared" si="548"/>
        <v>961-38</v>
      </c>
      <c r="D8638" t="s">
        <v>8606</v>
      </c>
      <c r="E8638" t="b">
        <f>IF(COUNTIF(D8638,"*"&amp;'Keyword Search'!$C$5&amp;"*"),TRUE,FALSE)</f>
        <v>1</v>
      </c>
      <c r="G8638" t="str">
        <f t="shared" si="549"/>
        <v>961-38: Food Preparation Services, Including Food Canning Services</v>
      </c>
    </row>
    <row r="8639" spans="1:7" x14ac:dyDescent="0.25">
      <c r="A8639" s="1" t="str">
        <f t="shared" si="550"/>
        <v>961</v>
      </c>
      <c r="B8639" s="1" t="str">
        <f>TEXT(39,"00")</f>
        <v>39</v>
      </c>
      <c r="C8639" s="1" t="str">
        <f t="shared" si="548"/>
        <v>961-39</v>
      </c>
      <c r="D8639" t="s">
        <v>8607</v>
      </c>
      <c r="E8639" t="b">
        <f>IF(COUNTIF(D8639,"*"&amp;'Keyword Search'!$C$5&amp;"*"),TRUE,FALSE)</f>
        <v>1</v>
      </c>
      <c r="G8639" t="str">
        <f t="shared" si="549"/>
        <v>961-39: Floral Designing and Arranging Services</v>
      </c>
    </row>
    <row r="8640" spans="1:7" x14ac:dyDescent="0.25">
      <c r="A8640" s="1" t="str">
        <f t="shared" si="550"/>
        <v>961</v>
      </c>
      <c r="B8640" s="1" t="str">
        <f>TEXT(40,"00")</f>
        <v>40</v>
      </c>
      <c r="C8640" s="1" t="str">
        <f t="shared" si="548"/>
        <v>961-40</v>
      </c>
      <c r="D8640" t="s">
        <v>8608</v>
      </c>
      <c r="E8640" t="b">
        <f>IF(COUNTIF(D8640,"*"&amp;'Keyword Search'!$C$5&amp;"*"),TRUE,FALSE)</f>
        <v>1</v>
      </c>
      <c r="G8640" t="str">
        <f t="shared" si="549"/>
        <v>961-40: Forensic Services</v>
      </c>
    </row>
    <row r="8641" spans="1:7" x14ac:dyDescent="0.25">
      <c r="A8641" s="1" t="str">
        <f t="shared" si="550"/>
        <v>961</v>
      </c>
      <c r="B8641" s="1" t="str">
        <f>TEXT(41,"00")</f>
        <v>41</v>
      </c>
      <c r="C8641" s="1" t="str">
        <f t="shared" si="548"/>
        <v>961-41</v>
      </c>
      <c r="D8641" t="s">
        <v>8609</v>
      </c>
      <c r="E8641" t="b">
        <f>IF(COUNTIF(D8641,"*"&amp;'Keyword Search'!$C$5&amp;"*"),TRUE,FALSE)</f>
        <v>1</v>
      </c>
      <c r="G8641" t="str">
        <f t="shared" si="549"/>
        <v>961-41: *Global Positioning Systems (GPS) Surveying Services (Inactive, please see commodity code 961-64 effective January 1, 2016)</v>
      </c>
    </row>
    <row r="8642" spans="1:7" x14ac:dyDescent="0.25">
      <c r="A8642" s="1" t="str">
        <f t="shared" si="550"/>
        <v>961</v>
      </c>
      <c r="B8642" s="1" t="str">
        <f>TEXT(42,"00")</f>
        <v>42</v>
      </c>
      <c r="C8642" s="1" t="str">
        <f t="shared" si="548"/>
        <v>961-42</v>
      </c>
      <c r="D8642" t="s">
        <v>8610</v>
      </c>
      <c r="E8642" t="b">
        <f>IF(COUNTIF(D8642,"*"&amp;'Keyword Search'!$C$5&amp;"*"),TRUE,FALSE)</f>
        <v>1</v>
      </c>
      <c r="G8642" t="str">
        <f t="shared" si="549"/>
        <v>961-42: Grains, Sugar, Oils and Fats Processing Services (Inactive, please see commodity code 961-18 effective January 1, 2016)</v>
      </c>
    </row>
    <row r="8643" spans="1:7" x14ac:dyDescent="0.25">
      <c r="A8643" s="1" t="str">
        <f t="shared" si="550"/>
        <v>961</v>
      </c>
      <c r="B8643" s="1" t="str">
        <f>TEXT(43,"00")</f>
        <v>43</v>
      </c>
      <c r="C8643" s="1" t="str">
        <f t="shared" ref="C8643:C8706" si="551">CONCATENATE(A8643,"-",B8643)</f>
        <v>961-43</v>
      </c>
      <c r="D8643" t="s">
        <v>8611</v>
      </c>
      <c r="E8643" t="b">
        <f>IF(COUNTIF(D8643,"*"&amp;'Keyword Search'!$C$5&amp;"*"),TRUE,FALSE)</f>
        <v>1</v>
      </c>
      <c r="G8643" t="str">
        <f t="shared" si="549"/>
        <v>961-43: Hydrological and Oceanography Services</v>
      </c>
    </row>
    <row r="8644" spans="1:7" x14ac:dyDescent="0.25">
      <c r="A8644" s="1" t="str">
        <f t="shared" si="550"/>
        <v>961</v>
      </c>
      <c r="B8644" s="1" t="str">
        <f>TEXT(44,"00")</f>
        <v>44</v>
      </c>
      <c r="C8644" s="1" t="str">
        <f t="shared" si="551"/>
        <v>961-44</v>
      </c>
      <c r="D8644" t="s">
        <v>8612</v>
      </c>
      <c r="E8644" t="b">
        <f>IF(COUNTIF(D8644,"*"&amp;'Keyword Search'!$C$5&amp;"*"),TRUE,FALSE)</f>
        <v>1</v>
      </c>
      <c r="G8644" t="str">
        <f t="shared" ref="G8644:G8707" si="552">CONCATENATE(C8644,": ",D8644)</f>
        <v>961-44: Industrial Development and Planning Services</v>
      </c>
    </row>
    <row r="8645" spans="1:7" x14ac:dyDescent="0.25">
      <c r="A8645" s="1" t="str">
        <f t="shared" si="550"/>
        <v>961</v>
      </c>
      <c r="B8645" s="1" t="str">
        <f>TEXT(45,"00")</f>
        <v>45</v>
      </c>
      <c r="C8645" s="1" t="str">
        <f t="shared" si="551"/>
        <v>961-45</v>
      </c>
      <c r="D8645" t="s">
        <v>8613</v>
      </c>
      <c r="E8645" t="b">
        <f>IF(COUNTIF(D8645,"*"&amp;'Keyword Search'!$C$5&amp;"*"),TRUE,FALSE)</f>
        <v>1</v>
      </c>
      <c r="G8645" t="str">
        <f t="shared" si="552"/>
        <v>961-45: Inspection and Certification Services</v>
      </c>
    </row>
    <row r="8646" spans="1:7" x14ac:dyDescent="0.25">
      <c r="A8646" s="1" t="str">
        <f t="shared" si="550"/>
        <v>961</v>
      </c>
      <c r="B8646" s="1" t="str">
        <f>TEXT(46,"00")</f>
        <v>46</v>
      </c>
      <c r="C8646" s="1" t="str">
        <f t="shared" si="551"/>
        <v>961-46</v>
      </c>
      <c r="D8646" t="s">
        <v>8614</v>
      </c>
      <c r="E8646" t="b">
        <f>IF(COUNTIF(D8646,"*"&amp;'Keyword Search'!$C$5&amp;"*"),TRUE,FALSE)</f>
        <v>1</v>
      </c>
      <c r="G8646" t="str">
        <f t="shared" si="552"/>
        <v>961-46: *Interpreter Services for Foreign Language</v>
      </c>
    </row>
    <row r="8647" spans="1:7" x14ac:dyDescent="0.25">
      <c r="A8647" s="1" t="str">
        <f t="shared" si="550"/>
        <v>961</v>
      </c>
      <c r="B8647" s="1" t="str">
        <f>TEXT(47,"00")</f>
        <v>47</v>
      </c>
      <c r="C8647" s="1" t="str">
        <f t="shared" si="551"/>
        <v>961-47</v>
      </c>
      <c r="D8647" t="s">
        <v>8615</v>
      </c>
      <c r="E8647" t="b">
        <f>IF(COUNTIF(D8647,"*"&amp;'Keyword Search'!$C$5&amp;"*"),TRUE,FALSE)</f>
        <v>1</v>
      </c>
      <c r="G8647" t="str">
        <f t="shared" si="552"/>
        <v>961-47: Law Enforcement Services, Including Process Server Services</v>
      </c>
    </row>
    <row r="8648" spans="1:7" x14ac:dyDescent="0.25">
      <c r="A8648" s="1" t="str">
        <f t="shared" si="550"/>
        <v>961</v>
      </c>
      <c r="B8648" s="1" t="str">
        <f>TEXT(48,"00")</f>
        <v>48</v>
      </c>
      <c r="C8648" s="1" t="str">
        <f t="shared" si="551"/>
        <v>961-48</v>
      </c>
      <c r="D8648" t="s">
        <v>8616</v>
      </c>
      <c r="E8648" t="b">
        <f>IF(COUNTIF(D8648,"*"&amp;'Keyword Search'!$C$5&amp;"*"),TRUE,FALSE)</f>
        <v>1</v>
      </c>
      <c r="G8648" t="str">
        <f t="shared" si="552"/>
        <v>961-48: Laboratory and Field Testing Services, Including Hazardous Waste, (Not Otherwise Classified)</v>
      </c>
    </row>
    <row r="8649" spans="1:7" x14ac:dyDescent="0.25">
      <c r="A8649" s="1" t="str">
        <f t="shared" si="550"/>
        <v>961</v>
      </c>
      <c r="B8649" s="1" t="str">
        <f>TEXT(49,"00")</f>
        <v>49</v>
      </c>
      <c r="C8649" s="1" t="str">
        <f t="shared" si="551"/>
        <v>961-49</v>
      </c>
      <c r="D8649" t="s">
        <v>8617</v>
      </c>
      <c r="E8649" t="b">
        <f>IF(COUNTIF(D8649,"*"&amp;'Keyword Search'!$C$5&amp;"*"),TRUE,FALSE)</f>
        <v>1</v>
      </c>
      <c r="G8649" t="str">
        <f t="shared" si="552"/>
        <v>961-49: Legal Services, Attorneys</v>
      </c>
    </row>
    <row r="8650" spans="1:7" x14ac:dyDescent="0.25">
      <c r="A8650" s="1" t="str">
        <f t="shared" si="550"/>
        <v>961</v>
      </c>
      <c r="B8650" s="1" t="str">
        <f>TEXT(50,"00")</f>
        <v>50</v>
      </c>
      <c r="C8650" s="1" t="str">
        <f t="shared" si="551"/>
        <v>961-50</v>
      </c>
      <c r="D8650" t="s">
        <v>8618</v>
      </c>
      <c r="E8650" t="b">
        <f>IF(COUNTIF(D8650,"*"&amp;'Keyword Search'!$C$5&amp;"*"),TRUE,FALSE)</f>
        <v>1</v>
      </c>
      <c r="G8650" t="str">
        <f t="shared" si="552"/>
        <v>961-50: Legal Services Including Depositions and Expert Witness Testimony</v>
      </c>
    </row>
    <row r="8651" spans="1:7" x14ac:dyDescent="0.25">
      <c r="A8651" s="1" t="str">
        <f t="shared" si="550"/>
        <v>961</v>
      </c>
      <c r="B8651" s="1" t="str">
        <f>TEXT(51,"00")</f>
        <v>51</v>
      </c>
      <c r="C8651" s="1" t="str">
        <f t="shared" si="551"/>
        <v>961-51</v>
      </c>
      <c r="D8651" t="s">
        <v>8619</v>
      </c>
      <c r="E8651" t="b">
        <f>IF(COUNTIF(D8651,"*"&amp;'Keyword Search'!$C$5&amp;"*"),TRUE,FALSE)</f>
        <v>1</v>
      </c>
      <c r="G8651" t="str">
        <f t="shared" si="552"/>
        <v>961-51: Lobby Services</v>
      </c>
    </row>
    <row r="8652" spans="1:7" x14ac:dyDescent="0.25">
      <c r="A8652" s="1" t="str">
        <f t="shared" si="550"/>
        <v>961</v>
      </c>
      <c r="B8652" s="1" t="str">
        <f>TEXT(52,"00")</f>
        <v>52</v>
      </c>
      <c r="C8652" s="1" t="str">
        <f t="shared" si="551"/>
        <v>961-52</v>
      </c>
      <c r="D8652" t="s">
        <v>8620</v>
      </c>
      <c r="E8652" t="b">
        <f>IF(COUNTIF(D8652,"*"&amp;'Keyword Search'!$C$5&amp;"*"),TRUE,FALSE)</f>
        <v>1</v>
      </c>
      <c r="G8652" t="str">
        <f t="shared" si="552"/>
        <v>961-52: Laboratory Services which Monitor the Equipment that uses Lubricating Oil or Grease</v>
      </c>
    </row>
    <row r="8653" spans="1:7" x14ac:dyDescent="0.25">
      <c r="A8653" s="1" t="str">
        <f t="shared" si="550"/>
        <v>961</v>
      </c>
      <c r="B8653" s="1" t="str">
        <f>TEXT(53,"00")</f>
        <v>53</v>
      </c>
      <c r="C8653" s="1" t="str">
        <f t="shared" si="551"/>
        <v>961-53</v>
      </c>
      <c r="D8653" t="s">
        <v>8621</v>
      </c>
      <c r="E8653" t="b">
        <f>IF(COUNTIF(D8653,"*"&amp;'Keyword Search'!$C$5&amp;"*"),TRUE,FALSE)</f>
        <v>1</v>
      </c>
      <c r="G8653" t="str">
        <f t="shared" si="552"/>
        <v>961-53: *Marketing Service, Including Distribution, Public Opinion Surveys, Research, Sales Promotions, etc.</v>
      </c>
    </row>
    <row r="8654" spans="1:7" x14ac:dyDescent="0.25">
      <c r="A8654" s="1" t="str">
        <f t="shared" si="550"/>
        <v>961</v>
      </c>
      <c r="B8654" s="1" t="str">
        <f>TEXT(54,"00")</f>
        <v>54</v>
      </c>
      <c r="C8654" s="1" t="str">
        <f t="shared" si="551"/>
        <v>961-54</v>
      </c>
      <c r="D8654" t="s">
        <v>8622</v>
      </c>
      <c r="E8654" t="b">
        <f>IF(COUNTIF(D8654,"*"&amp;'Keyword Search'!$C$5&amp;"*"),TRUE,FALSE)</f>
        <v>1</v>
      </c>
      <c r="G8654" t="str">
        <f t="shared" si="552"/>
        <v>961-54: Milling Services: Asphalt, Grain, Cottonseed, Vegetable, Wood, etc.</v>
      </c>
    </row>
    <row r="8655" spans="1:7" x14ac:dyDescent="0.25">
      <c r="A8655" s="1" t="str">
        <f t="shared" si="550"/>
        <v>961</v>
      </c>
      <c r="B8655" s="1" t="str">
        <f>TEXT(55,"00")</f>
        <v>55</v>
      </c>
      <c r="C8655" s="1" t="str">
        <f t="shared" si="551"/>
        <v>961-55</v>
      </c>
      <c r="D8655" t="s">
        <v>8623</v>
      </c>
      <c r="E8655" t="b">
        <f>IF(COUNTIF(D8655,"*"&amp;'Keyword Search'!$C$5&amp;"*"),TRUE,FALSE)</f>
        <v>1</v>
      </c>
      <c r="G8655" t="str">
        <f t="shared" si="552"/>
        <v>961-55: Mining and Quarrying Services</v>
      </c>
    </row>
    <row r="8656" spans="1:7" x14ac:dyDescent="0.25">
      <c r="A8656" s="1" t="str">
        <f t="shared" si="550"/>
        <v>961</v>
      </c>
      <c r="B8656" s="1" t="str">
        <f>TEXT(56,"00")</f>
        <v>56</v>
      </c>
      <c r="C8656" s="1" t="str">
        <f t="shared" si="551"/>
        <v>961-56</v>
      </c>
      <c r="D8656" t="s">
        <v>8624</v>
      </c>
      <c r="E8656" t="b">
        <f>IF(COUNTIF(D8656,"*"&amp;'Keyword Search'!$C$5&amp;"*"),TRUE,FALSE)</f>
        <v>1</v>
      </c>
      <c r="G8656" t="str">
        <f t="shared" si="552"/>
        <v>961-56: *Program and Project Development and Management Services (Inactive, please see commodity code 958-77 effective January 1, 2016)</v>
      </c>
    </row>
    <row r="8657" spans="1:7" x14ac:dyDescent="0.25">
      <c r="A8657" s="1" t="str">
        <f t="shared" si="550"/>
        <v>961</v>
      </c>
      <c r="B8657" s="1" t="str">
        <f>TEXT(57,"00")</f>
        <v>57</v>
      </c>
      <c r="C8657" s="1" t="str">
        <f t="shared" si="551"/>
        <v>961-57</v>
      </c>
      <c r="D8657" t="s">
        <v>8625</v>
      </c>
      <c r="E8657" t="b">
        <f>IF(COUNTIF(D8657,"*"&amp;'Keyword Search'!$C$5&amp;"*"),TRUE,FALSE)</f>
        <v>1</v>
      </c>
      <c r="G8657" t="str">
        <f t="shared" si="552"/>
        <v>961-57: Musical Production Services (Inactive, please see commodity code 915-09 effective January 1, 2016)</v>
      </c>
    </row>
    <row r="8658" spans="1:7" x14ac:dyDescent="0.25">
      <c r="A8658" s="1" t="str">
        <f t="shared" si="550"/>
        <v>961</v>
      </c>
      <c r="B8658" s="1" t="str">
        <f>TEXT(58,"00")</f>
        <v>58</v>
      </c>
      <c r="C8658" s="1" t="str">
        <f t="shared" si="551"/>
        <v>961-58</v>
      </c>
      <c r="D8658" t="s">
        <v>8626</v>
      </c>
      <c r="E8658" t="b">
        <f>IF(COUNTIF(D8658,"*"&amp;'Keyword Search'!$C$5&amp;"*"),TRUE,FALSE)</f>
        <v>1</v>
      </c>
      <c r="G8658" t="str">
        <f t="shared" si="552"/>
        <v>961-58: Negotiation Services</v>
      </c>
    </row>
    <row r="8659" spans="1:7" x14ac:dyDescent="0.25">
      <c r="A8659" s="1" t="str">
        <f t="shared" si="550"/>
        <v>961</v>
      </c>
      <c r="B8659" s="1" t="str">
        <f>TEXT(59,"00")</f>
        <v>59</v>
      </c>
      <c r="C8659" s="1" t="str">
        <f t="shared" si="551"/>
        <v>961-59</v>
      </c>
      <c r="D8659" t="s">
        <v>8627</v>
      </c>
      <c r="E8659" t="b">
        <f>IF(COUNTIF(D8659,"*"&amp;'Keyword Search'!$C$5&amp;"*"),TRUE,FALSE)</f>
        <v>1</v>
      </c>
      <c r="G8659" t="str">
        <f t="shared" si="552"/>
        <v>961-59: Poultry Hatching and Processing Services  (Inactive, please see commodity code 961-38 effective January 1, 2016)</v>
      </c>
    </row>
    <row r="8660" spans="1:7" x14ac:dyDescent="0.25">
      <c r="A8660" s="1" t="str">
        <f t="shared" si="550"/>
        <v>961</v>
      </c>
      <c r="B8660" s="1" t="str">
        <f>TEXT(60,"00")</f>
        <v>60</v>
      </c>
      <c r="C8660" s="1" t="str">
        <f t="shared" si="551"/>
        <v>961-60</v>
      </c>
      <c r="D8660" t="s">
        <v>8628</v>
      </c>
      <c r="E8660" t="b">
        <f>IF(COUNTIF(D8660,"*"&amp;'Keyword Search'!$C$5&amp;"*"),TRUE,FALSE)</f>
        <v>1</v>
      </c>
      <c r="G8660" t="str">
        <f t="shared" si="552"/>
        <v>961-60: Public Opinion Surveys  (Inactive, please see commodity code 961-53 effective January 1, 2016)</v>
      </c>
    </row>
    <row r="8661" spans="1:7" x14ac:dyDescent="0.25">
      <c r="A8661" s="1" t="str">
        <f t="shared" si="550"/>
        <v>961</v>
      </c>
      <c r="B8661" s="1" t="str">
        <f>TEXT(61,"00")</f>
        <v>61</v>
      </c>
      <c r="C8661" s="1" t="str">
        <f t="shared" si="551"/>
        <v>961-61</v>
      </c>
      <c r="D8661" t="s">
        <v>8629</v>
      </c>
      <c r="E8661" t="b">
        <f>IF(COUNTIF(D8661,"*"&amp;'Keyword Search'!$C$5&amp;"*"),TRUE,FALSE)</f>
        <v>1</v>
      </c>
      <c r="G8661" t="str">
        <f t="shared" si="552"/>
        <v>961-61: Public Speaking Services</v>
      </c>
    </row>
    <row r="8662" spans="1:7" x14ac:dyDescent="0.25">
      <c r="A8662" s="1" t="str">
        <f t="shared" si="550"/>
        <v>961</v>
      </c>
      <c r="B8662" s="1" t="str">
        <f>TEXT(62,"00")</f>
        <v>62</v>
      </c>
      <c r="C8662" s="1" t="str">
        <f t="shared" si="551"/>
        <v>961-62</v>
      </c>
      <c r="D8662" t="s">
        <v>8630</v>
      </c>
      <c r="E8662" t="b">
        <f>IF(COUNTIF(D8662,"*"&amp;'Keyword Search'!$C$5&amp;"*"),TRUE,FALSE)</f>
        <v>1</v>
      </c>
      <c r="G8662" t="str">
        <f t="shared" si="552"/>
        <v>961-62: Human Resource Services</v>
      </c>
    </row>
    <row r="8663" spans="1:7" x14ac:dyDescent="0.25">
      <c r="A8663" s="1" t="str">
        <f t="shared" si="550"/>
        <v>961</v>
      </c>
      <c r="B8663" s="1" t="str">
        <f>TEXT(63,"00")</f>
        <v>63</v>
      </c>
      <c r="C8663" s="1" t="str">
        <f t="shared" si="551"/>
        <v>961-63</v>
      </c>
      <c r="D8663" t="s">
        <v>8631</v>
      </c>
      <c r="E8663" t="b">
        <f>IF(COUNTIF(D8663,"*"&amp;'Keyword Search'!$C$5&amp;"*"),TRUE,FALSE)</f>
        <v>1</v>
      </c>
      <c r="G8663" t="str">
        <f t="shared" si="552"/>
        <v>961-63: Relocation Services for Personnel  (Inactive, please see commodity code 962-56 effective January 1, 2016)</v>
      </c>
    </row>
    <row r="8664" spans="1:7" x14ac:dyDescent="0.25">
      <c r="A8664" s="1" t="str">
        <f t="shared" si="550"/>
        <v>961</v>
      </c>
      <c r="B8664" s="1" t="str">
        <f>TEXT(64,"00")</f>
        <v>64</v>
      </c>
      <c r="C8664" s="1" t="str">
        <f t="shared" si="551"/>
        <v>961-64</v>
      </c>
      <c r="D8664" t="s">
        <v>8632</v>
      </c>
      <c r="E8664" t="b">
        <f>IF(COUNTIF(D8664,"*"&amp;'Keyword Search'!$C$5&amp;"*"),TRUE,FALSE)</f>
        <v>1</v>
      </c>
      <c r="G8664" t="str">
        <f t="shared" si="552"/>
        <v>961-64: *Satellite Global Positioning System Information Services (GPS), Including Surveying Services</v>
      </c>
    </row>
    <row r="8665" spans="1:7" x14ac:dyDescent="0.25">
      <c r="A8665" s="1" t="str">
        <f t="shared" ref="A8665:A8697" si="553">TEXT(961,"000")</f>
        <v>961</v>
      </c>
      <c r="B8665" s="1" t="str">
        <f>TEXT(65,"00")</f>
        <v>65</v>
      </c>
      <c r="C8665" s="1" t="str">
        <f t="shared" si="551"/>
        <v>961-65</v>
      </c>
      <c r="D8665" t="s">
        <v>8633</v>
      </c>
      <c r="E8665" t="b">
        <f>IF(COUNTIF(D8665,"*"&amp;'Keyword Search'!$C$5&amp;"*"),TRUE,FALSE)</f>
        <v>1</v>
      </c>
      <c r="G8665" t="str">
        <f t="shared" si="552"/>
        <v>961-65: Scanning and Testing for Electrical Hot-Spots, etc.</v>
      </c>
    </row>
    <row r="8666" spans="1:7" x14ac:dyDescent="0.25">
      <c r="A8666" s="1" t="str">
        <f t="shared" si="553"/>
        <v>961</v>
      </c>
      <c r="B8666" s="1" t="str">
        <f>TEXT(66,"00")</f>
        <v>66</v>
      </c>
      <c r="C8666" s="1" t="str">
        <f t="shared" si="551"/>
        <v>961-66</v>
      </c>
      <c r="D8666" t="s">
        <v>8634</v>
      </c>
      <c r="E8666" t="b">
        <f>IF(COUNTIF(D8666,"*"&amp;'Keyword Search'!$C$5&amp;"*"),TRUE,FALSE)</f>
        <v>1</v>
      </c>
      <c r="G8666" t="str">
        <f t="shared" si="552"/>
        <v>961-66: Sign Making and Painting Services</v>
      </c>
    </row>
    <row r="8667" spans="1:7" x14ac:dyDescent="0.25">
      <c r="A8667" s="1" t="str">
        <f t="shared" si="553"/>
        <v>961</v>
      </c>
      <c r="B8667" s="1" t="str">
        <f>TEXT(67,"00")</f>
        <v>67</v>
      </c>
      <c r="C8667" s="1" t="str">
        <f t="shared" si="551"/>
        <v>961-67</v>
      </c>
      <c r="D8667" t="s">
        <v>8635</v>
      </c>
      <c r="E8667" t="b">
        <f>IF(COUNTIF(D8667,"*"&amp;'Keyword Search'!$C$5&amp;"*"),TRUE,FALSE)</f>
        <v>1</v>
      </c>
      <c r="G8667" t="str">
        <f t="shared" si="552"/>
        <v>961-67: Sign Language Services for the Hearing Impaired  (Inactive, please see commodity code 961-46 effective January 1, 2016)</v>
      </c>
    </row>
    <row r="8668" spans="1:7" x14ac:dyDescent="0.25">
      <c r="A8668" s="1" t="str">
        <f t="shared" si="553"/>
        <v>961</v>
      </c>
      <c r="B8668" s="1" t="str">
        <f>TEXT(68,"00")</f>
        <v>68</v>
      </c>
      <c r="C8668" s="1" t="str">
        <f t="shared" si="551"/>
        <v>961-68</v>
      </c>
      <c r="D8668" t="s">
        <v>8636</v>
      </c>
      <c r="E8668" t="b">
        <f>IF(COUNTIF(D8668,"*"&amp;'Keyword Search'!$C$5&amp;"*"),TRUE,FALSE)</f>
        <v>1</v>
      </c>
      <c r="G8668" t="str">
        <f t="shared" si="552"/>
        <v>961-68: Sports Professionals Services, Including Sports and Recreational Programs, Referee and Umpire Services, Athletic Training</v>
      </c>
    </row>
    <row r="8669" spans="1:7" x14ac:dyDescent="0.25">
      <c r="A8669" s="1" t="str">
        <f t="shared" si="553"/>
        <v>961</v>
      </c>
      <c r="B8669" s="1" t="str">
        <f>TEXT(69,"00")</f>
        <v>69</v>
      </c>
      <c r="C8669" s="1" t="str">
        <f t="shared" si="551"/>
        <v>961-69</v>
      </c>
      <c r="D8669" t="s">
        <v>8637</v>
      </c>
      <c r="E8669" t="b">
        <f>IF(COUNTIF(D8669,"*"&amp;'Keyword Search'!$C$5&amp;"*"),TRUE,FALSE)</f>
        <v>1</v>
      </c>
      <c r="G8669" t="str">
        <f t="shared" si="552"/>
        <v>961-69: *Reverse Auction Services (Inactive, please see commodity code 962-09 effective January 1, 2016)</v>
      </c>
    </row>
    <row r="8670" spans="1:7" x14ac:dyDescent="0.25">
      <c r="A8670" s="1" t="str">
        <f t="shared" si="553"/>
        <v>961</v>
      </c>
      <c r="B8670" s="1" t="str">
        <f>TEXT(70,"00")</f>
        <v>70</v>
      </c>
      <c r="C8670" s="1" t="str">
        <f t="shared" si="551"/>
        <v>961-70</v>
      </c>
      <c r="D8670" t="s">
        <v>8638</v>
      </c>
      <c r="E8670" t="b">
        <f>IF(COUNTIF(D8670,"*"&amp;'Keyword Search'!$C$5&amp;"*"),TRUE,FALSE)</f>
        <v>1</v>
      </c>
      <c r="G8670" t="str">
        <f t="shared" si="552"/>
        <v>961-70: Sugar Refining Services (Inactive, please see commodity code 961-38 effective January 1, 2016)</v>
      </c>
    </row>
    <row r="8671" spans="1:7" x14ac:dyDescent="0.25">
      <c r="A8671" s="1" t="str">
        <f t="shared" si="553"/>
        <v>961</v>
      </c>
      <c r="B8671" s="1" t="str">
        <f>TEXT(71,"00")</f>
        <v>71</v>
      </c>
      <c r="C8671" s="1" t="str">
        <f t="shared" si="551"/>
        <v>961-71</v>
      </c>
      <c r="D8671" t="s">
        <v>8639</v>
      </c>
      <c r="E8671" t="b">
        <f>IF(COUNTIF(D8671,"*"&amp;'Keyword Search'!$C$5&amp;"*"),TRUE,FALSE)</f>
        <v>1</v>
      </c>
      <c r="G8671" t="str">
        <f t="shared" si="552"/>
        <v>961-71: Talent Agency Services</v>
      </c>
    </row>
    <row r="8672" spans="1:7" x14ac:dyDescent="0.25">
      <c r="A8672" s="1" t="str">
        <f t="shared" si="553"/>
        <v>961</v>
      </c>
      <c r="B8672" s="1" t="str">
        <f>TEXT(72,"00")</f>
        <v>72</v>
      </c>
      <c r="C8672" s="1" t="str">
        <f t="shared" si="551"/>
        <v>961-72</v>
      </c>
      <c r="D8672" t="s">
        <v>8640</v>
      </c>
      <c r="E8672" t="b">
        <f>IF(COUNTIF(D8672,"*"&amp;'Keyword Search'!$C$5&amp;"*"),TRUE,FALSE)</f>
        <v>1</v>
      </c>
      <c r="G8672" t="str">
        <f t="shared" si="552"/>
        <v>961-72: Transcription Services: Academic, Braille, Legal, Medical, Electronic Duplication, etc.</v>
      </c>
    </row>
    <row r="8673" spans="1:7" x14ac:dyDescent="0.25">
      <c r="A8673" s="1" t="str">
        <f t="shared" si="553"/>
        <v>961</v>
      </c>
      <c r="B8673" s="1" t="str">
        <f>TEXT(73,"00")</f>
        <v>73</v>
      </c>
      <c r="C8673" s="1" t="str">
        <f t="shared" si="551"/>
        <v>961-73</v>
      </c>
      <c r="D8673" t="s">
        <v>8641</v>
      </c>
      <c r="E8673" t="b">
        <f>IF(COUNTIF(D8673,"*"&amp;'Keyword Search'!$C$5&amp;"*"),TRUE,FALSE)</f>
        <v>1</v>
      </c>
      <c r="G8673" t="str">
        <f t="shared" si="552"/>
        <v>961-73: Theatrical Services, Including Costume Design and Creation, Production, Scenery Design, Stage, etc.</v>
      </c>
    </row>
    <row r="8674" spans="1:7" x14ac:dyDescent="0.25">
      <c r="A8674" s="1" t="str">
        <f t="shared" si="553"/>
        <v>961</v>
      </c>
      <c r="B8674" s="1" t="str">
        <f>TEXT(74,"00")</f>
        <v>74</v>
      </c>
      <c r="C8674" s="1" t="str">
        <f t="shared" si="551"/>
        <v>961-74</v>
      </c>
      <c r="D8674" t="s">
        <v>8642</v>
      </c>
      <c r="E8674" t="b">
        <f>IF(COUNTIF(D8674,"*"&amp;'Keyword Search'!$C$5&amp;"*"),TRUE,FALSE)</f>
        <v>1</v>
      </c>
      <c r="G8674" t="str">
        <f t="shared" si="552"/>
        <v>961-74: Scientist Services: Geology, Geophysics, etc.</v>
      </c>
    </row>
    <row r="8675" spans="1:7" x14ac:dyDescent="0.25">
      <c r="A8675" s="1" t="str">
        <f t="shared" si="553"/>
        <v>961</v>
      </c>
      <c r="B8675" s="1" t="str">
        <f>TEXT(75,"00")</f>
        <v>75</v>
      </c>
      <c r="C8675" s="1" t="str">
        <f t="shared" si="551"/>
        <v>961-75</v>
      </c>
      <c r="D8675" t="s">
        <v>8643</v>
      </c>
      <c r="E8675" t="b">
        <f>IF(COUNTIF(D8675,"*"&amp;'Keyword Search'!$C$5&amp;"*"),TRUE,FALSE)</f>
        <v>1</v>
      </c>
      <c r="G8675" t="str">
        <f t="shared" si="552"/>
        <v>961-75: Translation Services, All Languages</v>
      </c>
    </row>
    <row r="8676" spans="1:7" x14ac:dyDescent="0.25">
      <c r="A8676" s="1" t="str">
        <f t="shared" si="553"/>
        <v>961</v>
      </c>
      <c r="B8676" s="1" t="str">
        <f>TEXT(76,"00")</f>
        <v>76</v>
      </c>
      <c r="C8676" s="1" t="str">
        <f t="shared" si="551"/>
        <v>961-76</v>
      </c>
      <c r="D8676" t="s">
        <v>8644</v>
      </c>
      <c r="E8676" t="b">
        <f>IF(COUNTIF(D8676,"*"&amp;'Keyword Search'!$C$5&amp;"*"),TRUE,FALSE)</f>
        <v>1</v>
      </c>
      <c r="G8676" t="str">
        <f t="shared" si="552"/>
        <v>961-76: *Telemetry Services  (Inactive, please see commodity code 948-55 effective January 1, 2016)</v>
      </c>
    </row>
    <row r="8677" spans="1:7" x14ac:dyDescent="0.25">
      <c r="A8677" s="1" t="str">
        <f t="shared" si="553"/>
        <v>961</v>
      </c>
      <c r="B8677" s="1" t="str">
        <f>TEXT(77,"00")</f>
        <v>77</v>
      </c>
      <c r="C8677" s="1" t="str">
        <f t="shared" si="551"/>
        <v>961-77</v>
      </c>
      <c r="D8677" t="s">
        <v>8645</v>
      </c>
      <c r="E8677" t="b">
        <f>IF(COUNTIF(D8677,"*"&amp;'Keyword Search'!$C$5&amp;"*"),TRUE,FALSE)</f>
        <v>1</v>
      </c>
      <c r="G8677" t="str">
        <f t="shared" si="552"/>
        <v>961-77: Treatment Services, Material, Anticorrosion, Fire Protection, Waterproofing, etc.</v>
      </c>
    </row>
    <row r="8678" spans="1:7" x14ac:dyDescent="0.25">
      <c r="A8678" s="1" t="str">
        <f t="shared" si="553"/>
        <v>961</v>
      </c>
      <c r="B8678" s="1" t="str">
        <f>TEXT(78,"00")</f>
        <v>78</v>
      </c>
      <c r="C8678" s="1" t="str">
        <f t="shared" si="551"/>
        <v>961-78</v>
      </c>
      <c r="D8678" t="s">
        <v>8646</v>
      </c>
      <c r="E8678" t="b">
        <f>IF(COUNTIF(D8678,"*"&amp;'Keyword Search'!$C$5&amp;"*"),TRUE,FALSE)</f>
        <v>1</v>
      </c>
      <c r="G8678" t="str">
        <f t="shared" si="552"/>
        <v>961-78: Travel Agency Services (Inactive, please see commodity code 958-92 effective January 1, 2016)</v>
      </c>
    </row>
    <row r="8679" spans="1:7" x14ac:dyDescent="0.25">
      <c r="A8679" s="1" t="str">
        <f t="shared" si="553"/>
        <v>961</v>
      </c>
      <c r="B8679" s="1" t="str">
        <f>TEXT(79,"00")</f>
        <v>79</v>
      </c>
      <c r="C8679" s="1" t="str">
        <f t="shared" si="551"/>
        <v>961-79</v>
      </c>
      <c r="D8679" t="s">
        <v>8647</v>
      </c>
      <c r="E8679" t="b">
        <f>IF(COUNTIF(D8679,"*"&amp;'Keyword Search'!$C$5&amp;"*"),TRUE,FALSE)</f>
        <v>1</v>
      </c>
      <c r="G8679" t="str">
        <f t="shared" si="552"/>
        <v>961-79: Trade Services, Facilitation, Information, Marketing, Promotion, Trade Agents and Brokers, etc.(Inactive, please see commodity code 918-21 effective January 1, 2016)</v>
      </c>
    </row>
    <row r="8680" spans="1:7" x14ac:dyDescent="0.25">
      <c r="A8680" s="1" t="str">
        <f t="shared" si="553"/>
        <v>961</v>
      </c>
      <c r="B8680" s="1" t="str">
        <f>TEXT(80,"00")</f>
        <v>80</v>
      </c>
      <c r="C8680" s="1" t="str">
        <f t="shared" si="551"/>
        <v>961-80</v>
      </c>
      <c r="D8680" t="s">
        <v>8648</v>
      </c>
      <c r="E8680" t="b">
        <f>IF(COUNTIF(D8680,"*"&amp;'Keyword Search'!$C$5&amp;"*"),TRUE,FALSE)</f>
        <v>1</v>
      </c>
      <c r="G8680" t="str">
        <f t="shared" si="552"/>
        <v>961-80: Tour Guide Services</v>
      </c>
    </row>
    <row r="8681" spans="1:7" x14ac:dyDescent="0.25">
      <c r="A8681" s="1" t="str">
        <f t="shared" si="553"/>
        <v>961</v>
      </c>
      <c r="B8681" s="1" t="str">
        <f>TEXT(81,"00")</f>
        <v>81</v>
      </c>
      <c r="C8681" s="1" t="str">
        <f t="shared" si="551"/>
        <v>961-81</v>
      </c>
      <c r="D8681" t="s">
        <v>8649</v>
      </c>
      <c r="E8681" t="b">
        <f>IF(COUNTIF(D8681,"*"&amp;'Keyword Search'!$C$5&amp;"*"),TRUE,FALSE)</f>
        <v>1</v>
      </c>
      <c r="G8681" t="str">
        <f t="shared" si="552"/>
        <v>961-81: Submarine Services, Including Unmanned Type</v>
      </c>
    </row>
    <row r="8682" spans="1:7" x14ac:dyDescent="0.25">
      <c r="A8682" s="1" t="str">
        <f t="shared" si="553"/>
        <v>961</v>
      </c>
      <c r="B8682" s="1" t="str">
        <f>TEXT(82,"00")</f>
        <v>82</v>
      </c>
      <c r="C8682" s="1" t="str">
        <f t="shared" si="551"/>
        <v>961-82</v>
      </c>
      <c r="D8682" t="s">
        <v>8650</v>
      </c>
      <c r="E8682" t="b">
        <f>IF(COUNTIF(D8682,"*"&amp;'Keyword Search'!$C$5&amp;"*"),TRUE,FALSE)</f>
        <v>1</v>
      </c>
      <c r="G8682" t="str">
        <f t="shared" si="552"/>
        <v>961-82: Transportation Services (Not Otherwise Classified) (Inactive, please see commodity code 962-86 effective January 1, 2016)</v>
      </c>
    </row>
    <row r="8683" spans="1:7" x14ac:dyDescent="0.25">
      <c r="A8683" s="1" t="str">
        <f t="shared" si="553"/>
        <v>961</v>
      </c>
      <c r="B8683" s="1" t="str">
        <f>TEXT(83,"00")</f>
        <v>83</v>
      </c>
      <c r="C8683" s="1" t="str">
        <f t="shared" si="551"/>
        <v>961-83</v>
      </c>
      <c r="D8683" t="s">
        <v>8651</v>
      </c>
      <c r="E8683" t="b">
        <f>IF(COUNTIF(D8683,"*"&amp;'Keyword Search'!$C$5&amp;"*"),TRUE,FALSE)</f>
        <v>1</v>
      </c>
      <c r="G8683" t="str">
        <f t="shared" si="552"/>
        <v>961-83: Utility Services, Electric</v>
      </c>
    </row>
    <row r="8684" spans="1:7" x14ac:dyDescent="0.25">
      <c r="A8684" s="1" t="str">
        <f t="shared" si="553"/>
        <v>961</v>
      </c>
      <c r="B8684" s="1" t="str">
        <f>TEXT(84,"00")</f>
        <v>84</v>
      </c>
      <c r="C8684" s="1" t="str">
        <f t="shared" si="551"/>
        <v>961-84</v>
      </c>
      <c r="D8684" t="s">
        <v>8652</v>
      </c>
      <c r="E8684" t="b">
        <f>IF(COUNTIF(D8684,"*"&amp;'Keyword Search'!$C$5&amp;"*"),TRUE,FALSE)</f>
        <v>1</v>
      </c>
      <c r="G8684" t="str">
        <f t="shared" si="552"/>
        <v>961-84: Utility Services, Gas</v>
      </c>
    </row>
    <row r="8685" spans="1:7" x14ac:dyDescent="0.25">
      <c r="A8685" s="1" t="str">
        <f t="shared" si="553"/>
        <v>961</v>
      </c>
      <c r="B8685" s="1" t="str">
        <f>TEXT(85,"00")</f>
        <v>85</v>
      </c>
      <c r="C8685" s="1" t="str">
        <f t="shared" si="551"/>
        <v>961-85</v>
      </c>
      <c r="D8685" t="s">
        <v>8653</v>
      </c>
      <c r="E8685" t="b">
        <f>IF(COUNTIF(D8685,"*"&amp;'Keyword Search'!$C$5&amp;"*"),TRUE,FALSE)</f>
        <v>1</v>
      </c>
      <c r="G8685" t="str">
        <f t="shared" si="552"/>
        <v>961-85: Utility Services, Water</v>
      </c>
    </row>
    <row r="8686" spans="1:7" x14ac:dyDescent="0.25">
      <c r="A8686" s="1" t="str">
        <f t="shared" si="553"/>
        <v>961</v>
      </c>
      <c r="B8686" s="1" t="str">
        <f>TEXT(86,"00")</f>
        <v>86</v>
      </c>
      <c r="C8686" s="1" t="str">
        <f t="shared" si="551"/>
        <v>961-86</v>
      </c>
      <c r="D8686" t="s">
        <v>8654</v>
      </c>
      <c r="E8686" t="b">
        <f>IF(COUNTIF(D8686,"*"&amp;'Keyword Search'!$C$5&amp;"*"),TRUE,FALSE)</f>
        <v>1</v>
      </c>
      <c r="G8686" t="str">
        <f t="shared" si="552"/>
        <v>961-86: Veterinary Services</v>
      </c>
    </row>
    <row r="8687" spans="1:7" x14ac:dyDescent="0.25">
      <c r="A8687" s="1" t="str">
        <f t="shared" si="553"/>
        <v>961</v>
      </c>
      <c r="B8687" s="1" t="str">
        <f>TEXT(87,"00")</f>
        <v>87</v>
      </c>
      <c r="C8687" s="1" t="str">
        <f t="shared" si="551"/>
        <v>961-87</v>
      </c>
      <c r="D8687" t="s">
        <v>8655</v>
      </c>
      <c r="E8687" t="b">
        <f>IF(COUNTIF(D8687,"*"&amp;'Keyword Search'!$C$5&amp;"*"),TRUE,FALSE)</f>
        <v>1</v>
      </c>
      <c r="G8687" t="str">
        <f t="shared" si="552"/>
        <v>961-87: Volunteer Services</v>
      </c>
    </row>
    <row r="8688" spans="1:7" x14ac:dyDescent="0.25">
      <c r="A8688" s="1" t="str">
        <f t="shared" si="553"/>
        <v>961</v>
      </c>
      <c r="B8688" s="1" t="str">
        <f>TEXT(88,"00")</f>
        <v>88</v>
      </c>
      <c r="C8688" s="1" t="str">
        <f t="shared" si="551"/>
        <v>961-88</v>
      </c>
      <c r="D8688" t="s">
        <v>8656</v>
      </c>
      <c r="E8688" t="b">
        <f>IF(COUNTIF(D8688,"*"&amp;'Keyword Search'!$C$5&amp;"*"),TRUE,FALSE)</f>
        <v>1</v>
      </c>
      <c r="G8688" t="str">
        <f t="shared" si="552"/>
        <v>961-88: Weather Forecasting Services</v>
      </c>
    </row>
    <row r="8689" spans="1:7" x14ac:dyDescent="0.25">
      <c r="A8689" s="1" t="str">
        <f t="shared" si="553"/>
        <v>961</v>
      </c>
      <c r="B8689" s="1" t="str">
        <f>TEXT(89,"00")</f>
        <v>89</v>
      </c>
      <c r="C8689" s="1" t="str">
        <f t="shared" si="551"/>
        <v>961-89</v>
      </c>
      <c r="D8689" t="s">
        <v>8657</v>
      </c>
      <c r="E8689" t="b">
        <f>IF(COUNTIF(D8689,"*"&amp;'Keyword Search'!$C$5&amp;"*"),TRUE,FALSE)</f>
        <v>1</v>
      </c>
      <c r="G8689" t="str">
        <f t="shared" si="552"/>
        <v>961-89: Weatherization Audit Services</v>
      </c>
    </row>
    <row r="8690" spans="1:7" x14ac:dyDescent="0.25">
      <c r="A8690" s="1" t="str">
        <f t="shared" si="553"/>
        <v>961</v>
      </c>
      <c r="B8690" s="1" t="str">
        <f>TEXT(90,"00")</f>
        <v>90</v>
      </c>
      <c r="C8690" s="1" t="str">
        <f t="shared" si="551"/>
        <v>961-90</v>
      </c>
      <c r="D8690" t="s">
        <v>8658</v>
      </c>
      <c r="E8690" t="b">
        <f>IF(COUNTIF(D8690,"*"&amp;'Keyword Search'!$C$5&amp;"*"),TRUE,FALSE)</f>
        <v>1</v>
      </c>
      <c r="G8690" t="str">
        <f t="shared" si="552"/>
        <v>961-90: Writing Services, All Kinds, Including Resumes, Calligrapher and Engrosser Services</v>
      </c>
    </row>
    <row r="8691" spans="1:7" x14ac:dyDescent="0.25">
      <c r="A8691" s="1" t="str">
        <f t="shared" si="553"/>
        <v>961</v>
      </c>
      <c r="B8691" s="1" t="str">
        <f>TEXT(91,"00")</f>
        <v>91</v>
      </c>
      <c r="C8691" s="1" t="str">
        <f t="shared" si="551"/>
        <v>961-91</v>
      </c>
      <c r="D8691" t="s">
        <v>8659</v>
      </c>
      <c r="E8691" t="b">
        <f>IF(COUNTIF(D8691,"*"&amp;'Keyword Search'!$C$5&amp;"*"),TRUE,FALSE)</f>
        <v>1</v>
      </c>
      <c r="G8691" t="str">
        <f t="shared" si="552"/>
        <v>961-91: Water and Petroleum Pipeline Services</v>
      </c>
    </row>
    <row r="8692" spans="1:7" x14ac:dyDescent="0.25">
      <c r="A8692" s="1" t="str">
        <f t="shared" si="553"/>
        <v>961</v>
      </c>
      <c r="B8692" s="1" t="str">
        <f>TEXT(92,"00")</f>
        <v>92</v>
      </c>
      <c r="C8692" s="1" t="str">
        <f t="shared" si="551"/>
        <v>961-92</v>
      </c>
      <c r="D8692" t="s">
        <v>8660</v>
      </c>
      <c r="E8692" t="b">
        <f>IF(COUNTIF(D8692,"*"&amp;'Keyword Search'!$C$5&amp;"*"),TRUE,FALSE)</f>
        <v>1</v>
      </c>
      <c r="G8692" t="str">
        <f t="shared" si="552"/>
        <v>961-92: *Interpreter Services for American Sign Language and other forms of sign language for deaf/hard of hearing whose first language is sign language</v>
      </c>
    </row>
    <row r="8693" spans="1:7" x14ac:dyDescent="0.25">
      <c r="A8693" s="1" t="str">
        <f t="shared" si="553"/>
        <v>961</v>
      </c>
      <c r="B8693" s="1" t="str">
        <f>TEXT(93,"00")</f>
        <v>93</v>
      </c>
      <c r="C8693" s="1" t="str">
        <f t="shared" si="551"/>
        <v>961-93</v>
      </c>
      <c r="D8693" t="s">
        <v>8661</v>
      </c>
      <c r="E8693" t="b">
        <f>IF(COUNTIF(D8693,"*"&amp;'Keyword Search'!$C$5&amp;"*"),TRUE,FALSE)</f>
        <v>1</v>
      </c>
      <c r="G8693" t="str">
        <f t="shared" si="552"/>
        <v>961-93: *Communication Access Realtime Translation (CART) as further explained here in the ADA Requirements for Effective Communication and Closed Captioning for Broadcast Television/Webcasts</v>
      </c>
    </row>
    <row r="8694" spans="1:7" x14ac:dyDescent="0.25">
      <c r="A8694" s="1" t="str">
        <f t="shared" si="553"/>
        <v>961</v>
      </c>
      <c r="B8694" s="1" t="str">
        <f>TEXT(94,"00")</f>
        <v>94</v>
      </c>
      <c r="C8694" s="1" t="str">
        <f t="shared" si="551"/>
        <v>961-94</v>
      </c>
      <c r="D8694" t="s">
        <v>8662</v>
      </c>
      <c r="E8694" t="b">
        <f>IF(COUNTIF(D8694,"*"&amp;'Keyword Search'!$C$5&amp;"*"),TRUE,FALSE)</f>
        <v>1</v>
      </c>
      <c r="G8694" t="str">
        <f t="shared" si="552"/>
        <v>961-94: Zoning, Land Use Studies</v>
      </c>
    </row>
    <row r="8695" spans="1:7" x14ac:dyDescent="0.25">
      <c r="A8695" s="1" t="str">
        <f t="shared" si="553"/>
        <v>961</v>
      </c>
      <c r="B8695" s="1" t="str">
        <f>TEXT(95,"00")</f>
        <v>95</v>
      </c>
      <c r="C8695" s="1" t="str">
        <f t="shared" si="551"/>
        <v>961-95</v>
      </c>
      <c r="D8695" t="s">
        <v>8663</v>
      </c>
      <c r="E8695" t="b">
        <f>IF(COUNTIF(D8695,"*"&amp;'Keyword Search'!$C$5&amp;"*"),TRUE,FALSE)</f>
        <v>1</v>
      </c>
      <c r="G8695" t="str">
        <f t="shared" si="552"/>
        <v>961-95: Modeling Services, Live</v>
      </c>
    </row>
    <row r="8696" spans="1:7" x14ac:dyDescent="0.25">
      <c r="A8696" s="1" t="str">
        <f t="shared" si="553"/>
        <v>961</v>
      </c>
      <c r="B8696" s="1" t="str">
        <f>TEXT(96,"00")</f>
        <v>96</v>
      </c>
      <c r="C8696" s="1" t="str">
        <f t="shared" si="551"/>
        <v>961-96</v>
      </c>
      <c r="D8696" t="s">
        <v>8664</v>
      </c>
      <c r="E8696" t="b">
        <f>IF(COUNTIF(D8696,"*"&amp;'Keyword Search'!$C$5&amp;"*"),TRUE,FALSE)</f>
        <v>1</v>
      </c>
      <c r="G8696" t="str">
        <f t="shared" si="552"/>
        <v>961-96: Non-Professional Services (Not Otherwise Classified)</v>
      </c>
    </row>
    <row r="8697" spans="1:7" x14ac:dyDescent="0.25">
      <c r="A8697" s="1" t="str">
        <f t="shared" si="553"/>
        <v>961</v>
      </c>
      <c r="B8697" s="1" t="str">
        <f>TEXT(97,"00")</f>
        <v>97</v>
      </c>
      <c r="C8697" s="1" t="str">
        <f t="shared" si="551"/>
        <v>961-97</v>
      </c>
      <c r="D8697" t="s">
        <v>8665</v>
      </c>
      <c r="E8697" t="b">
        <f>IF(COUNTIF(D8697,"*"&amp;'Keyword Search'!$C$5&amp;"*"),TRUE,FALSE)</f>
        <v>1</v>
      </c>
      <c r="G8697" t="str">
        <f t="shared" si="552"/>
        <v>961-97: Yarn, Thread, and Related Notions Processing Services (Inactive, effective January 1, 2016)</v>
      </c>
    </row>
    <row r="8698" spans="1:7" x14ac:dyDescent="0.25">
      <c r="A8698" s="5" t="str">
        <f t="shared" ref="A8698:A8761" si="554">TEXT(962,"000")</f>
        <v>962</v>
      </c>
      <c r="B8698" s="5" t="str">
        <f>TEXT(0,"00")</f>
        <v>00</v>
      </c>
      <c r="C8698" s="1"/>
      <c r="D8698" s="2" t="s">
        <v>8666</v>
      </c>
    </row>
    <row r="8699" spans="1:7" x14ac:dyDescent="0.25">
      <c r="A8699" s="1" t="str">
        <f t="shared" si="554"/>
        <v>962</v>
      </c>
      <c r="B8699" s="1" t="str">
        <f>TEXT(3,"00")</f>
        <v>03</v>
      </c>
      <c r="C8699" s="1" t="str">
        <f t="shared" si="551"/>
        <v>962-03</v>
      </c>
      <c r="D8699" t="s">
        <v>8667</v>
      </c>
      <c r="E8699" t="b">
        <f>IF(COUNTIF(D8699,"*"&amp;'Keyword Search'!$C$5&amp;"*"),TRUE,FALSE)</f>
        <v>1</v>
      </c>
      <c r="G8699" t="str">
        <f t="shared" si="552"/>
        <v>962-03: Actor and Thespian Services (Inactive, please see commodity code 962-05 effective January 1, 2016)</v>
      </c>
    </row>
    <row r="8700" spans="1:7" x14ac:dyDescent="0.25">
      <c r="A8700" s="1" t="str">
        <f t="shared" si="554"/>
        <v>962</v>
      </c>
      <c r="B8700" s="1" t="str">
        <f>TEXT(4,"00")</f>
        <v>04</v>
      </c>
      <c r="C8700" s="1" t="str">
        <f t="shared" si="551"/>
        <v>962-04</v>
      </c>
      <c r="D8700" t="s">
        <v>8668</v>
      </c>
      <c r="E8700" t="b">
        <f>IF(COUNTIF(D8700,"*"&amp;'Keyword Search'!$C$5&amp;"*"),TRUE,FALSE)</f>
        <v>1</v>
      </c>
      <c r="G8700" t="str">
        <f t="shared" si="552"/>
        <v>962-04: Air Freshener Services (Inactive, effective January 1, 2016)</v>
      </c>
    </row>
    <row r="8701" spans="1:7" x14ac:dyDescent="0.25">
      <c r="A8701" s="1" t="str">
        <f t="shared" si="554"/>
        <v>962</v>
      </c>
      <c r="B8701" s="1" t="str">
        <f>TEXT(5,"00")</f>
        <v>05</v>
      </c>
      <c r="C8701" s="1" t="str">
        <f t="shared" si="551"/>
        <v>962-05</v>
      </c>
      <c r="D8701" t="s">
        <v>8669</v>
      </c>
      <c r="E8701" t="b">
        <f>IF(COUNTIF(D8701,"*"&amp;'Keyword Search'!$C$5&amp;"*"),TRUE,FALSE)</f>
        <v>1</v>
      </c>
      <c r="G8701" t="str">
        <f t="shared" si="552"/>
        <v>962-05: Amusement and Entertainment Services, Including Performing Arts Professionals and DJ Services</v>
      </c>
    </row>
    <row r="8702" spans="1:7" x14ac:dyDescent="0.25">
      <c r="A8702" s="1" t="str">
        <f t="shared" si="554"/>
        <v>962</v>
      </c>
      <c r="B8702" s="1" t="str">
        <f>TEXT(6,"00")</f>
        <v>06</v>
      </c>
      <c r="C8702" s="1" t="str">
        <f t="shared" si="551"/>
        <v>962-06</v>
      </c>
      <c r="D8702" t="s">
        <v>8670</v>
      </c>
      <c r="E8702" t="b">
        <f>IF(COUNTIF(D8702,"*"&amp;'Keyword Search'!$C$5&amp;"*"),TRUE,FALSE)</f>
        <v>1</v>
      </c>
      <c r="G8702" t="str">
        <f t="shared" si="552"/>
        <v>962-06: Animal Care, Animal Control, Animal Health, Animal Shelter, Animal Trapping, Animal Production (Breeding), Animal Training Services, etc., Including Pet Services, All Types</v>
      </c>
    </row>
    <row r="8703" spans="1:7" x14ac:dyDescent="0.25">
      <c r="A8703" s="1" t="str">
        <f t="shared" si="554"/>
        <v>962</v>
      </c>
      <c r="B8703" s="1" t="str">
        <f>TEXT(7,"00")</f>
        <v>07</v>
      </c>
      <c r="C8703" s="1" t="str">
        <f t="shared" si="551"/>
        <v>962-07</v>
      </c>
      <c r="D8703" t="s">
        <v>8671</v>
      </c>
      <c r="E8703" t="b">
        <f>IF(COUNTIF(D8703,"*"&amp;'Keyword Search'!$C$5&amp;"*"),TRUE,FALSE)</f>
        <v>1</v>
      </c>
      <c r="G8703" t="str">
        <f t="shared" si="552"/>
        <v>962-07: Arts Services, Cultural, Design, Visual, etc.(Inactive, please see commodity code 961-04 effective January 1, 2016)</v>
      </c>
    </row>
    <row r="8704" spans="1:7" x14ac:dyDescent="0.25">
      <c r="A8704" s="1" t="str">
        <f t="shared" si="554"/>
        <v>962</v>
      </c>
      <c r="B8704" s="1" t="str">
        <f>TEXT(8,"00")</f>
        <v>08</v>
      </c>
      <c r="C8704" s="1" t="str">
        <f t="shared" si="551"/>
        <v>962-08</v>
      </c>
      <c r="D8704" t="s">
        <v>8672</v>
      </c>
      <c r="E8704" t="b">
        <f>IF(COUNTIF(D8704,"*"&amp;'Keyword Search'!$C$5&amp;"*"),TRUE,FALSE)</f>
        <v>1</v>
      </c>
      <c r="G8704" t="str">
        <f t="shared" si="552"/>
        <v>962-08: Athletic Training (Inactive, please see commodity code 961-68 effective January 1, 2016)</v>
      </c>
    </row>
    <row r="8705" spans="1:7" x14ac:dyDescent="0.25">
      <c r="A8705" s="1" t="str">
        <f t="shared" si="554"/>
        <v>962</v>
      </c>
      <c r="B8705" s="1" t="str">
        <f>TEXT(9,"00")</f>
        <v>09</v>
      </c>
      <c r="C8705" s="1" t="str">
        <f t="shared" si="551"/>
        <v>962-09</v>
      </c>
      <c r="D8705" t="s">
        <v>8673</v>
      </c>
      <c r="E8705" t="b">
        <f>IF(COUNTIF(D8705,"*"&amp;'Keyword Search'!$C$5&amp;"*"),TRUE,FALSE)</f>
        <v>1</v>
      </c>
      <c r="G8705" t="str">
        <f t="shared" si="552"/>
        <v>962-09: Auctioneering Services, Including On-line and Reverse Auctions</v>
      </c>
    </row>
    <row r="8706" spans="1:7" x14ac:dyDescent="0.25">
      <c r="A8706" s="1" t="str">
        <f t="shared" si="554"/>
        <v>962</v>
      </c>
      <c r="B8706" s="1" t="str">
        <f>TEXT(10,"00")</f>
        <v>10</v>
      </c>
      <c r="C8706" s="1" t="str">
        <f t="shared" si="551"/>
        <v>962-10</v>
      </c>
      <c r="D8706" t="s">
        <v>8674</v>
      </c>
      <c r="E8706" t="b">
        <f>IF(COUNTIF(D8706,"*"&amp;'Keyword Search'!$C$5&amp;"*"),TRUE,FALSE)</f>
        <v>1</v>
      </c>
      <c r="G8706" t="str">
        <f t="shared" si="552"/>
        <v>962-10: Animal Trapping Services (Inactive, please see commodity code 962-06 effective January 1, 2016)</v>
      </c>
    </row>
    <row r="8707" spans="1:7" x14ac:dyDescent="0.25">
      <c r="A8707" s="1" t="str">
        <f t="shared" si="554"/>
        <v>962</v>
      </c>
      <c r="B8707" s="1" t="str">
        <f>TEXT(11,"00")</f>
        <v>11</v>
      </c>
      <c r="C8707" s="1" t="str">
        <f t="shared" ref="C8707:C8770" si="555">CONCATENATE(A8707,"-",B8707)</f>
        <v>962-11</v>
      </c>
      <c r="D8707" t="s">
        <v>8675</v>
      </c>
      <c r="E8707" t="b">
        <f>IF(COUNTIF(D8707,"*"&amp;'Keyword Search'!$C$5&amp;"*"),TRUE,FALSE)</f>
        <v>1</v>
      </c>
      <c r="G8707" t="str">
        <f t="shared" si="552"/>
        <v>962-11: Ballistic Testing</v>
      </c>
    </row>
    <row r="8708" spans="1:7" x14ac:dyDescent="0.25">
      <c r="A8708" s="1" t="str">
        <f t="shared" si="554"/>
        <v>962</v>
      </c>
      <c r="B8708" s="1" t="str">
        <f>TEXT(12,"00")</f>
        <v>12</v>
      </c>
      <c r="C8708" s="1" t="str">
        <f t="shared" si="555"/>
        <v>962-12</v>
      </c>
      <c r="D8708" t="s">
        <v>8676</v>
      </c>
      <c r="E8708" t="b">
        <f>IF(COUNTIF(D8708,"*"&amp;'Keyword Search'!$C$5&amp;"*"),TRUE,FALSE)</f>
        <v>1</v>
      </c>
      <c r="G8708" t="str">
        <f t="shared" ref="G8708:G8771" si="556">CONCATENATE(C8708,": ",D8708)</f>
        <v>962-12: Vehicle Sharing (Bike, Car, Scooter, etc) and Related Services</v>
      </c>
    </row>
    <row r="8709" spans="1:7" x14ac:dyDescent="0.25">
      <c r="A8709" s="1" t="str">
        <f t="shared" si="554"/>
        <v>962</v>
      </c>
      <c r="B8709" s="1" t="str">
        <f>TEXT(13,"00")</f>
        <v>13</v>
      </c>
      <c r="C8709" s="1" t="str">
        <f t="shared" si="555"/>
        <v>962-13</v>
      </c>
      <c r="D8709" t="s">
        <v>8677</v>
      </c>
      <c r="E8709" t="b">
        <f>IF(COUNTIF(D8709,"*"&amp;'Keyword Search'!$C$5&amp;"*"),TRUE,FALSE)</f>
        <v>1</v>
      </c>
      <c r="G8709" t="str">
        <f t="shared" si="556"/>
        <v>962-13: Hospitality Services (Inactive, please see commodity code 961-15 effective January 1, 2016)</v>
      </c>
    </row>
    <row r="8710" spans="1:7" x14ac:dyDescent="0.25">
      <c r="A8710" s="1" t="str">
        <f t="shared" si="554"/>
        <v>962</v>
      </c>
      <c r="B8710" s="1" t="str">
        <f>TEXT(14,"00")</f>
        <v>14</v>
      </c>
      <c r="C8710" s="1" t="str">
        <f t="shared" si="555"/>
        <v>962-14</v>
      </c>
      <c r="D8710" t="s">
        <v>8678</v>
      </c>
      <c r="E8710" t="b">
        <f>IF(COUNTIF(D8710,"*"&amp;'Keyword Search'!$C$5&amp;"*"),TRUE,FALSE)</f>
        <v>1</v>
      </c>
      <c r="G8710" t="str">
        <f t="shared" si="556"/>
        <v>962-14: Blue Printing Services: Blue Prints, Blue Line, Large Engineering</v>
      </c>
    </row>
    <row r="8711" spans="1:7" x14ac:dyDescent="0.25">
      <c r="A8711" s="1" t="str">
        <f t="shared" si="554"/>
        <v>962</v>
      </c>
      <c r="B8711" s="1" t="str">
        <f>TEXT(15,"00")</f>
        <v>15</v>
      </c>
      <c r="C8711" s="1" t="str">
        <f t="shared" si="555"/>
        <v>962-15</v>
      </c>
      <c r="D8711" t="s">
        <v>8679</v>
      </c>
      <c r="E8711" t="b">
        <f>IF(COUNTIF(D8711,"*"&amp;'Keyword Search'!$C$5&amp;"*"),TRUE,FALSE)</f>
        <v>1</v>
      </c>
      <c r="G8711" t="str">
        <f t="shared" si="556"/>
        <v>962-15: Bomb and Other Explosives Detection Services</v>
      </c>
    </row>
    <row r="8712" spans="1:7" x14ac:dyDescent="0.25">
      <c r="A8712" s="1" t="str">
        <f t="shared" si="554"/>
        <v>962</v>
      </c>
      <c r="B8712" s="1" t="str">
        <f>TEXT(16,"00")</f>
        <v>16</v>
      </c>
      <c r="C8712" s="1" t="str">
        <f t="shared" si="555"/>
        <v>962-16</v>
      </c>
      <c r="D8712" t="s">
        <v>8680</v>
      </c>
      <c r="E8712" t="b">
        <f>IF(COUNTIF(D8712,"*"&amp;'Keyword Search'!$C$5&amp;"*"),TRUE,FALSE)</f>
        <v>1</v>
      </c>
      <c r="G8712" t="str">
        <f t="shared" si="556"/>
        <v>962-16: Bus Transportation Services, School (Inactive, please see commodity code 961-13 effective January 1, 2016)</v>
      </c>
    </row>
    <row r="8713" spans="1:7" x14ac:dyDescent="0.25">
      <c r="A8713" s="1" t="str">
        <f t="shared" si="554"/>
        <v>962</v>
      </c>
      <c r="B8713" s="1" t="str">
        <f>TEXT(17,"00")</f>
        <v>17</v>
      </c>
      <c r="C8713" s="1" t="str">
        <f t="shared" si="555"/>
        <v>962-17</v>
      </c>
      <c r="D8713" t="s">
        <v>8681</v>
      </c>
      <c r="E8713" t="b">
        <f>IF(COUNTIF(D8713,"*"&amp;'Keyword Search'!$C$5&amp;"*"),TRUE,FALSE)</f>
        <v>1</v>
      </c>
      <c r="G8713" t="str">
        <f t="shared" si="556"/>
        <v>962-17: Bus, Taxi, Limousines and Van Transportation Services, Including Operations, Management, and Terminal Services (Inactive, please see commodity code 961-13 effective January 1, 2016)</v>
      </c>
    </row>
    <row r="8714" spans="1:7" x14ac:dyDescent="0.25">
      <c r="A8714" s="1" t="str">
        <f t="shared" si="554"/>
        <v>962</v>
      </c>
      <c r="B8714" s="1" t="str">
        <f>TEXT(18,"00")</f>
        <v>18</v>
      </c>
      <c r="C8714" s="1" t="str">
        <f t="shared" si="555"/>
        <v>962-18</v>
      </c>
      <c r="D8714" t="s">
        <v>8682</v>
      </c>
      <c r="E8714" t="b">
        <f>IF(COUNTIF(D8714,"*"&amp;'Keyword Search'!$C$5&amp;"*"),TRUE,FALSE)</f>
        <v>1</v>
      </c>
      <c r="G8714" t="str">
        <f t="shared" si="556"/>
        <v>962-18: *Cable Construction, Installation and Maintenance, Fiber Optic, Communication, Computer, etc.</v>
      </c>
    </row>
    <row r="8715" spans="1:7" x14ac:dyDescent="0.25">
      <c r="A8715" s="1" t="str">
        <f t="shared" si="554"/>
        <v>962</v>
      </c>
      <c r="B8715" s="1" t="str">
        <f>TEXT(19,"00")</f>
        <v>19</v>
      </c>
      <c r="C8715" s="1" t="str">
        <f t="shared" si="555"/>
        <v>962-19</v>
      </c>
      <c r="D8715" t="s">
        <v>8683</v>
      </c>
      <c r="E8715" t="b">
        <f>IF(COUNTIF(D8715,"*"&amp;'Keyword Search'!$C$5&amp;"*"),TRUE,FALSE)</f>
        <v>1</v>
      </c>
      <c r="G8715" t="str">
        <f t="shared" si="556"/>
        <v>962-19: Cafeteria and Restaurant Services</v>
      </c>
    </row>
    <row r="8716" spans="1:7" x14ac:dyDescent="0.25">
      <c r="A8716" s="1" t="str">
        <f t="shared" si="554"/>
        <v>962</v>
      </c>
      <c r="B8716" s="1" t="str">
        <f>TEXT(20,"00")</f>
        <v>20</v>
      </c>
      <c r="C8716" s="1" t="str">
        <f t="shared" si="555"/>
        <v>962-20</v>
      </c>
      <c r="D8716" t="s">
        <v>8684</v>
      </c>
      <c r="E8716" t="b">
        <f>IF(COUNTIF(D8716,"*"&amp;'Keyword Search'!$C$5&amp;"*"),TRUE,FALSE)</f>
        <v>1</v>
      </c>
      <c r="G8716" t="str">
        <f t="shared" si="556"/>
        <v>962-20: Cesspool Cleaning and Maintenance (Inactive, please see commodity code 910-63 effective January 1, 2016)</v>
      </c>
    </row>
    <row r="8717" spans="1:7" x14ac:dyDescent="0.25">
      <c r="A8717" s="1" t="str">
        <f t="shared" si="554"/>
        <v>962</v>
      </c>
      <c r="B8717" s="1" t="str">
        <f>TEXT(21,"00")</f>
        <v>21</v>
      </c>
      <c r="C8717" s="1" t="str">
        <f t="shared" si="555"/>
        <v>962-21</v>
      </c>
      <c r="D8717" t="s">
        <v>8685</v>
      </c>
      <c r="E8717" t="b">
        <f>IF(COUNTIF(D8717,"*"&amp;'Keyword Search'!$C$5&amp;"*"),TRUE,FALSE)</f>
        <v>1</v>
      </c>
      <c r="G8717" t="str">
        <f t="shared" si="556"/>
        <v>962-21: Cleaning Services, Steam and Pressure</v>
      </c>
    </row>
    <row r="8718" spans="1:7" x14ac:dyDescent="0.25">
      <c r="A8718" s="1" t="str">
        <f t="shared" si="554"/>
        <v>962</v>
      </c>
      <c r="B8718" s="1" t="str">
        <f>TEXT(22,"00")</f>
        <v>22</v>
      </c>
      <c r="C8718" s="1" t="str">
        <f t="shared" si="555"/>
        <v>962-22</v>
      </c>
      <c r="D8718" t="s">
        <v>8686</v>
      </c>
      <c r="E8718" t="b">
        <f>IF(COUNTIF(D8718,"*"&amp;'Keyword Search'!$C$5&amp;"*"),TRUE,FALSE)</f>
        <v>1</v>
      </c>
      <c r="G8718" t="str">
        <f t="shared" si="556"/>
        <v>962-22: Chemical Laboratory Services</v>
      </c>
    </row>
    <row r="8719" spans="1:7" x14ac:dyDescent="0.25">
      <c r="A8719" s="1" t="str">
        <f t="shared" si="554"/>
        <v>962</v>
      </c>
      <c r="B8719" s="1" t="str">
        <f>TEXT(23,"00")</f>
        <v>23</v>
      </c>
      <c r="C8719" s="1" t="str">
        <f t="shared" si="555"/>
        <v>962-23</v>
      </c>
      <c r="D8719" t="s">
        <v>8687</v>
      </c>
      <c r="E8719" t="b">
        <f>IF(COUNTIF(D8719,"*"&amp;'Keyword Search'!$C$5&amp;"*"),TRUE,FALSE)</f>
        <v>1</v>
      </c>
      <c r="G8719" t="str">
        <f t="shared" si="556"/>
        <v>962-23: Chemical Treatment of Boiler and Tower Water</v>
      </c>
    </row>
    <row r="8720" spans="1:7" x14ac:dyDescent="0.25">
      <c r="A8720" s="1" t="str">
        <f t="shared" si="554"/>
        <v>962</v>
      </c>
      <c r="B8720" s="1" t="str">
        <f>TEXT(24,"00")</f>
        <v>24</v>
      </c>
      <c r="C8720" s="1" t="str">
        <f t="shared" si="555"/>
        <v>962-24</v>
      </c>
      <c r="D8720" t="s">
        <v>8688</v>
      </c>
      <c r="E8720" t="b">
        <f>IF(COUNTIF(D8720,"*"&amp;'Keyword Search'!$C$5&amp;"*"),TRUE,FALSE)</f>
        <v>1</v>
      </c>
      <c r="G8720" t="str">
        <f t="shared" si="556"/>
        <v>962-24: Courier/Delivery Services, Including Air Courier Services)</v>
      </c>
    </row>
    <row r="8721" spans="1:7" x14ac:dyDescent="0.25">
      <c r="A8721" s="1" t="str">
        <f t="shared" si="554"/>
        <v>962</v>
      </c>
      <c r="B8721" s="1" t="str">
        <f>TEXT(25,"00")</f>
        <v>25</v>
      </c>
      <c r="C8721" s="1" t="str">
        <f t="shared" si="555"/>
        <v>962-25</v>
      </c>
      <c r="D8721" t="s">
        <v>8689</v>
      </c>
      <c r="E8721" t="b">
        <f>IF(COUNTIF(D8721,"*"&amp;'Keyword Search'!$C$5&amp;"*"),TRUE,FALSE)</f>
        <v>1</v>
      </c>
      <c r="G8721" t="str">
        <f t="shared" si="556"/>
        <v>962-25: Disposal and Removal, Dead Animals</v>
      </c>
    </row>
    <row r="8722" spans="1:7" x14ac:dyDescent="0.25">
      <c r="A8722" s="1" t="str">
        <f t="shared" si="554"/>
        <v>962</v>
      </c>
      <c r="B8722" s="1" t="str">
        <f>TEXT(26,"00")</f>
        <v>26</v>
      </c>
      <c r="C8722" s="1" t="str">
        <f t="shared" si="555"/>
        <v>962-26</v>
      </c>
      <c r="D8722" t="s">
        <v>8690</v>
      </c>
      <c r="E8722" t="b">
        <f>IF(COUNTIF(D8722,"*"&amp;'Keyword Search'!$C$5&amp;"*"),TRUE,FALSE)</f>
        <v>1</v>
      </c>
      <c r="G8722" t="str">
        <f t="shared" si="556"/>
        <v>962-26: Diving Services</v>
      </c>
    </row>
    <row r="8723" spans="1:7" x14ac:dyDescent="0.25">
      <c r="A8723" s="1" t="str">
        <f t="shared" si="554"/>
        <v>962</v>
      </c>
      <c r="B8723" s="1" t="str">
        <f>TEXT(27,"00")</f>
        <v>27</v>
      </c>
      <c r="C8723" s="1" t="str">
        <f t="shared" si="555"/>
        <v>962-27</v>
      </c>
      <c r="D8723" t="s">
        <v>8691</v>
      </c>
      <c r="E8723" t="b">
        <f>IF(COUNTIF(D8723,"*"&amp;'Keyword Search'!$C$5&amp;"*"),TRUE,FALSE)</f>
        <v>1</v>
      </c>
      <c r="G8723" t="str">
        <f t="shared" si="556"/>
        <v>962-27: Document Shredding Services</v>
      </c>
    </row>
    <row r="8724" spans="1:7" x14ac:dyDescent="0.25">
      <c r="A8724" s="1" t="str">
        <f t="shared" si="554"/>
        <v>962</v>
      </c>
      <c r="B8724" s="1" t="str">
        <f>TEXT(28,"00")</f>
        <v>28</v>
      </c>
      <c r="C8724" s="1" t="str">
        <f t="shared" si="555"/>
        <v>962-28</v>
      </c>
      <c r="D8724" t="s">
        <v>8692</v>
      </c>
      <c r="E8724" t="b">
        <f>IF(COUNTIF(D8724,"*"&amp;'Keyword Search'!$C$5&amp;"*"),TRUE,FALSE)</f>
        <v>1</v>
      </c>
      <c r="G8724" t="str">
        <f t="shared" si="556"/>
        <v>962-28: Dump Site Services, Resource Recovery</v>
      </c>
    </row>
    <row r="8725" spans="1:7" x14ac:dyDescent="0.25">
      <c r="A8725" s="1" t="str">
        <f t="shared" si="554"/>
        <v>962</v>
      </c>
      <c r="B8725" s="1" t="str">
        <f>TEXT(29,"00")</f>
        <v>29</v>
      </c>
      <c r="C8725" s="1" t="str">
        <f t="shared" si="555"/>
        <v>962-29</v>
      </c>
      <c r="D8725" t="s">
        <v>8693</v>
      </c>
      <c r="E8725" t="b">
        <f>IF(COUNTIF(D8725,"*"&amp;'Keyword Search'!$C$5&amp;"*"),TRUE,FALSE)</f>
        <v>1</v>
      </c>
      <c r="G8725" t="str">
        <f t="shared" si="556"/>
        <v>962-29: Distribution and Collection of Waste Food for Animals</v>
      </c>
    </row>
    <row r="8726" spans="1:7" x14ac:dyDescent="0.25">
      <c r="A8726" s="1" t="str">
        <f t="shared" si="554"/>
        <v>962</v>
      </c>
      <c r="B8726" s="1" t="str">
        <f>TEXT(30,"00")</f>
        <v>30</v>
      </c>
      <c r="C8726" s="1" t="str">
        <f t="shared" si="555"/>
        <v>962-30</v>
      </c>
      <c r="D8726" t="s">
        <v>8694</v>
      </c>
      <c r="E8726" t="b">
        <f>IF(COUNTIF(D8726,"*"&amp;'Keyword Search'!$C$5&amp;"*"),TRUE,FALSE)</f>
        <v>1</v>
      </c>
      <c r="G8726" t="str">
        <f t="shared" si="556"/>
        <v>962-30: Export/Import Services</v>
      </c>
    </row>
    <row r="8727" spans="1:7" x14ac:dyDescent="0.25">
      <c r="A8727" s="1" t="str">
        <f t="shared" si="554"/>
        <v>962</v>
      </c>
      <c r="B8727" s="1" t="str">
        <f>TEXT(31,"00")</f>
        <v>31</v>
      </c>
      <c r="C8727" s="1" t="str">
        <f t="shared" si="555"/>
        <v>962-31</v>
      </c>
      <c r="D8727" t="s">
        <v>8695</v>
      </c>
      <c r="E8727" t="b">
        <f>IF(COUNTIF(D8727,"*"&amp;'Keyword Search'!$C$5&amp;"*"),TRUE,FALSE)</f>
        <v>1</v>
      </c>
      <c r="G8727" t="str">
        <f t="shared" si="556"/>
        <v>962-31: Electrostatic Painting Services</v>
      </c>
    </row>
    <row r="8728" spans="1:7" x14ac:dyDescent="0.25">
      <c r="A8728" s="1" t="str">
        <f t="shared" si="554"/>
        <v>962</v>
      </c>
      <c r="B8728" s="1" t="str">
        <f>TEXT(32,"00")</f>
        <v>32</v>
      </c>
      <c r="C8728" s="1" t="str">
        <f t="shared" si="555"/>
        <v>962-32</v>
      </c>
      <c r="D8728" t="s">
        <v>8696</v>
      </c>
      <c r="E8728" t="b">
        <f>IF(COUNTIF(D8728,"*"&amp;'Keyword Search'!$C$5&amp;"*"),TRUE,FALSE)</f>
        <v>1</v>
      </c>
      <c r="G8728" t="str">
        <f t="shared" si="556"/>
        <v>962-32: Etching and Stained Glass Services</v>
      </c>
    </row>
    <row r="8729" spans="1:7" x14ac:dyDescent="0.25">
      <c r="A8729" s="1" t="str">
        <f t="shared" si="554"/>
        <v>962</v>
      </c>
      <c r="B8729" s="1" t="str">
        <f>TEXT(33,"00")</f>
        <v>33</v>
      </c>
      <c r="C8729" s="1" t="str">
        <f t="shared" si="555"/>
        <v>962-33</v>
      </c>
      <c r="D8729" t="s">
        <v>8697</v>
      </c>
      <c r="E8729" t="b">
        <f>IF(COUNTIF(D8729,"*"&amp;'Keyword Search'!$C$5&amp;"*"),TRUE,FALSE)</f>
        <v>1</v>
      </c>
      <c r="G8729" t="str">
        <f t="shared" si="556"/>
        <v>962-33: Engraving Services</v>
      </c>
    </row>
    <row r="8730" spans="1:7" x14ac:dyDescent="0.25">
      <c r="A8730" s="1" t="str">
        <f t="shared" si="554"/>
        <v>962</v>
      </c>
      <c r="B8730" s="1" t="str">
        <f>TEXT(34,"00")</f>
        <v>34</v>
      </c>
      <c r="C8730" s="1" t="str">
        <f t="shared" si="555"/>
        <v>962-34</v>
      </c>
      <c r="D8730" t="s">
        <v>8698</v>
      </c>
      <c r="E8730" t="b">
        <f>IF(COUNTIF(D8730,"*"&amp;'Keyword Search'!$C$5&amp;"*"),TRUE,FALSE)</f>
        <v>1</v>
      </c>
      <c r="G8730" t="str">
        <f t="shared" si="556"/>
        <v>962-34: Event Planning Services  (Inactive, please see commodity code 962-60 effective January 1, 2016)</v>
      </c>
    </row>
    <row r="8731" spans="1:7" x14ac:dyDescent="0.25">
      <c r="A8731" s="1" t="str">
        <f t="shared" si="554"/>
        <v>962</v>
      </c>
      <c r="B8731" s="1" t="str">
        <f>TEXT(35,"00")</f>
        <v>35</v>
      </c>
      <c r="C8731" s="1" t="str">
        <f t="shared" si="555"/>
        <v>962-35</v>
      </c>
      <c r="D8731" t="s">
        <v>8699</v>
      </c>
      <c r="E8731" t="b">
        <f>IF(COUNTIF(D8731,"*"&amp;'Keyword Search'!$C$5&amp;"*"),TRUE,FALSE)</f>
        <v>1</v>
      </c>
      <c r="G8731" t="str">
        <f t="shared" si="556"/>
        <v>962-35: Framing Services, Picture</v>
      </c>
    </row>
    <row r="8732" spans="1:7" x14ac:dyDescent="0.25">
      <c r="A8732" s="1" t="str">
        <f t="shared" si="554"/>
        <v>962</v>
      </c>
      <c r="B8732" s="1" t="str">
        <f>TEXT(36,"00")</f>
        <v>36</v>
      </c>
      <c r="C8732" s="1" t="str">
        <f t="shared" si="555"/>
        <v>962-36</v>
      </c>
      <c r="D8732" t="s">
        <v>8700</v>
      </c>
      <c r="E8732" t="b">
        <f>IF(COUNTIF(D8732,"*"&amp;'Keyword Search'!$C$5&amp;"*"),TRUE,FALSE)</f>
        <v>1</v>
      </c>
      <c r="G8732" t="str">
        <f t="shared" si="556"/>
        <v>962-36: Fireworks Display and Carnival Services</v>
      </c>
    </row>
    <row r="8733" spans="1:7" x14ac:dyDescent="0.25">
      <c r="A8733" s="1" t="str">
        <f t="shared" si="554"/>
        <v>962</v>
      </c>
      <c r="B8733" s="1" t="str">
        <f>TEXT(37,"00")</f>
        <v>37</v>
      </c>
      <c r="C8733" s="1" t="str">
        <f t="shared" si="555"/>
        <v>962-37</v>
      </c>
      <c r="D8733" t="s">
        <v>8701</v>
      </c>
      <c r="E8733" t="b">
        <f>IF(COUNTIF(D8733,"*"&amp;'Keyword Search'!$C$5&amp;"*"),TRUE,FALSE)</f>
        <v>1</v>
      </c>
      <c r="G8733" t="str">
        <f t="shared" si="556"/>
        <v>962-37: Flagpole Services</v>
      </c>
    </row>
    <row r="8734" spans="1:7" x14ac:dyDescent="0.25">
      <c r="A8734" s="1" t="str">
        <f t="shared" si="554"/>
        <v>962</v>
      </c>
      <c r="B8734" s="1" t="str">
        <f>TEXT(38,"00")</f>
        <v>38</v>
      </c>
      <c r="C8734" s="1" t="str">
        <f t="shared" si="555"/>
        <v>962-38</v>
      </c>
      <c r="D8734" t="s">
        <v>8702</v>
      </c>
      <c r="E8734" t="b">
        <f>IF(COUNTIF(D8734,"*"&amp;'Keyword Search'!$C$5&amp;"*"),TRUE,FALSE)</f>
        <v>1</v>
      </c>
      <c r="G8734" t="str">
        <f t="shared" si="556"/>
        <v>962-38: Galvanizing, Hot and Cold Dip; Plating Services</v>
      </c>
    </row>
    <row r="8735" spans="1:7" x14ac:dyDescent="0.25">
      <c r="A8735" s="1" t="str">
        <f t="shared" si="554"/>
        <v>962</v>
      </c>
      <c r="B8735" s="1" t="str">
        <f>TEXT(39,"00")</f>
        <v>39</v>
      </c>
      <c r="C8735" s="1" t="str">
        <f t="shared" si="555"/>
        <v>962-39</v>
      </c>
      <c r="D8735" t="s">
        <v>8703</v>
      </c>
      <c r="E8735" t="b">
        <f>IF(COUNTIF(D8735,"*"&amp;'Keyword Search'!$C$5&amp;"*"),TRUE,FALSE)</f>
        <v>1</v>
      </c>
      <c r="G8735" t="str">
        <f t="shared" si="556"/>
        <v>962-39: Hauling Services</v>
      </c>
    </row>
    <row r="8736" spans="1:7" x14ac:dyDescent="0.25">
      <c r="A8736" s="1" t="str">
        <f t="shared" si="554"/>
        <v>962</v>
      </c>
      <c r="B8736" s="1" t="str">
        <f>TEXT(40,"00")</f>
        <v>40</v>
      </c>
      <c r="C8736" s="1" t="str">
        <f t="shared" si="555"/>
        <v>962-40</v>
      </c>
      <c r="D8736" t="s">
        <v>8704</v>
      </c>
      <c r="E8736" t="b">
        <f>IF(COUNTIF(D8736,"*"&amp;'Keyword Search'!$C$5&amp;"*"),TRUE,FALSE)</f>
        <v>1</v>
      </c>
      <c r="G8736" t="str">
        <f t="shared" si="556"/>
        <v>962-40: Food Distribution Services</v>
      </c>
    </row>
    <row r="8737" spans="1:7" x14ac:dyDescent="0.25">
      <c r="A8737" s="1" t="str">
        <f t="shared" si="554"/>
        <v>962</v>
      </c>
      <c r="B8737" s="1" t="str">
        <f>TEXT(41,"00")</f>
        <v>41</v>
      </c>
      <c r="C8737" s="1" t="str">
        <f t="shared" si="555"/>
        <v>962-41</v>
      </c>
      <c r="D8737" t="s">
        <v>8705</v>
      </c>
      <c r="E8737" t="b">
        <f>IF(COUNTIF(D8737,"*"&amp;'Keyword Search'!$C$5&amp;"*"),TRUE,FALSE)</f>
        <v>1</v>
      </c>
      <c r="G8737" t="str">
        <f t="shared" si="556"/>
        <v>962-41: Heat Treating and Tracing Services, Including Induction and Refractory Dryout</v>
      </c>
    </row>
    <row r="8738" spans="1:7" x14ac:dyDescent="0.25">
      <c r="A8738" s="1" t="str">
        <f t="shared" si="554"/>
        <v>962</v>
      </c>
      <c r="B8738" s="1" t="str">
        <f>TEXT(42,"00")</f>
        <v>42</v>
      </c>
      <c r="C8738" s="1" t="str">
        <f t="shared" si="555"/>
        <v>962-42</v>
      </c>
      <c r="D8738" t="s">
        <v>8706</v>
      </c>
      <c r="E8738" t="b">
        <f>IF(COUNTIF(D8738,"*"&amp;'Keyword Search'!$C$5&amp;"*"),TRUE,FALSE)</f>
        <v>1</v>
      </c>
      <c r="G8738" t="str">
        <f t="shared" si="556"/>
        <v>962-42: Heating and Related Services, Induction (Inactive, please see commodity code 962-41 effective January 1, 2016)</v>
      </c>
    </row>
    <row r="8739" spans="1:7" x14ac:dyDescent="0.25">
      <c r="A8739" s="1" t="str">
        <f t="shared" si="554"/>
        <v>962</v>
      </c>
      <c r="B8739" s="1" t="str">
        <f>TEXT(43,"00")</f>
        <v>43</v>
      </c>
      <c r="C8739" s="1" t="str">
        <f t="shared" si="555"/>
        <v>962-43</v>
      </c>
      <c r="D8739" t="s">
        <v>8707</v>
      </c>
      <c r="E8739" t="b">
        <f>IF(COUNTIF(D8739,"*"&amp;'Keyword Search'!$C$5&amp;"*"),TRUE,FALSE)</f>
        <v>1</v>
      </c>
      <c r="G8739" t="str">
        <f t="shared" si="556"/>
        <v>962-43: Hose Testing Services, Fire, Water, etc.</v>
      </c>
    </row>
    <row r="8740" spans="1:7" x14ac:dyDescent="0.25">
      <c r="A8740" s="1" t="str">
        <f t="shared" si="554"/>
        <v>962</v>
      </c>
      <c r="B8740" s="1" t="str">
        <f>TEXT(44,"00")</f>
        <v>44</v>
      </c>
      <c r="C8740" s="1" t="str">
        <f t="shared" si="555"/>
        <v>962-44</v>
      </c>
      <c r="D8740" t="s">
        <v>8708</v>
      </c>
      <c r="E8740" t="b">
        <f>IF(COUNTIF(D8740,"*"&amp;'Keyword Search'!$C$5&amp;"*"),TRUE,FALSE)</f>
        <v>1</v>
      </c>
      <c r="G8740" t="str">
        <f t="shared" si="556"/>
        <v>962-44: Hat Renovation and Reblocking Services, Including Hat Cleaning Service (Inactive, please see commodity code 954-04 effective January 1, 2016)</v>
      </c>
    </row>
    <row r="8741" spans="1:7" x14ac:dyDescent="0.25">
      <c r="A8741" s="1" t="str">
        <f t="shared" si="554"/>
        <v>962</v>
      </c>
      <c r="B8741" s="1" t="str">
        <f>TEXT(45,"00")</f>
        <v>45</v>
      </c>
      <c r="C8741" s="1" t="str">
        <f t="shared" si="555"/>
        <v>962-45</v>
      </c>
      <c r="D8741" t="s">
        <v>8709</v>
      </c>
      <c r="E8741" t="b">
        <f>IF(COUNTIF(D8741,"*"&amp;'Keyword Search'!$C$5&amp;"*"),TRUE,FALSE)</f>
        <v>1</v>
      </c>
      <c r="G8741" t="str">
        <f t="shared" si="556"/>
        <v>962-45: Industrial Services, Electroplating, etc., (Not Otherwise Classified)</v>
      </c>
    </row>
    <row r="8742" spans="1:7" x14ac:dyDescent="0.25">
      <c r="A8742" s="1" t="str">
        <f t="shared" si="554"/>
        <v>962</v>
      </c>
      <c r="B8742" s="1" t="str">
        <f>TEXT(46,"00")</f>
        <v>46</v>
      </c>
      <c r="C8742" s="1" t="str">
        <f t="shared" si="555"/>
        <v>962-46</v>
      </c>
      <c r="D8742" t="s">
        <v>8710</v>
      </c>
      <c r="E8742" t="b">
        <f>IF(COUNTIF(D8742,"*"&amp;'Keyword Search'!$C$5&amp;"*"),TRUE,FALSE)</f>
        <v>1</v>
      </c>
      <c r="G8742" t="str">
        <f t="shared" si="556"/>
        <v>962-46: Installation and Removal Services (Not Otherwise Classified)</v>
      </c>
    </row>
    <row r="8743" spans="1:7" x14ac:dyDescent="0.25">
      <c r="A8743" s="1" t="str">
        <f t="shared" si="554"/>
        <v>962</v>
      </c>
      <c r="B8743" s="1" t="str">
        <f>TEXT(47,"00")</f>
        <v>47</v>
      </c>
      <c r="C8743" s="1" t="str">
        <f t="shared" si="555"/>
        <v>962-47</v>
      </c>
      <c r="D8743" t="s">
        <v>8711</v>
      </c>
      <c r="E8743" t="b">
        <f>IF(COUNTIF(D8743,"*"&amp;'Keyword Search'!$C$5&amp;"*"),TRUE,FALSE)</f>
        <v>1</v>
      </c>
      <c r="G8743" t="str">
        <f t="shared" si="556"/>
        <v>962-47: Hoisting and Lifting Services (Inactive, effective January 1, 2016)</v>
      </c>
    </row>
    <row r="8744" spans="1:7" x14ac:dyDescent="0.25">
      <c r="A8744" s="1" t="str">
        <f t="shared" si="554"/>
        <v>962</v>
      </c>
      <c r="B8744" s="1" t="str">
        <f>TEXT(48,"00")</f>
        <v>48</v>
      </c>
      <c r="C8744" s="1" t="str">
        <f t="shared" si="555"/>
        <v>962-48</v>
      </c>
      <c r="D8744" t="s">
        <v>8712</v>
      </c>
      <c r="E8744" t="b">
        <f>IF(COUNTIF(D8744,"*"&amp;'Keyword Search'!$C$5&amp;"*"),TRUE,FALSE)</f>
        <v>1</v>
      </c>
      <c r="G8744" t="str">
        <f t="shared" si="556"/>
        <v>962-48: Interior Design (Inactive, please see commodity code 906-52 effective January 1, 2016)</v>
      </c>
    </row>
    <row r="8745" spans="1:7" x14ac:dyDescent="0.25">
      <c r="A8745" s="1" t="str">
        <f t="shared" si="554"/>
        <v>962</v>
      </c>
      <c r="B8745" s="1" t="str">
        <f>TEXT(49,"00")</f>
        <v>49</v>
      </c>
      <c r="C8745" s="1" t="str">
        <f t="shared" si="555"/>
        <v>962-49</v>
      </c>
      <c r="D8745" t="s">
        <v>8713</v>
      </c>
      <c r="E8745" t="b">
        <f>IF(COUNTIF(D8745,"*"&amp;'Keyword Search'!$C$5&amp;"*"),TRUE,FALSE)</f>
        <v>1</v>
      </c>
      <c r="G8745" t="str">
        <f t="shared" si="556"/>
        <v>962-49: Leather Tanning and Finishing Services</v>
      </c>
    </row>
    <row r="8746" spans="1:7" x14ac:dyDescent="0.25">
      <c r="A8746" s="1" t="str">
        <f t="shared" si="554"/>
        <v>962</v>
      </c>
      <c r="B8746" s="1" t="str">
        <f>TEXT(50,"00")</f>
        <v>50</v>
      </c>
      <c r="C8746" s="1" t="str">
        <f t="shared" si="555"/>
        <v>962-50</v>
      </c>
      <c r="D8746" t="s">
        <v>8714</v>
      </c>
      <c r="E8746" t="b">
        <f>IF(COUNTIF(D8746,"*"&amp;'Keyword Search'!$C$5&amp;"*"),TRUE,FALSE)</f>
        <v>1</v>
      </c>
      <c r="G8746" t="str">
        <f t="shared" si="556"/>
        <v>962-50: Leak Detection Services: Gas, Water, Chemical</v>
      </c>
    </row>
    <row r="8747" spans="1:7" x14ac:dyDescent="0.25">
      <c r="A8747" s="1" t="str">
        <f t="shared" si="554"/>
        <v>962</v>
      </c>
      <c r="B8747" s="1" t="str">
        <f>TEXT(51,"00")</f>
        <v>51</v>
      </c>
      <c r="C8747" s="1" t="str">
        <f t="shared" si="555"/>
        <v>962-51</v>
      </c>
      <c r="D8747" t="s">
        <v>8715</v>
      </c>
      <c r="E8747" t="b">
        <f>IF(COUNTIF(D8747,"*"&amp;'Keyword Search'!$C$5&amp;"*"),TRUE,FALSE)</f>
        <v>1</v>
      </c>
      <c r="G8747" t="str">
        <f t="shared" si="556"/>
        <v>962-51: Laminating Services</v>
      </c>
    </row>
    <row r="8748" spans="1:7" x14ac:dyDescent="0.25">
      <c r="A8748" s="1" t="str">
        <f t="shared" si="554"/>
        <v>962</v>
      </c>
      <c r="B8748" s="1" t="str">
        <f>TEXT(52,"00")</f>
        <v>52</v>
      </c>
      <c r="C8748" s="1" t="str">
        <f t="shared" si="555"/>
        <v>962-52</v>
      </c>
      <c r="D8748" t="s">
        <v>8716</v>
      </c>
      <c r="E8748" t="b">
        <f>IF(COUNTIF(D8748,"*"&amp;'Keyword Search'!$C$5&amp;"*"),TRUE,FALSE)</f>
        <v>1</v>
      </c>
      <c r="G8748" t="str">
        <f t="shared" si="556"/>
        <v>962-52: Mapping and Geographical Information Systems (GIS) Services, Including Cartography and Surveying Services, Not Aerial, (See 920-33 for Digitized Mapping Services and 905-10 for Aerial Mapping and Survey Services)</v>
      </c>
    </row>
    <row r="8749" spans="1:7" x14ac:dyDescent="0.25">
      <c r="A8749" s="1" t="str">
        <f t="shared" si="554"/>
        <v>962</v>
      </c>
      <c r="B8749" s="1" t="str">
        <f>TEXT(53,"00")</f>
        <v>53</v>
      </c>
      <c r="C8749" s="1" t="str">
        <f t="shared" si="555"/>
        <v>962-53</v>
      </c>
      <c r="D8749" t="s">
        <v>8717</v>
      </c>
      <c r="E8749" t="b">
        <f>IF(COUNTIF(D8749,"*"&amp;'Keyword Search'!$C$5&amp;"*"),TRUE,FALSE)</f>
        <v>1</v>
      </c>
      <c r="G8749" t="str">
        <f t="shared" si="556"/>
        <v>962-53: Marking and Stenciling Services</v>
      </c>
    </row>
    <row r="8750" spans="1:7" x14ac:dyDescent="0.25">
      <c r="A8750" s="1" t="str">
        <f t="shared" si="554"/>
        <v>962</v>
      </c>
      <c r="B8750" s="1" t="str">
        <f>TEXT(54,"00")</f>
        <v>54</v>
      </c>
      <c r="C8750" s="1" t="str">
        <f t="shared" si="555"/>
        <v>962-54</v>
      </c>
      <c r="D8750" t="s">
        <v>8718</v>
      </c>
      <c r="E8750" t="b">
        <f>IF(COUNTIF(D8750,"*"&amp;'Keyword Search'!$C$5&amp;"*"),TRUE,FALSE)</f>
        <v>1</v>
      </c>
      <c r="G8750" t="str">
        <f t="shared" si="556"/>
        <v>962-54: Mattress and Bedspring Renovation and Repair</v>
      </c>
    </row>
    <row r="8751" spans="1:7" x14ac:dyDescent="0.25">
      <c r="A8751" s="1" t="str">
        <f t="shared" si="554"/>
        <v>962</v>
      </c>
      <c r="B8751" s="1" t="str">
        <f>TEXT(55,"00")</f>
        <v>55</v>
      </c>
      <c r="C8751" s="1" t="str">
        <f t="shared" si="555"/>
        <v>962-55</v>
      </c>
      <c r="D8751" t="s">
        <v>8719</v>
      </c>
      <c r="E8751" t="b">
        <f>IF(COUNTIF(D8751,"*"&amp;'Keyword Search'!$C$5&amp;"*"),TRUE,FALSE)</f>
        <v>1</v>
      </c>
      <c r="G8751" t="str">
        <f t="shared" si="556"/>
        <v>962-55: Metal Coating Services: Thermal Spray, High Velocity Oxy-Fuel (H.V.O.F.), Powder Coating</v>
      </c>
    </row>
    <row r="8752" spans="1:7" x14ac:dyDescent="0.25">
      <c r="A8752" s="1" t="str">
        <f t="shared" si="554"/>
        <v>962</v>
      </c>
      <c r="B8752" s="1" t="str">
        <f>TEXT(56,"00")</f>
        <v>56</v>
      </c>
      <c r="C8752" s="1" t="str">
        <f t="shared" si="555"/>
        <v>962-56</v>
      </c>
      <c r="D8752" t="s">
        <v>8720</v>
      </c>
      <c r="E8752" t="b">
        <f>IF(COUNTIF(D8752,"*"&amp;'Keyword Search'!$C$5&amp;"*"),TRUE,FALSE)</f>
        <v>1</v>
      </c>
      <c r="G8752" t="str">
        <f t="shared" si="556"/>
        <v>962-56: Moving and Relocation Services</v>
      </c>
    </row>
    <row r="8753" spans="1:7" x14ac:dyDescent="0.25">
      <c r="A8753" s="1" t="str">
        <f t="shared" si="554"/>
        <v>962</v>
      </c>
      <c r="B8753" s="1" t="str">
        <f>TEXT(57,"00")</f>
        <v>57</v>
      </c>
      <c r="C8753" s="1" t="str">
        <f t="shared" si="555"/>
        <v>962-57</v>
      </c>
      <c r="D8753" t="s">
        <v>8721</v>
      </c>
      <c r="E8753" t="b">
        <f>IF(COUNTIF(D8753,"*"&amp;'Keyword Search'!$C$5&amp;"*"),TRUE,FALSE)</f>
        <v>1</v>
      </c>
      <c r="G8753" t="str">
        <f t="shared" si="556"/>
        <v>962-57: Moving: House, Portable Building, etc.</v>
      </c>
    </row>
    <row r="8754" spans="1:7" x14ac:dyDescent="0.25">
      <c r="A8754" s="1" t="str">
        <f t="shared" si="554"/>
        <v>962</v>
      </c>
      <c r="B8754" s="1" t="str">
        <f>TEXT(58,"00")</f>
        <v>58</v>
      </c>
      <c r="C8754" s="1" t="str">
        <f t="shared" si="555"/>
        <v>962-58</v>
      </c>
      <c r="D8754" t="s">
        <v>8722</v>
      </c>
      <c r="E8754" t="b">
        <f>IF(COUNTIF(D8754,"*"&amp;'Keyword Search'!$C$5&amp;"*"),TRUE,FALSE)</f>
        <v>1</v>
      </c>
      <c r="G8754" t="str">
        <f t="shared" si="556"/>
        <v>962-58: Professional Services (Not Otherwise Classified)</v>
      </c>
    </row>
    <row r="8755" spans="1:7" x14ac:dyDescent="0.25">
      <c r="A8755" s="1" t="str">
        <f t="shared" si="554"/>
        <v>962</v>
      </c>
      <c r="B8755" s="1" t="str">
        <f>TEXT(59,"00")</f>
        <v>59</v>
      </c>
      <c r="C8755" s="1" t="str">
        <f t="shared" si="555"/>
        <v>962-59</v>
      </c>
      <c r="D8755" t="s">
        <v>8723</v>
      </c>
      <c r="E8755" t="b">
        <f>IF(COUNTIF(D8755,"*"&amp;'Keyword Search'!$C$5&amp;"*"),TRUE,FALSE)</f>
        <v>1</v>
      </c>
      <c r="G8755" t="str">
        <f t="shared" si="556"/>
        <v>962-59: Processing Services, Food (Not Otherwise Classified in Classes 961 or 962) (Inactive, please see commodity code 961-38 effective January 1, 2016)</v>
      </c>
    </row>
    <row r="8756" spans="1:7" x14ac:dyDescent="0.25">
      <c r="A8756" s="1" t="str">
        <f t="shared" si="554"/>
        <v>962</v>
      </c>
      <c r="B8756" s="1" t="str">
        <f>TEXT(60,"00")</f>
        <v>60</v>
      </c>
      <c r="C8756" s="1" t="str">
        <f t="shared" si="555"/>
        <v>962-60</v>
      </c>
      <c r="D8756" t="s">
        <v>8724</v>
      </c>
      <c r="E8756" t="b">
        <f>IF(COUNTIF(D8756,"*"&amp;'Keyword Search'!$C$5&amp;"*"),TRUE,FALSE)</f>
        <v>1</v>
      </c>
      <c r="G8756" t="str">
        <f t="shared" si="556"/>
        <v>962-60: Party, Holiday, and Event Decorating and Planning Services</v>
      </c>
    </row>
    <row r="8757" spans="1:7" x14ac:dyDescent="0.25">
      <c r="A8757" s="1" t="str">
        <f t="shared" si="554"/>
        <v>962</v>
      </c>
      <c r="B8757" s="1" t="str">
        <f>TEXT(61,"00")</f>
        <v>61</v>
      </c>
      <c r="C8757" s="1" t="str">
        <f t="shared" si="555"/>
        <v>962-61</v>
      </c>
      <c r="D8757" t="s">
        <v>8725</v>
      </c>
      <c r="E8757" t="b">
        <f>IF(COUNTIF(D8757,"*"&amp;'Keyword Search'!$C$5&amp;"*"),TRUE,FALSE)</f>
        <v>1</v>
      </c>
      <c r="G8757" t="str">
        <f t="shared" si="556"/>
        <v>962-61: Petroleum Production, Refining, Transmission, and Distribution Services for Oil and Gas Wells, (Including Drilling, Exploration, Extraction, Project Management, etc.</v>
      </c>
    </row>
    <row r="8758" spans="1:7" x14ac:dyDescent="0.25">
      <c r="A8758" s="1" t="str">
        <f t="shared" si="554"/>
        <v>962</v>
      </c>
      <c r="B8758" s="1" t="str">
        <f>TEXT(62,"00")</f>
        <v>62</v>
      </c>
      <c r="C8758" s="1" t="str">
        <f t="shared" si="555"/>
        <v>962-62</v>
      </c>
      <c r="D8758" t="s">
        <v>8726</v>
      </c>
      <c r="E8758" t="b">
        <f>IF(COUNTIF(D8758,"*"&amp;'Keyword Search'!$C$5&amp;"*"),TRUE,FALSE)</f>
        <v>1</v>
      </c>
      <c r="G8758" t="str">
        <f t="shared" si="556"/>
        <v>962-62: Pneumatic Tube, Maintenance and Repair</v>
      </c>
    </row>
    <row r="8759" spans="1:7" x14ac:dyDescent="0.25">
      <c r="A8759" s="1" t="str">
        <f t="shared" si="554"/>
        <v>962</v>
      </c>
      <c r="B8759" s="1" t="str">
        <f>TEXT(63,"00")</f>
        <v>63</v>
      </c>
      <c r="C8759" s="1" t="str">
        <f t="shared" si="555"/>
        <v>962-63</v>
      </c>
      <c r="D8759" t="s">
        <v>8727</v>
      </c>
      <c r="E8759" t="b">
        <f>IF(COUNTIF(D8759,"*"&amp;'Keyword Search'!$C$5&amp;"*"),TRUE,FALSE)</f>
        <v>1</v>
      </c>
      <c r="G8759" t="str">
        <f t="shared" si="556"/>
        <v>962-63: Piano Tuning and Repair Services (Inactive, please see commodity code 931-58 effective January 1, 2016)</v>
      </c>
    </row>
    <row r="8760" spans="1:7" x14ac:dyDescent="0.25">
      <c r="A8760" s="1" t="str">
        <f t="shared" si="554"/>
        <v>962</v>
      </c>
      <c r="B8760" s="1" t="str">
        <f>TEXT(64,"00")</f>
        <v>64</v>
      </c>
      <c r="C8760" s="1" t="str">
        <f t="shared" si="555"/>
        <v>962-64</v>
      </c>
      <c r="D8760" t="s">
        <v>8728</v>
      </c>
      <c r="E8760" t="b">
        <f>IF(COUNTIF(D8760,"*"&amp;'Keyword Search'!$C$5&amp;"*"),TRUE,FALSE)</f>
        <v>1</v>
      </c>
      <c r="G8760" t="str">
        <f t="shared" si="556"/>
        <v>962-64: Packaging and Wrapping Services, Including Shrink Wrapping (Inactive, please see commodity code 961-26 effective January 1, 2016)</v>
      </c>
    </row>
    <row r="8761" spans="1:7" x14ac:dyDescent="0.25">
      <c r="A8761" s="1" t="str">
        <f t="shared" si="554"/>
        <v>962</v>
      </c>
      <c r="B8761" s="1" t="str">
        <f>TEXT(65,"00")</f>
        <v>65</v>
      </c>
      <c r="C8761" s="1" t="str">
        <f t="shared" si="555"/>
        <v>962-65</v>
      </c>
      <c r="D8761" t="s">
        <v>8729</v>
      </c>
      <c r="E8761" t="b">
        <f>IF(COUNTIF(D8761,"*"&amp;'Keyword Search'!$C$5&amp;"*"),TRUE,FALSE)</f>
        <v>1</v>
      </c>
      <c r="G8761" t="str">
        <f t="shared" si="556"/>
        <v>962-65: Protection Services, Not Including Buildings (Inactive, please see commodity code 990-46 effective January 1, 2016)</v>
      </c>
    </row>
    <row r="8762" spans="1:7" x14ac:dyDescent="0.25">
      <c r="A8762" s="1" t="str">
        <f t="shared" ref="A8762:A8793" si="557">TEXT(962,"000")</f>
        <v>962</v>
      </c>
      <c r="B8762" s="1" t="str">
        <f>TEXT(66,"00")</f>
        <v>66</v>
      </c>
      <c r="C8762" s="1" t="str">
        <f t="shared" si="555"/>
        <v>962-66</v>
      </c>
      <c r="D8762" t="s">
        <v>8730</v>
      </c>
      <c r="E8762" t="b">
        <f>IF(COUNTIF(D8762,"*"&amp;'Keyword Search'!$C$5&amp;"*"),TRUE,FALSE)</f>
        <v>1</v>
      </c>
      <c r="G8762" t="str">
        <f t="shared" si="556"/>
        <v>962-66: Petroleum Refining Services (Inactive, please see commodity code 962-61 effective January 1, 2016)</v>
      </c>
    </row>
    <row r="8763" spans="1:7" x14ac:dyDescent="0.25">
      <c r="A8763" s="1" t="str">
        <f t="shared" si="557"/>
        <v>962</v>
      </c>
      <c r="B8763" s="1" t="str">
        <f>TEXT(67,"00")</f>
        <v>67</v>
      </c>
      <c r="C8763" s="1" t="str">
        <f t="shared" si="555"/>
        <v>962-67</v>
      </c>
      <c r="D8763" t="s">
        <v>8731</v>
      </c>
      <c r="E8763" t="b">
        <f>IF(COUNTIF(D8763,"*"&amp;'Keyword Search'!$C$5&amp;"*"),TRUE,FALSE)</f>
        <v>1</v>
      </c>
      <c r="G8763" t="str">
        <f t="shared" si="556"/>
        <v>962-67: Purification Services for Contaminated Petroleum Products (Inactive, please see commodity code 962-61 effective January 1, 2016)</v>
      </c>
    </row>
    <row r="8764" spans="1:7" x14ac:dyDescent="0.25">
      <c r="A8764" s="1" t="str">
        <f t="shared" si="557"/>
        <v>962</v>
      </c>
      <c r="B8764" s="1" t="str">
        <f>TEXT(68,"00")</f>
        <v>68</v>
      </c>
      <c r="C8764" s="1" t="str">
        <f t="shared" si="555"/>
        <v>962-68</v>
      </c>
      <c r="D8764" t="s">
        <v>8732</v>
      </c>
      <c r="E8764" t="b">
        <f>IF(COUNTIF(D8764,"*"&amp;'Keyword Search'!$C$5&amp;"*"),TRUE,FALSE)</f>
        <v>1</v>
      </c>
      <c r="G8764" t="str">
        <f t="shared" si="556"/>
        <v>962-68: Removal of Wood, Wood Chips, Bark, etc.</v>
      </c>
    </row>
    <row r="8765" spans="1:7" x14ac:dyDescent="0.25">
      <c r="A8765" s="1" t="str">
        <f t="shared" si="557"/>
        <v>962</v>
      </c>
      <c r="B8765" s="1" t="str">
        <f>TEXT(69,"00")</f>
        <v>69</v>
      </c>
      <c r="C8765" s="1" t="str">
        <f t="shared" si="555"/>
        <v>962-69</v>
      </c>
      <c r="D8765" t="s">
        <v>8733</v>
      </c>
      <c r="E8765" t="b">
        <f>IF(COUNTIF(D8765,"*"&amp;'Keyword Search'!$C$5&amp;"*"),TRUE,FALSE)</f>
        <v>1</v>
      </c>
      <c r="G8765" t="str">
        <f t="shared" si="556"/>
        <v>962-69: *Personnel Services, Temporary</v>
      </c>
    </row>
    <row r="8766" spans="1:7" x14ac:dyDescent="0.25">
      <c r="A8766" s="1" t="str">
        <f t="shared" si="557"/>
        <v>962</v>
      </c>
      <c r="B8766" s="1" t="str">
        <f>TEXT(70,"00")</f>
        <v>70</v>
      </c>
      <c r="C8766" s="1" t="str">
        <f t="shared" si="555"/>
        <v>962-70</v>
      </c>
      <c r="D8766" t="s">
        <v>8734</v>
      </c>
      <c r="E8766" t="b">
        <f>IF(COUNTIF(D8766,"*"&amp;'Keyword Search'!$C$5&amp;"*"),TRUE,FALSE)</f>
        <v>1</v>
      </c>
      <c r="G8766" t="str">
        <f t="shared" si="556"/>
        <v>962-70: Removal and Pickup of Dead Bodies</v>
      </c>
    </row>
    <row r="8767" spans="1:7" x14ac:dyDescent="0.25">
      <c r="A8767" s="1" t="str">
        <f t="shared" si="557"/>
        <v>962</v>
      </c>
      <c r="B8767" s="1" t="str">
        <f>TEXT(71,"00")</f>
        <v>71</v>
      </c>
      <c r="C8767" s="1" t="str">
        <f t="shared" si="555"/>
        <v>962-71</v>
      </c>
      <c r="D8767" t="s">
        <v>8735</v>
      </c>
      <c r="E8767" t="b">
        <f>IF(COUNTIF(D8767,"*"&amp;'Keyword Search'!$C$5&amp;"*"),TRUE,FALSE)</f>
        <v>1</v>
      </c>
      <c r="G8767" t="str">
        <f t="shared" si="556"/>
        <v>962-71: Religious Services</v>
      </c>
    </row>
    <row r="8768" spans="1:7" x14ac:dyDescent="0.25">
      <c r="A8768" s="1" t="str">
        <f t="shared" si="557"/>
        <v>962</v>
      </c>
      <c r="B8768" s="1" t="str">
        <f>TEXT(72,"00")</f>
        <v>72</v>
      </c>
      <c r="C8768" s="1" t="str">
        <f t="shared" si="555"/>
        <v>962-72</v>
      </c>
      <c r="D8768" t="s">
        <v>8736</v>
      </c>
      <c r="E8768" t="b">
        <f>IF(COUNTIF(D8768,"*"&amp;'Keyword Search'!$C$5&amp;"*"),TRUE,FALSE)</f>
        <v>1</v>
      </c>
      <c r="G8768" t="str">
        <f t="shared" si="556"/>
        <v>962-72: Restoration and Preservation Services: Antiques, Costumes, Paintings, and Other Objects</v>
      </c>
    </row>
    <row r="8769" spans="1:7" x14ac:dyDescent="0.25">
      <c r="A8769" s="1" t="str">
        <f t="shared" si="557"/>
        <v>962</v>
      </c>
      <c r="B8769" s="1" t="str">
        <f>TEXT(73,"00")</f>
        <v>73</v>
      </c>
      <c r="C8769" s="1" t="str">
        <f t="shared" si="555"/>
        <v>962-73</v>
      </c>
      <c r="D8769" t="s">
        <v>8737</v>
      </c>
      <c r="E8769" t="b">
        <f>IF(COUNTIF(D8769,"*"&amp;'Keyword Search'!$C$5&amp;"*"),TRUE,FALSE)</f>
        <v>1</v>
      </c>
      <c r="G8769" t="str">
        <f t="shared" si="556"/>
        <v>962-73: Restoration and Reclamation Services: Land and Other Properties</v>
      </c>
    </row>
    <row r="8770" spans="1:7" x14ac:dyDescent="0.25">
      <c r="A8770" s="1" t="str">
        <f t="shared" si="557"/>
        <v>962</v>
      </c>
      <c r="B8770" s="1" t="str">
        <f>TEXT(74,"00")</f>
        <v>74</v>
      </c>
      <c r="C8770" s="1" t="str">
        <f t="shared" si="555"/>
        <v>962-74</v>
      </c>
      <c r="D8770" t="s">
        <v>8738</v>
      </c>
      <c r="E8770" t="b">
        <f>IF(COUNTIF(D8770,"*"&amp;'Keyword Search'!$C$5&amp;"*"),TRUE,FALSE)</f>
        <v>1</v>
      </c>
      <c r="G8770" t="str">
        <f t="shared" si="556"/>
        <v>962-74: Ribbons, Re-Inking (Inactive, effective January 1, 2016)</v>
      </c>
    </row>
    <row r="8771" spans="1:7" x14ac:dyDescent="0.25">
      <c r="A8771" s="1" t="str">
        <f t="shared" si="557"/>
        <v>962</v>
      </c>
      <c r="B8771" s="1" t="str">
        <f>TEXT(75,"00")</f>
        <v>75</v>
      </c>
      <c r="C8771" s="1" t="str">
        <f t="shared" ref="C8771:C8834" si="558">CONCATENATE(A8771,"-",B8771)</f>
        <v>962-75</v>
      </c>
      <c r="D8771" t="s">
        <v>8739</v>
      </c>
      <c r="E8771" t="b">
        <f>IF(COUNTIF(D8771,"*"&amp;'Keyword Search'!$C$5&amp;"*"),TRUE,FALSE)</f>
        <v>1</v>
      </c>
      <c r="G8771" t="str">
        <f t="shared" si="556"/>
        <v>962-75: Seafood Processing Services (Inactive, please see commodity code 961-38 effective January 1, 2016)</v>
      </c>
    </row>
    <row r="8772" spans="1:7" x14ac:dyDescent="0.25">
      <c r="A8772" s="1" t="str">
        <f t="shared" si="557"/>
        <v>962</v>
      </c>
      <c r="B8772" s="1" t="str">
        <f>TEXT(76,"00")</f>
        <v>76</v>
      </c>
      <c r="C8772" s="1" t="str">
        <f t="shared" si="558"/>
        <v>962-76</v>
      </c>
      <c r="D8772" t="s">
        <v>8740</v>
      </c>
      <c r="E8772" t="b">
        <f>IF(COUNTIF(D8772,"*"&amp;'Keyword Search'!$C$5&amp;"*"),TRUE,FALSE)</f>
        <v>1</v>
      </c>
      <c r="G8772" t="str">
        <f t="shared" ref="G8772:G8835" si="559">CONCATENATE(C8772,": ",D8772)</f>
        <v>962-76: Seating and Meeting Services, Public</v>
      </c>
    </row>
    <row r="8773" spans="1:7" x14ac:dyDescent="0.25">
      <c r="A8773" s="1" t="str">
        <f t="shared" si="557"/>
        <v>962</v>
      </c>
      <c r="B8773" s="1" t="str">
        <f>TEXT(77,"00")</f>
        <v>77</v>
      </c>
      <c r="C8773" s="1" t="str">
        <f t="shared" si="558"/>
        <v>962-77</v>
      </c>
      <c r="D8773" t="s">
        <v>8741</v>
      </c>
      <c r="E8773" t="b">
        <f>IF(COUNTIF(D8773,"*"&amp;'Keyword Search'!$C$5&amp;"*"),TRUE,FALSE)</f>
        <v>1</v>
      </c>
      <c r="G8773" t="str">
        <f t="shared" si="559"/>
        <v>962-77: Screenings and Grit Removal Services</v>
      </c>
    </row>
    <row r="8774" spans="1:7" x14ac:dyDescent="0.25">
      <c r="A8774" s="1" t="str">
        <f t="shared" si="557"/>
        <v>962</v>
      </c>
      <c r="B8774" s="1" t="str">
        <f>TEXT(78,"00")</f>
        <v>78</v>
      </c>
      <c r="C8774" s="1" t="str">
        <f t="shared" si="558"/>
        <v>962-78</v>
      </c>
      <c r="D8774" t="s">
        <v>8742</v>
      </c>
      <c r="E8774" t="b">
        <f>IF(COUNTIF(D8774,"*"&amp;'Keyword Search'!$C$5&amp;"*"),TRUE,FALSE)</f>
        <v>1</v>
      </c>
      <c r="G8774" t="str">
        <f t="shared" si="559"/>
        <v>962-78: Sewing, Embroidery, Embossing, and Alteration Services</v>
      </c>
    </row>
    <row r="8775" spans="1:7" x14ac:dyDescent="0.25">
      <c r="A8775" s="1" t="str">
        <f t="shared" si="557"/>
        <v>962</v>
      </c>
      <c r="B8775" s="1" t="str">
        <f>TEXT(79,"00")</f>
        <v>79</v>
      </c>
      <c r="C8775" s="1" t="str">
        <f t="shared" si="558"/>
        <v>962-79</v>
      </c>
      <c r="D8775" t="s">
        <v>8743</v>
      </c>
      <c r="E8775" t="b">
        <f>IF(COUNTIF(D8775,"*"&amp;'Keyword Search'!$C$5&amp;"*"),TRUE,FALSE)</f>
        <v>1</v>
      </c>
      <c r="G8775" t="str">
        <f t="shared" si="559"/>
        <v>962-79: Sign Making Services  (Inactive, please see commodity code 961-66 effective January 1, 2016)</v>
      </c>
    </row>
    <row r="8776" spans="1:7" x14ac:dyDescent="0.25">
      <c r="A8776" s="1" t="str">
        <f t="shared" si="557"/>
        <v>962</v>
      </c>
      <c r="B8776" s="1" t="str">
        <f>TEXT(80,"00")</f>
        <v>80</v>
      </c>
      <c r="C8776" s="1" t="str">
        <f t="shared" si="558"/>
        <v>962-80</v>
      </c>
      <c r="D8776" t="s">
        <v>8744</v>
      </c>
      <c r="E8776" t="b">
        <f>IF(COUNTIF(D8776,"*"&amp;'Keyword Search'!$C$5&amp;"*"),TRUE,FALSE)</f>
        <v>1</v>
      </c>
      <c r="G8776" t="str">
        <f t="shared" si="559"/>
        <v>962-80: Shoe and Boot Repairs, Including Maintenance and Shining</v>
      </c>
    </row>
    <row r="8777" spans="1:7" x14ac:dyDescent="0.25">
      <c r="A8777" s="1" t="str">
        <f t="shared" si="557"/>
        <v>962</v>
      </c>
      <c r="B8777" s="1" t="str">
        <f>TEXT(81,"00")</f>
        <v>81</v>
      </c>
      <c r="C8777" s="1" t="str">
        <f t="shared" si="558"/>
        <v>962-81</v>
      </c>
      <c r="D8777" t="s">
        <v>8745</v>
      </c>
      <c r="E8777" t="b">
        <f>IF(COUNTIF(D8777,"*"&amp;'Keyword Search'!$C$5&amp;"*"),TRUE,FALSE)</f>
        <v>1</v>
      </c>
      <c r="G8777" t="str">
        <f t="shared" si="559"/>
        <v>962-81: Steeplejack Services</v>
      </c>
    </row>
    <row r="8778" spans="1:7" x14ac:dyDescent="0.25">
      <c r="A8778" s="1" t="str">
        <f t="shared" si="557"/>
        <v>962</v>
      </c>
      <c r="B8778" s="1" t="str">
        <f>TEXT(82,"00")</f>
        <v>82</v>
      </c>
      <c r="C8778" s="1" t="str">
        <f t="shared" si="558"/>
        <v>962-82</v>
      </c>
      <c r="D8778" t="s">
        <v>8746</v>
      </c>
      <c r="E8778" t="b">
        <f>IF(COUNTIF(D8778,"*"&amp;'Keyword Search'!$C$5&amp;"*"),TRUE,FALSE)</f>
        <v>1</v>
      </c>
      <c r="G8778" t="str">
        <f t="shared" si="559"/>
        <v>962-82: Silver Recovery Services (Inactive, effective January 1, 2016)</v>
      </c>
    </row>
    <row r="8779" spans="1:7" x14ac:dyDescent="0.25">
      <c r="A8779" s="1" t="str">
        <f t="shared" si="557"/>
        <v>962</v>
      </c>
      <c r="B8779" s="1" t="str">
        <f>TEXT(83,"00")</f>
        <v>83</v>
      </c>
      <c r="C8779" s="1" t="str">
        <f t="shared" si="558"/>
        <v>962-83</v>
      </c>
      <c r="D8779" t="s">
        <v>8747</v>
      </c>
      <c r="E8779" t="b">
        <f>IF(COUNTIF(D8779,"*"&amp;'Keyword Search'!$C$5&amp;"*"),TRUE,FALSE)</f>
        <v>1</v>
      </c>
      <c r="G8779" t="str">
        <f t="shared" si="559"/>
        <v>962-83: Stack Work Services (Inactive, effective January 1, 2016)</v>
      </c>
    </row>
    <row r="8780" spans="1:7" x14ac:dyDescent="0.25">
      <c r="A8780" s="1" t="str">
        <f t="shared" si="557"/>
        <v>962</v>
      </c>
      <c r="B8780" s="1" t="str">
        <f>TEXT(84,"00")</f>
        <v>84</v>
      </c>
      <c r="C8780" s="1" t="str">
        <f t="shared" si="558"/>
        <v>962-84</v>
      </c>
      <c r="D8780" t="s">
        <v>8748</v>
      </c>
      <c r="E8780" t="b">
        <f>IF(COUNTIF(D8780,"*"&amp;'Keyword Search'!$C$5&amp;"*"),TRUE,FALSE)</f>
        <v>1</v>
      </c>
      <c r="G8780" t="str">
        <f t="shared" si="559"/>
        <v>962-84: Tire Shredding, Disposal and Recycling Services</v>
      </c>
    </row>
    <row r="8781" spans="1:7" x14ac:dyDescent="0.25">
      <c r="A8781" s="1" t="str">
        <f t="shared" si="557"/>
        <v>962</v>
      </c>
      <c r="B8781" s="1" t="str">
        <f>TEXT(85,"00")</f>
        <v>85</v>
      </c>
      <c r="C8781" s="1" t="str">
        <f t="shared" si="558"/>
        <v>962-85</v>
      </c>
      <c r="D8781" t="s">
        <v>8749</v>
      </c>
      <c r="E8781" t="b">
        <f>IF(COUNTIF(D8781,"*"&amp;'Keyword Search'!$C$5&amp;"*"),TRUE,FALSE)</f>
        <v>1</v>
      </c>
      <c r="G8781" t="str">
        <f t="shared" si="559"/>
        <v>962-85: Tinting And Coating Services, Glass, Automobile and Building</v>
      </c>
    </row>
    <row r="8782" spans="1:7" x14ac:dyDescent="0.25">
      <c r="A8782" s="1" t="str">
        <f t="shared" si="557"/>
        <v>962</v>
      </c>
      <c r="B8782" s="1" t="str">
        <f>TEXT(86,"00")</f>
        <v>86</v>
      </c>
      <c r="C8782" s="1" t="str">
        <f t="shared" si="558"/>
        <v>962-86</v>
      </c>
      <c r="D8782" t="s">
        <v>8750</v>
      </c>
      <c r="E8782" t="b">
        <f>IF(COUNTIF(D8782,"*"&amp;'Keyword Search'!$C$5&amp;"*"),TRUE,FALSE)</f>
        <v>1</v>
      </c>
      <c r="G8782" t="str">
        <f t="shared" si="559"/>
        <v>962-86: Transportation of Goods, Shipping and Handling, and Other Freight Services</v>
      </c>
    </row>
    <row r="8783" spans="1:7" x14ac:dyDescent="0.25">
      <c r="A8783" s="1" t="str">
        <f t="shared" si="557"/>
        <v>962</v>
      </c>
      <c r="B8783" s="1" t="str">
        <f>TEXT(87,"00")</f>
        <v>87</v>
      </c>
      <c r="C8783" s="1" t="str">
        <f t="shared" si="558"/>
        <v>962-87</v>
      </c>
      <c r="D8783" t="s">
        <v>8751</v>
      </c>
      <c r="E8783" t="b">
        <f>IF(COUNTIF(D8783,"*"&amp;'Keyword Search'!$C$5&amp;"*"),TRUE,FALSE)</f>
        <v>1</v>
      </c>
      <c r="G8783" t="str">
        <f t="shared" si="559"/>
        <v>962-87: Travel, Local, Provided by Third Party</v>
      </c>
    </row>
    <row r="8784" spans="1:7" x14ac:dyDescent="0.25">
      <c r="A8784" s="1" t="str">
        <f t="shared" si="557"/>
        <v>962</v>
      </c>
      <c r="B8784" s="1" t="str">
        <f>TEXT(88,"00")</f>
        <v>88</v>
      </c>
      <c r="C8784" s="1" t="str">
        <f t="shared" si="558"/>
        <v>962-88</v>
      </c>
      <c r="D8784" t="s">
        <v>8752</v>
      </c>
      <c r="E8784" t="b">
        <f>IF(COUNTIF(D8784,"*"&amp;'Keyword Search'!$C$5&amp;"*"),TRUE,FALSE)</f>
        <v>1</v>
      </c>
      <c r="G8784" t="str">
        <f t="shared" si="559"/>
        <v>962-88: Travel, Non-Local, Provided by Third Party</v>
      </c>
    </row>
    <row r="8785" spans="1:7" x14ac:dyDescent="0.25">
      <c r="A8785" s="1" t="str">
        <f t="shared" si="557"/>
        <v>962</v>
      </c>
      <c r="B8785" s="1" t="str">
        <f>TEXT(89,"00")</f>
        <v>89</v>
      </c>
      <c r="C8785" s="1" t="str">
        <f t="shared" si="558"/>
        <v>962-89</v>
      </c>
      <c r="D8785" t="s">
        <v>8753</v>
      </c>
      <c r="E8785" t="b">
        <f>IF(COUNTIF(D8785,"*"&amp;'Keyword Search'!$C$5&amp;"*"),TRUE,FALSE)</f>
        <v>1</v>
      </c>
      <c r="G8785" t="str">
        <f t="shared" si="559"/>
        <v>962-89: Vehicle Transporting Services  (Inactive, please see commodity code 962-86 effective January 1, 2016)</v>
      </c>
    </row>
    <row r="8786" spans="1:7" x14ac:dyDescent="0.25">
      <c r="A8786" s="1" t="str">
        <f t="shared" si="557"/>
        <v>962</v>
      </c>
      <c r="B8786" s="1" t="str">
        <f>TEXT(90,"00")</f>
        <v>90</v>
      </c>
      <c r="C8786" s="1" t="str">
        <f t="shared" si="558"/>
        <v>962-90</v>
      </c>
      <c r="D8786" t="s">
        <v>8754</v>
      </c>
      <c r="E8786" t="b">
        <f>IF(COUNTIF(D8786,"*"&amp;'Keyword Search'!$C$5&amp;"*"),TRUE,FALSE)</f>
        <v>1</v>
      </c>
      <c r="G8786" t="str">
        <f t="shared" si="559"/>
        <v>962-90: Upholstering Services (See Class 928 for Vehicle)</v>
      </c>
    </row>
    <row r="8787" spans="1:7" x14ac:dyDescent="0.25">
      <c r="A8787" s="1" t="str">
        <f t="shared" si="557"/>
        <v>962</v>
      </c>
      <c r="B8787" s="1" t="str">
        <f>TEXT(91,"00")</f>
        <v>91</v>
      </c>
      <c r="C8787" s="1" t="str">
        <f t="shared" si="558"/>
        <v>962-91</v>
      </c>
      <c r="D8787" t="s">
        <v>8755</v>
      </c>
      <c r="E8787" t="b">
        <f>IF(COUNTIF(D8787,"*"&amp;'Keyword Search'!$C$5&amp;"*"),TRUE,FALSE)</f>
        <v>1</v>
      </c>
      <c r="G8787" t="str">
        <f t="shared" si="559"/>
        <v>962-91: Utility Locator Service, Underground</v>
      </c>
    </row>
    <row r="8788" spans="1:7" x14ac:dyDescent="0.25">
      <c r="A8788" s="1" t="str">
        <f t="shared" si="557"/>
        <v>962</v>
      </c>
      <c r="B8788" s="1" t="str">
        <f>TEXT(92,"00")</f>
        <v>92</v>
      </c>
      <c r="C8788" s="1" t="str">
        <f t="shared" si="558"/>
        <v>962-92</v>
      </c>
      <c r="D8788" t="s">
        <v>8756</v>
      </c>
      <c r="E8788" t="b">
        <f>IF(COUNTIF(D8788,"*"&amp;'Keyword Search'!$C$5&amp;"*"),TRUE,FALSE)</f>
        <v>1</v>
      </c>
      <c r="G8788" t="str">
        <f t="shared" si="559"/>
        <v>962-92: Video Scanning of Sewers, Water Wells, etc., Electronic</v>
      </c>
    </row>
    <row r="8789" spans="1:7" x14ac:dyDescent="0.25">
      <c r="A8789" s="1" t="str">
        <f t="shared" si="557"/>
        <v>962</v>
      </c>
      <c r="B8789" s="1" t="str">
        <f>TEXT(93,"00")</f>
        <v>93</v>
      </c>
      <c r="C8789" s="1" t="str">
        <f t="shared" si="558"/>
        <v>962-93</v>
      </c>
      <c r="D8789" t="s">
        <v>8757</v>
      </c>
      <c r="E8789" t="b">
        <f>IF(COUNTIF(D8789,"*"&amp;'Keyword Search'!$C$5&amp;"*"),TRUE,FALSE)</f>
        <v>1</v>
      </c>
      <c r="G8789" t="str">
        <f t="shared" si="559"/>
        <v>962-93: Vehicle Registration Services</v>
      </c>
    </row>
    <row r="8790" spans="1:7" x14ac:dyDescent="0.25">
      <c r="A8790" s="1" t="str">
        <f t="shared" si="557"/>
        <v>962</v>
      </c>
      <c r="B8790" s="1" t="str">
        <f>TEXT(94,"00")</f>
        <v>94</v>
      </c>
      <c r="C8790" s="1" t="str">
        <f t="shared" si="558"/>
        <v>962-94</v>
      </c>
      <c r="D8790" t="s">
        <v>8758</v>
      </c>
      <c r="E8790" t="b">
        <f>IF(COUNTIF(D8790,"*"&amp;'Keyword Search'!$C$5&amp;"*"),TRUE,FALSE)</f>
        <v>1</v>
      </c>
      <c r="G8790" t="str">
        <f t="shared" si="559"/>
        <v>962-94: Water Services, Bottled and Bulk Delivery, Tanker Services</v>
      </c>
    </row>
    <row r="8791" spans="1:7" x14ac:dyDescent="0.25">
      <c r="A8791" s="1" t="str">
        <f t="shared" si="557"/>
        <v>962</v>
      </c>
      <c r="B8791" s="1" t="str">
        <f>TEXT(95,"00")</f>
        <v>95</v>
      </c>
      <c r="C8791" s="1" t="str">
        <f t="shared" si="558"/>
        <v>962-95</v>
      </c>
      <c r="D8791" t="s">
        <v>8759</v>
      </c>
      <c r="E8791" t="b">
        <f>IF(COUNTIF(D8791,"*"&amp;'Keyword Search'!$C$5&amp;"*"),TRUE,FALSE)</f>
        <v>1</v>
      </c>
      <c r="G8791" t="str">
        <f t="shared" si="559"/>
        <v>962-95: Warehousing and Storage Services, Not Storage Space Rental, Including Farm Product Storage in Silos and Grain Elevators</v>
      </c>
    </row>
    <row r="8792" spans="1:7" x14ac:dyDescent="0.25">
      <c r="A8792" s="1" t="str">
        <f t="shared" si="557"/>
        <v>962</v>
      </c>
      <c r="B8792" s="1" t="str">
        <f>TEXT(96,"00")</f>
        <v>96</v>
      </c>
      <c r="C8792" s="1" t="str">
        <f t="shared" si="558"/>
        <v>962-96</v>
      </c>
      <c r="D8792" t="s">
        <v>8760</v>
      </c>
      <c r="E8792" t="b">
        <f>IF(COUNTIF(D8792,"*"&amp;'Keyword Search'!$C$5&amp;"*"),TRUE,FALSE)</f>
        <v>1</v>
      </c>
      <c r="G8792" t="str">
        <f t="shared" si="559"/>
        <v>962-96: Well Services, Including Oil, Gas, and Water): Drilling, Plugging, Consulting, Maintenance, Repair, etc.</v>
      </c>
    </row>
    <row r="8793" spans="1:7" x14ac:dyDescent="0.25">
      <c r="A8793" s="1" t="str">
        <f t="shared" si="557"/>
        <v>962</v>
      </c>
      <c r="B8793" s="1" t="str">
        <f>TEXT(97,"00")</f>
        <v>97</v>
      </c>
      <c r="C8793" s="1" t="str">
        <f t="shared" si="558"/>
        <v>962-97</v>
      </c>
      <c r="D8793" t="s">
        <v>8761</v>
      </c>
      <c r="E8793" t="b">
        <f>IF(COUNTIF(D8793,"*"&amp;'Keyword Search'!$C$5&amp;"*"),TRUE,FALSE)</f>
        <v>1</v>
      </c>
      <c r="G8793" t="str">
        <f t="shared" si="559"/>
        <v>962-97: Weighing and Loading Services (Inactive, please see commodity code 96286 effective January 1, 2016)</v>
      </c>
    </row>
    <row r="8794" spans="1:7" x14ac:dyDescent="0.25">
      <c r="A8794" s="5" t="str">
        <f t="shared" ref="A8794:A8821" si="560">TEXT(963,"000")</f>
        <v>963</v>
      </c>
      <c r="B8794" s="5" t="str">
        <f>TEXT(0,"00")</f>
        <v>00</v>
      </c>
      <c r="C8794" s="1"/>
      <c r="D8794" s="2" t="s">
        <v>8762</v>
      </c>
    </row>
    <row r="8795" spans="1:7" x14ac:dyDescent="0.25">
      <c r="A8795" s="1" t="str">
        <f t="shared" si="560"/>
        <v>963</v>
      </c>
      <c r="B8795" s="1" t="str">
        <f>TEXT(16,"00")</f>
        <v>16</v>
      </c>
      <c r="C8795" s="1" t="str">
        <f t="shared" si="558"/>
        <v>963-16</v>
      </c>
      <c r="D8795" t="s">
        <v>8763</v>
      </c>
      <c r="E8795" t="b">
        <f>IF(COUNTIF(D8795,"*"&amp;'Keyword Search'!$C$5&amp;"*"),TRUE,FALSE)</f>
        <v>1</v>
      </c>
      <c r="G8795" t="str">
        <f t="shared" si="559"/>
        <v>963-16: Accreditation Fees</v>
      </c>
    </row>
    <row r="8796" spans="1:7" x14ac:dyDescent="0.25">
      <c r="A8796" s="1" t="str">
        <f t="shared" si="560"/>
        <v>963</v>
      </c>
      <c r="B8796" s="1" t="str">
        <f>TEXT(20,"00")</f>
        <v>20</v>
      </c>
      <c r="C8796" s="1" t="str">
        <f t="shared" si="558"/>
        <v>963-20</v>
      </c>
      <c r="D8796" t="s">
        <v>8764</v>
      </c>
      <c r="E8796" t="b">
        <f>IF(COUNTIF(D8796,"*"&amp;'Keyword Search'!$C$5&amp;"*"),TRUE,FALSE)</f>
        <v>1</v>
      </c>
      <c r="G8796" t="str">
        <f t="shared" si="559"/>
        <v>963-20: Associations</v>
      </c>
    </row>
    <row r="8797" spans="1:7" x14ac:dyDescent="0.25">
      <c r="A8797" s="1" t="str">
        <f t="shared" si="560"/>
        <v>963</v>
      </c>
      <c r="B8797" s="1" t="str">
        <f>TEXT(22,"00")</f>
        <v>22</v>
      </c>
      <c r="C8797" s="1" t="str">
        <f t="shared" si="558"/>
        <v>963-22</v>
      </c>
      <c r="D8797" t="s">
        <v>8765</v>
      </c>
      <c r="E8797" t="b">
        <f>IF(COUNTIF(D8797,"*"&amp;'Keyword Search'!$C$5&amp;"*"),TRUE,FALSE)</f>
        <v>1</v>
      </c>
      <c r="G8797" t="str">
        <f t="shared" si="559"/>
        <v>963-22: Allowances, Stipends, All Types</v>
      </c>
    </row>
    <row r="8798" spans="1:7" x14ac:dyDescent="0.25">
      <c r="A8798" s="1" t="str">
        <f t="shared" si="560"/>
        <v>963</v>
      </c>
      <c r="B8798" s="1" t="str">
        <f>TEXT(24,"00")</f>
        <v>24</v>
      </c>
      <c r="C8798" s="1" t="str">
        <f t="shared" si="558"/>
        <v>963-24</v>
      </c>
      <c r="D8798" t="s">
        <v>8766</v>
      </c>
      <c r="E8798" t="b">
        <f>IF(COUNTIF(D8798,"*"&amp;'Keyword Search'!$C$5&amp;"*"),TRUE,FALSE)</f>
        <v>1</v>
      </c>
      <c r="G8798" t="str">
        <f t="shared" si="559"/>
        <v>963-24: Bonds, Notary</v>
      </c>
    </row>
    <row r="8799" spans="1:7" x14ac:dyDescent="0.25">
      <c r="A8799" s="1" t="str">
        <f t="shared" si="560"/>
        <v>963</v>
      </c>
      <c r="B8799" s="1" t="str">
        <f>TEXT(30,"00")</f>
        <v>30</v>
      </c>
      <c r="C8799" s="1" t="str">
        <f t="shared" si="558"/>
        <v>963-30</v>
      </c>
      <c r="D8799" t="s">
        <v>8767</v>
      </c>
      <c r="E8799" t="b">
        <f>IF(COUNTIF(D8799,"*"&amp;'Keyword Search'!$C$5&amp;"*"),TRUE,FALSE)</f>
        <v>1</v>
      </c>
      <c r="G8799" t="str">
        <f t="shared" si="559"/>
        <v>963-30: Contribution and Donations</v>
      </c>
    </row>
    <row r="8800" spans="1:7" x14ac:dyDescent="0.25">
      <c r="A8800" s="1" t="str">
        <f t="shared" si="560"/>
        <v>963</v>
      </c>
      <c r="B8800" s="1" t="str">
        <f>TEXT(35,"00")</f>
        <v>35</v>
      </c>
      <c r="C8800" s="1" t="str">
        <f t="shared" si="558"/>
        <v>963-35</v>
      </c>
      <c r="D8800" t="s">
        <v>8768</v>
      </c>
      <c r="E8800" t="b">
        <f>IF(COUNTIF(D8800,"*"&amp;'Keyword Search'!$C$5&amp;"*"),TRUE,FALSE)</f>
        <v>1</v>
      </c>
      <c r="G8800" t="str">
        <f t="shared" si="559"/>
        <v>963-35: Fees, Bank</v>
      </c>
    </row>
    <row r="8801" spans="1:7" x14ac:dyDescent="0.25">
      <c r="A8801" s="1" t="str">
        <f t="shared" si="560"/>
        <v>963</v>
      </c>
      <c r="B8801" s="1" t="str">
        <f>TEXT(37,"00")</f>
        <v>37</v>
      </c>
      <c r="C8801" s="1" t="str">
        <f t="shared" si="558"/>
        <v>963-37</v>
      </c>
      <c r="D8801" t="s">
        <v>8769</v>
      </c>
      <c r="E8801" t="b">
        <f>IF(COUNTIF(D8801,"*"&amp;'Keyword Search'!$C$5&amp;"*"),TRUE,FALSE)</f>
        <v>1</v>
      </c>
      <c r="G8801" t="str">
        <f t="shared" si="559"/>
        <v>963-37: Fees, Conference/Convention</v>
      </c>
    </row>
    <row r="8802" spans="1:7" x14ac:dyDescent="0.25">
      <c r="A8802" s="1" t="str">
        <f t="shared" si="560"/>
        <v>963</v>
      </c>
      <c r="B8802" s="1" t="str">
        <f>TEXT(38,"00")</f>
        <v>38</v>
      </c>
      <c r="C8802" s="1" t="str">
        <f t="shared" si="558"/>
        <v>963-38</v>
      </c>
      <c r="D8802" t="s">
        <v>8770</v>
      </c>
      <c r="E8802" t="b">
        <f>IF(COUNTIF(D8802,"*"&amp;'Keyword Search'!$C$5&amp;"*"),TRUE,FALSE)</f>
        <v>1</v>
      </c>
      <c r="G8802" t="str">
        <f t="shared" si="559"/>
        <v>963-38: Fees, Credit Card</v>
      </c>
    </row>
    <row r="8803" spans="1:7" x14ac:dyDescent="0.25">
      <c r="A8803" s="1" t="str">
        <f t="shared" si="560"/>
        <v>963</v>
      </c>
      <c r="B8803" s="1" t="str">
        <f>TEXT(39,"00")</f>
        <v>39</v>
      </c>
      <c r="C8803" s="1" t="str">
        <f t="shared" si="558"/>
        <v>963-39</v>
      </c>
      <c r="D8803" t="s">
        <v>8771</v>
      </c>
      <c r="E8803" t="b">
        <f>IF(COUNTIF(D8803,"*"&amp;'Keyword Search'!$C$5&amp;"*"),TRUE,FALSE)</f>
        <v>1</v>
      </c>
      <c r="G8803" t="str">
        <f t="shared" si="559"/>
        <v>963-39: Fees (Not Otherwise Classified)</v>
      </c>
    </row>
    <row r="8804" spans="1:7" x14ac:dyDescent="0.25">
      <c r="A8804" s="1" t="str">
        <f t="shared" si="560"/>
        <v>963</v>
      </c>
      <c r="B8804" s="1" t="str">
        <f>TEXT(40,"00")</f>
        <v>40</v>
      </c>
      <c r="C8804" s="1" t="str">
        <f t="shared" si="558"/>
        <v>963-40</v>
      </c>
      <c r="D8804" t="s">
        <v>8772</v>
      </c>
      <c r="E8804" t="b">
        <f>IF(COUNTIF(D8804,"*"&amp;'Keyword Search'!$C$5&amp;"*"),TRUE,FALSE)</f>
        <v>1</v>
      </c>
      <c r="G8804" t="str">
        <f t="shared" si="559"/>
        <v>963-40: Fees, Symposium</v>
      </c>
    </row>
    <row r="8805" spans="1:7" x14ac:dyDescent="0.25">
      <c r="A8805" s="1" t="str">
        <f t="shared" si="560"/>
        <v>963</v>
      </c>
      <c r="B8805" s="1" t="str">
        <f>TEXT(41,"00")</f>
        <v>41</v>
      </c>
      <c r="C8805" s="1" t="str">
        <f t="shared" si="558"/>
        <v>963-41</v>
      </c>
      <c r="D8805" t="s">
        <v>8773</v>
      </c>
      <c r="E8805" t="b">
        <f>IF(COUNTIF(D8805,"*"&amp;'Keyword Search'!$C$5&amp;"*"),TRUE,FALSE)</f>
        <v>1</v>
      </c>
      <c r="G8805" t="str">
        <f t="shared" si="559"/>
        <v>963-41: Fees, Tournament</v>
      </c>
    </row>
    <row r="8806" spans="1:7" x14ac:dyDescent="0.25">
      <c r="A8806" s="1" t="str">
        <f t="shared" si="560"/>
        <v>963</v>
      </c>
      <c r="B8806" s="1" t="str">
        <f>TEXT(42,"00")</f>
        <v>42</v>
      </c>
      <c r="C8806" s="1" t="str">
        <f t="shared" si="558"/>
        <v>963-42</v>
      </c>
      <c r="D8806" t="s">
        <v>8774</v>
      </c>
      <c r="E8806" t="b">
        <f>IF(COUNTIF(D8806,"*"&amp;'Keyword Search'!$C$5&amp;"*"),TRUE,FALSE)</f>
        <v>1</v>
      </c>
      <c r="G8806" t="str">
        <f t="shared" si="559"/>
        <v>963-42: Incentives, Rebates and Refunds</v>
      </c>
    </row>
    <row r="8807" spans="1:7" x14ac:dyDescent="0.25">
      <c r="A8807" s="1" t="str">
        <f t="shared" si="560"/>
        <v>963</v>
      </c>
      <c r="B8807" s="1" t="str">
        <f>TEXT(43,"00")</f>
        <v>43</v>
      </c>
      <c r="C8807" s="1" t="str">
        <f t="shared" si="558"/>
        <v>963-43</v>
      </c>
      <c r="D8807" t="s">
        <v>8775</v>
      </c>
      <c r="E8807" t="b">
        <f>IF(COUNTIF(D8807,"*"&amp;'Keyword Search'!$C$5&amp;"*"),TRUE,FALSE)</f>
        <v>1</v>
      </c>
      <c r="G8807" t="str">
        <f t="shared" si="559"/>
        <v>963-43: Intergovernmental and Inter-Agency Contracts</v>
      </c>
    </row>
    <row r="8808" spans="1:7" x14ac:dyDescent="0.25">
      <c r="A8808" s="1" t="str">
        <f t="shared" si="560"/>
        <v>963</v>
      </c>
      <c r="B8808" s="1" t="str">
        <f>TEXT(45,"00")</f>
        <v>45</v>
      </c>
      <c r="C8808" s="1" t="str">
        <f t="shared" si="558"/>
        <v>963-45</v>
      </c>
      <c r="D8808" t="s">
        <v>8776</v>
      </c>
      <c r="E8808" t="b">
        <f>IF(COUNTIF(D8808,"*"&amp;'Keyword Search'!$C$5&amp;"*"),TRUE,FALSE)</f>
        <v>1</v>
      </c>
      <c r="G8808" t="str">
        <f t="shared" si="559"/>
        <v>963-45: Licensing Fees</v>
      </c>
    </row>
    <row r="8809" spans="1:7" x14ac:dyDescent="0.25">
      <c r="A8809" s="1" t="str">
        <f t="shared" si="560"/>
        <v>963</v>
      </c>
      <c r="B8809" s="1" t="str">
        <f>TEXT(47,"00")</f>
        <v>47</v>
      </c>
      <c r="C8809" s="1" t="str">
        <f t="shared" si="558"/>
        <v>963-47</v>
      </c>
      <c r="D8809" t="s">
        <v>8777</v>
      </c>
      <c r="E8809" t="b">
        <f>IF(COUNTIF(D8809,"*"&amp;'Keyword Search'!$C$5&amp;"*"),TRUE,FALSE)</f>
        <v>1</v>
      </c>
      <c r="G8809" t="str">
        <f t="shared" si="559"/>
        <v>963-47: Meals</v>
      </c>
    </row>
    <row r="8810" spans="1:7" x14ac:dyDescent="0.25">
      <c r="A8810" s="1" t="str">
        <f t="shared" si="560"/>
        <v>963</v>
      </c>
      <c r="B8810" s="1" t="str">
        <f>TEXT(48,"00")</f>
        <v>48</v>
      </c>
      <c r="C8810" s="1" t="str">
        <f t="shared" si="558"/>
        <v>963-48</v>
      </c>
      <c r="D8810" t="s">
        <v>8778</v>
      </c>
      <c r="E8810" t="b">
        <f>IF(COUNTIF(D8810,"*"&amp;'Keyword Search'!$C$5&amp;"*"),TRUE,FALSE)</f>
        <v>1</v>
      </c>
      <c r="G8810" t="str">
        <f t="shared" si="559"/>
        <v>963-48: Membership Dues</v>
      </c>
    </row>
    <row r="8811" spans="1:7" x14ac:dyDescent="0.25">
      <c r="A8811" s="1" t="str">
        <f t="shared" si="560"/>
        <v>963</v>
      </c>
      <c r="B8811" s="1" t="str">
        <f>TEXT(53,"00")</f>
        <v>53</v>
      </c>
      <c r="C8811" s="1" t="str">
        <f t="shared" si="558"/>
        <v>963-53</v>
      </c>
      <c r="D8811" t="s">
        <v>8779</v>
      </c>
      <c r="E8811" t="b">
        <f>IF(COUNTIF(D8811,"*"&amp;'Keyword Search'!$C$5&amp;"*"),TRUE,FALSE)</f>
        <v>1</v>
      </c>
      <c r="G8811" t="str">
        <f t="shared" si="559"/>
        <v>963-53: Payments and Fees to Sub-Recipients</v>
      </c>
    </row>
    <row r="8812" spans="1:7" x14ac:dyDescent="0.25">
      <c r="A8812" s="1" t="str">
        <f t="shared" si="560"/>
        <v>963</v>
      </c>
      <c r="B8812" s="1" t="str">
        <f>TEXT(55,"00")</f>
        <v>55</v>
      </c>
      <c r="C8812" s="1" t="str">
        <f t="shared" si="558"/>
        <v>963-55</v>
      </c>
      <c r="D8812" t="s">
        <v>8780</v>
      </c>
      <c r="E8812" t="b">
        <f>IF(COUNTIF(D8812,"*"&amp;'Keyword Search'!$C$5&amp;"*"),TRUE,FALSE)</f>
        <v>1</v>
      </c>
      <c r="G8812" t="str">
        <f t="shared" si="559"/>
        <v>963-55: Permits (Not Otherwise Classified)</v>
      </c>
    </row>
    <row r="8813" spans="1:7" x14ac:dyDescent="0.25">
      <c r="A8813" s="1" t="str">
        <f t="shared" si="560"/>
        <v>963</v>
      </c>
      <c r="B8813" s="1" t="str">
        <f>TEXT(57,"00")</f>
        <v>57</v>
      </c>
      <c r="C8813" s="1" t="str">
        <f t="shared" si="558"/>
        <v>963-57</v>
      </c>
      <c r="D8813" t="s">
        <v>8781</v>
      </c>
      <c r="E8813" t="b">
        <f>IF(COUNTIF(D8813,"*"&amp;'Keyword Search'!$C$5&amp;"*"),TRUE,FALSE)</f>
        <v>1</v>
      </c>
      <c r="G8813" t="str">
        <f t="shared" si="559"/>
        <v>963-57: Postage Related Purchases, Including Postage Stamps, Pre-Sort 1st Class Inscriptions, Postage by Phone for Meters, etc.</v>
      </c>
    </row>
    <row r="8814" spans="1:7" x14ac:dyDescent="0.25">
      <c r="A8814" s="1" t="str">
        <f t="shared" si="560"/>
        <v>963</v>
      </c>
      <c r="B8814" s="1" t="str">
        <f>TEXT(64,"00")</f>
        <v>64</v>
      </c>
      <c r="C8814" s="1" t="str">
        <f t="shared" si="558"/>
        <v>963-64</v>
      </c>
      <c r="D8814" t="s">
        <v>8782</v>
      </c>
      <c r="E8814" t="b">
        <f>IF(COUNTIF(D8814,"*"&amp;'Keyword Search'!$C$5&amp;"*"),TRUE,FALSE)</f>
        <v>1</v>
      </c>
      <c r="G8814" t="str">
        <f t="shared" si="559"/>
        <v>963-64: Registration Fees, (Not Otherwise Classified)</v>
      </c>
    </row>
    <row r="8815" spans="1:7" x14ac:dyDescent="0.25">
      <c r="A8815" s="1" t="str">
        <f t="shared" si="560"/>
        <v>963</v>
      </c>
      <c r="B8815" s="1" t="str">
        <f>TEXT(75,"00")</f>
        <v>75</v>
      </c>
      <c r="C8815" s="1" t="str">
        <f t="shared" si="558"/>
        <v>963-75</v>
      </c>
      <c r="D8815" t="s">
        <v>8783</v>
      </c>
      <c r="E8815" t="b">
        <f>IF(COUNTIF(D8815,"*"&amp;'Keyword Search'!$C$5&amp;"*"),TRUE,FALSE)</f>
        <v>1</v>
      </c>
      <c r="G8815" t="str">
        <f t="shared" si="559"/>
        <v>963-75: Scholarships</v>
      </c>
    </row>
    <row r="8816" spans="1:7" x14ac:dyDescent="0.25">
      <c r="A8816" s="1" t="str">
        <f t="shared" si="560"/>
        <v>963</v>
      </c>
      <c r="B8816" s="1" t="str">
        <f>TEXT(77,"00")</f>
        <v>77</v>
      </c>
      <c r="C8816" s="1" t="str">
        <f t="shared" si="558"/>
        <v>963-77</v>
      </c>
      <c r="D8816" t="s">
        <v>8784</v>
      </c>
      <c r="E8816" t="b">
        <f>IF(COUNTIF(D8816,"*"&amp;'Keyword Search'!$C$5&amp;"*"),TRUE,FALSE)</f>
        <v>1</v>
      </c>
      <c r="G8816" t="str">
        <f t="shared" si="559"/>
        <v>963-77: Sponsorships, All Types</v>
      </c>
    </row>
    <row r="8817" spans="1:7" x14ac:dyDescent="0.25">
      <c r="A8817" s="1" t="str">
        <f t="shared" si="560"/>
        <v>963</v>
      </c>
      <c r="B8817" s="1" t="str">
        <f>TEXT(79,"00")</f>
        <v>79</v>
      </c>
      <c r="C8817" s="1" t="str">
        <f t="shared" si="558"/>
        <v>963-79</v>
      </c>
      <c r="D8817" t="s">
        <v>8785</v>
      </c>
      <c r="E8817" t="b">
        <f>IF(COUNTIF(D8817,"*"&amp;'Keyword Search'!$C$5&amp;"*"),TRUE,FALSE)</f>
        <v>1</v>
      </c>
      <c r="G8817" t="str">
        <f t="shared" si="559"/>
        <v>963-79: Surcharges, Fuel Surcharges and Taxes</v>
      </c>
    </row>
    <row r="8818" spans="1:7" x14ac:dyDescent="0.25">
      <c r="A8818" s="1" t="str">
        <f t="shared" si="560"/>
        <v>963</v>
      </c>
      <c r="B8818" s="1" t="str">
        <f>TEXT(85,"00")</f>
        <v>85</v>
      </c>
      <c r="C8818" s="1" t="str">
        <f t="shared" si="558"/>
        <v>963-85</v>
      </c>
      <c r="D8818" t="s">
        <v>8786</v>
      </c>
      <c r="E8818" t="b">
        <f>IF(COUNTIF(D8818,"*"&amp;'Keyword Search'!$C$5&amp;"*"),TRUE,FALSE)</f>
        <v>1</v>
      </c>
      <c r="G8818" t="str">
        <f t="shared" si="559"/>
        <v>963-85: Toll and Bridge Fees</v>
      </c>
    </row>
    <row r="8819" spans="1:7" x14ac:dyDescent="0.25">
      <c r="A8819" s="1" t="str">
        <f t="shared" si="560"/>
        <v>963</v>
      </c>
      <c r="B8819" s="1" t="str">
        <f>TEXT(87,"00")</f>
        <v>87</v>
      </c>
      <c r="C8819" s="1" t="str">
        <f t="shared" si="558"/>
        <v>963-87</v>
      </c>
      <c r="D8819" t="s">
        <v>8787</v>
      </c>
      <c r="E8819" t="b">
        <f>IF(COUNTIF(D8819,"*"&amp;'Keyword Search'!$C$5&amp;"*"),TRUE,FALSE)</f>
        <v>1</v>
      </c>
      <c r="G8819" t="str">
        <f t="shared" si="559"/>
        <v>963-87: Tours (Inactive, please see commodity code 962-88 effective January 1, 2016)</v>
      </c>
    </row>
    <row r="8820" spans="1:7" x14ac:dyDescent="0.25">
      <c r="A8820" s="1" t="str">
        <f t="shared" si="560"/>
        <v>963</v>
      </c>
      <c r="B8820" s="1" t="str">
        <f>TEXT(88,"00")</f>
        <v>88</v>
      </c>
      <c r="C8820" s="1" t="str">
        <f t="shared" si="558"/>
        <v>963-88</v>
      </c>
      <c r="D8820" t="s">
        <v>8788</v>
      </c>
      <c r="E8820" t="b">
        <f>IF(COUNTIF(D8820,"*"&amp;'Keyword Search'!$C$5&amp;"*"),TRUE,FALSE)</f>
        <v>1</v>
      </c>
      <c r="G8820" t="str">
        <f t="shared" si="559"/>
        <v>963-88: Tuitions</v>
      </c>
    </row>
    <row r="8821" spans="1:7" x14ac:dyDescent="0.25">
      <c r="A8821" s="1" t="str">
        <f t="shared" si="560"/>
        <v>963</v>
      </c>
      <c r="B8821" s="1" t="str">
        <f>TEXT(91,"00")</f>
        <v>91</v>
      </c>
      <c r="C8821" s="1" t="str">
        <f t="shared" si="558"/>
        <v>963-91</v>
      </c>
      <c r="D8821" t="s">
        <v>8789</v>
      </c>
      <c r="E8821" t="b">
        <f>IF(COUNTIF(D8821,"*"&amp;'Keyword Search'!$C$5&amp;"*"),TRUE,FALSE)</f>
        <v>1</v>
      </c>
      <c r="G8821" t="str">
        <f t="shared" si="559"/>
        <v>963-91: Warranties</v>
      </c>
    </row>
    <row r="8822" spans="1:7" x14ac:dyDescent="0.25">
      <c r="A8822" s="5" t="str">
        <f t="shared" ref="A8822:A8837" si="561">TEXT(965,"000")</f>
        <v>965</v>
      </c>
      <c r="B8822" s="5" t="str">
        <f>TEXT(0,"00")</f>
        <v>00</v>
      </c>
      <c r="C8822" s="1"/>
      <c r="D8822" s="2" t="s">
        <v>8790</v>
      </c>
    </row>
    <row r="8823" spans="1:7" x14ac:dyDescent="0.25">
      <c r="A8823" s="1" t="str">
        <f t="shared" si="561"/>
        <v>965</v>
      </c>
      <c r="B8823" s="1" t="str">
        <f>TEXT(10,"00")</f>
        <v>10</v>
      </c>
      <c r="C8823" s="1" t="str">
        <f t="shared" si="558"/>
        <v>965-10</v>
      </c>
      <c r="D8823" t="s">
        <v>8791</v>
      </c>
      <c r="E8823" t="b">
        <f>IF(COUNTIF(D8823,"*"&amp;'Keyword Search'!$C$5&amp;"*"),TRUE,FALSE)</f>
        <v>1</v>
      </c>
      <c r="G8823" t="str">
        <f t="shared" si="559"/>
        <v>965-10: Alterations, Printing</v>
      </c>
    </row>
    <row r="8824" spans="1:7" x14ac:dyDescent="0.25">
      <c r="A8824" s="1" t="str">
        <f t="shared" si="561"/>
        <v>965</v>
      </c>
      <c r="B8824" s="1" t="str">
        <f>TEXT(15,"00")</f>
        <v>15</v>
      </c>
      <c r="C8824" s="1" t="str">
        <f t="shared" si="558"/>
        <v>965-15</v>
      </c>
      <c r="D8824" t="s">
        <v>8792</v>
      </c>
      <c r="E8824" t="b">
        <f>IF(COUNTIF(D8824,"*"&amp;'Keyword Search'!$C$5&amp;"*"),TRUE,FALSE)</f>
        <v>1</v>
      </c>
      <c r="G8824" t="str">
        <f t="shared" si="559"/>
        <v>965-15: Artwork, Camera Ready</v>
      </c>
    </row>
    <row r="8825" spans="1:7" x14ac:dyDescent="0.25">
      <c r="A8825" s="1" t="str">
        <f t="shared" si="561"/>
        <v>965</v>
      </c>
      <c r="B8825" s="1" t="str">
        <f>TEXT(30,"00")</f>
        <v>30</v>
      </c>
      <c r="C8825" s="1" t="str">
        <f t="shared" si="558"/>
        <v>965-30</v>
      </c>
      <c r="D8825" t="s">
        <v>8793</v>
      </c>
      <c r="E8825" t="b">
        <f>IF(COUNTIF(D8825,"*"&amp;'Keyword Search'!$C$5&amp;"*"),TRUE,FALSE)</f>
        <v>1</v>
      </c>
      <c r="G8825" t="str">
        <f t="shared" si="559"/>
        <v>965-30: Desk Top Publishing Services</v>
      </c>
    </row>
    <row r="8826" spans="1:7" x14ac:dyDescent="0.25">
      <c r="A8826" s="1" t="str">
        <f t="shared" si="561"/>
        <v>965</v>
      </c>
      <c r="B8826" s="1" t="str">
        <f>TEXT(39,"00")</f>
        <v>39</v>
      </c>
      <c r="C8826" s="1" t="str">
        <f t="shared" si="558"/>
        <v>965-39</v>
      </c>
      <c r="D8826" t="s">
        <v>8794</v>
      </c>
      <c r="E8826" t="b">
        <f>IF(COUNTIF(D8826,"*"&amp;'Keyword Search'!$C$5&amp;"*"),TRUE,FALSE)</f>
        <v>1</v>
      </c>
      <c r="G8826" t="str">
        <f t="shared" si="559"/>
        <v>965-39: Etchings, Copper</v>
      </c>
    </row>
    <row r="8827" spans="1:7" x14ac:dyDescent="0.25">
      <c r="A8827" s="1" t="str">
        <f t="shared" si="561"/>
        <v>965</v>
      </c>
      <c r="B8827" s="1" t="str">
        <f>TEXT(42,"00")</f>
        <v>42</v>
      </c>
      <c r="C8827" s="1" t="str">
        <f t="shared" si="558"/>
        <v>965-42</v>
      </c>
      <c r="D8827" t="s">
        <v>8795</v>
      </c>
      <c r="E8827" t="b">
        <f>IF(COUNTIF(D8827,"*"&amp;'Keyword Search'!$C$5&amp;"*"),TRUE,FALSE)</f>
        <v>1</v>
      </c>
      <c r="G8827" t="str">
        <f t="shared" si="559"/>
        <v>965-42: Etchings, Zinc, Ben Day Type</v>
      </c>
    </row>
    <row r="8828" spans="1:7" x14ac:dyDescent="0.25">
      <c r="A8828" s="1" t="str">
        <f t="shared" si="561"/>
        <v>965</v>
      </c>
      <c r="B8828" s="1" t="str">
        <f>TEXT(43,"00")</f>
        <v>43</v>
      </c>
      <c r="C8828" s="1" t="str">
        <f t="shared" si="558"/>
        <v>965-43</v>
      </c>
      <c r="D8828" t="s">
        <v>8796</v>
      </c>
      <c r="E8828" t="b">
        <f>IF(COUNTIF(D8828,"*"&amp;'Keyword Search'!$C$5&amp;"*"),TRUE,FALSE)</f>
        <v>1</v>
      </c>
      <c r="G8828" t="str">
        <f t="shared" si="559"/>
        <v>965-43: Etchings, Zinc or Magnesium Alloy</v>
      </c>
    </row>
    <row r="8829" spans="1:7" x14ac:dyDescent="0.25">
      <c r="A8829" s="1" t="str">
        <f t="shared" si="561"/>
        <v>965</v>
      </c>
      <c r="B8829" s="1" t="str">
        <f>TEXT(46,"00")</f>
        <v>46</v>
      </c>
      <c r="C8829" s="1" t="str">
        <f t="shared" si="558"/>
        <v>965-46</v>
      </c>
      <c r="D8829" t="s">
        <v>8797</v>
      </c>
      <c r="E8829" t="b">
        <f>IF(COUNTIF(D8829,"*"&amp;'Keyword Search'!$C$5&amp;"*"),TRUE,FALSE)</f>
        <v>1</v>
      </c>
      <c r="G8829" t="str">
        <f t="shared" si="559"/>
        <v>965-46: Graphic Design Services for Printing</v>
      </c>
    </row>
    <row r="8830" spans="1:7" x14ac:dyDescent="0.25">
      <c r="A8830" s="1" t="str">
        <f t="shared" si="561"/>
        <v>965</v>
      </c>
      <c r="B8830" s="1" t="str">
        <f>TEXT(51,"00")</f>
        <v>51</v>
      </c>
      <c r="C8830" s="1" t="str">
        <f t="shared" si="558"/>
        <v>965-51</v>
      </c>
      <c r="D8830" t="s">
        <v>8798</v>
      </c>
      <c r="E8830" t="b">
        <f>IF(COUNTIF(D8830,"*"&amp;'Keyword Search'!$C$5&amp;"*"),TRUE,FALSE)</f>
        <v>1</v>
      </c>
      <c r="G8830" t="str">
        <f t="shared" si="559"/>
        <v>965-51: Mat Preparation, Stereotype</v>
      </c>
    </row>
    <row r="8831" spans="1:7" x14ac:dyDescent="0.25">
      <c r="A8831" s="1" t="str">
        <f t="shared" si="561"/>
        <v>965</v>
      </c>
      <c r="B8831" s="1" t="str">
        <f>TEXT(54,"00")</f>
        <v>54</v>
      </c>
      <c r="C8831" s="1" t="str">
        <f t="shared" si="558"/>
        <v>965-54</v>
      </c>
      <c r="D8831" t="s">
        <v>8799</v>
      </c>
      <c r="E8831" t="b">
        <f>IF(COUNTIF(D8831,"*"&amp;'Keyword Search'!$C$5&amp;"*"),TRUE,FALSE)</f>
        <v>1</v>
      </c>
      <c r="G8831" t="str">
        <f t="shared" si="559"/>
        <v>965-54: Negative and Plate Preparation for Offset Printing</v>
      </c>
    </row>
    <row r="8832" spans="1:7" x14ac:dyDescent="0.25">
      <c r="A8832" s="1" t="str">
        <f t="shared" si="561"/>
        <v>965</v>
      </c>
      <c r="B8832" s="1" t="str">
        <f>TEXT(57,"00")</f>
        <v>57</v>
      </c>
      <c r="C8832" s="1" t="str">
        <f t="shared" si="558"/>
        <v>965-57</v>
      </c>
      <c r="D8832" t="s">
        <v>8800</v>
      </c>
      <c r="E8832" t="b">
        <f>IF(COUNTIF(D8832,"*"&amp;'Keyword Search'!$C$5&amp;"*"),TRUE,FALSE)</f>
        <v>1</v>
      </c>
      <c r="G8832" t="str">
        <f t="shared" si="559"/>
        <v>965-57: Plate Preparation, Color Process</v>
      </c>
    </row>
    <row r="8833" spans="1:7" x14ac:dyDescent="0.25">
      <c r="A8833" s="1" t="str">
        <f t="shared" si="561"/>
        <v>965</v>
      </c>
      <c r="B8833" s="1" t="str">
        <f>TEXT(58,"00")</f>
        <v>58</v>
      </c>
      <c r="C8833" s="1" t="str">
        <f t="shared" si="558"/>
        <v>965-58</v>
      </c>
      <c r="D8833" t="s">
        <v>8801</v>
      </c>
      <c r="E8833" t="b">
        <f>IF(COUNTIF(D8833,"*"&amp;'Keyword Search'!$C$5&amp;"*"),TRUE,FALSE)</f>
        <v>1</v>
      </c>
      <c r="G8833" t="str">
        <f t="shared" si="559"/>
        <v>965-58: Plate Preparation, Color, Flat Zinc, Magnesium Alloy, or Plastic</v>
      </c>
    </row>
    <row r="8834" spans="1:7" x14ac:dyDescent="0.25">
      <c r="A8834" s="1" t="str">
        <f t="shared" si="561"/>
        <v>965</v>
      </c>
      <c r="B8834" s="1" t="str">
        <f>TEXT(60,"00")</f>
        <v>60</v>
      </c>
      <c r="C8834" s="1" t="str">
        <f t="shared" si="558"/>
        <v>965-60</v>
      </c>
      <c r="D8834" t="s">
        <v>8802</v>
      </c>
      <c r="E8834" t="b">
        <f>IF(COUNTIF(D8834,"*"&amp;'Keyword Search'!$C$5&amp;"*"),TRUE,FALSE)</f>
        <v>1</v>
      </c>
      <c r="G8834" t="str">
        <f t="shared" si="559"/>
        <v>965-60: Plate Preparation, Copper, Halftone</v>
      </c>
    </row>
    <row r="8835" spans="1:7" x14ac:dyDescent="0.25">
      <c r="A8835" s="1" t="str">
        <f t="shared" si="561"/>
        <v>965</v>
      </c>
      <c r="B8835" s="1" t="str">
        <f>TEXT(62,"00")</f>
        <v>62</v>
      </c>
      <c r="C8835" s="1" t="str">
        <f t="shared" ref="C8835:C8898" si="562">CONCATENATE(A8835,"-",B8835)</f>
        <v>965-62</v>
      </c>
      <c r="D8835" t="s">
        <v>8803</v>
      </c>
      <c r="E8835" t="b">
        <f>IF(COUNTIF(D8835,"*"&amp;'Keyword Search'!$C$5&amp;"*"),TRUE,FALSE)</f>
        <v>1</v>
      </c>
      <c r="G8835" t="str">
        <f t="shared" si="559"/>
        <v>965-62: Plate Preparation, Zinc or Magnesium Alloy, Combination and Halftone and Line</v>
      </c>
    </row>
    <row r="8836" spans="1:7" x14ac:dyDescent="0.25">
      <c r="A8836" s="1" t="str">
        <f t="shared" si="561"/>
        <v>965</v>
      </c>
      <c r="B8836" s="1" t="str">
        <f>TEXT(64,"00")</f>
        <v>64</v>
      </c>
      <c r="C8836" s="1" t="str">
        <f t="shared" si="562"/>
        <v>965-64</v>
      </c>
      <c r="D8836" t="s">
        <v>8804</v>
      </c>
      <c r="E8836" t="b">
        <f>IF(COUNTIF(D8836,"*"&amp;'Keyword Search'!$C$5&amp;"*"),TRUE,FALSE)</f>
        <v>1</v>
      </c>
      <c r="G8836" t="str">
        <f t="shared" ref="G8836:G8899" si="563">CONCATENATE(C8836,": ",D8836)</f>
        <v>965-64: Plate Preparation, Zinc, Halftone</v>
      </c>
    </row>
    <row r="8837" spans="1:7" x14ac:dyDescent="0.25">
      <c r="A8837" s="1" t="str">
        <f t="shared" si="561"/>
        <v>965</v>
      </c>
      <c r="B8837" s="1" t="str">
        <f>TEXT(70,"00")</f>
        <v>70</v>
      </c>
      <c r="C8837" s="1" t="str">
        <f t="shared" si="562"/>
        <v>965-70</v>
      </c>
      <c r="D8837" t="s">
        <v>8805</v>
      </c>
      <c r="E8837" t="b">
        <f>IF(COUNTIF(D8837,"*"&amp;'Keyword Search'!$C$5&amp;"*"),TRUE,FALSE)</f>
        <v>1</v>
      </c>
      <c r="G8837" t="str">
        <f t="shared" si="563"/>
        <v>965-70: Pre-Press: Color Separations, Composite Film, Stripping, Chromolin or Match-Print Proof, etc.</v>
      </c>
    </row>
    <row r="8838" spans="1:7" x14ac:dyDescent="0.25">
      <c r="A8838" s="5" t="str">
        <f t="shared" ref="A8838:A8887" si="564">TEXT(966,"000")</f>
        <v>966</v>
      </c>
      <c r="B8838" s="5" t="str">
        <f>TEXT(0,"00")</f>
        <v>00</v>
      </c>
      <c r="C8838" s="1"/>
      <c r="D8838" s="2" t="s">
        <v>8806</v>
      </c>
    </row>
    <row r="8839" spans="1:7" x14ac:dyDescent="0.25">
      <c r="A8839" s="1" t="str">
        <f t="shared" si="564"/>
        <v>966</v>
      </c>
      <c r="B8839" s="1" t="str">
        <f>TEXT(3,"00")</f>
        <v>03</v>
      </c>
      <c r="C8839" s="1" t="str">
        <f t="shared" si="562"/>
        <v>966-03</v>
      </c>
      <c r="D8839" t="s">
        <v>8807</v>
      </c>
      <c r="E8839" t="b">
        <f>IF(COUNTIF(D8839,"*"&amp;'Keyword Search'!$C$5&amp;"*"),TRUE,FALSE)</f>
        <v>1</v>
      </c>
      <c r="G8839" t="str">
        <f t="shared" si="563"/>
        <v>966-03: Bar Code Printing</v>
      </c>
    </row>
    <row r="8840" spans="1:7" x14ac:dyDescent="0.25">
      <c r="A8840" s="1" t="str">
        <f t="shared" si="564"/>
        <v>966</v>
      </c>
      <c r="B8840" s="1" t="str">
        <f>TEXT(5,"00")</f>
        <v>05</v>
      </c>
      <c r="C8840" s="1" t="str">
        <f t="shared" si="562"/>
        <v>966-05</v>
      </c>
      <c r="D8840" t="s">
        <v>8808</v>
      </c>
      <c r="E8840" t="b">
        <f>IF(COUNTIF(D8840,"*"&amp;'Keyword Search'!$C$5&amp;"*"),TRUE,FALSE)</f>
        <v>1</v>
      </c>
      <c r="G8840" t="str">
        <f t="shared" si="563"/>
        <v>966-05: Bumper Stickers Printing</v>
      </c>
    </row>
    <row r="8841" spans="1:7" x14ac:dyDescent="0.25">
      <c r="A8841" s="1" t="str">
        <f t="shared" si="564"/>
        <v>966</v>
      </c>
      <c r="B8841" s="1" t="str">
        <f>TEXT(7,"00")</f>
        <v>07</v>
      </c>
      <c r="C8841" s="1" t="str">
        <f t="shared" si="562"/>
        <v>966-07</v>
      </c>
      <c r="D8841" t="s">
        <v>8809</v>
      </c>
      <c r="E8841" t="b">
        <f>IF(COUNTIF(D8841,"*"&amp;'Keyword Search'!$C$5&amp;"*"),TRUE,FALSE)</f>
        <v>1</v>
      </c>
      <c r="G8841" t="str">
        <f t="shared" si="563"/>
        <v>966-07: Business Cards Printing</v>
      </c>
    </row>
    <row r="8842" spans="1:7" x14ac:dyDescent="0.25">
      <c r="A8842" s="1" t="str">
        <f t="shared" si="564"/>
        <v>966</v>
      </c>
      <c r="B8842" s="1" t="str">
        <f>TEXT(11,"00")</f>
        <v>11</v>
      </c>
      <c r="C8842" s="1" t="str">
        <f t="shared" si="562"/>
        <v>966-11</v>
      </c>
      <c r="D8842" t="s">
        <v>8810</v>
      </c>
      <c r="E8842" t="b">
        <f>IF(COUNTIF(D8842,"*"&amp;'Keyword Search'!$C$5&amp;"*"),TRUE,FALSE)</f>
        <v>1</v>
      </c>
      <c r="G8842" t="str">
        <f t="shared" si="563"/>
        <v>966-11: Card Printing: Tab, Post, Form, etc.</v>
      </c>
    </row>
    <row r="8843" spans="1:7" x14ac:dyDescent="0.25">
      <c r="A8843" s="1" t="str">
        <f t="shared" si="564"/>
        <v>966</v>
      </c>
      <c r="B8843" s="1" t="str">
        <f>TEXT(13,"00")</f>
        <v>13</v>
      </c>
      <c r="C8843" s="1" t="str">
        <f t="shared" si="562"/>
        <v>966-13</v>
      </c>
      <c r="D8843" t="s">
        <v>8811</v>
      </c>
      <c r="E8843" t="b">
        <f>IF(COUNTIF(D8843,"*"&amp;'Keyword Search'!$C$5&amp;"*"),TRUE,FALSE)</f>
        <v>1</v>
      </c>
      <c r="G8843" t="str">
        <f t="shared" si="563"/>
        <v>966-13: Check Printing</v>
      </c>
    </row>
    <row r="8844" spans="1:7" x14ac:dyDescent="0.25">
      <c r="A8844" s="1" t="str">
        <f t="shared" si="564"/>
        <v>966</v>
      </c>
      <c r="B8844" s="1" t="str">
        <f>TEXT(16,"00")</f>
        <v>16</v>
      </c>
      <c r="C8844" s="1" t="str">
        <f t="shared" si="562"/>
        <v>966-16</v>
      </c>
      <c r="D8844" t="s">
        <v>8812</v>
      </c>
      <c r="E8844" t="b">
        <f>IF(COUNTIF(D8844,"*"&amp;'Keyword Search'!$C$5&amp;"*"),TRUE,FALSE)</f>
        <v>1</v>
      </c>
      <c r="G8844" t="str">
        <f t="shared" si="563"/>
        <v>966-16: Continuous Form Printing</v>
      </c>
    </row>
    <row r="8845" spans="1:7" x14ac:dyDescent="0.25">
      <c r="A8845" s="1" t="str">
        <f t="shared" si="564"/>
        <v>966</v>
      </c>
      <c r="B8845" s="1" t="str">
        <f>TEXT(18,"00")</f>
        <v>18</v>
      </c>
      <c r="C8845" s="1" t="str">
        <f t="shared" si="562"/>
        <v>966-18</v>
      </c>
      <c r="D8845" t="s">
        <v>8813</v>
      </c>
      <c r="E8845" t="b">
        <f>IF(COUNTIF(D8845,"*"&amp;'Keyword Search'!$C$5&amp;"*"),TRUE,FALSE)</f>
        <v>1</v>
      </c>
      <c r="G8845" t="str">
        <f t="shared" si="563"/>
        <v>966-18: Copying Service, Reproduction</v>
      </c>
    </row>
    <row r="8846" spans="1:7" x14ac:dyDescent="0.25">
      <c r="A8846" s="1" t="str">
        <f t="shared" si="564"/>
        <v>966</v>
      </c>
      <c r="B8846" s="1" t="str">
        <f>TEXT(22,"00")</f>
        <v>22</v>
      </c>
      <c r="C8846" s="1" t="str">
        <f t="shared" si="562"/>
        <v>966-22</v>
      </c>
      <c r="D8846" t="s">
        <v>8814</v>
      </c>
      <c r="E8846" t="b">
        <f>IF(COUNTIF(D8846,"*"&amp;'Keyword Search'!$C$5&amp;"*"),TRUE,FALSE)</f>
        <v>1</v>
      </c>
      <c r="G8846" t="str">
        <f t="shared" si="563"/>
        <v>966-22: Decal Printing</v>
      </c>
    </row>
    <row r="8847" spans="1:7" x14ac:dyDescent="0.25">
      <c r="A8847" s="1" t="str">
        <f t="shared" si="564"/>
        <v>966</v>
      </c>
      <c r="B8847" s="1" t="str">
        <f>TEXT(25,"00")</f>
        <v>25</v>
      </c>
      <c r="C8847" s="1" t="str">
        <f t="shared" si="562"/>
        <v>966-25</v>
      </c>
      <c r="D8847" t="s">
        <v>8815</v>
      </c>
      <c r="E8847" t="b">
        <f>IF(COUNTIF(D8847,"*"&amp;'Keyword Search'!$C$5&amp;"*"),TRUE,FALSE)</f>
        <v>1</v>
      </c>
      <c r="G8847" t="str">
        <f t="shared" si="563"/>
        <v>966-25: *Digital Printing</v>
      </c>
    </row>
    <row r="8848" spans="1:7" x14ac:dyDescent="0.25">
      <c r="A8848" s="1" t="str">
        <f t="shared" si="564"/>
        <v>966</v>
      </c>
      <c r="B8848" s="1" t="str">
        <f>TEXT(27,"00")</f>
        <v>27</v>
      </c>
      <c r="C8848" s="1" t="str">
        <f t="shared" si="562"/>
        <v>966-27</v>
      </c>
      <c r="D8848" t="s">
        <v>8816</v>
      </c>
      <c r="E8848" t="b">
        <f>IF(COUNTIF(D8848,"*"&amp;'Keyword Search'!$C$5&amp;"*"),TRUE,FALSE)</f>
        <v>1</v>
      </c>
      <c r="G8848" t="str">
        <f t="shared" si="563"/>
        <v>966-27: Electrostatic Printing Services</v>
      </c>
    </row>
    <row r="8849" spans="1:7" x14ac:dyDescent="0.25">
      <c r="A8849" s="1" t="str">
        <f t="shared" si="564"/>
        <v>966</v>
      </c>
      <c r="B8849" s="1" t="str">
        <f>TEXT(28,"00")</f>
        <v>28</v>
      </c>
      <c r="C8849" s="1" t="str">
        <f t="shared" si="562"/>
        <v>966-28</v>
      </c>
      <c r="D8849" t="s">
        <v>8817</v>
      </c>
      <c r="E8849" t="b">
        <f>IF(COUNTIF(D8849,"*"&amp;'Keyword Search'!$C$5&amp;"*"),TRUE,FALSE)</f>
        <v>1</v>
      </c>
      <c r="G8849" t="str">
        <f t="shared" si="563"/>
        <v>966-28: Engraved and Embossed Awards, Bonds, Certificates, Diplomas, Stationery, etc.</v>
      </c>
    </row>
    <row r="8850" spans="1:7" x14ac:dyDescent="0.25">
      <c r="A8850" s="1" t="str">
        <f t="shared" si="564"/>
        <v>966</v>
      </c>
      <c r="B8850" s="1" t="str">
        <f>TEXT(31,"00")</f>
        <v>31</v>
      </c>
      <c r="C8850" s="1" t="str">
        <f t="shared" si="562"/>
        <v>966-31</v>
      </c>
      <c r="D8850" t="s">
        <v>8818</v>
      </c>
      <c r="E8850" t="b">
        <f>IF(COUNTIF(D8850,"*"&amp;'Keyword Search'!$C$5&amp;"*"),TRUE,FALSE)</f>
        <v>1</v>
      </c>
      <c r="G8850" t="str">
        <f t="shared" si="563"/>
        <v>966-31: Envelope and Mailer Printing</v>
      </c>
    </row>
    <row r="8851" spans="1:7" x14ac:dyDescent="0.25">
      <c r="A8851" s="1" t="str">
        <f t="shared" si="564"/>
        <v>966</v>
      </c>
      <c r="B8851" s="1" t="str">
        <f>TEXT(36,"00")</f>
        <v>36</v>
      </c>
      <c r="C8851" s="1" t="str">
        <f t="shared" si="562"/>
        <v>966-36</v>
      </c>
      <c r="D8851" t="s">
        <v>8819</v>
      </c>
      <c r="E8851" t="b">
        <f>IF(COUNTIF(D8851,"*"&amp;'Keyword Search'!$C$5&amp;"*"),TRUE,FALSE)</f>
        <v>1</v>
      </c>
      <c r="G8851" t="str">
        <f t="shared" si="563"/>
        <v>966-36: Forms Printing, Not Continuous</v>
      </c>
    </row>
    <row r="8852" spans="1:7" x14ac:dyDescent="0.25">
      <c r="A8852" s="1" t="str">
        <f t="shared" si="564"/>
        <v>966</v>
      </c>
      <c r="B8852" s="1" t="str">
        <f>TEXT(42,"00")</f>
        <v>42</v>
      </c>
      <c r="C8852" s="1" t="str">
        <f t="shared" si="562"/>
        <v>966-42</v>
      </c>
      <c r="D8852" t="s">
        <v>8820</v>
      </c>
      <c r="E8852" t="b">
        <f>IF(COUNTIF(D8852,"*"&amp;'Keyword Search'!$C$5&amp;"*"),TRUE,FALSE)</f>
        <v>1</v>
      </c>
      <c r="G8852" t="str">
        <f t="shared" si="563"/>
        <v>966-42: Imprinting Services</v>
      </c>
    </row>
    <row r="8853" spans="1:7" x14ac:dyDescent="0.25">
      <c r="A8853" s="1" t="str">
        <f t="shared" si="564"/>
        <v>966</v>
      </c>
      <c r="B8853" s="1" t="str">
        <f>TEXT(46,"00")</f>
        <v>46</v>
      </c>
      <c r="C8853" s="1" t="str">
        <f t="shared" si="562"/>
        <v>966-46</v>
      </c>
      <c r="D8853" t="s">
        <v>8821</v>
      </c>
      <c r="E8853" t="b">
        <f>IF(COUNTIF(D8853,"*"&amp;'Keyword Search'!$C$5&amp;"*"),TRUE,FALSE)</f>
        <v>1</v>
      </c>
      <c r="G8853" t="str">
        <f t="shared" si="563"/>
        <v>966-46: Intaglio Printing (e.g., The Process by Which U.S. Currency is Printed): Birth Certificates, Car Titles, etc.</v>
      </c>
    </row>
    <row r="8854" spans="1:7" x14ac:dyDescent="0.25">
      <c r="A8854" s="1" t="str">
        <f t="shared" si="564"/>
        <v>966</v>
      </c>
      <c r="B8854" s="1" t="str">
        <f>TEXT(51,"00")</f>
        <v>51</v>
      </c>
      <c r="C8854" s="1" t="str">
        <f t="shared" si="562"/>
        <v>966-51</v>
      </c>
      <c r="D8854" t="s">
        <v>8822</v>
      </c>
      <c r="E8854" t="b">
        <f>IF(COUNTIF(D8854,"*"&amp;'Keyword Search'!$C$5&amp;"*"),TRUE,FALSE)</f>
        <v>1</v>
      </c>
      <c r="G8854" t="str">
        <f t="shared" si="563"/>
        <v>966-51: Letterhead Printing</v>
      </c>
    </row>
    <row r="8855" spans="1:7" x14ac:dyDescent="0.25">
      <c r="A8855" s="1" t="str">
        <f t="shared" si="564"/>
        <v>966</v>
      </c>
      <c r="B8855" s="1" t="str">
        <f>TEXT(52,"00")</f>
        <v>52</v>
      </c>
      <c r="C8855" s="1" t="str">
        <f t="shared" si="562"/>
        <v>966-52</v>
      </c>
      <c r="D8855" t="s">
        <v>8823</v>
      </c>
      <c r="E8855" t="b">
        <f>IF(COUNTIF(D8855,"*"&amp;'Keyword Search'!$C$5&amp;"*"),TRUE,FALSE)</f>
        <v>1</v>
      </c>
      <c r="G8855" t="str">
        <f t="shared" si="563"/>
        <v>966-52: Licenses and Back Tags Printing Services (Hunting, Fishing, etc.)</v>
      </c>
    </row>
    <row r="8856" spans="1:7" x14ac:dyDescent="0.25">
      <c r="A8856" s="1" t="str">
        <f t="shared" si="564"/>
        <v>966</v>
      </c>
      <c r="B8856" s="1" t="str">
        <f>TEXT(55,"00")</f>
        <v>55</v>
      </c>
      <c r="C8856" s="1" t="str">
        <f t="shared" si="562"/>
        <v>966-55</v>
      </c>
      <c r="D8856" t="s">
        <v>8824</v>
      </c>
      <c r="E8856" t="b">
        <f>IF(COUNTIF(D8856,"*"&amp;'Keyword Search'!$C$5&amp;"*"),TRUE,FALSE)</f>
        <v>1</v>
      </c>
      <c r="G8856" t="str">
        <f t="shared" si="563"/>
        <v>966-55: Numbering Services, Printing</v>
      </c>
    </row>
    <row r="8857" spans="1:7" x14ac:dyDescent="0.25">
      <c r="A8857" s="1" t="str">
        <f t="shared" si="564"/>
        <v>966</v>
      </c>
      <c r="B8857" s="1" t="str">
        <f>TEXT(57,"00")</f>
        <v>57</v>
      </c>
      <c r="C8857" s="1" t="str">
        <f t="shared" si="562"/>
        <v>966-57</v>
      </c>
      <c r="D8857" t="s">
        <v>8825</v>
      </c>
      <c r="E8857" t="b">
        <f>IF(COUNTIF(D8857,"*"&amp;'Keyword Search'!$C$5&amp;"*"),TRUE,FALSE)</f>
        <v>1</v>
      </c>
      <c r="G8857" t="str">
        <f t="shared" si="563"/>
        <v>966-57: Offset Printing, General, Small Press Work (Quan. up to 25,000), One or More Colors, No 4 Color Processes or Large Solids or Close Registration; up to 11 x 17 In.: Brochures, Newsletters, Covers, Posters, etc.</v>
      </c>
    </row>
    <row r="8858" spans="1:7" x14ac:dyDescent="0.25">
      <c r="A8858" s="1" t="str">
        <f t="shared" si="564"/>
        <v>966</v>
      </c>
      <c r="B8858" s="1" t="str">
        <f>TEXT(58,"00")</f>
        <v>58</v>
      </c>
      <c r="C8858" s="1" t="str">
        <f t="shared" si="562"/>
        <v>966-58</v>
      </c>
      <c r="D8858" t="s">
        <v>8826</v>
      </c>
      <c r="E8858" t="b">
        <f>IF(COUNTIF(D8858,"*"&amp;'Keyword Search'!$C$5&amp;"*"),TRUE,FALSE)</f>
        <v>1</v>
      </c>
      <c r="G8858" t="str">
        <f t="shared" si="563"/>
        <v>966-58: Offset Printing, General, Large Press Work (Quan. up to 100,000); One or More Colors, No 4 Color Processes or Close Registration Required, Finished Sizes May Exceed 11 x 17 In., May Have Large Solids</v>
      </c>
    </row>
    <row r="8859" spans="1:7" x14ac:dyDescent="0.25">
      <c r="A8859" s="1" t="str">
        <f t="shared" si="564"/>
        <v>966</v>
      </c>
      <c r="B8859" s="1" t="str">
        <f>TEXT(59,"00")</f>
        <v>59</v>
      </c>
      <c r="C8859" s="1" t="str">
        <f t="shared" si="562"/>
        <v>966-59</v>
      </c>
      <c r="D8859" t="s">
        <v>8827</v>
      </c>
      <c r="E8859" t="b">
        <f>IF(COUNTIF(D8859,"*"&amp;'Keyword Search'!$C$5&amp;"*"),TRUE,FALSE)</f>
        <v>1</v>
      </c>
      <c r="G8859" t="str">
        <f t="shared" si="563"/>
        <v>966-59: Offset Printing, General, Large Production Runs on Large or Web Press (Quan. Over 100,000), One or More Colors, No 4 Color Processes or Close Registration Required, May Exceed 11 x 17 In. and Have Large Solids</v>
      </c>
    </row>
    <row r="8860" spans="1:7" x14ac:dyDescent="0.25">
      <c r="A8860" s="1" t="str">
        <f t="shared" si="564"/>
        <v>966</v>
      </c>
      <c r="B8860" s="1" t="str">
        <f>TEXT(60,"00")</f>
        <v>60</v>
      </c>
      <c r="C8860" s="1" t="str">
        <f t="shared" si="562"/>
        <v>966-60</v>
      </c>
      <c r="D8860" t="s">
        <v>8828</v>
      </c>
      <c r="E8860" t="b">
        <f>IF(COUNTIF(D8860,"*"&amp;'Keyword Search'!$C$5&amp;"*"),TRUE,FALSE)</f>
        <v>1</v>
      </c>
      <c r="G8860" t="str">
        <f t="shared" si="563"/>
        <v>966-60: Offset Printing, Large Production Runs (Quan. up to 100,000); 4 Color Process or Close Registration Required: Color Brochures, Maps, etc.</v>
      </c>
    </row>
    <row r="8861" spans="1:7" x14ac:dyDescent="0.25">
      <c r="A8861" s="1" t="str">
        <f t="shared" si="564"/>
        <v>966</v>
      </c>
      <c r="B8861" s="1" t="str">
        <f>TEXT(61,"00")</f>
        <v>61</v>
      </c>
      <c r="C8861" s="1" t="str">
        <f t="shared" si="562"/>
        <v>966-61</v>
      </c>
      <c r="D8861" t="s">
        <v>8829</v>
      </c>
      <c r="E8861" t="b">
        <f>IF(COUNTIF(D8861,"*"&amp;'Keyword Search'!$C$5&amp;"*"),TRUE,FALSE)</f>
        <v>1</v>
      </c>
      <c r="G8861" t="str">
        <f t="shared" si="563"/>
        <v>966-61: Offset Printing, Large Production Runs (Quan. Over 100,000); 4 Color Process or Close Registration Required: Color Brochures, Maps, etc.</v>
      </c>
    </row>
    <row r="8862" spans="1:7" x14ac:dyDescent="0.25">
      <c r="A8862" s="1" t="str">
        <f t="shared" si="564"/>
        <v>966</v>
      </c>
      <c r="B8862" s="1" t="str">
        <f>TEXT(62,"00")</f>
        <v>62</v>
      </c>
      <c r="C8862" s="1" t="str">
        <f t="shared" si="562"/>
        <v>966-62</v>
      </c>
      <c r="D8862" t="s">
        <v>8830</v>
      </c>
      <c r="E8862" t="b">
        <f>IF(COUNTIF(D8862,"*"&amp;'Keyword Search'!$C$5&amp;"*"),TRUE,FALSE)</f>
        <v>1</v>
      </c>
      <c r="G8862" t="str">
        <f t="shared" si="563"/>
        <v>966-62: Offset Printing, Booklets, Saddle Stitch Binding (Quan. Under 100,000): Books and Magazines</v>
      </c>
    </row>
    <row r="8863" spans="1:7" x14ac:dyDescent="0.25">
      <c r="A8863" s="1" t="str">
        <f t="shared" si="564"/>
        <v>966</v>
      </c>
      <c r="B8863" s="1" t="str">
        <f>TEXT(63,"00")</f>
        <v>63</v>
      </c>
      <c r="C8863" s="1" t="str">
        <f t="shared" si="562"/>
        <v>966-63</v>
      </c>
      <c r="D8863" t="s">
        <v>8831</v>
      </c>
      <c r="E8863" t="b">
        <f>IF(COUNTIF(D8863,"*"&amp;'Keyword Search'!$C$5&amp;"*"),TRUE,FALSE)</f>
        <v>1</v>
      </c>
      <c r="G8863" t="str">
        <f t="shared" si="563"/>
        <v>966-63: Offset Printing, Booklets, Saddle Stitch Binding (Quantities up to 100,000; 4 Color Process or Tight Registration Required): Books, Magazines, etc.</v>
      </c>
    </row>
    <row r="8864" spans="1:7" x14ac:dyDescent="0.25">
      <c r="A8864" s="1" t="str">
        <f t="shared" si="564"/>
        <v>966</v>
      </c>
      <c r="B8864" s="1" t="str">
        <f>TEXT(64,"00")</f>
        <v>64</v>
      </c>
      <c r="C8864" s="1" t="str">
        <f t="shared" si="562"/>
        <v>966-64</v>
      </c>
      <c r="D8864" t="s">
        <v>8832</v>
      </c>
      <c r="E8864" t="b">
        <f>IF(COUNTIF(D8864,"*"&amp;'Keyword Search'!$C$5&amp;"*"),TRUE,FALSE)</f>
        <v>1</v>
      </c>
      <c r="G8864" t="str">
        <f t="shared" si="563"/>
        <v>966-64: Offset Printing, Booklets, Saddle Stitch Binding (Quantities over 100,000): Books and Magazines</v>
      </c>
    </row>
    <row r="8865" spans="1:7" x14ac:dyDescent="0.25">
      <c r="A8865" s="1" t="str">
        <f t="shared" si="564"/>
        <v>966</v>
      </c>
      <c r="B8865" s="1" t="str">
        <f>TEXT(65,"00")</f>
        <v>65</v>
      </c>
      <c r="C8865" s="1" t="str">
        <f t="shared" si="562"/>
        <v>966-65</v>
      </c>
      <c r="D8865" t="s">
        <v>8833</v>
      </c>
      <c r="E8865" t="b">
        <f>IF(COUNTIF(D8865,"*"&amp;'Keyword Search'!$C$5&amp;"*"),TRUE,FALSE)</f>
        <v>1</v>
      </c>
      <c r="G8865" t="str">
        <f t="shared" si="563"/>
        <v>966-65: Offset Printing, Books, Perfect Bound (Quan. up to 10,000); 4 Color Process Acceptable: College Catalogues, Telephone Books, etc.</v>
      </c>
    </row>
    <row r="8866" spans="1:7" x14ac:dyDescent="0.25">
      <c r="A8866" s="1" t="str">
        <f t="shared" si="564"/>
        <v>966</v>
      </c>
      <c r="B8866" s="1" t="str">
        <f>TEXT(66,"00")</f>
        <v>66</v>
      </c>
      <c r="C8866" s="1" t="str">
        <f t="shared" si="562"/>
        <v>966-66</v>
      </c>
      <c r="D8866" t="s">
        <v>8834</v>
      </c>
      <c r="E8866" t="b">
        <f>IF(COUNTIF(D8866,"*"&amp;'Keyword Search'!$C$5&amp;"*"),TRUE,FALSE)</f>
        <v>1</v>
      </c>
      <c r="G8866" t="str">
        <f t="shared" si="563"/>
        <v>966-66: Offset Printing, Books, Perfect Bound (Quan. Over 10,000); 4 Color Process Acceptable</v>
      </c>
    </row>
    <row r="8867" spans="1:7" x14ac:dyDescent="0.25">
      <c r="A8867" s="1" t="str">
        <f t="shared" si="564"/>
        <v>966</v>
      </c>
      <c r="B8867" s="1" t="str">
        <f>TEXT(67,"00")</f>
        <v>67</v>
      </c>
      <c r="C8867" s="1" t="str">
        <f t="shared" si="562"/>
        <v>966-67</v>
      </c>
      <c r="D8867" t="s">
        <v>8835</v>
      </c>
      <c r="E8867" t="b">
        <f>IF(COUNTIF(D8867,"*"&amp;'Keyword Search'!$C$5&amp;"*"),TRUE,FALSE)</f>
        <v>1</v>
      </c>
      <c r="G8867" t="str">
        <f t="shared" si="563"/>
        <v>966-67: Offset Printing, Custom Bound, Hardback, Leather, etc.: Books</v>
      </c>
    </row>
    <row r="8868" spans="1:7" x14ac:dyDescent="0.25">
      <c r="A8868" s="1" t="str">
        <f t="shared" si="564"/>
        <v>966</v>
      </c>
      <c r="B8868" s="1" t="str">
        <f>TEXT(68,"00")</f>
        <v>68</v>
      </c>
      <c r="C8868" s="1" t="str">
        <f t="shared" si="562"/>
        <v>966-68</v>
      </c>
      <c r="D8868" t="s">
        <v>8836</v>
      </c>
      <c r="E8868" t="b">
        <f>IF(COUNTIF(D8868,"*"&amp;'Keyword Search'!$C$5&amp;"*"),TRUE,FALSE)</f>
        <v>1</v>
      </c>
      <c r="G8868" t="str">
        <f t="shared" si="563"/>
        <v>966-68: Offset Printing, General, Large Press Work (Quan. up to 100,000); One or More Colors, Close Registration Required, No 4-Color Processes, Finished Sizes May Exceed 8-1/2 x 11 in., Newsletters, etc.</v>
      </c>
    </row>
    <row r="8869" spans="1:7" x14ac:dyDescent="0.25">
      <c r="A8869" s="1" t="str">
        <f t="shared" si="564"/>
        <v>966</v>
      </c>
      <c r="B8869" s="1" t="str">
        <f>TEXT(69,"00")</f>
        <v>69</v>
      </c>
      <c r="C8869" s="1" t="str">
        <f t="shared" si="562"/>
        <v>966-69</v>
      </c>
      <c r="D8869" t="s">
        <v>8837</v>
      </c>
      <c r="E8869" t="b">
        <f>IF(COUNTIF(D8869,"*"&amp;'Keyword Search'!$C$5&amp;"*"),TRUE,FALSE)</f>
        <v>1</v>
      </c>
      <c r="G8869" t="str">
        <f t="shared" si="563"/>
        <v>966-69: Offset Printing, General, Large Press Work (Quan. up to 100,000); One or More Colors, Close Registration Required, No 4-Color Processes, Finished Sizes May Exceed 11 x 17 in., May Have Large Solids</v>
      </c>
    </row>
    <row r="8870" spans="1:7" x14ac:dyDescent="0.25">
      <c r="A8870" s="1" t="str">
        <f t="shared" si="564"/>
        <v>966</v>
      </c>
      <c r="B8870" s="1" t="str">
        <f>TEXT(70,"00")</f>
        <v>70</v>
      </c>
      <c r="C8870" s="1" t="str">
        <f t="shared" si="562"/>
        <v>966-70</v>
      </c>
      <c r="D8870" t="s">
        <v>8838</v>
      </c>
      <c r="E8870" t="b">
        <f>IF(COUNTIF(D8870,"*"&amp;'Keyword Search'!$C$5&amp;"*"),TRUE,FALSE)</f>
        <v>1</v>
      </c>
      <c r="G8870" t="str">
        <f t="shared" si="563"/>
        <v>966-70: Optical Scanning Form Printing</v>
      </c>
    </row>
    <row r="8871" spans="1:7" x14ac:dyDescent="0.25">
      <c r="A8871" s="1" t="str">
        <f t="shared" si="564"/>
        <v>966</v>
      </c>
      <c r="B8871" s="1" t="str">
        <f>TEXT(71,"00")</f>
        <v>71</v>
      </c>
      <c r="C8871" s="1" t="str">
        <f t="shared" si="562"/>
        <v>966-71</v>
      </c>
      <c r="D8871" t="s">
        <v>8839</v>
      </c>
      <c r="E8871" t="b">
        <f>IF(COUNTIF(D8871,"*"&amp;'Keyword Search'!$C$5&amp;"*"),TRUE,FALSE)</f>
        <v>1</v>
      </c>
      <c r="G8871" t="str">
        <f t="shared" si="563"/>
        <v>966-71: Paper Cutting, Drilling, Folding, Punching, Shredding, Trimming, etc.</v>
      </c>
    </row>
    <row r="8872" spans="1:7" x14ac:dyDescent="0.25">
      <c r="A8872" s="1" t="str">
        <f t="shared" si="564"/>
        <v>966</v>
      </c>
      <c r="B8872" s="1" t="str">
        <f>TEXT(72,"00")</f>
        <v>72</v>
      </c>
      <c r="C8872" s="1" t="str">
        <f t="shared" si="562"/>
        <v>966-72</v>
      </c>
      <c r="D8872" t="s">
        <v>8840</v>
      </c>
      <c r="E8872" t="b">
        <f>IF(COUNTIF(D8872,"*"&amp;'Keyword Search'!$C$5&amp;"*"),TRUE,FALSE)</f>
        <v>1</v>
      </c>
      <c r="G8872" t="str">
        <f t="shared" si="563"/>
        <v>966-72: Printing of Annotated Laws, Rules, and Changes from the Legislature, Courts, etc. (Copyrighted)</v>
      </c>
    </row>
    <row r="8873" spans="1:7" x14ac:dyDescent="0.25">
      <c r="A8873" s="1" t="str">
        <f t="shared" si="564"/>
        <v>966</v>
      </c>
      <c r="B8873" s="1" t="str">
        <f>TEXT(73,"00")</f>
        <v>73</v>
      </c>
      <c r="C8873" s="1" t="str">
        <f t="shared" si="562"/>
        <v>966-73</v>
      </c>
      <c r="D8873" t="s">
        <v>8841</v>
      </c>
      <c r="E8873" t="b">
        <f>IF(COUNTIF(D8873,"*"&amp;'Keyword Search'!$C$5&amp;"*"),TRUE,FALSE)</f>
        <v>1</v>
      </c>
      <c r="G8873" t="str">
        <f t="shared" si="563"/>
        <v>966-73: Publications Printed on Newsprint or Ground wood Paper Stock (Quan. up to 100,000)</v>
      </c>
    </row>
    <row r="8874" spans="1:7" x14ac:dyDescent="0.25">
      <c r="A8874" s="1" t="str">
        <f t="shared" si="564"/>
        <v>966</v>
      </c>
      <c r="B8874" s="1" t="str">
        <f>TEXT(74,"00")</f>
        <v>74</v>
      </c>
      <c r="C8874" s="1" t="str">
        <f t="shared" si="562"/>
        <v>966-74</v>
      </c>
      <c r="D8874" t="s">
        <v>8842</v>
      </c>
      <c r="E8874" t="b">
        <f>IF(COUNTIF(D8874,"*"&amp;'Keyword Search'!$C$5&amp;"*"),TRUE,FALSE)</f>
        <v>1</v>
      </c>
      <c r="G8874" t="str">
        <f t="shared" si="563"/>
        <v>966-74: Publications Printed on Newsprint or Ground wood Paper Stock (Quan. Over 100,000)</v>
      </c>
    </row>
    <row r="8875" spans="1:7" x14ac:dyDescent="0.25">
      <c r="A8875" s="1" t="str">
        <f t="shared" si="564"/>
        <v>966</v>
      </c>
      <c r="B8875" s="1" t="str">
        <f>TEXT(75,"00")</f>
        <v>75</v>
      </c>
      <c r="C8875" s="1" t="str">
        <f t="shared" si="562"/>
        <v>966-75</v>
      </c>
      <c r="D8875" t="s">
        <v>8843</v>
      </c>
      <c r="E8875" t="b">
        <f>IF(COUNTIF(D8875,"*"&amp;'Keyword Search'!$C$5&amp;"*"),TRUE,FALSE)</f>
        <v>1</v>
      </c>
      <c r="G8875" t="str">
        <f t="shared" si="563"/>
        <v>966-75: Printing on Recycled Stock</v>
      </c>
    </row>
    <row r="8876" spans="1:7" x14ac:dyDescent="0.25">
      <c r="A8876" s="1" t="str">
        <f t="shared" si="564"/>
        <v>966</v>
      </c>
      <c r="B8876" s="1" t="str">
        <f>TEXT(76,"00")</f>
        <v>76</v>
      </c>
      <c r="C8876" s="1" t="str">
        <f t="shared" si="562"/>
        <v>966-76</v>
      </c>
      <c r="D8876" t="s">
        <v>8844</v>
      </c>
      <c r="E8876" t="b">
        <f>IF(COUNTIF(D8876,"*"&amp;'Keyword Search'!$C$5&amp;"*"),TRUE,FALSE)</f>
        <v>1</v>
      </c>
      <c r="G8876" t="str">
        <f t="shared" si="563"/>
        <v>966-76: Print-On-Demand Printing Services, Including Print and Distribute Services</v>
      </c>
    </row>
    <row r="8877" spans="1:7" x14ac:dyDescent="0.25">
      <c r="A8877" s="1" t="str">
        <f t="shared" si="564"/>
        <v>966</v>
      </c>
      <c r="B8877" s="1" t="str">
        <f>TEXT(78,"00")</f>
        <v>78</v>
      </c>
      <c r="C8877" s="1" t="str">
        <f t="shared" si="562"/>
        <v>966-78</v>
      </c>
      <c r="D8877" t="s">
        <v>8845</v>
      </c>
      <c r="E8877" t="b">
        <f>IF(COUNTIF(D8877,"*"&amp;'Keyword Search'!$C$5&amp;"*"),TRUE,FALSE)</f>
        <v>1</v>
      </c>
      <c r="G8877" t="str">
        <f t="shared" si="563"/>
        <v>966-78: Receipt and Voucher Book Printing</v>
      </c>
    </row>
    <row r="8878" spans="1:7" x14ac:dyDescent="0.25">
      <c r="A8878" s="1" t="str">
        <f t="shared" si="564"/>
        <v>966</v>
      </c>
      <c r="B8878" s="1" t="str">
        <f>TEXT(81,"00")</f>
        <v>81</v>
      </c>
      <c r="C8878" s="1" t="str">
        <f t="shared" si="562"/>
        <v>966-81</v>
      </c>
      <c r="D8878" t="s">
        <v>8846</v>
      </c>
      <c r="E8878" t="b">
        <f>IF(COUNTIF(D8878,"*"&amp;'Keyword Search'!$C$5&amp;"*"),TRUE,FALSE)</f>
        <v>1</v>
      </c>
      <c r="G8878" t="str">
        <f t="shared" si="563"/>
        <v>966-81: Security Paper, Custom Printed (Quan. Over 100,000)</v>
      </c>
    </row>
    <row r="8879" spans="1:7" x14ac:dyDescent="0.25">
      <c r="A8879" s="1" t="str">
        <f t="shared" si="564"/>
        <v>966</v>
      </c>
      <c r="B8879" s="1" t="str">
        <f>TEXT(84,"00")</f>
        <v>84</v>
      </c>
      <c r="C8879" s="1" t="str">
        <f t="shared" si="562"/>
        <v>966-84</v>
      </c>
      <c r="D8879" t="s">
        <v>8847</v>
      </c>
      <c r="E8879" t="b">
        <f>IF(COUNTIF(D8879,"*"&amp;'Keyword Search'!$C$5&amp;"*"),TRUE,FALSE)</f>
        <v>1</v>
      </c>
      <c r="G8879" t="str">
        <f t="shared" si="563"/>
        <v>966-84: Silk Screen Printing</v>
      </c>
    </row>
    <row r="8880" spans="1:7" x14ac:dyDescent="0.25">
      <c r="A8880" s="1" t="str">
        <f t="shared" si="564"/>
        <v>966</v>
      </c>
      <c r="B8880" s="1" t="str">
        <f>TEXT(85,"00")</f>
        <v>85</v>
      </c>
      <c r="C8880" s="1" t="str">
        <f t="shared" si="562"/>
        <v>966-85</v>
      </c>
      <c r="D8880" t="s">
        <v>8848</v>
      </c>
      <c r="E8880" t="b">
        <f>IF(COUNTIF(D8880,"*"&amp;'Keyword Search'!$C$5&amp;"*"),TRUE,FALSE)</f>
        <v>1</v>
      </c>
      <c r="G8880" t="str">
        <f t="shared" si="563"/>
        <v>966-85: Snap-Out Form Printing (See 395-70,80 for Continuous Shelf Items)</v>
      </c>
    </row>
    <row r="8881" spans="1:7" x14ac:dyDescent="0.25">
      <c r="A8881" s="1" t="str">
        <f t="shared" si="564"/>
        <v>966</v>
      </c>
      <c r="B8881" s="1" t="str">
        <f>TEXT(86,"00")</f>
        <v>86</v>
      </c>
      <c r="C8881" s="1" t="str">
        <f t="shared" si="562"/>
        <v>966-86</v>
      </c>
      <c r="D8881" t="s">
        <v>8849</v>
      </c>
      <c r="E8881" t="b">
        <f>IF(COUNTIF(D8881,"*"&amp;'Keyword Search'!$C$5&amp;"*"),TRUE,FALSE)</f>
        <v>1</v>
      </c>
      <c r="G8881" t="str">
        <f t="shared" si="563"/>
        <v>966-86: Specialty Printing: Die Cutting, Laser, Plastic, Thermography, etc., Folders, Invitations, Tabs, Binders, Banners, Banner Displays, etc.</v>
      </c>
    </row>
    <row r="8882" spans="1:7" x14ac:dyDescent="0.25">
      <c r="A8882" s="1" t="str">
        <f t="shared" si="564"/>
        <v>966</v>
      </c>
      <c r="B8882" s="1" t="str">
        <f>TEXT(89,"00")</f>
        <v>89</v>
      </c>
      <c r="C8882" s="1" t="str">
        <f t="shared" si="562"/>
        <v>966-89</v>
      </c>
      <c r="D8882" t="s">
        <v>8850</v>
      </c>
      <c r="E8882" t="b">
        <f>IF(COUNTIF(D8882,"*"&amp;'Keyword Search'!$C$5&amp;"*"),TRUE,FALSE)</f>
        <v>1</v>
      </c>
      <c r="G8882" t="str">
        <f t="shared" si="563"/>
        <v>966-89: Tickets, Special Labels and Tapes, Printed, Not Continuous, Prescription Drugs, etc., Pressure Sensitive or Dry Gummed Adhesion Flats, Rolls, Tablets, etc.</v>
      </c>
    </row>
    <row r="8883" spans="1:7" x14ac:dyDescent="0.25">
      <c r="A8883" s="1" t="str">
        <f t="shared" si="564"/>
        <v>966</v>
      </c>
      <c r="B8883" s="1" t="str">
        <f>TEXT(90,"00")</f>
        <v>90</v>
      </c>
      <c r="C8883" s="1" t="str">
        <f t="shared" si="562"/>
        <v>966-90</v>
      </c>
      <c r="D8883" t="s">
        <v>8851</v>
      </c>
      <c r="E8883" t="b">
        <f>IF(COUNTIF(D8883,"*"&amp;'Keyword Search'!$C$5&amp;"*"),TRUE,FALSE)</f>
        <v>1</v>
      </c>
      <c r="G8883" t="str">
        <f t="shared" si="563"/>
        <v>966-90: Tickets, Special Tags, Labels, Printed: Continuous, Gang or Single</v>
      </c>
    </row>
    <row r="8884" spans="1:7" x14ac:dyDescent="0.25">
      <c r="A8884" s="1" t="str">
        <f t="shared" si="564"/>
        <v>966</v>
      </c>
      <c r="B8884" s="1" t="str">
        <f>TEXT(92,"00")</f>
        <v>92</v>
      </c>
      <c r="C8884" s="1" t="str">
        <f t="shared" si="562"/>
        <v>966-92</v>
      </c>
      <c r="D8884" t="s">
        <v>8852</v>
      </c>
      <c r="E8884" t="b">
        <f>IF(COUNTIF(D8884,"*"&amp;'Keyword Search'!$C$5&amp;"*"),TRUE,FALSE)</f>
        <v>1</v>
      </c>
      <c r="G8884" t="str">
        <f t="shared" si="563"/>
        <v>966-92: Typesetting, Hot Type, Linotype</v>
      </c>
    </row>
    <row r="8885" spans="1:7" x14ac:dyDescent="0.25">
      <c r="A8885" s="1" t="str">
        <f t="shared" si="564"/>
        <v>966</v>
      </c>
      <c r="B8885" s="1" t="str">
        <f>TEXT(93,"00")</f>
        <v>93</v>
      </c>
      <c r="C8885" s="1" t="str">
        <f t="shared" si="562"/>
        <v>966-93</v>
      </c>
      <c r="D8885" t="s">
        <v>8853</v>
      </c>
      <c r="E8885" t="b">
        <f>IF(COUNTIF(D8885,"*"&amp;'Keyword Search'!$C$5&amp;"*"),TRUE,FALSE)</f>
        <v>1</v>
      </c>
      <c r="G8885" t="str">
        <f t="shared" si="563"/>
        <v>966-93: Typesetting, Laser</v>
      </c>
    </row>
    <row r="8886" spans="1:7" x14ac:dyDescent="0.25">
      <c r="A8886" s="1" t="str">
        <f t="shared" si="564"/>
        <v>966</v>
      </c>
      <c r="B8886" s="1" t="str">
        <f>TEXT(94,"00")</f>
        <v>94</v>
      </c>
      <c r="C8886" s="1" t="str">
        <f t="shared" si="562"/>
        <v>966-94</v>
      </c>
      <c r="D8886" t="s">
        <v>8854</v>
      </c>
      <c r="E8886" t="b">
        <f>IF(COUNTIF(D8886,"*"&amp;'Keyword Search'!$C$5&amp;"*"),TRUE,FALSE)</f>
        <v>1</v>
      </c>
      <c r="G8886" t="str">
        <f t="shared" si="563"/>
        <v>966-94: Typesetting, Photocomposition, Cold Type</v>
      </c>
    </row>
    <row r="8887" spans="1:7" x14ac:dyDescent="0.25">
      <c r="A8887" s="1" t="str">
        <f t="shared" si="564"/>
        <v>966</v>
      </c>
      <c r="B8887" s="1" t="str">
        <f>TEXT(95,"00")</f>
        <v>95</v>
      </c>
      <c r="C8887" s="1" t="str">
        <f t="shared" si="562"/>
        <v>966-95</v>
      </c>
      <c r="D8887" t="s">
        <v>8855</v>
      </c>
      <c r="E8887" t="b">
        <f>IF(COUNTIF(D8887,"*"&amp;'Keyword Search'!$C$5&amp;"*"),TRUE,FALSE)</f>
        <v>1</v>
      </c>
      <c r="G8887" t="str">
        <f t="shared" si="563"/>
        <v>966-95: Typesetting with Modem Capability</v>
      </c>
    </row>
    <row r="8888" spans="1:7" x14ac:dyDescent="0.25">
      <c r="A8888" s="5" t="str">
        <f t="shared" ref="A8888:A8943" si="565">TEXT(967,"000")</f>
        <v>967</v>
      </c>
      <c r="B8888" s="5" t="str">
        <f>TEXT(0,"00")</f>
        <v>00</v>
      </c>
      <c r="C8888" s="1"/>
      <c r="D8888" s="2" t="s">
        <v>8856</v>
      </c>
    </row>
    <row r="8889" spans="1:7" x14ac:dyDescent="0.25">
      <c r="A8889" s="1" t="str">
        <f t="shared" si="565"/>
        <v>967</v>
      </c>
      <c r="B8889" s="1" t="str">
        <f>TEXT(1,"00")</f>
        <v>01</v>
      </c>
      <c r="C8889" s="1" t="str">
        <f t="shared" si="562"/>
        <v>967-01</v>
      </c>
      <c r="D8889" t="s">
        <v>8857</v>
      </c>
      <c r="E8889" t="b">
        <f>IF(COUNTIF(D8889,"*"&amp;'Keyword Search'!$C$5&amp;"*"),TRUE,FALSE)</f>
        <v>1</v>
      </c>
      <c r="G8889" t="str">
        <f t="shared" si="563"/>
        <v>967-01: Athletic, Sporting, Recreational, Fishing, Hunting, and Camping Equipment Manufacturing Services</v>
      </c>
    </row>
    <row r="8890" spans="1:7" x14ac:dyDescent="0.25">
      <c r="A8890" s="1" t="str">
        <f t="shared" si="565"/>
        <v>967</v>
      </c>
      <c r="B8890" s="1" t="str">
        <f>TEXT(2,"00")</f>
        <v>02</v>
      </c>
      <c r="C8890" s="1" t="str">
        <f t="shared" si="562"/>
        <v>967-02</v>
      </c>
      <c r="D8890" t="s">
        <v>8858</v>
      </c>
      <c r="E8890" t="b">
        <f>IF(COUNTIF(D8890,"*"&amp;'Keyword Search'!$C$5&amp;"*"),TRUE,FALSE)</f>
        <v>1</v>
      </c>
      <c r="G8890" t="str">
        <f t="shared" si="563"/>
        <v>967-02: Air Conditioning, Heating, and Ventilating Equipment (HVAC) Manufacturing Services</v>
      </c>
    </row>
    <row r="8891" spans="1:7" x14ac:dyDescent="0.25">
      <c r="A8891" s="1" t="str">
        <f t="shared" si="565"/>
        <v>967</v>
      </c>
      <c r="B8891" s="1" t="str">
        <f>TEXT(3,"00")</f>
        <v>03</v>
      </c>
      <c r="C8891" s="1" t="str">
        <f t="shared" si="562"/>
        <v>967-03</v>
      </c>
      <c r="D8891" t="s">
        <v>8859</v>
      </c>
      <c r="E8891" t="b">
        <f>IF(COUNTIF(D8891,"*"&amp;'Keyword Search'!$C$5&amp;"*"),TRUE,FALSE)</f>
        <v>1</v>
      </c>
      <c r="G8891" t="str">
        <f t="shared" si="563"/>
        <v>967-03: Animal Food Manufacturing Services</v>
      </c>
    </row>
    <row r="8892" spans="1:7" x14ac:dyDescent="0.25">
      <c r="A8892" s="1" t="str">
        <f t="shared" si="565"/>
        <v>967</v>
      </c>
      <c r="B8892" s="1" t="str">
        <f>TEXT(4,"00")</f>
        <v>04</v>
      </c>
      <c r="C8892" s="1" t="str">
        <f t="shared" si="562"/>
        <v>967-04</v>
      </c>
      <c r="D8892" t="s">
        <v>8860</v>
      </c>
      <c r="E8892" t="b">
        <f>IF(COUNTIF(D8892,"*"&amp;'Keyword Search'!$C$5&amp;"*"),TRUE,FALSE)</f>
        <v>1</v>
      </c>
      <c r="G8892" t="str">
        <f t="shared" si="563"/>
        <v>967-04: Abrasives Manufacturing Services</v>
      </c>
    </row>
    <row r="8893" spans="1:7" x14ac:dyDescent="0.25">
      <c r="A8893" s="1" t="str">
        <f t="shared" si="565"/>
        <v>967</v>
      </c>
      <c r="B8893" s="1" t="str">
        <f>TEXT(12,"00")</f>
        <v>12</v>
      </c>
      <c r="C8893" s="1" t="str">
        <f t="shared" si="562"/>
        <v>967-12</v>
      </c>
      <c r="D8893" t="s">
        <v>8861</v>
      </c>
      <c r="E8893" t="b">
        <f>IF(COUNTIF(D8893,"*"&amp;'Keyword Search'!$C$5&amp;"*"),TRUE,FALSE)</f>
        <v>1</v>
      </c>
      <c r="G8893" t="str">
        <f t="shared" si="563"/>
        <v>967-12: Aggregate, Concrete or Stone Products: Clay, Refractory Materials and Tile Products, Manufacturing Services</v>
      </c>
    </row>
    <row r="8894" spans="1:7" x14ac:dyDescent="0.25">
      <c r="A8894" s="1" t="str">
        <f t="shared" si="565"/>
        <v>967</v>
      </c>
      <c r="B8894" s="1" t="str">
        <f>TEXT(16,"00")</f>
        <v>16</v>
      </c>
      <c r="C8894" s="1" t="str">
        <f t="shared" si="562"/>
        <v>967-16</v>
      </c>
      <c r="D8894" t="s">
        <v>8862</v>
      </c>
      <c r="E8894" t="b">
        <f>IF(COUNTIF(D8894,"*"&amp;'Keyword Search'!$C$5&amp;"*"),TRUE,FALSE)</f>
        <v>1</v>
      </c>
      <c r="G8894" t="str">
        <f t="shared" si="563"/>
        <v>967-16: Asbestos Products, Manufacturing Services</v>
      </c>
    </row>
    <row r="8895" spans="1:7" x14ac:dyDescent="0.25">
      <c r="A8895" s="1" t="str">
        <f t="shared" si="565"/>
        <v>967</v>
      </c>
      <c r="B8895" s="1" t="str">
        <f>TEXT(17,"00")</f>
        <v>17</v>
      </c>
      <c r="C8895" s="1" t="str">
        <f t="shared" si="562"/>
        <v>967-17</v>
      </c>
      <c r="D8895" t="s">
        <v>8863</v>
      </c>
      <c r="E8895" t="b">
        <f>IF(COUNTIF(D8895,"*"&amp;'Keyword Search'!$C$5&amp;"*"),TRUE,FALSE)</f>
        <v>1</v>
      </c>
      <c r="G8895" t="str">
        <f t="shared" si="563"/>
        <v>967-17: Assembly Line Services</v>
      </c>
    </row>
    <row r="8896" spans="1:7" x14ac:dyDescent="0.25">
      <c r="A8896" s="1" t="str">
        <f t="shared" si="565"/>
        <v>967</v>
      </c>
      <c r="B8896" s="1" t="str">
        <f>TEXT(18,"00")</f>
        <v>18</v>
      </c>
      <c r="C8896" s="1" t="str">
        <f t="shared" si="562"/>
        <v>967-18</v>
      </c>
      <c r="D8896" t="s">
        <v>8864</v>
      </c>
      <c r="E8896" t="b">
        <f>IF(COUNTIF(D8896,"*"&amp;'Keyword Search'!$C$5&amp;"*"),TRUE,FALSE)</f>
        <v>1</v>
      </c>
      <c r="G8896" t="str">
        <f t="shared" si="563"/>
        <v>967-18: Asphalt and Saturated Materials Manufacturing Services</v>
      </c>
    </row>
    <row r="8897" spans="1:7" x14ac:dyDescent="0.25">
      <c r="A8897" s="1" t="str">
        <f t="shared" si="565"/>
        <v>967</v>
      </c>
      <c r="B8897" s="1" t="str">
        <f>TEXT(19,"00")</f>
        <v>19</v>
      </c>
      <c r="C8897" s="1" t="str">
        <f t="shared" si="562"/>
        <v>967-19</v>
      </c>
      <c r="D8897" t="s">
        <v>8865</v>
      </c>
      <c r="E8897" t="b">
        <f>IF(COUNTIF(D8897,"*"&amp;'Keyword Search'!$C$5&amp;"*"),TRUE,FALSE)</f>
        <v>1</v>
      </c>
      <c r="G8897" t="str">
        <f t="shared" si="563"/>
        <v>967-19: Automotive Equipment and Supply Manufacturing Services</v>
      </c>
    </row>
    <row r="8898" spans="1:7" x14ac:dyDescent="0.25">
      <c r="A8898" s="1" t="str">
        <f t="shared" si="565"/>
        <v>967</v>
      </c>
      <c r="B8898" s="1" t="str">
        <f>TEXT(24,"00")</f>
        <v>24</v>
      </c>
      <c r="C8898" s="1" t="str">
        <f t="shared" si="562"/>
        <v>967-24</v>
      </c>
      <c r="D8898" t="s">
        <v>8866</v>
      </c>
      <c r="E8898" t="b">
        <f>IF(COUNTIF(D8898,"*"&amp;'Keyword Search'!$C$5&amp;"*"),TRUE,FALSE)</f>
        <v>1</v>
      </c>
      <c r="G8898" t="str">
        <f t="shared" si="563"/>
        <v>967-24: Building Equipment and Supply Manufacturing Services</v>
      </c>
    </row>
    <row r="8899" spans="1:7" x14ac:dyDescent="0.25">
      <c r="A8899" s="1" t="str">
        <f t="shared" si="565"/>
        <v>967</v>
      </c>
      <c r="B8899" s="1" t="str">
        <f>TEXT(27,"00")</f>
        <v>27</v>
      </c>
      <c r="C8899" s="1" t="str">
        <f t="shared" ref="C8899:C8962" si="566">CONCATENATE(A8899,"-",B8899)</f>
        <v>967-27</v>
      </c>
      <c r="D8899" t="s">
        <v>8867</v>
      </c>
      <c r="E8899" t="b">
        <f>IF(COUNTIF(D8899,"*"&amp;'Keyword Search'!$C$5&amp;"*"),TRUE,FALSE)</f>
        <v>1</v>
      </c>
      <c r="G8899" t="str">
        <f t="shared" si="563"/>
        <v>967-27: *Computer Hardware Manufacturing Services</v>
      </c>
    </row>
    <row r="8900" spans="1:7" x14ac:dyDescent="0.25">
      <c r="A8900" s="1" t="str">
        <f t="shared" si="565"/>
        <v>967</v>
      </c>
      <c r="B8900" s="1" t="str">
        <f>TEXT(28,"00")</f>
        <v>28</v>
      </c>
      <c r="C8900" s="1" t="str">
        <f t="shared" si="566"/>
        <v>967-28</v>
      </c>
      <c r="D8900" t="s">
        <v>8868</v>
      </c>
      <c r="E8900" t="b">
        <f>IF(COUNTIF(D8900,"*"&amp;'Keyword Search'!$C$5&amp;"*"),TRUE,FALSE)</f>
        <v>1</v>
      </c>
      <c r="G8900" t="str">
        <f t="shared" ref="G8900:G8963" si="567">CONCATENATE(C8900,": ",D8900)</f>
        <v>967-28: *Computer Software Manufacturing Services</v>
      </c>
    </row>
    <row r="8901" spans="1:7" x14ac:dyDescent="0.25">
      <c r="A8901" s="1" t="str">
        <f t="shared" si="565"/>
        <v>967</v>
      </c>
      <c r="B8901" s="1" t="str">
        <f>TEXT(29,"00")</f>
        <v>29</v>
      </c>
      <c r="C8901" s="1" t="str">
        <f t="shared" si="566"/>
        <v>967-29</v>
      </c>
      <c r="D8901" t="s">
        <v>8869</v>
      </c>
      <c r="E8901" t="b">
        <f>IF(COUNTIF(D8901,"*"&amp;'Keyword Search'!$C$5&amp;"*"),TRUE,FALSE)</f>
        <v>1</v>
      </c>
      <c r="G8901" t="str">
        <f t="shared" si="567"/>
        <v>967-29: Container Manufacturing Services: Boxes, Bottles, Bags, Cans, Pouches, etc.</v>
      </c>
    </row>
    <row r="8902" spans="1:7" x14ac:dyDescent="0.25">
      <c r="A8902" s="1" t="str">
        <f t="shared" si="565"/>
        <v>967</v>
      </c>
      <c r="B8902" s="1" t="str">
        <f>TEXT(30,"00")</f>
        <v>30</v>
      </c>
      <c r="C8902" s="1" t="str">
        <f t="shared" si="566"/>
        <v>967-30</v>
      </c>
      <c r="D8902" t="s">
        <v>8870</v>
      </c>
      <c r="E8902" t="b">
        <f>IF(COUNTIF(D8902,"*"&amp;'Keyword Search'!$C$5&amp;"*"),TRUE,FALSE)</f>
        <v>1</v>
      </c>
      <c r="G8902" t="str">
        <f t="shared" si="567"/>
        <v>967-30: Cement, Lime, Plaster or Stucco Products, Manufacturing Services</v>
      </c>
    </row>
    <row r="8903" spans="1:7" x14ac:dyDescent="0.25">
      <c r="A8903" s="1" t="str">
        <f t="shared" si="565"/>
        <v>967</v>
      </c>
      <c r="B8903" s="1" t="str">
        <f>TEXT(31,"00")</f>
        <v>31</v>
      </c>
      <c r="C8903" s="1" t="str">
        <f t="shared" si="566"/>
        <v>967-31</v>
      </c>
      <c r="D8903" t="s">
        <v>8871</v>
      </c>
      <c r="E8903" t="b">
        <f>IF(COUNTIF(D8903,"*"&amp;'Keyword Search'!$C$5&amp;"*"),TRUE,FALSE)</f>
        <v>1</v>
      </c>
      <c r="G8903" t="str">
        <f t="shared" si="567"/>
        <v>967-31: Classroom and Educational Furnishings and Equipment, Manufacturing Services</v>
      </c>
    </row>
    <row r="8904" spans="1:7" x14ac:dyDescent="0.25">
      <c r="A8904" s="1" t="str">
        <f t="shared" si="565"/>
        <v>967</v>
      </c>
      <c r="B8904" s="1" t="str">
        <f>TEXT(32,"00")</f>
        <v>32</v>
      </c>
      <c r="C8904" s="1" t="str">
        <f t="shared" si="566"/>
        <v>967-32</v>
      </c>
      <c r="D8904" t="s">
        <v>8872</v>
      </c>
      <c r="E8904" t="b">
        <f>IF(COUNTIF(D8904,"*"&amp;'Keyword Search'!$C$5&amp;"*"),TRUE,FALSE)</f>
        <v>1</v>
      </c>
      <c r="G8904" t="str">
        <f t="shared" si="567"/>
        <v>967-32: Chemical Products, Including Biochemical, Petrochemical, etc.</v>
      </c>
    </row>
    <row r="8905" spans="1:7" x14ac:dyDescent="0.25">
      <c r="A8905" s="1" t="str">
        <f t="shared" si="565"/>
        <v>967</v>
      </c>
      <c r="B8905" s="1" t="str">
        <f>TEXT(33,"00")</f>
        <v>33</v>
      </c>
      <c r="C8905" s="1" t="str">
        <f t="shared" si="566"/>
        <v>967-33</v>
      </c>
      <c r="D8905" t="s">
        <v>8873</v>
      </c>
      <c r="E8905" t="b">
        <f>IF(COUNTIF(D8905,"*"&amp;'Keyword Search'!$C$5&amp;"*"),TRUE,FALSE)</f>
        <v>1</v>
      </c>
      <c r="G8905" t="str">
        <f t="shared" si="567"/>
        <v>967-33: China, Earthenware or Pottery Products, Manufacturing Services</v>
      </c>
    </row>
    <row r="8906" spans="1:7" x14ac:dyDescent="0.25">
      <c r="A8906" s="1" t="str">
        <f t="shared" si="565"/>
        <v>967</v>
      </c>
      <c r="B8906" s="1" t="str">
        <f>TEXT(34,"00")</f>
        <v>34</v>
      </c>
      <c r="C8906" s="1" t="str">
        <f t="shared" si="566"/>
        <v>967-34</v>
      </c>
      <c r="D8906" t="s">
        <v>8874</v>
      </c>
      <c r="E8906" t="b">
        <f>IF(COUNTIF(D8906,"*"&amp;'Keyword Search'!$C$5&amp;"*"),TRUE,FALSE)</f>
        <v>1</v>
      </c>
      <c r="G8906" t="str">
        <f t="shared" si="567"/>
        <v>967-34: Clothing, Apparel and Accessory Manufacturing Services</v>
      </c>
    </row>
    <row r="8907" spans="1:7" x14ac:dyDescent="0.25">
      <c r="A8907" s="1" t="str">
        <f t="shared" si="565"/>
        <v>967</v>
      </c>
      <c r="B8907" s="1" t="str">
        <f>TEXT(35,"00")</f>
        <v>35</v>
      </c>
      <c r="C8907" s="1" t="str">
        <f t="shared" si="566"/>
        <v>967-35</v>
      </c>
      <c r="D8907" t="s">
        <v>8875</v>
      </c>
      <c r="E8907" t="b">
        <f>IF(COUNTIF(D8907,"*"&amp;'Keyword Search'!$C$5&amp;"*"),TRUE,FALSE)</f>
        <v>1</v>
      </c>
      <c r="G8907" t="str">
        <f t="shared" si="567"/>
        <v>967-35: *Communications Equipment Manufacturing Services</v>
      </c>
    </row>
    <row r="8908" spans="1:7" x14ac:dyDescent="0.25">
      <c r="A8908" s="1" t="str">
        <f t="shared" si="565"/>
        <v>967</v>
      </c>
      <c r="B8908" s="1" t="str">
        <f>TEXT(36,"00")</f>
        <v>36</v>
      </c>
      <c r="C8908" s="1" t="str">
        <f t="shared" si="566"/>
        <v>967-36</v>
      </c>
      <c r="D8908" t="s">
        <v>8876</v>
      </c>
      <c r="E8908" t="b">
        <f>IF(COUNTIF(D8908,"*"&amp;'Keyword Search'!$C$5&amp;"*"),TRUE,FALSE)</f>
        <v>1</v>
      </c>
      <c r="G8908" t="str">
        <f t="shared" si="567"/>
        <v>967-36: Drilling Equipment and Supply Manufacturing Services</v>
      </c>
    </row>
    <row r="8909" spans="1:7" x14ac:dyDescent="0.25">
      <c r="A8909" s="1" t="str">
        <f t="shared" si="565"/>
        <v>967</v>
      </c>
      <c r="B8909" s="1" t="str">
        <f>TEXT(37,"00")</f>
        <v>37</v>
      </c>
      <c r="C8909" s="1" t="str">
        <f t="shared" si="566"/>
        <v>967-37</v>
      </c>
      <c r="D8909" t="s">
        <v>8877</v>
      </c>
      <c r="E8909" t="b">
        <f>IF(COUNTIF(D8909,"*"&amp;'Keyword Search'!$C$5&amp;"*"),TRUE,FALSE)</f>
        <v>1</v>
      </c>
      <c r="G8909" t="str">
        <f t="shared" si="567"/>
        <v>967-37: *Electrical and Electronic Products, Manufacturing Services</v>
      </c>
    </row>
    <row r="8910" spans="1:7" x14ac:dyDescent="0.25">
      <c r="A8910" s="1" t="str">
        <f t="shared" si="565"/>
        <v>967</v>
      </c>
      <c r="B8910" s="1" t="str">
        <f>TEXT(38,"00")</f>
        <v>38</v>
      </c>
      <c r="C8910" s="1" t="str">
        <f t="shared" si="566"/>
        <v>967-38</v>
      </c>
      <c r="D8910" t="s">
        <v>8878</v>
      </c>
      <c r="E8910" t="b">
        <f>IF(COUNTIF(D8910,"*"&amp;'Keyword Search'!$C$5&amp;"*"),TRUE,FALSE)</f>
        <v>1</v>
      </c>
      <c r="G8910" t="str">
        <f t="shared" si="567"/>
        <v>967-38: Food Manufacturing Services, Including Beverages</v>
      </c>
    </row>
    <row r="8911" spans="1:7" x14ac:dyDescent="0.25">
      <c r="A8911" s="1" t="str">
        <f t="shared" si="565"/>
        <v>967</v>
      </c>
      <c r="B8911" s="1" t="str">
        <f>TEXT(39,"00")</f>
        <v>39</v>
      </c>
      <c r="C8911" s="1" t="str">
        <f t="shared" si="566"/>
        <v>967-39</v>
      </c>
      <c r="D8911" t="s">
        <v>8879</v>
      </c>
      <c r="E8911" t="b">
        <f>IF(COUNTIF(D8911,"*"&amp;'Keyword Search'!$C$5&amp;"*"),TRUE,FALSE)</f>
        <v>1</v>
      </c>
      <c r="G8911" t="str">
        <f t="shared" si="567"/>
        <v>967-39: Fabric Manufacturing Services</v>
      </c>
    </row>
    <row r="8912" spans="1:7" x14ac:dyDescent="0.25">
      <c r="A8912" s="1" t="str">
        <f t="shared" si="565"/>
        <v>967</v>
      </c>
      <c r="B8912" s="1" t="str">
        <f>TEXT(40,"00")</f>
        <v>40</v>
      </c>
      <c r="C8912" s="1" t="str">
        <f t="shared" si="566"/>
        <v>967-40</v>
      </c>
      <c r="D8912" t="s">
        <v>8880</v>
      </c>
      <c r="E8912" t="b">
        <f>IF(COUNTIF(D8912,"*"&amp;'Keyword Search'!$C$5&amp;"*"),TRUE,FALSE)</f>
        <v>1</v>
      </c>
      <c r="G8912" t="str">
        <f t="shared" si="567"/>
        <v>967-40: Fertilizer and Soil Conditioner Products, Manufacturing Services</v>
      </c>
    </row>
    <row r="8913" spans="1:7" x14ac:dyDescent="0.25">
      <c r="A8913" s="1" t="str">
        <f t="shared" si="565"/>
        <v>967</v>
      </c>
      <c r="B8913" s="1" t="str">
        <f>TEXT(41,"00")</f>
        <v>41</v>
      </c>
      <c r="C8913" s="1" t="str">
        <f t="shared" si="566"/>
        <v>967-41</v>
      </c>
      <c r="D8913" t="s">
        <v>8881</v>
      </c>
      <c r="E8913" t="b">
        <f>IF(COUNTIF(D8913,"*"&amp;'Keyword Search'!$C$5&amp;"*"),TRUE,FALSE)</f>
        <v>1</v>
      </c>
      <c r="G8913" t="str">
        <f t="shared" si="567"/>
        <v>967-41: Fiber Products, Manufacturing Services</v>
      </c>
    </row>
    <row r="8914" spans="1:7" x14ac:dyDescent="0.25">
      <c r="A8914" s="1" t="str">
        <f t="shared" si="565"/>
        <v>967</v>
      </c>
      <c r="B8914" s="1" t="str">
        <f>TEXT(42,"00")</f>
        <v>42</v>
      </c>
      <c r="C8914" s="1" t="str">
        <f t="shared" si="566"/>
        <v>967-42</v>
      </c>
      <c r="D8914" t="s">
        <v>8882</v>
      </c>
      <c r="E8914" t="b">
        <f>IF(COUNTIF(D8914,"*"&amp;'Keyword Search'!$C$5&amp;"*"),TRUE,FALSE)</f>
        <v>1</v>
      </c>
      <c r="G8914" t="str">
        <f t="shared" si="567"/>
        <v>967-42: Furniture and Furnishings Manufacturing and Production Services</v>
      </c>
    </row>
    <row r="8915" spans="1:7" x14ac:dyDescent="0.25">
      <c r="A8915" s="1" t="str">
        <f t="shared" si="565"/>
        <v>967</v>
      </c>
      <c r="B8915" s="1" t="str">
        <f>TEXT(43,"00")</f>
        <v>43</v>
      </c>
      <c r="C8915" s="1" t="str">
        <f t="shared" si="566"/>
        <v>967-43</v>
      </c>
      <c r="D8915" t="s">
        <v>8883</v>
      </c>
      <c r="E8915" t="b">
        <f>IF(COUNTIF(D8915,"*"&amp;'Keyword Search'!$C$5&amp;"*"),TRUE,FALSE)</f>
        <v>1</v>
      </c>
      <c r="G8915" t="str">
        <f t="shared" si="567"/>
        <v>967-43: Glass Products, Manufacturing Services</v>
      </c>
    </row>
    <row r="8916" spans="1:7" x14ac:dyDescent="0.25">
      <c r="A8916" s="1" t="str">
        <f t="shared" si="565"/>
        <v>967</v>
      </c>
      <c r="B8916" s="1" t="str">
        <f>TEXT(44,"00")</f>
        <v>44</v>
      </c>
      <c r="C8916" s="1" t="str">
        <f t="shared" si="566"/>
        <v>967-44</v>
      </c>
      <c r="D8916" t="s">
        <v>8884</v>
      </c>
      <c r="E8916" t="b">
        <f>IF(COUNTIF(D8916,"*"&amp;'Keyword Search'!$C$5&amp;"*"),TRUE,FALSE)</f>
        <v>1</v>
      </c>
      <c r="G8916" t="str">
        <f t="shared" si="567"/>
        <v>967-44: Hardware Manufacturing Services</v>
      </c>
    </row>
    <row r="8917" spans="1:7" x14ac:dyDescent="0.25">
      <c r="A8917" s="1" t="str">
        <f t="shared" si="565"/>
        <v>967</v>
      </c>
      <c r="B8917" s="1" t="str">
        <f>TEXT(45,"00")</f>
        <v>45</v>
      </c>
      <c r="C8917" s="1" t="str">
        <f t="shared" si="566"/>
        <v>967-45</v>
      </c>
      <c r="D8917" t="s">
        <v>8885</v>
      </c>
      <c r="E8917" t="b">
        <f>IF(COUNTIF(D8917,"*"&amp;'Keyword Search'!$C$5&amp;"*"),TRUE,FALSE)</f>
        <v>1</v>
      </c>
      <c r="G8917" t="str">
        <f t="shared" si="567"/>
        <v>967-45: Janitorial Products Manufacturing Services</v>
      </c>
    </row>
    <row r="8918" spans="1:7" x14ac:dyDescent="0.25">
      <c r="A8918" s="1" t="str">
        <f t="shared" si="565"/>
        <v>967</v>
      </c>
      <c r="B8918" s="1" t="str">
        <f>TEXT(47,"00")</f>
        <v>47</v>
      </c>
      <c r="C8918" s="1" t="str">
        <f t="shared" si="566"/>
        <v>967-47</v>
      </c>
      <c r="D8918" t="s">
        <v>8886</v>
      </c>
      <c r="E8918" t="b">
        <f>IF(COUNTIF(D8918,"*"&amp;'Keyword Search'!$C$5&amp;"*"),TRUE,FALSE)</f>
        <v>1</v>
      </c>
      <c r="G8918" t="str">
        <f t="shared" si="567"/>
        <v>967-47: Leather Manufacturing Services</v>
      </c>
    </row>
    <row r="8919" spans="1:7" x14ac:dyDescent="0.25">
      <c r="A8919" s="1" t="str">
        <f t="shared" si="565"/>
        <v>967</v>
      </c>
      <c r="B8919" s="1" t="str">
        <f>TEXT(48,"00")</f>
        <v>48</v>
      </c>
      <c r="C8919" s="1" t="str">
        <f t="shared" si="566"/>
        <v>967-48</v>
      </c>
      <c r="D8919" t="s">
        <v>8887</v>
      </c>
      <c r="E8919" t="b">
        <f>IF(COUNTIF(D8919,"*"&amp;'Keyword Search'!$C$5&amp;"*"),TRUE,FALSE)</f>
        <v>1</v>
      </c>
      <c r="G8919" t="str">
        <f t="shared" si="567"/>
        <v>967-48: Machinery, All Types</v>
      </c>
    </row>
    <row r="8920" spans="1:7" x14ac:dyDescent="0.25">
      <c r="A8920" s="1" t="str">
        <f t="shared" si="565"/>
        <v>967</v>
      </c>
      <c r="B8920" s="1" t="str">
        <f>TEXT(49,"00")</f>
        <v>49</v>
      </c>
      <c r="C8920" s="1" t="str">
        <f t="shared" si="566"/>
        <v>967-49</v>
      </c>
      <c r="D8920" t="s">
        <v>8888</v>
      </c>
      <c r="E8920" t="b">
        <f>IF(COUNTIF(D8920,"*"&amp;'Keyword Search'!$C$5&amp;"*"),TRUE,FALSE)</f>
        <v>1</v>
      </c>
      <c r="G8920" t="str">
        <f t="shared" si="567"/>
        <v>967-49: Metals and Metal Products, Manufacturing Services</v>
      </c>
    </row>
    <row r="8921" spans="1:7" x14ac:dyDescent="0.25">
      <c r="A8921" s="1" t="str">
        <f t="shared" si="565"/>
        <v>967</v>
      </c>
      <c r="B8921" s="1" t="str">
        <f>TEXT(50,"00")</f>
        <v>50</v>
      </c>
      <c r="C8921" s="1" t="str">
        <f t="shared" si="566"/>
        <v>967-50</v>
      </c>
      <c r="D8921" t="s">
        <v>8889</v>
      </c>
      <c r="E8921" t="b">
        <f>IF(COUNTIF(D8921,"*"&amp;'Keyword Search'!$C$5&amp;"*"),TRUE,FALSE)</f>
        <v>1</v>
      </c>
      <c r="G8921" t="str">
        <f t="shared" si="567"/>
        <v>967-50: Manufacturing Services (Not Otherwise Classified)</v>
      </c>
    </row>
    <row r="8922" spans="1:7" x14ac:dyDescent="0.25">
      <c r="A8922" s="1" t="str">
        <f t="shared" si="565"/>
        <v>967</v>
      </c>
      <c r="B8922" s="1" t="str">
        <f>TEXT(51,"00")</f>
        <v>51</v>
      </c>
      <c r="C8922" s="1" t="str">
        <f t="shared" si="566"/>
        <v>967-51</v>
      </c>
      <c r="D8922" t="s">
        <v>8890</v>
      </c>
      <c r="E8922" t="b">
        <f>IF(COUNTIF(D8922,"*"&amp;'Keyword Search'!$C$5&amp;"*"),TRUE,FALSE)</f>
        <v>1</v>
      </c>
      <c r="G8922" t="str">
        <f t="shared" si="567"/>
        <v>967-51: Nursery Products and Accessories, Manufacturing Services</v>
      </c>
    </row>
    <row r="8923" spans="1:7" x14ac:dyDescent="0.25">
      <c r="A8923" s="1" t="str">
        <f t="shared" si="565"/>
        <v>967</v>
      </c>
      <c r="B8923" s="1" t="str">
        <f>TEXT(53,"00")</f>
        <v>53</v>
      </c>
      <c r="C8923" s="1" t="str">
        <f t="shared" si="566"/>
        <v>967-53</v>
      </c>
      <c r="D8923" t="s">
        <v>8891</v>
      </c>
      <c r="E8923" t="b">
        <f>IF(COUNTIF(D8923,"*"&amp;'Keyword Search'!$C$5&amp;"*"),TRUE,FALSE)</f>
        <v>1</v>
      </c>
      <c r="G8923" t="str">
        <f t="shared" si="567"/>
        <v>967-53: Office Equipment and Supply Manufacturing Services</v>
      </c>
    </row>
    <row r="8924" spans="1:7" x14ac:dyDescent="0.25">
      <c r="A8924" s="1" t="str">
        <f t="shared" si="565"/>
        <v>967</v>
      </c>
      <c r="B8924" s="1" t="str">
        <f>TEXT(54,"00")</f>
        <v>54</v>
      </c>
      <c r="C8924" s="1" t="str">
        <f t="shared" si="566"/>
        <v>967-54</v>
      </c>
      <c r="D8924" t="s">
        <v>8892</v>
      </c>
      <c r="E8924" t="b">
        <f>IF(COUNTIF(D8924,"*"&amp;'Keyword Search'!$C$5&amp;"*"),TRUE,FALSE)</f>
        <v>1</v>
      </c>
      <c r="G8924" t="str">
        <f t="shared" si="567"/>
        <v>967-54: Paper and Pulp Products, Manufacturing Services</v>
      </c>
    </row>
    <row r="8925" spans="1:7" x14ac:dyDescent="0.25">
      <c r="A8925" s="1" t="str">
        <f t="shared" si="565"/>
        <v>967</v>
      </c>
      <c r="B8925" s="1" t="str">
        <f>TEXT(55,"00")</f>
        <v>55</v>
      </c>
      <c r="C8925" s="1" t="str">
        <f t="shared" si="566"/>
        <v>967-55</v>
      </c>
      <c r="D8925" t="s">
        <v>8893</v>
      </c>
      <c r="E8925" t="b">
        <f>IF(COUNTIF(D8925,"*"&amp;'Keyword Search'!$C$5&amp;"*"),TRUE,FALSE)</f>
        <v>1</v>
      </c>
      <c r="G8925" t="str">
        <f t="shared" si="567"/>
        <v>967-55: Paint, Varnish, Lacquer and Related Products Production Services</v>
      </c>
    </row>
    <row r="8926" spans="1:7" x14ac:dyDescent="0.25">
      <c r="A8926" s="1" t="str">
        <f t="shared" si="565"/>
        <v>967</v>
      </c>
      <c r="B8926" s="1" t="str">
        <f>TEXT(56,"00")</f>
        <v>56</v>
      </c>
      <c r="C8926" s="1" t="str">
        <f t="shared" si="566"/>
        <v>967-56</v>
      </c>
      <c r="D8926" t="s">
        <v>8894</v>
      </c>
      <c r="E8926" t="b">
        <f>IF(COUNTIF(D8926,"*"&amp;'Keyword Search'!$C$5&amp;"*"),TRUE,FALSE)</f>
        <v>1</v>
      </c>
      <c r="G8926" t="str">
        <f t="shared" si="567"/>
        <v>967-56: Petroleum Products Manufacturing Services (Including Coal, etc.)</v>
      </c>
    </row>
    <row r="8927" spans="1:7" x14ac:dyDescent="0.25">
      <c r="A8927" s="1" t="str">
        <f t="shared" si="565"/>
        <v>967</v>
      </c>
      <c r="B8927" s="1" t="str">
        <f>TEXT(57,"00")</f>
        <v>57</v>
      </c>
      <c r="C8927" s="1" t="str">
        <f t="shared" si="566"/>
        <v>967-57</v>
      </c>
      <c r="D8927" t="s">
        <v>8895</v>
      </c>
      <c r="E8927" t="b">
        <f>IF(COUNTIF(D8927,"*"&amp;'Keyword Search'!$C$5&amp;"*"),TRUE,FALSE)</f>
        <v>1</v>
      </c>
      <c r="G8927" t="str">
        <f t="shared" si="567"/>
        <v>967-57: Pharmaceutical and Medical Equipment and Products Manufacturing Services</v>
      </c>
    </row>
    <row r="8928" spans="1:7" x14ac:dyDescent="0.25">
      <c r="A8928" s="1" t="str">
        <f t="shared" si="565"/>
        <v>967</v>
      </c>
      <c r="B8928" s="1" t="str">
        <f>TEXT(59,"00")</f>
        <v>59</v>
      </c>
      <c r="C8928" s="1" t="str">
        <f t="shared" si="566"/>
        <v>967-59</v>
      </c>
      <c r="D8928" t="s">
        <v>8896</v>
      </c>
      <c r="E8928" t="b">
        <f>IF(COUNTIF(D8928,"*"&amp;'Keyword Search'!$C$5&amp;"*"),TRUE,FALSE)</f>
        <v>1</v>
      </c>
      <c r="G8928" t="str">
        <f t="shared" si="567"/>
        <v>967-59: Plastics and Plastic Products, Including Fiberglass, Poly, etc., Manufacturing Services</v>
      </c>
    </row>
    <row r="8929" spans="1:7" x14ac:dyDescent="0.25">
      <c r="A8929" s="1" t="str">
        <f t="shared" si="565"/>
        <v>967</v>
      </c>
      <c r="B8929" s="1" t="str">
        <f>TEXT(60,"00")</f>
        <v>60</v>
      </c>
      <c r="C8929" s="1" t="str">
        <f t="shared" si="566"/>
        <v>967-60</v>
      </c>
      <c r="D8929" t="s">
        <v>8897</v>
      </c>
      <c r="E8929" t="b">
        <f>IF(COUNTIF(D8929,"*"&amp;'Keyword Search'!$C$5&amp;"*"),TRUE,FALSE)</f>
        <v>1</v>
      </c>
      <c r="G8929" t="str">
        <f t="shared" si="567"/>
        <v>967-60: Plumbing Equipment, Pipe, Fittings and Fixtures Manufacturing Services</v>
      </c>
    </row>
    <row r="8930" spans="1:7" x14ac:dyDescent="0.25">
      <c r="A8930" s="1" t="str">
        <f t="shared" si="565"/>
        <v>967</v>
      </c>
      <c r="B8930" s="1" t="str">
        <f>TEXT(61,"00")</f>
        <v>61</v>
      </c>
      <c r="C8930" s="1" t="str">
        <f t="shared" si="566"/>
        <v>967-61</v>
      </c>
      <c r="D8930" t="s">
        <v>8898</v>
      </c>
      <c r="E8930" t="b">
        <f>IF(COUNTIF(D8930,"*"&amp;'Keyword Search'!$C$5&amp;"*"),TRUE,FALSE)</f>
        <v>1</v>
      </c>
      <c r="G8930" t="str">
        <f t="shared" si="567"/>
        <v>967-61: *Precision Instruments, Including Scientific, Measuring, Photographic, Optical, Laboratory, etc.</v>
      </c>
    </row>
    <row r="8931" spans="1:7" x14ac:dyDescent="0.25">
      <c r="A8931" s="1" t="str">
        <f t="shared" si="565"/>
        <v>967</v>
      </c>
      <c r="B8931" s="1" t="str">
        <f>TEXT(62,"00")</f>
        <v>62</v>
      </c>
      <c r="C8931" s="1" t="str">
        <f t="shared" si="566"/>
        <v>967-62</v>
      </c>
      <c r="D8931" t="s">
        <v>8899</v>
      </c>
      <c r="E8931" t="b">
        <f>IF(COUNTIF(D8931,"*"&amp;'Keyword Search'!$C$5&amp;"*"),TRUE,FALSE)</f>
        <v>1</v>
      </c>
      <c r="G8931" t="str">
        <f t="shared" si="567"/>
        <v>967-62: Prefabricated and Manufactured Buildings or Homes Manufacturing Services</v>
      </c>
    </row>
    <row r="8932" spans="1:7" x14ac:dyDescent="0.25">
      <c r="A8932" s="1" t="str">
        <f t="shared" si="565"/>
        <v>967</v>
      </c>
      <c r="B8932" s="1" t="str">
        <f>TEXT(63,"00")</f>
        <v>63</v>
      </c>
      <c r="C8932" s="1" t="str">
        <f t="shared" si="566"/>
        <v>967-63</v>
      </c>
      <c r="D8932" t="s">
        <v>8900</v>
      </c>
      <c r="E8932" t="b">
        <f>IF(COUNTIF(D8932,"*"&amp;'Keyword Search'!$C$5&amp;"*"),TRUE,FALSE)</f>
        <v>1</v>
      </c>
      <c r="G8932" t="str">
        <f t="shared" si="567"/>
        <v>967-63: Production Planning and Control</v>
      </c>
    </row>
    <row r="8933" spans="1:7" x14ac:dyDescent="0.25">
      <c r="A8933" s="1" t="str">
        <f t="shared" si="565"/>
        <v>967</v>
      </c>
      <c r="B8933" s="1" t="str">
        <f>TEXT(67,"00")</f>
        <v>67</v>
      </c>
      <c r="C8933" s="1" t="str">
        <f t="shared" si="566"/>
        <v>967-67</v>
      </c>
      <c r="D8933" t="s">
        <v>8901</v>
      </c>
      <c r="E8933" t="b">
        <f>IF(COUNTIF(D8933,"*"&amp;'Keyword Search'!$C$5&amp;"*"),TRUE,FALSE)</f>
        <v>1</v>
      </c>
      <c r="G8933" t="str">
        <f t="shared" si="567"/>
        <v>967-67: Remanufacturing Services (Not Otherwise Classified)</v>
      </c>
    </row>
    <row r="8934" spans="1:7" x14ac:dyDescent="0.25">
      <c r="A8934" s="1" t="str">
        <f t="shared" si="565"/>
        <v>967</v>
      </c>
      <c r="B8934" s="1" t="str">
        <f>TEXT(72,"00")</f>
        <v>72</v>
      </c>
      <c r="C8934" s="1" t="str">
        <f t="shared" si="566"/>
        <v>967-72</v>
      </c>
      <c r="D8934" t="s">
        <v>8902</v>
      </c>
      <c r="E8934" t="b">
        <f>IF(COUNTIF(D8934,"*"&amp;'Keyword Search'!$C$5&amp;"*"),TRUE,FALSE)</f>
        <v>1</v>
      </c>
      <c r="G8934" t="str">
        <f t="shared" si="567"/>
        <v>967-72: Rubber and Rubber Products, Manufacturing Services</v>
      </c>
    </row>
    <row r="8935" spans="1:7" x14ac:dyDescent="0.25">
      <c r="A8935" s="1" t="str">
        <f t="shared" si="565"/>
        <v>967</v>
      </c>
      <c r="B8935" s="1" t="str">
        <f>TEXT(74,"00")</f>
        <v>74</v>
      </c>
      <c r="C8935" s="1" t="str">
        <f t="shared" si="566"/>
        <v>967-74</v>
      </c>
      <c r="D8935" t="s">
        <v>8903</v>
      </c>
      <c r="E8935" t="b">
        <f>IF(COUNTIF(D8935,"*"&amp;'Keyword Search'!$C$5&amp;"*"),TRUE,FALSE)</f>
        <v>1</v>
      </c>
      <c r="G8935" t="str">
        <f t="shared" si="567"/>
        <v>967-74: Safety and Security Equipment Manufacturing Services</v>
      </c>
    </row>
    <row r="8936" spans="1:7" x14ac:dyDescent="0.25">
      <c r="A8936" s="1" t="str">
        <f t="shared" si="565"/>
        <v>967</v>
      </c>
      <c r="B8936" s="1" t="str">
        <f>TEXT(75,"00")</f>
        <v>75</v>
      </c>
      <c r="C8936" s="1" t="str">
        <f t="shared" si="566"/>
        <v>967-75</v>
      </c>
      <c r="D8936" t="s">
        <v>8904</v>
      </c>
      <c r="E8936" t="b">
        <f>IF(COUNTIF(D8936,"*"&amp;'Keyword Search'!$C$5&amp;"*"),TRUE,FALSE)</f>
        <v>1</v>
      </c>
      <c r="G8936" t="str">
        <f t="shared" si="567"/>
        <v>967-75: Semiconductor and Related Equipment Manufacturing Services</v>
      </c>
    </row>
    <row r="8937" spans="1:7" x14ac:dyDescent="0.25">
      <c r="A8937" s="1" t="str">
        <f t="shared" si="565"/>
        <v>967</v>
      </c>
      <c r="B8937" s="1" t="str">
        <f>TEXT(76,"00")</f>
        <v>76</v>
      </c>
      <c r="C8937" s="1" t="str">
        <f t="shared" si="566"/>
        <v>967-76</v>
      </c>
      <c r="D8937" t="s">
        <v>8905</v>
      </c>
      <c r="E8937" t="b">
        <f>IF(COUNTIF(D8937,"*"&amp;'Keyword Search'!$C$5&amp;"*"),TRUE,FALSE)</f>
        <v>1</v>
      </c>
      <c r="G8937" t="str">
        <f t="shared" si="567"/>
        <v>967-76: Shoe, Boot and Footwear Manufacturing Services, All Kinds</v>
      </c>
    </row>
    <row r="8938" spans="1:7" x14ac:dyDescent="0.25">
      <c r="A8938" s="1" t="str">
        <f t="shared" si="565"/>
        <v>967</v>
      </c>
      <c r="B8938" s="1" t="str">
        <f>TEXT(83,"00")</f>
        <v>83</v>
      </c>
      <c r="C8938" s="1" t="str">
        <f t="shared" si="566"/>
        <v>967-83</v>
      </c>
      <c r="D8938" t="s">
        <v>8906</v>
      </c>
      <c r="E8938" t="b">
        <f>IF(COUNTIF(D8938,"*"&amp;'Keyword Search'!$C$5&amp;"*"),TRUE,FALSE)</f>
        <v>1</v>
      </c>
      <c r="G8938" t="str">
        <f t="shared" si="567"/>
        <v>967-83: Tobacco Manufacturing and Processing Services</v>
      </c>
    </row>
    <row r="8939" spans="1:7" x14ac:dyDescent="0.25">
      <c r="A8939" s="1" t="str">
        <f t="shared" si="565"/>
        <v>967</v>
      </c>
      <c r="B8939" s="1" t="str">
        <f>TEXT(84,"00")</f>
        <v>84</v>
      </c>
      <c r="C8939" s="1" t="str">
        <f t="shared" si="566"/>
        <v>967-84</v>
      </c>
      <c r="D8939" t="s">
        <v>8907</v>
      </c>
      <c r="E8939" t="b">
        <f>IF(COUNTIF(D8939,"*"&amp;'Keyword Search'!$C$5&amp;"*"),TRUE,FALSE)</f>
        <v>1</v>
      </c>
      <c r="G8939" t="str">
        <f t="shared" si="567"/>
        <v>967-84: Transport Equipment</v>
      </c>
    </row>
    <row r="8940" spans="1:7" x14ac:dyDescent="0.25">
      <c r="A8940" s="1" t="str">
        <f t="shared" si="565"/>
        <v>967</v>
      </c>
      <c r="B8940" s="1" t="str">
        <f>TEXT(85,"00")</f>
        <v>85</v>
      </c>
      <c r="C8940" s="1" t="str">
        <f t="shared" si="566"/>
        <v>967-85</v>
      </c>
      <c r="D8940" t="s">
        <v>8908</v>
      </c>
      <c r="E8940" t="b">
        <f>IF(COUNTIF(D8940,"*"&amp;'Keyword Search'!$C$5&amp;"*"),TRUE,FALSE)</f>
        <v>1</v>
      </c>
      <c r="G8940" t="str">
        <f t="shared" si="567"/>
        <v>967-85: Tool Manufacturing Services</v>
      </c>
    </row>
    <row r="8941" spans="1:7" x14ac:dyDescent="0.25">
      <c r="A8941" s="1" t="str">
        <f t="shared" si="565"/>
        <v>967</v>
      </c>
      <c r="B8941" s="1" t="str">
        <f>TEXT(91,"00")</f>
        <v>91</v>
      </c>
      <c r="C8941" s="1" t="str">
        <f t="shared" si="566"/>
        <v>967-91</v>
      </c>
      <c r="D8941" t="s">
        <v>8909</v>
      </c>
      <c r="E8941" t="b">
        <f>IF(COUNTIF(D8941,"*"&amp;'Keyword Search'!$C$5&amp;"*"),TRUE,FALSE)</f>
        <v>1</v>
      </c>
      <c r="G8941" t="str">
        <f t="shared" si="567"/>
        <v>967-91: Warehouse and Storage Equipment Manufacturing Services</v>
      </c>
    </row>
    <row r="8942" spans="1:7" x14ac:dyDescent="0.25">
      <c r="A8942" s="1" t="str">
        <f t="shared" si="565"/>
        <v>967</v>
      </c>
      <c r="B8942" s="1" t="str">
        <f>TEXT(92,"00")</f>
        <v>92</v>
      </c>
      <c r="C8942" s="1" t="str">
        <f t="shared" si="566"/>
        <v>967-92</v>
      </c>
      <c r="D8942" t="s">
        <v>8910</v>
      </c>
      <c r="E8942" t="b">
        <f>IF(COUNTIF(D8942,"*"&amp;'Keyword Search'!$C$5&amp;"*"),TRUE,FALSE)</f>
        <v>1</v>
      </c>
      <c r="G8942" t="str">
        <f t="shared" si="567"/>
        <v>967-92: Well Equipment and Supply Manufacturing Services, Oil, Gas, Water, etc.</v>
      </c>
    </row>
    <row r="8943" spans="1:7" x14ac:dyDescent="0.25">
      <c r="A8943" s="1" t="str">
        <f t="shared" si="565"/>
        <v>967</v>
      </c>
      <c r="B8943" s="1" t="str">
        <f>TEXT(93,"00")</f>
        <v>93</v>
      </c>
      <c r="C8943" s="1" t="str">
        <f t="shared" si="566"/>
        <v>967-93</v>
      </c>
      <c r="D8943" t="s">
        <v>8911</v>
      </c>
      <c r="E8943" t="b">
        <f>IF(COUNTIF(D8943,"*"&amp;'Keyword Search'!$C$5&amp;"*"),TRUE,FALSE)</f>
        <v>1</v>
      </c>
      <c r="G8943" t="str">
        <f t="shared" si="567"/>
        <v>967-93: Wood and Wood Products, Manufacturing Services</v>
      </c>
    </row>
    <row r="8944" spans="1:7" x14ac:dyDescent="0.25">
      <c r="A8944" s="5" t="str">
        <f t="shared" ref="A8944:A8992" si="568">TEXT(968,"000")</f>
        <v>968</v>
      </c>
      <c r="B8944" s="5" t="str">
        <f>TEXT(0,"00")</f>
        <v>00</v>
      </c>
      <c r="C8944" s="1"/>
      <c r="D8944" s="2" t="s">
        <v>8912</v>
      </c>
    </row>
    <row r="8945" spans="1:7" x14ac:dyDescent="0.25">
      <c r="A8945" s="1" t="str">
        <f t="shared" si="568"/>
        <v>968</v>
      </c>
      <c r="B8945" s="1" t="str">
        <f>TEXT(18,"00")</f>
        <v>18</v>
      </c>
      <c r="C8945" s="1" t="str">
        <f t="shared" si="566"/>
        <v>968-18</v>
      </c>
      <c r="D8945" t="s">
        <v>8913</v>
      </c>
      <c r="E8945" t="b">
        <f>IF(COUNTIF(D8945,"*"&amp;'Keyword Search'!$C$5&amp;"*"),TRUE,FALSE)</f>
        <v>1</v>
      </c>
      <c r="G8945" t="str">
        <f t="shared" si="567"/>
        <v>968-18: Back Flow Preventer Testing Services</v>
      </c>
    </row>
    <row r="8946" spans="1:7" x14ac:dyDescent="0.25">
      <c r="A8946" s="1" t="str">
        <f t="shared" si="568"/>
        <v>968</v>
      </c>
      <c r="B8946" s="1" t="str">
        <f>TEXT(24,"00")</f>
        <v>24</v>
      </c>
      <c r="C8946" s="1" t="str">
        <f t="shared" si="566"/>
        <v>968-24</v>
      </c>
      <c r="D8946" t="s">
        <v>8914</v>
      </c>
      <c r="E8946" t="b">
        <f>IF(COUNTIF(D8946,"*"&amp;'Keyword Search'!$C$5&amp;"*"),TRUE,FALSE)</f>
        <v>1</v>
      </c>
      <c r="G8946" t="str">
        <f t="shared" si="567"/>
        <v>968-24: Corrosion Analysis Services</v>
      </c>
    </row>
    <row r="8947" spans="1:7" x14ac:dyDescent="0.25">
      <c r="A8947" s="1" t="str">
        <f t="shared" si="568"/>
        <v>968</v>
      </c>
      <c r="B8947" s="1" t="str">
        <f>TEXT(25,"00")</f>
        <v>25</v>
      </c>
      <c r="C8947" s="1" t="str">
        <f t="shared" si="566"/>
        <v>968-25</v>
      </c>
      <c r="D8947" t="s">
        <v>8915</v>
      </c>
      <c r="E8947" t="b">
        <f>IF(COUNTIF(D8947,"*"&amp;'Keyword Search'!$C$5&amp;"*"),TRUE,FALSE)</f>
        <v>1</v>
      </c>
      <c r="G8947" t="str">
        <f t="shared" si="567"/>
        <v>968-25: Corrosion Control Services</v>
      </c>
    </row>
    <row r="8948" spans="1:7" x14ac:dyDescent="0.25">
      <c r="A8948" s="1" t="str">
        <f t="shared" si="568"/>
        <v>968</v>
      </c>
      <c r="B8948" s="1" t="str">
        <f>TEXT(26,"00")</f>
        <v>26</v>
      </c>
      <c r="C8948" s="1" t="str">
        <f t="shared" si="566"/>
        <v>968-26</v>
      </c>
      <c r="D8948" t="s">
        <v>8916</v>
      </c>
      <c r="E8948" t="b">
        <f>IF(COUNTIF(D8948,"*"&amp;'Keyword Search'!$C$5&amp;"*"),TRUE,FALSE)</f>
        <v>1</v>
      </c>
      <c r="G8948" t="str">
        <f t="shared" si="567"/>
        <v>968-26: Crushing, Screening, etc. All types New or Recycled Aggregate, Brick or Stone Products Including Road Materials</v>
      </c>
    </row>
    <row r="8949" spans="1:7" x14ac:dyDescent="0.25">
      <c r="A8949" s="1" t="str">
        <f t="shared" si="568"/>
        <v>968</v>
      </c>
      <c r="B8949" s="1" t="str">
        <f>TEXT(33,"00")</f>
        <v>33</v>
      </c>
      <c r="C8949" s="1" t="str">
        <f t="shared" si="566"/>
        <v>968-33</v>
      </c>
      <c r="D8949" t="s">
        <v>8917</v>
      </c>
      <c r="E8949" t="b">
        <f>IF(COUNTIF(D8949,"*"&amp;'Keyword Search'!$C$5&amp;"*"),TRUE,FALSE)</f>
        <v>1</v>
      </c>
      <c r="G8949" t="str">
        <f t="shared" si="567"/>
        <v>968-33: Ditch Maintenance</v>
      </c>
    </row>
    <row r="8950" spans="1:7" x14ac:dyDescent="0.25">
      <c r="A8950" s="1" t="str">
        <f t="shared" si="568"/>
        <v>968</v>
      </c>
      <c r="B8950" s="1" t="str">
        <f>TEXT(34,"00")</f>
        <v>34</v>
      </c>
      <c r="C8950" s="1" t="str">
        <f t="shared" si="566"/>
        <v>968-34</v>
      </c>
      <c r="D8950" t="s">
        <v>8918</v>
      </c>
      <c r="E8950" t="b">
        <f>IF(COUNTIF(D8950,"*"&amp;'Keyword Search'!$C$5&amp;"*"),TRUE,FALSE)</f>
        <v>1</v>
      </c>
      <c r="G8950" t="str">
        <f t="shared" si="567"/>
        <v>968-34: Dredging Services</v>
      </c>
    </row>
    <row r="8951" spans="1:7" x14ac:dyDescent="0.25">
      <c r="A8951" s="1" t="str">
        <f t="shared" si="568"/>
        <v>968</v>
      </c>
      <c r="B8951" s="1" t="str">
        <f>TEXT(36,"00")</f>
        <v>36</v>
      </c>
      <c r="C8951" s="1" t="str">
        <f t="shared" si="566"/>
        <v>968-36</v>
      </c>
      <c r="D8951" t="s">
        <v>8919</v>
      </c>
      <c r="E8951" t="b">
        <f>IF(COUNTIF(D8951,"*"&amp;'Keyword Search'!$C$5&amp;"*"),TRUE,FALSE)</f>
        <v>1</v>
      </c>
      <c r="G8951" t="str">
        <f t="shared" si="567"/>
        <v>968-36: Dust Control Watering</v>
      </c>
    </row>
    <row r="8952" spans="1:7" x14ac:dyDescent="0.25">
      <c r="A8952" s="1" t="str">
        <f t="shared" si="568"/>
        <v>968</v>
      </c>
      <c r="B8952" s="1" t="str">
        <f>TEXT(40,"00")</f>
        <v>40</v>
      </c>
      <c r="C8952" s="1" t="str">
        <f t="shared" si="566"/>
        <v>968-40</v>
      </c>
      <c r="D8952" t="s">
        <v>8920</v>
      </c>
      <c r="E8952" t="b">
        <f>IF(COUNTIF(D8952,"*"&amp;'Keyword Search'!$C$5&amp;"*"),TRUE,FALSE)</f>
        <v>1</v>
      </c>
      <c r="G8952" t="str">
        <f t="shared" si="567"/>
        <v>968-40: Foundry Services</v>
      </c>
    </row>
    <row r="8953" spans="1:7" x14ac:dyDescent="0.25">
      <c r="A8953" s="1" t="str">
        <f t="shared" si="568"/>
        <v>968</v>
      </c>
      <c r="B8953" s="1" t="str">
        <f>TEXT(44,"00")</f>
        <v>44</v>
      </c>
      <c r="C8953" s="1" t="str">
        <f t="shared" si="566"/>
        <v>968-44</v>
      </c>
      <c r="D8953" t="s">
        <v>8921</v>
      </c>
      <c r="E8953" t="b">
        <f>IF(COUNTIF(D8953,"*"&amp;'Keyword Search'!$C$5&amp;"*"),TRUE,FALSE)</f>
        <v>1</v>
      </c>
      <c r="G8953" t="str">
        <f t="shared" si="567"/>
        <v>968-44: Graffiti Removal Services</v>
      </c>
    </row>
    <row r="8954" spans="1:7" x14ac:dyDescent="0.25">
      <c r="A8954" s="1" t="str">
        <f t="shared" si="568"/>
        <v>968</v>
      </c>
      <c r="B8954" s="1" t="str">
        <f>TEXT(46,"00")</f>
        <v>46</v>
      </c>
      <c r="C8954" s="1" t="str">
        <f t="shared" si="566"/>
        <v>968-46</v>
      </c>
      <c r="D8954" t="s">
        <v>8922</v>
      </c>
      <c r="E8954" t="b">
        <f>IF(COUNTIF(D8954,"*"&amp;'Keyword Search'!$C$5&amp;"*"),TRUE,FALSE)</f>
        <v>1</v>
      </c>
      <c r="G8954" t="str">
        <f t="shared" si="567"/>
        <v>968-46: Incinerator Services, Including Ash Vacuuming</v>
      </c>
    </row>
    <row r="8955" spans="1:7" x14ac:dyDescent="0.25">
      <c r="A8955" s="1" t="str">
        <f t="shared" si="568"/>
        <v>968</v>
      </c>
      <c r="B8955" s="1" t="str">
        <f>TEXT(47,"00")</f>
        <v>47</v>
      </c>
      <c r="C8955" s="1" t="str">
        <f t="shared" si="566"/>
        <v>968-47</v>
      </c>
      <c r="D8955" t="s">
        <v>8923</v>
      </c>
      <c r="E8955" t="b">
        <f>IF(COUNTIF(D8955,"*"&amp;'Keyword Search'!$C$5&amp;"*"),TRUE,FALSE)</f>
        <v>1</v>
      </c>
      <c r="G8955" t="str">
        <f t="shared" si="567"/>
        <v>968-47: Inspection Services, Construction Type</v>
      </c>
    </row>
    <row r="8956" spans="1:7" x14ac:dyDescent="0.25">
      <c r="A8956" s="1" t="str">
        <f t="shared" si="568"/>
        <v>968</v>
      </c>
      <c r="B8956" s="1" t="str">
        <f>TEXT(48,"00")</f>
        <v>48</v>
      </c>
      <c r="C8956" s="1" t="str">
        <f t="shared" si="566"/>
        <v>968-48</v>
      </c>
      <c r="D8956" t="s">
        <v>8924</v>
      </c>
      <c r="E8956" t="b">
        <f>IF(COUNTIF(D8956,"*"&amp;'Keyword Search'!$C$5&amp;"*"),TRUE,FALSE)</f>
        <v>1</v>
      </c>
      <c r="G8956" t="str">
        <f t="shared" si="567"/>
        <v>968-48: Inspection Services, Electrical Instrumentation and Control</v>
      </c>
    </row>
    <row r="8957" spans="1:7" x14ac:dyDescent="0.25">
      <c r="A8957" s="1" t="str">
        <f t="shared" si="568"/>
        <v>968</v>
      </c>
      <c r="B8957" s="1" t="str">
        <f>TEXT(50,"00")</f>
        <v>50</v>
      </c>
      <c r="C8957" s="1" t="str">
        <f t="shared" si="566"/>
        <v>968-50</v>
      </c>
      <c r="D8957" t="s">
        <v>8925</v>
      </c>
      <c r="E8957" t="b">
        <f>IF(COUNTIF(D8957,"*"&amp;'Keyword Search'!$C$5&amp;"*"),TRUE,FALSE)</f>
        <v>1</v>
      </c>
      <c r="G8957" t="str">
        <f t="shared" si="567"/>
        <v>968-50: Leaf, Bush, Tree Limb Collection</v>
      </c>
    </row>
    <row r="8958" spans="1:7" x14ac:dyDescent="0.25">
      <c r="A8958" s="1" t="str">
        <f t="shared" si="568"/>
        <v>968</v>
      </c>
      <c r="B8958" s="1" t="str">
        <f>TEXT(58,"00")</f>
        <v>58</v>
      </c>
      <c r="C8958" s="1" t="str">
        <f t="shared" si="566"/>
        <v>968-58</v>
      </c>
      <c r="D8958" t="s">
        <v>8926</v>
      </c>
      <c r="E8958" t="b">
        <f>IF(COUNTIF(D8958,"*"&amp;'Keyword Search'!$C$5&amp;"*"),TRUE,FALSE)</f>
        <v>1</v>
      </c>
      <c r="G8958" t="str">
        <f t="shared" si="567"/>
        <v>968-58: *Meter Reading Services</v>
      </c>
    </row>
    <row r="8959" spans="1:7" x14ac:dyDescent="0.25">
      <c r="A8959" s="1" t="str">
        <f t="shared" si="568"/>
        <v>968</v>
      </c>
      <c r="B8959" s="1" t="str">
        <f>TEXT(59,"00")</f>
        <v>59</v>
      </c>
      <c r="C8959" s="1" t="str">
        <f t="shared" si="566"/>
        <v>968-59</v>
      </c>
      <c r="D8959" t="s">
        <v>8927</v>
      </c>
      <c r="E8959" t="b">
        <f>IF(COUNTIF(D8959,"*"&amp;'Keyword Search'!$C$5&amp;"*"),TRUE,FALSE)</f>
        <v>1</v>
      </c>
      <c r="G8959" t="str">
        <f t="shared" si="567"/>
        <v>968-59: Property Boundary Line Maintenance and Blue stake Services</v>
      </c>
    </row>
    <row r="8960" spans="1:7" x14ac:dyDescent="0.25">
      <c r="A8960" s="1" t="str">
        <f t="shared" si="568"/>
        <v>968</v>
      </c>
      <c r="B8960" s="1" t="str">
        <f>TEXT(60,"00")</f>
        <v>60</v>
      </c>
      <c r="C8960" s="1" t="str">
        <f t="shared" si="566"/>
        <v>968-60</v>
      </c>
      <c r="D8960" t="s">
        <v>8928</v>
      </c>
      <c r="E8960" t="b">
        <f>IF(COUNTIF(D8960,"*"&amp;'Keyword Search'!$C$5&amp;"*"),TRUE,FALSE)</f>
        <v>1</v>
      </c>
      <c r="G8960" t="str">
        <f t="shared" si="567"/>
        <v>968-60: Parking Meter Services, Including Collection, Installation, and Removal</v>
      </c>
    </row>
    <row r="8961" spans="1:7" x14ac:dyDescent="0.25">
      <c r="A8961" s="1" t="str">
        <f t="shared" si="568"/>
        <v>968</v>
      </c>
      <c r="B8961" s="1" t="str">
        <f>TEXT(61,"00")</f>
        <v>61</v>
      </c>
      <c r="C8961" s="1" t="str">
        <f t="shared" si="566"/>
        <v>968-61</v>
      </c>
      <c r="D8961" t="s">
        <v>8929</v>
      </c>
      <c r="E8961" t="b">
        <f>IF(COUNTIF(D8961,"*"&amp;'Keyword Search'!$C$5&amp;"*"),TRUE,FALSE)</f>
        <v>1</v>
      </c>
      <c r="G8961" t="str">
        <f t="shared" si="567"/>
        <v>968-61: Pavement Marking Services, Including Removal of Markings</v>
      </c>
    </row>
    <row r="8962" spans="1:7" x14ac:dyDescent="0.25">
      <c r="A8962" s="1" t="str">
        <f t="shared" si="568"/>
        <v>968</v>
      </c>
      <c r="B8962" s="1" t="str">
        <f>TEXT(62,"00")</f>
        <v>62</v>
      </c>
      <c r="C8962" s="1" t="str">
        <f t="shared" si="566"/>
        <v>968-62</v>
      </c>
      <c r="D8962" t="s">
        <v>8930</v>
      </c>
      <c r="E8962" t="b">
        <f>IF(COUNTIF(D8962,"*"&amp;'Keyword Search'!$C$5&amp;"*"),TRUE,FALSE)</f>
        <v>1</v>
      </c>
      <c r="G8962" t="str">
        <f t="shared" si="567"/>
        <v>968-62: Pavement Data Collection Services</v>
      </c>
    </row>
    <row r="8963" spans="1:7" x14ac:dyDescent="0.25">
      <c r="A8963" s="1" t="str">
        <f t="shared" si="568"/>
        <v>968</v>
      </c>
      <c r="B8963" s="1" t="str">
        <f>TEXT(63,"00")</f>
        <v>63</v>
      </c>
      <c r="C8963" s="1" t="str">
        <f t="shared" ref="C8963:C9026" si="569">CONCATENATE(A8963,"-",B8963)</f>
        <v>968-63</v>
      </c>
      <c r="D8963" t="s">
        <v>8931</v>
      </c>
      <c r="E8963" t="b">
        <f>IF(COUNTIF(D8963,"*"&amp;'Keyword Search'!$C$5&amp;"*"),TRUE,FALSE)</f>
        <v>1</v>
      </c>
      <c r="G8963" t="str">
        <f t="shared" si="567"/>
        <v>968-63: Relocation and or Removal Services for Utility Works</v>
      </c>
    </row>
    <row r="8964" spans="1:7" x14ac:dyDescent="0.25">
      <c r="A8964" s="1" t="str">
        <f t="shared" si="568"/>
        <v>968</v>
      </c>
      <c r="B8964" s="1" t="str">
        <f>TEXT(64,"00")</f>
        <v>64</v>
      </c>
      <c r="C8964" s="1" t="str">
        <f t="shared" si="569"/>
        <v>968-64</v>
      </c>
      <c r="D8964" t="s">
        <v>8932</v>
      </c>
      <c r="E8964" t="b">
        <f>IF(COUNTIF(D8964,"*"&amp;'Keyword Search'!$C$5&amp;"*"),TRUE,FALSE)</f>
        <v>1</v>
      </c>
      <c r="G8964" t="str">
        <f t="shared" ref="G8964:G9027" si="570">CONCATENATE(C8964,": ",D8964)</f>
        <v>968-64: Response and Recovery Services, Roadway Incident</v>
      </c>
    </row>
    <row r="8965" spans="1:7" x14ac:dyDescent="0.25">
      <c r="A8965" s="1" t="str">
        <f t="shared" si="568"/>
        <v>968</v>
      </c>
      <c r="B8965" s="1" t="str">
        <f>TEXT(66,"00")</f>
        <v>66</v>
      </c>
      <c r="C8965" s="1" t="str">
        <f t="shared" si="569"/>
        <v>968-66</v>
      </c>
      <c r="D8965" t="s">
        <v>8933</v>
      </c>
      <c r="E8965" t="b">
        <f>IF(COUNTIF(D8965,"*"&amp;'Keyword Search'!$C$5&amp;"*"),TRUE,FALSE)</f>
        <v>1</v>
      </c>
      <c r="G8965" t="str">
        <f t="shared" si="570"/>
        <v>968-66: Right of Way Services, Including Title, Relocation, Condemnation, etc.</v>
      </c>
    </row>
    <row r="8966" spans="1:7" x14ac:dyDescent="0.25">
      <c r="A8966" s="1" t="str">
        <f t="shared" si="568"/>
        <v>968</v>
      </c>
      <c r="B8966" s="1" t="str">
        <f>TEXT(67,"00")</f>
        <v>67</v>
      </c>
      <c r="C8966" s="1" t="str">
        <f t="shared" si="569"/>
        <v>968-67</v>
      </c>
      <c r="D8966" t="s">
        <v>8934</v>
      </c>
      <c r="E8966" t="b">
        <f>IF(COUNTIF(D8966,"*"&amp;'Keyword Search'!$C$5&amp;"*"),TRUE,FALSE)</f>
        <v>1</v>
      </c>
      <c r="G8966" t="str">
        <f t="shared" si="570"/>
        <v>968-67: Sandblasting Services (See 910-83 for Sandblasting of Buildings)</v>
      </c>
    </row>
    <row r="8967" spans="1:7" x14ac:dyDescent="0.25">
      <c r="A8967" s="1" t="str">
        <f t="shared" si="568"/>
        <v>968</v>
      </c>
      <c r="B8967" s="1" t="str">
        <f>TEXT(71,"00")</f>
        <v>71</v>
      </c>
      <c r="C8967" s="1" t="str">
        <f t="shared" si="569"/>
        <v>968-71</v>
      </c>
      <c r="D8967" t="s">
        <v>8935</v>
      </c>
      <c r="E8967" t="b">
        <f>IF(COUNTIF(D8967,"*"&amp;'Keyword Search'!$C$5&amp;"*"),TRUE,FALSE)</f>
        <v>1</v>
      </c>
      <c r="G8967" t="str">
        <f t="shared" si="570"/>
        <v>968-71: Solid or Liquid Waste Disposal, Including Management Services. (See 926-45 for Hazardous Waste Disposal)</v>
      </c>
    </row>
    <row r="8968" spans="1:7" x14ac:dyDescent="0.25">
      <c r="A8968" s="1" t="str">
        <f t="shared" si="568"/>
        <v>968</v>
      </c>
      <c r="B8968" s="1" t="str">
        <f>TEXT(72,"00")</f>
        <v>72</v>
      </c>
      <c r="C8968" s="1" t="str">
        <f t="shared" si="569"/>
        <v>968-72</v>
      </c>
      <c r="D8968" t="s">
        <v>8936</v>
      </c>
      <c r="E8968" t="b">
        <f>IF(COUNTIF(D8968,"*"&amp;'Keyword Search'!$C$5&amp;"*"),TRUE,FALSE)</f>
        <v>1</v>
      </c>
      <c r="G8968" t="str">
        <f t="shared" si="570"/>
        <v>968-72: Snow and Ice Removal Services</v>
      </c>
    </row>
    <row r="8969" spans="1:7" x14ac:dyDescent="0.25">
      <c r="A8969" s="1" t="str">
        <f t="shared" si="568"/>
        <v>968</v>
      </c>
      <c r="B8969" s="1" t="str">
        <f>TEXT(73,"00")</f>
        <v>73</v>
      </c>
      <c r="C8969" s="1" t="str">
        <f t="shared" si="569"/>
        <v>968-73</v>
      </c>
      <c r="D8969" t="s">
        <v>8937</v>
      </c>
      <c r="E8969" t="b">
        <f>IF(COUNTIF(D8969,"*"&amp;'Keyword Search'!$C$5&amp;"*"),TRUE,FALSE)</f>
        <v>1</v>
      </c>
      <c r="G8969" t="str">
        <f t="shared" si="570"/>
        <v>968-73: Storm Drain Cleaning, Repair, and Sludge Removal Services</v>
      </c>
    </row>
    <row r="8970" spans="1:7" x14ac:dyDescent="0.25">
      <c r="A8970" s="1" t="str">
        <f t="shared" si="568"/>
        <v>968</v>
      </c>
      <c r="B8970" s="1" t="str">
        <f>TEXT(74,"00")</f>
        <v>74</v>
      </c>
      <c r="C8970" s="1" t="str">
        <f t="shared" si="569"/>
        <v>968-74</v>
      </c>
      <c r="D8970" t="s">
        <v>8938</v>
      </c>
      <c r="E8970" t="b">
        <f>IF(COUNTIF(D8970,"*"&amp;'Keyword Search'!$C$5&amp;"*"),TRUE,FALSE)</f>
        <v>1</v>
      </c>
      <c r="G8970" t="str">
        <f t="shared" si="570"/>
        <v>968-74: Street Sweeping Services</v>
      </c>
    </row>
    <row r="8971" spans="1:7" x14ac:dyDescent="0.25">
      <c r="A8971" s="1" t="str">
        <f t="shared" si="568"/>
        <v>968</v>
      </c>
      <c r="B8971" s="1" t="str">
        <f>TEXT(75,"00")</f>
        <v>75</v>
      </c>
      <c r="C8971" s="1" t="str">
        <f t="shared" si="569"/>
        <v>968-75</v>
      </c>
      <c r="D8971" t="s">
        <v>8939</v>
      </c>
      <c r="E8971" t="b">
        <f>IF(COUNTIF(D8971,"*"&amp;'Keyword Search'!$C$5&amp;"*"),TRUE,FALSE)</f>
        <v>1</v>
      </c>
      <c r="G8971" t="str">
        <f t="shared" si="570"/>
        <v>968-75: Streetscaping Services (Inactive, effective January 1, 2016)</v>
      </c>
    </row>
    <row r="8972" spans="1:7" x14ac:dyDescent="0.25">
      <c r="A8972" s="1" t="str">
        <f t="shared" si="568"/>
        <v>968</v>
      </c>
      <c r="B8972" s="1" t="str">
        <f>TEXT(76,"00")</f>
        <v>76</v>
      </c>
      <c r="C8972" s="1" t="str">
        <f t="shared" si="569"/>
        <v>968-76</v>
      </c>
      <c r="D8972" t="s">
        <v>8940</v>
      </c>
      <c r="E8972" t="b">
        <f>IF(COUNTIF(D8972,"*"&amp;'Keyword Search'!$C$5&amp;"*"),TRUE,FALSE)</f>
        <v>1</v>
      </c>
      <c r="G8972" t="str">
        <f t="shared" si="570"/>
        <v>968-76: Street Light Maintenance and Repair</v>
      </c>
    </row>
    <row r="8973" spans="1:7" x14ac:dyDescent="0.25">
      <c r="A8973" s="1" t="str">
        <f t="shared" si="568"/>
        <v>968</v>
      </c>
      <c r="B8973" s="1" t="str">
        <f>TEXT(77,"00")</f>
        <v>77</v>
      </c>
      <c r="C8973" s="1" t="str">
        <f t="shared" si="569"/>
        <v>968-77</v>
      </c>
      <c r="D8973" t="s">
        <v>8941</v>
      </c>
      <c r="E8973" t="b">
        <f>IF(COUNTIF(D8973,"*"&amp;'Keyword Search'!$C$5&amp;"*"),TRUE,FALSE)</f>
        <v>1</v>
      </c>
      <c r="G8973" t="str">
        <f t="shared" si="570"/>
        <v>968-77: Traffic Safety Services</v>
      </c>
    </row>
    <row r="8974" spans="1:7" x14ac:dyDescent="0.25">
      <c r="A8974" s="1" t="str">
        <f t="shared" si="568"/>
        <v>968</v>
      </c>
      <c r="B8974" s="1" t="str">
        <f>TEXT(78,"00")</f>
        <v>78</v>
      </c>
      <c r="C8974" s="1" t="str">
        <f t="shared" si="569"/>
        <v>968-78</v>
      </c>
      <c r="D8974" t="s">
        <v>8942</v>
      </c>
      <c r="E8974" t="b">
        <f>IF(COUNTIF(D8974,"*"&amp;'Keyword Search'!$C$5&amp;"*"),TRUE,FALSE)</f>
        <v>1</v>
      </c>
      <c r="G8974" t="str">
        <f t="shared" si="570"/>
        <v>968-78: Tank Installation, Removal, Disposal, and Related Services, Including Septic and Underground Type</v>
      </c>
    </row>
    <row r="8975" spans="1:7" x14ac:dyDescent="0.25">
      <c r="A8975" s="1" t="str">
        <f t="shared" si="568"/>
        <v>968</v>
      </c>
      <c r="B8975" s="1" t="str">
        <f>TEXT(79,"00")</f>
        <v>79</v>
      </c>
      <c r="C8975" s="1" t="str">
        <f t="shared" si="569"/>
        <v>968-79</v>
      </c>
      <c r="D8975" t="s">
        <v>8943</v>
      </c>
      <c r="E8975" t="b">
        <f>IF(COUNTIF(D8975,"*"&amp;'Keyword Search'!$C$5&amp;"*"),TRUE,FALSE)</f>
        <v>1</v>
      </c>
      <c r="G8975" t="str">
        <f t="shared" si="570"/>
        <v>968-79: Telephone, Utility, Light Pole Installation, and Relocation Service</v>
      </c>
    </row>
    <row r="8976" spans="1:7" x14ac:dyDescent="0.25">
      <c r="A8976" s="1" t="str">
        <f t="shared" si="568"/>
        <v>968</v>
      </c>
      <c r="B8976" s="1" t="str">
        <f>TEXT(80,"00")</f>
        <v>80</v>
      </c>
      <c r="C8976" s="1" t="str">
        <f t="shared" si="569"/>
        <v>968-80</v>
      </c>
      <c r="D8976" t="s">
        <v>8944</v>
      </c>
      <c r="E8976" t="b">
        <f>IF(COUNTIF(D8976,"*"&amp;'Keyword Search'!$C$5&amp;"*"),TRUE,FALSE)</f>
        <v>1</v>
      </c>
      <c r="G8976" t="str">
        <f t="shared" si="570"/>
        <v>968-80: Traffic Sign Installation and Removal Services</v>
      </c>
    </row>
    <row r="8977" spans="1:7" x14ac:dyDescent="0.25">
      <c r="A8977" s="1" t="str">
        <f t="shared" si="568"/>
        <v>968</v>
      </c>
      <c r="B8977" s="1" t="str">
        <f>TEXT(81,"00")</f>
        <v>81</v>
      </c>
      <c r="C8977" s="1" t="str">
        <f t="shared" si="569"/>
        <v>968-81</v>
      </c>
      <c r="D8977" t="s">
        <v>8945</v>
      </c>
      <c r="E8977" t="b">
        <f>IF(COUNTIF(D8977,"*"&amp;'Keyword Search'!$C$5&amp;"*"),TRUE,FALSE)</f>
        <v>1</v>
      </c>
      <c r="G8977" t="str">
        <f t="shared" si="570"/>
        <v>968-81: Traffic Sign Maintenance and Repair</v>
      </c>
    </row>
    <row r="8978" spans="1:7" x14ac:dyDescent="0.25">
      <c r="A8978" s="1" t="str">
        <f t="shared" si="568"/>
        <v>968</v>
      </c>
      <c r="B8978" s="1" t="str">
        <f>TEXT(82,"00")</f>
        <v>82</v>
      </c>
      <c r="C8978" s="1" t="str">
        <f t="shared" si="569"/>
        <v>968-82</v>
      </c>
      <c r="D8978" t="s">
        <v>8946</v>
      </c>
      <c r="E8978" t="b">
        <f>IF(COUNTIF(D8978,"*"&amp;'Keyword Search'!$C$5&amp;"*"),TRUE,FALSE)</f>
        <v>1</v>
      </c>
      <c r="G8978" t="str">
        <f t="shared" si="570"/>
        <v>968-82: Traffic Signal Installation</v>
      </c>
    </row>
    <row r="8979" spans="1:7" x14ac:dyDescent="0.25">
      <c r="A8979" s="1" t="str">
        <f t="shared" si="568"/>
        <v>968</v>
      </c>
      <c r="B8979" s="1" t="str">
        <f>TEXT(83,"00")</f>
        <v>83</v>
      </c>
      <c r="C8979" s="1" t="str">
        <f t="shared" si="569"/>
        <v>968-83</v>
      </c>
      <c r="D8979" t="s">
        <v>8947</v>
      </c>
      <c r="E8979" t="b">
        <f>IF(COUNTIF(D8979,"*"&amp;'Keyword Search'!$C$5&amp;"*"),TRUE,FALSE)</f>
        <v>1</v>
      </c>
      <c r="G8979" t="str">
        <f t="shared" si="570"/>
        <v>968-83: Traffic Signal Maintenance and Repair</v>
      </c>
    </row>
    <row r="8980" spans="1:7" x14ac:dyDescent="0.25">
      <c r="A8980" s="1" t="str">
        <f t="shared" si="568"/>
        <v>968</v>
      </c>
      <c r="B8980" s="1" t="str">
        <f>TEXT(84,"00")</f>
        <v>84</v>
      </c>
      <c r="C8980" s="1" t="str">
        <f t="shared" si="569"/>
        <v>968-84</v>
      </c>
      <c r="D8980" t="s">
        <v>8948</v>
      </c>
      <c r="E8980" t="b">
        <f>IF(COUNTIF(D8980,"*"&amp;'Keyword Search'!$C$5&amp;"*"),TRUE,FALSE)</f>
        <v>1</v>
      </c>
      <c r="G8980" t="str">
        <f t="shared" si="570"/>
        <v>968-84: Traffic Control Services, Including Placement and Removal of Control Devices</v>
      </c>
    </row>
    <row r="8981" spans="1:7" x14ac:dyDescent="0.25">
      <c r="A8981" s="1" t="str">
        <f t="shared" si="568"/>
        <v>968</v>
      </c>
      <c r="B8981" s="1" t="str">
        <f>TEXT(85,"00")</f>
        <v>85</v>
      </c>
      <c r="C8981" s="1" t="str">
        <f t="shared" si="569"/>
        <v>968-85</v>
      </c>
      <c r="D8981" t="s">
        <v>8949</v>
      </c>
      <c r="E8981" t="b">
        <f>IF(COUNTIF(D8981,"*"&amp;'Keyword Search'!$C$5&amp;"*"),TRUE,FALSE)</f>
        <v>1</v>
      </c>
      <c r="G8981" t="str">
        <f t="shared" si="570"/>
        <v>968-85: Traffic Counting Services</v>
      </c>
    </row>
    <row r="8982" spans="1:7" x14ac:dyDescent="0.25">
      <c r="A8982" s="1" t="str">
        <f t="shared" si="568"/>
        <v>968</v>
      </c>
      <c r="B8982" s="1" t="str">
        <f>TEXT(87,"00")</f>
        <v>87</v>
      </c>
      <c r="C8982" s="1" t="str">
        <f t="shared" si="569"/>
        <v>968-87</v>
      </c>
      <c r="D8982" t="s">
        <v>8950</v>
      </c>
      <c r="E8982" t="b">
        <f>IF(COUNTIF(D8982,"*"&amp;'Keyword Search'!$C$5&amp;"*"),TRUE,FALSE)</f>
        <v>1</v>
      </c>
      <c r="G8982" t="str">
        <f t="shared" si="570"/>
        <v>968-87: Roadside Assistance; flat tire, dead battery, out of fuel type situations</v>
      </c>
    </row>
    <row r="8983" spans="1:7" x14ac:dyDescent="0.25">
      <c r="A8983" s="1" t="str">
        <f t="shared" si="568"/>
        <v>968</v>
      </c>
      <c r="B8983" s="1" t="str">
        <f>TEXT(88,"00")</f>
        <v>88</v>
      </c>
      <c r="C8983" s="1" t="str">
        <f t="shared" si="569"/>
        <v>968-88</v>
      </c>
      <c r="D8983" t="s">
        <v>8951</v>
      </c>
      <c r="E8983" t="b">
        <f>IF(COUNTIF(D8983,"*"&amp;'Keyword Search'!$C$5&amp;"*"),TRUE,FALSE)</f>
        <v>1</v>
      </c>
      <c r="G8983" t="str">
        <f t="shared" si="570"/>
        <v>968-88: Tree and Shrub Removal Services</v>
      </c>
    </row>
    <row r="8984" spans="1:7" x14ac:dyDescent="0.25">
      <c r="A8984" s="1" t="str">
        <f t="shared" si="568"/>
        <v>968</v>
      </c>
      <c r="B8984" s="1" t="str">
        <f>TEXT(89,"00")</f>
        <v>89</v>
      </c>
      <c r="C8984" s="1" t="str">
        <f t="shared" si="569"/>
        <v>968-89</v>
      </c>
      <c r="D8984" t="s">
        <v>8952</v>
      </c>
      <c r="E8984" t="b">
        <f>IF(COUNTIF(D8984,"*"&amp;'Keyword Search'!$C$5&amp;"*"),TRUE,FALSE)</f>
        <v>1</v>
      </c>
      <c r="G8984" t="str">
        <f t="shared" si="570"/>
        <v>968-89: *Traffic Studies and Analysis Services</v>
      </c>
    </row>
    <row r="8985" spans="1:7" x14ac:dyDescent="0.25">
      <c r="A8985" s="1" t="str">
        <f t="shared" si="568"/>
        <v>968</v>
      </c>
      <c r="B8985" s="1" t="str">
        <f>TEXT(90,"00")</f>
        <v>90</v>
      </c>
      <c r="C8985" s="1" t="str">
        <f t="shared" si="569"/>
        <v>968-90</v>
      </c>
      <c r="D8985" t="s">
        <v>8953</v>
      </c>
      <c r="E8985" t="b">
        <f>IF(COUNTIF(D8985,"*"&amp;'Keyword Search'!$C$5&amp;"*"),TRUE,FALSE)</f>
        <v>1</v>
      </c>
      <c r="G8985" t="str">
        <f t="shared" si="570"/>
        <v>968-90: Vehicle Towing and Storage</v>
      </c>
    </row>
    <row r="8986" spans="1:7" x14ac:dyDescent="0.25">
      <c r="A8986" s="1" t="str">
        <f t="shared" si="568"/>
        <v>968</v>
      </c>
      <c r="B8986" s="1" t="str">
        <f>TEXT(91,"00")</f>
        <v>91</v>
      </c>
      <c r="C8986" s="1" t="str">
        <f t="shared" si="569"/>
        <v>968-91</v>
      </c>
      <c r="D8986" t="s">
        <v>8954</v>
      </c>
      <c r="E8986" t="b">
        <f>IF(COUNTIF(D8986,"*"&amp;'Keyword Search'!$C$5&amp;"*"),TRUE,FALSE)</f>
        <v>1</v>
      </c>
      <c r="G8986" t="str">
        <f t="shared" si="570"/>
        <v>968-91: Water Supply Analysis, Infrastructure Analysis, Water Quality Analysis, and Long Term Planning</v>
      </c>
    </row>
    <row r="8987" spans="1:7" x14ac:dyDescent="0.25">
      <c r="A8987" s="1" t="str">
        <f t="shared" si="568"/>
        <v>968</v>
      </c>
      <c r="B8987" s="1" t="str">
        <f>TEXT(92,"00")</f>
        <v>92</v>
      </c>
      <c r="C8987" s="1" t="str">
        <f t="shared" si="569"/>
        <v>968-92</v>
      </c>
      <c r="D8987" t="s">
        <v>8955</v>
      </c>
      <c r="E8987" t="b">
        <f>IF(COUNTIF(D8987,"*"&amp;'Keyword Search'!$C$5&amp;"*"),TRUE,FALSE)</f>
        <v>1</v>
      </c>
      <c r="G8987" t="str">
        <f t="shared" si="570"/>
        <v>968-92: Water Supply Plant Operating and Monitoring System Services, Including Water Resources Development and Water Quality Management Services</v>
      </c>
    </row>
    <row r="8988" spans="1:7" x14ac:dyDescent="0.25">
      <c r="A8988" s="1" t="str">
        <f t="shared" si="568"/>
        <v>968</v>
      </c>
      <c r="B8988" s="1" t="str">
        <f>TEXT(93,"00")</f>
        <v>93</v>
      </c>
      <c r="C8988" s="1" t="str">
        <f t="shared" si="569"/>
        <v>968-93</v>
      </c>
      <c r="D8988" t="s">
        <v>8956</v>
      </c>
      <c r="E8988" t="b">
        <f>IF(COUNTIF(D8988,"*"&amp;'Keyword Search'!$C$5&amp;"*"),TRUE,FALSE)</f>
        <v>1</v>
      </c>
      <c r="G8988" t="str">
        <f t="shared" si="570"/>
        <v>968-93: Well Pointing Services, Dewatering</v>
      </c>
    </row>
    <row r="8989" spans="1:7" x14ac:dyDescent="0.25">
      <c r="A8989" s="1" t="str">
        <f t="shared" si="568"/>
        <v>968</v>
      </c>
      <c r="B8989" s="1" t="str">
        <f>TEXT(94,"00")</f>
        <v>94</v>
      </c>
      <c r="C8989" s="1" t="str">
        <f t="shared" si="569"/>
        <v>968-94</v>
      </c>
      <c r="D8989" t="s">
        <v>8957</v>
      </c>
      <c r="E8989" t="b">
        <f>IF(COUNTIF(D8989,"*"&amp;'Keyword Search'!$C$5&amp;"*"),TRUE,FALSE)</f>
        <v>1</v>
      </c>
      <c r="G8989" t="str">
        <f t="shared" si="570"/>
        <v>968-94: Waterproofing Systems and Repair</v>
      </c>
    </row>
    <row r="8990" spans="1:7" x14ac:dyDescent="0.25">
      <c r="A8990" s="1" t="str">
        <f t="shared" si="568"/>
        <v>968</v>
      </c>
      <c r="B8990" s="1" t="str">
        <f>TEXT(95,"00")</f>
        <v>95</v>
      </c>
      <c r="C8990" s="1" t="str">
        <f t="shared" si="569"/>
        <v>968-95</v>
      </c>
      <c r="D8990" t="s">
        <v>8958</v>
      </c>
      <c r="E8990" t="b">
        <f>IF(COUNTIF(D8990,"*"&amp;'Keyword Search'!$C$5&amp;"*"),TRUE,FALSE)</f>
        <v>1</v>
      </c>
      <c r="G8990" t="str">
        <f t="shared" si="570"/>
        <v>968-95: Wastewater Treatment Plant, Operations, and Testing</v>
      </c>
    </row>
    <row r="8991" spans="1:7" x14ac:dyDescent="0.25">
      <c r="A8991" s="1" t="str">
        <f t="shared" si="568"/>
        <v>968</v>
      </c>
      <c r="B8991" s="1" t="str">
        <f>TEXT(96,"00")</f>
        <v>96</v>
      </c>
      <c r="C8991" s="1" t="str">
        <f t="shared" si="569"/>
        <v>968-96</v>
      </c>
      <c r="D8991" t="s">
        <v>8959</v>
      </c>
      <c r="E8991" t="b">
        <f>IF(COUNTIF(D8991,"*"&amp;'Keyword Search'!$C$5&amp;"*"),TRUE,FALSE)</f>
        <v>1</v>
      </c>
      <c r="G8991" t="str">
        <f t="shared" si="570"/>
        <v>968-96: Water and Wastewater Treatment Services</v>
      </c>
    </row>
    <row r="8992" spans="1:7" x14ac:dyDescent="0.25">
      <c r="A8992" s="1" t="str">
        <f t="shared" si="568"/>
        <v>968</v>
      </c>
      <c r="B8992" s="1" t="str">
        <f>TEXT(97,"00")</f>
        <v>97</v>
      </c>
      <c r="C8992" s="1" t="str">
        <f t="shared" si="569"/>
        <v>968-97</v>
      </c>
      <c r="D8992" t="s">
        <v>8960</v>
      </c>
      <c r="E8992" t="b">
        <f>IF(COUNTIF(D8992,"*"&amp;'Keyword Search'!$C$5&amp;"*"),TRUE,FALSE)</f>
        <v>1</v>
      </c>
      <c r="G8992" t="str">
        <f t="shared" si="570"/>
        <v>968-97: Wrecking and Removal Services</v>
      </c>
    </row>
    <row r="8993" spans="1:7" x14ac:dyDescent="0.25">
      <c r="A8993" s="5" t="str">
        <f t="shared" ref="A8993:A9008" si="571">TEXT(969,"000")</f>
        <v>969</v>
      </c>
      <c r="B8993" s="5" t="str">
        <f>TEXT(0,"00")</f>
        <v>00</v>
      </c>
      <c r="C8993" s="1"/>
      <c r="D8993" s="2" t="s">
        <v>8961</v>
      </c>
    </row>
    <row r="8994" spans="1:7" x14ac:dyDescent="0.25">
      <c r="A8994" s="1" t="str">
        <f t="shared" si="571"/>
        <v>969</v>
      </c>
      <c r="B8994" s="1" t="str">
        <f>TEXT(10,"00")</f>
        <v>10</v>
      </c>
      <c r="C8994" s="1" t="str">
        <f t="shared" si="569"/>
        <v>969-10</v>
      </c>
      <c r="D8994" t="s">
        <v>8962</v>
      </c>
      <c r="E8994" t="b">
        <f>IF(COUNTIF(D8994,"*"&amp;'Keyword Search'!$C$5&amp;"*"),TRUE,FALSE)</f>
        <v>1</v>
      </c>
      <c r="G8994" t="str">
        <f t="shared" si="570"/>
        <v>969-10: Computer Programing Services, CIS</v>
      </c>
    </row>
    <row r="8995" spans="1:7" x14ac:dyDescent="0.25">
      <c r="A8995" s="1" t="str">
        <f t="shared" si="571"/>
        <v>969</v>
      </c>
      <c r="B8995" s="1" t="str">
        <f>TEXT(18,"00")</f>
        <v>18</v>
      </c>
      <c r="C8995" s="1" t="str">
        <f t="shared" si="569"/>
        <v>969-18</v>
      </c>
      <c r="D8995" t="s">
        <v>8963</v>
      </c>
      <c r="E8995" t="b">
        <f>IF(COUNTIF(D8995,"*"&amp;'Keyword Search'!$C$5&amp;"*"),TRUE,FALSE)</f>
        <v>1</v>
      </c>
      <c r="G8995" t="str">
        <f t="shared" si="570"/>
        <v>969-18: Judgments, Extraordinary Items</v>
      </c>
    </row>
    <row r="8996" spans="1:7" x14ac:dyDescent="0.25">
      <c r="A8996" s="1" t="str">
        <f t="shared" si="571"/>
        <v>969</v>
      </c>
      <c r="B8996" s="1" t="str">
        <f>TEXT(19,"00")</f>
        <v>19</v>
      </c>
      <c r="C8996" s="1" t="str">
        <f t="shared" si="569"/>
        <v>969-19</v>
      </c>
      <c r="D8996" t="s">
        <v>8964</v>
      </c>
      <c r="E8996" t="b">
        <f>IF(COUNTIF(D8996,"*"&amp;'Keyword Search'!$C$5&amp;"*"),TRUE,FALSE)</f>
        <v>1</v>
      </c>
      <c r="G8996" t="str">
        <f t="shared" si="570"/>
        <v>969-19: Judgments, Special Items</v>
      </c>
    </row>
    <row r="8997" spans="1:7" x14ac:dyDescent="0.25">
      <c r="A8997" s="1" t="str">
        <f t="shared" si="571"/>
        <v>969</v>
      </c>
      <c r="B8997" s="1" t="str">
        <f>TEXT(20,"00")</f>
        <v>20</v>
      </c>
      <c r="C8997" s="1" t="str">
        <f t="shared" si="569"/>
        <v>969-20</v>
      </c>
      <c r="D8997" t="s">
        <v>8965</v>
      </c>
      <c r="E8997" t="b">
        <f>IF(COUNTIF(D8997,"*"&amp;'Keyword Search'!$C$5&amp;"*"),TRUE,FALSE)</f>
        <v>1</v>
      </c>
      <c r="G8997" t="str">
        <f t="shared" si="570"/>
        <v>969-20: Judgments and Settlements, Attorney Fees</v>
      </c>
    </row>
    <row r="8998" spans="1:7" x14ac:dyDescent="0.25">
      <c r="A8998" s="1" t="str">
        <f t="shared" si="571"/>
        <v>969</v>
      </c>
      <c r="B8998" s="1" t="str">
        <f>TEXT(21,"00")</f>
        <v>21</v>
      </c>
      <c r="C8998" s="1" t="str">
        <f t="shared" si="569"/>
        <v>969-21</v>
      </c>
      <c r="D8998" t="s">
        <v>8966</v>
      </c>
      <c r="E8998" t="b">
        <f>IF(COUNTIF(D8998,"*"&amp;'Keyword Search'!$C$5&amp;"*"),TRUE,FALSE)</f>
        <v>1</v>
      </c>
      <c r="G8998" t="str">
        <f t="shared" si="570"/>
        <v>969-21: Judgments and Settlements, Claimant</v>
      </c>
    </row>
    <row r="8999" spans="1:7" x14ac:dyDescent="0.25">
      <c r="A8999" s="1" t="str">
        <f t="shared" si="571"/>
        <v>969</v>
      </c>
      <c r="B8999" s="1" t="str">
        <f>TEXT(22,"00")</f>
        <v>22</v>
      </c>
      <c r="C8999" s="1" t="str">
        <f t="shared" si="569"/>
        <v>969-22</v>
      </c>
      <c r="D8999" t="s">
        <v>8967</v>
      </c>
      <c r="E8999" t="b">
        <f>IF(COUNTIF(D8999,"*"&amp;'Keyword Search'!$C$5&amp;"*"),TRUE,FALSE)</f>
        <v>1</v>
      </c>
      <c r="G8999" t="str">
        <f t="shared" si="570"/>
        <v>969-22: Judgments and Settlements, Claimant &amp; Attorney</v>
      </c>
    </row>
    <row r="9000" spans="1:7" x14ac:dyDescent="0.25">
      <c r="A9000" s="1" t="str">
        <f t="shared" si="571"/>
        <v>969</v>
      </c>
      <c r="B9000" s="1" t="str">
        <f>TEXT(23,"00")</f>
        <v>23</v>
      </c>
      <c r="C9000" s="1" t="str">
        <f t="shared" si="569"/>
        <v>969-23</v>
      </c>
      <c r="D9000" t="s">
        <v>8968</v>
      </c>
      <c r="E9000" t="b">
        <f>IF(COUNTIF(D9000,"*"&amp;'Keyword Search'!$C$5&amp;"*"),TRUE,FALSE)</f>
        <v>1</v>
      </c>
      <c r="G9000" t="str">
        <f t="shared" si="570"/>
        <v>969-23: Judgments and Settlements (SAGO), HIGHER EDUCATION</v>
      </c>
    </row>
    <row r="9001" spans="1:7" x14ac:dyDescent="0.25">
      <c r="A9001" s="1" t="str">
        <f t="shared" si="571"/>
        <v>969</v>
      </c>
      <c r="B9001" s="1" t="str">
        <f>TEXT(24,"00")</f>
        <v>24</v>
      </c>
      <c r="C9001" s="1" t="str">
        <f t="shared" si="569"/>
        <v>969-24</v>
      </c>
      <c r="D9001" t="s">
        <v>8969</v>
      </c>
      <c r="E9001" t="b">
        <f>IF(COUNTIF(D9001,"*"&amp;'Keyword Search'!$C$5&amp;"*"),TRUE,FALSE)</f>
        <v>1</v>
      </c>
      <c r="G9001" t="str">
        <f t="shared" si="570"/>
        <v>969-24: Judgments and Settlements, Other Legal Expenses</v>
      </c>
    </row>
    <row r="9002" spans="1:7" x14ac:dyDescent="0.25">
      <c r="A9002" s="1" t="str">
        <f t="shared" si="571"/>
        <v>969</v>
      </c>
      <c r="B9002" s="1" t="str">
        <f>TEXT(39,"00")</f>
        <v>39</v>
      </c>
      <c r="C9002" s="1" t="str">
        <f t="shared" si="569"/>
        <v>969-39</v>
      </c>
      <c r="D9002" t="s">
        <v>8970</v>
      </c>
      <c r="E9002" t="b">
        <f>IF(COUNTIF(D9002,"*"&amp;'Keyword Search'!$C$5&amp;"*"),TRUE,FALSE)</f>
        <v>1</v>
      </c>
      <c r="G9002" t="str">
        <f t="shared" si="570"/>
        <v>969-39: Professional Services/Contract Sponsorships</v>
      </c>
    </row>
    <row r="9003" spans="1:7" x14ac:dyDescent="0.25">
      <c r="A9003" s="1" t="str">
        <f t="shared" si="571"/>
        <v>969</v>
      </c>
      <c r="B9003" s="1" t="str">
        <f>TEXT(40,"00")</f>
        <v>40</v>
      </c>
      <c r="C9003" s="1" t="str">
        <f t="shared" si="569"/>
        <v>969-40</v>
      </c>
      <c r="D9003" t="s">
        <v>8971</v>
      </c>
      <c r="E9003" t="b">
        <f>IF(COUNTIF(D9003,"*"&amp;'Keyword Search'!$C$5&amp;"*"),TRUE,FALSE)</f>
        <v>1</v>
      </c>
      <c r="G9003" t="str">
        <f t="shared" si="570"/>
        <v>969-40: Other Services Contracts, Power Plant</v>
      </c>
    </row>
    <row r="9004" spans="1:7" x14ac:dyDescent="0.25">
      <c r="A9004" s="1" t="str">
        <f t="shared" si="571"/>
        <v>969</v>
      </c>
      <c r="B9004" s="1" t="str">
        <f>TEXT(41,"00")</f>
        <v>41</v>
      </c>
      <c r="C9004" s="1" t="str">
        <f t="shared" si="569"/>
        <v>969-41</v>
      </c>
      <c r="D9004" t="s">
        <v>8972</v>
      </c>
      <c r="E9004" t="b">
        <f>IF(COUNTIF(D9004,"*"&amp;'Keyword Search'!$C$5&amp;"*"),TRUE,FALSE)</f>
        <v>1</v>
      </c>
      <c r="G9004" t="str">
        <f t="shared" si="570"/>
        <v>969-41: Patent, Legal Expenses</v>
      </c>
    </row>
    <row r="9005" spans="1:7" x14ac:dyDescent="0.25">
      <c r="A9005" s="1" t="str">
        <f t="shared" si="571"/>
        <v>969</v>
      </c>
      <c r="B9005" s="1" t="str">
        <f>TEXT(42,"00")</f>
        <v>42</v>
      </c>
      <c r="C9005" s="1" t="str">
        <f t="shared" si="569"/>
        <v>969-42</v>
      </c>
      <c r="D9005" t="s">
        <v>8973</v>
      </c>
      <c r="E9005" t="b">
        <f>IF(COUNTIF(D9005,"*"&amp;'Keyword Search'!$C$5&amp;"*"),TRUE,FALSE)</f>
        <v>1</v>
      </c>
      <c r="G9005" t="str">
        <f t="shared" si="570"/>
        <v>969-42: Professional Services, Physical Plant only</v>
      </c>
    </row>
    <row r="9006" spans="1:7" x14ac:dyDescent="0.25">
      <c r="A9006" s="1" t="str">
        <f t="shared" si="571"/>
        <v>969</v>
      </c>
      <c r="B9006" s="1" t="str">
        <f>TEXT(43,"00")</f>
        <v>43</v>
      </c>
      <c r="C9006" s="1" t="str">
        <f t="shared" si="569"/>
        <v>969-43</v>
      </c>
      <c r="D9006" t="s">
        <v>8974</v>
      </c>
      <c r="E9006" t="b">
        <f>IF(COUNTIF(D9006,"*"&amp;'Keyword Search'!$C$5&amp;"*"),TRUE,FALSE)</f>
        <v>1</v>
      </c>
      <c r="G9006" t="str">
        <f t="shared" si="570"/>
        <v>969-43: Professional Services w/receipts (not 1099)</v>
      </c>
    </row>
    <row r="9007" spans="1:7" x14ac:dyDescent="0.25">
      <c r="A9007" s="1" t="str">
        <f t="shared" si="571"/>
        <v>969</v>
      </c>
      <c r="B9007" s="1" t="str">
        <f>TEXT(44,"00")</f>
        <v>44</v>
      </c>
      <c r="C9007" s="1" t="str">
        <f t="shared" si="569"/>
        <v>969-44</v>
      </c>
      <c r="D9007" t="s">
        <v>8975</v>
      </c>
      <c r="E9007" t="b">
        <f>IF(COUNTIF(D9007,"*"&amp;'Keyword Search'!$C$5&amp;"*"),TRUE,FALSE)</f>
        <v>1</v>
      </c>
      <c r="G9007" t="str">
        <f t="shared" si="570"/>
        <v>969-44: Professional Services, Subcontractor and Contractor &gt;$25,000</v>
      </c>
    </row>
    <row r="9008" spans="1:7" x14ac:dyDescent="0.25">
      <c r="A9008" s="1" t="str">
        <f t="shared" si="571"/>
        <v>969</v>
      </c>
      <c r="B9008" s="1" t="str">
        <f>TEXT(95,"00")</f>
        <v>95</v>
      </c>
      <c r="C9008" s="1" t="str">
        <f t="shared" si="569"/>
        <v>969-95</v>
      </c>
      <c r="D9008" t="s">
        <v>8976</v>
      </c>
      <c r="E9008" t="b">
        <f>IF(COUNTIF(D9008,"*"&amp;'Keyword Search'!$C$5&amp;"*"),TRUE,FALSE)</f>
        <v>1</v>
      </c>
      <c r="G9008" t="str">
        <f t="shared" si="570"/>
        <v>969-95: Witness Fees and Allowances (Crime and Administrative Process)</v>
      </c>
    </row>
    <row r="9009" spans="1:7" x14ac:dyDescent="0.25">
      <c r="A9009" s="5" t="str">
        <f t="shared" ref="A9009:A9032" si="572">TEXT(971,"000")</f>
        <v>971</v>
      </c>
      <c r="B9009" s="5" t="str">
        <f>TEXT(0,"00")</f>
        <v>00</v>
      </c>
      <c r="C9009" s="1"/>
      <c r="D9009" s="2" t="s">
        <v>8977</v>
      </c>
    </row>
    <row r="9010" spans="1:7" x14ac:dyDescent="0.25">
      <c r="A9010" s="1" t="str">
        <f t="shared" si="572"/>
        <v>971</v>
      </c>
      <c r="B9010" s="1" t="str">
        <f>TEXT(2,"00")</f>
        <v>02</v>
      </c>
      <c r="C9010" s="1" t="str">
        <f t="shared" si="569"/>
        <v>971-02</v>
      </c>
      <c r="D9010" t="s">
        <v>8978</v>
      </c>
      <c r="E9010" t="b">
        <f>IF(COUNTIF(D9010,"*"&amp;'Keyword Search'!$C$5&amp;"*"),TRUE,FALSE)</f>
        <v>1</v>
      </c>
      <c r="G9010" t="str">
        <f t="shared" si="570"/>
        <v>971-02: Athletic Facility Rental or Lease</v>
      </c>
    </row>
    <row r="9011" spans="1:7" x14ac:dyDescent="0.25">
      <c r="A9011" s="1" t="str">
        <f t="shared" si="572"/>
        <v>971</v>
      </c>
      <c r="B9011" s="1" t="str">
        <f>TEXT(4,"00")</f>
        <v>04</v>
      </c>
      <c r="C9011" s="1" t="str">
        <f t="shared" si="569"/>
        <v>971-04</v>
      </c>
      <c r="D9011" t="s">
        <v>8979</v>
      </c>
      <c r="E9011" t="b">
        <f>IF(COUNTIF(D9011,"*"&amp;'Keyword Search'!$C$5&amp;"*"),TRUE,FALSE)</f>
        <v>1</v>
      </c>
      <c r="G9011" t="str">
        <f t="shared" si="570"/>
        <v>971-04: Boat Dock and Marina Space, Rental or Lease</v>
      </c>
    </row>
    <row r="9012" spans="1:7" x14ac:dyDescent="0.25">
      <c r="A9012" s="1" t="str">
        <f t="shared" si="572"/>
        <v>971</v>
      </c>
      <c r="B9012" s="1" t="str">
        <f>TEXT(5,"00")</f>
        <v>05</v>
      </c>
      <c r="C9012" s="1" t="str">
        <f t="shared" si="569"/>
        <v>971-05</v>
      </c>
      <c r="D9012" t="s">
        <v>8980</v>
      </c>
      <c r="E9012" t="b">
        <f>IF(COUNTIF(D9012,"*"&amp;'Keyword Search'!$C$5&amp;"*"),TRUE,FALSE)</f>
        <v>1</v>
      </c>
      <c r="G9012" t="str">
        <f t="shared" si="570"/>
        <v>971-05: Booth, Convention and Exhibit, Rental or Lease</v>
      </c>
    </row>
    <row r="9013" spans="1:7" x14ac:dyDescent="0.25">
      <c r="A9013" s="1" t="str">
        <f t="shared" si="572"/>
        <v>971</v>
      </c>
      <c r="B9013" s="1" t="str">
        <f>TEXT(8,"00")</f>
        <v>08</v>
      </c>
      <c r="C9013" s="1" t="str">
        <f t="shared" si="569"/>
        <v>971-08</v>
      </c>
      <c r="D9013" t="s">
        <v>8981</v>
      </c>
      <c r="E9013" t="b">
        <f>IF(COUNTIF(D9013,"*"&amp;'Keyword Search'!$C$5&amp;"*"),TRUE,FALSE)</f>
        <v>1</v>
      </c>
      <c r="G9013" t="str">
        <f t="shared" si="570"/>
        <v>971-08: Building, Fabricated, Pre-Fabricated or Pre-Manufactured, Rental or Lease</v>
      </c>
    </row>
    <row r="9014" spans="1:7" x14ac:dyDescent="0.25">
      <c r="A9014" s="1" t="str">
        <f t="shared" si="572"/>
        <v>971</v>
      </c>
      <c r="B9014" s="1" t="str">
        <f>TEXT(12,"00")</f>
        <v>12</v>
      </c>
      <c r="C9014" s="1" t="str">
        <f t="shared" si="569"/>
        <v>971-12</v>
      </c>
      <c r="D9014" t="s">
        <v>8982</v>
      </c>
      <c r="E9014" t="b">
        <f>IF(COUNTIF(D9014,"*"&amp;'Keyword Search'!$C$5&amp;"*"),TRUE,FALSE)</f>
        <v>1</v>
      </c>
      <c r="G9014" t="str">
        <f t="shared" si="570"/>
        <v>971-12: Camping and Wilderness Facility Rental or Lease</v>
      </c>
    </row>
    <row r="9015" spans="1:7" x14ac:dyDescent="0.25">
      <c r="A9015" s="1" t="str">
        <f t="shared" si="572"/>
        <v>971</v>
      </c>
      <c r="B9015" s="1" t="str">
        <f>TEXT(26,"00")</f>
        <v>26</v>
      </c>
      <c r="C9015" s="1" t="str">
        <f t="shared" si="569"/>
        <v>971-26</v>
      </c>
      <c r="D9015" t="s">
        <v>8983</v>
      </c>
      <c r="E9015" t="b">
        <f>IF(COUNTIF(D9015,"*"&amp;'Keyword Search'!$C$5&amp;"*"),TRUE,FALSE)</f>
        <v>1</v>
      </c>
      <c r="G9015" t="str">
        <f t="shared" si="570"/>
        <v>971-26: Hangar Facilities for Aircraft, Rental or Lease</v>
      </c>
    </row>
    <row r="9016" spans="1:7" x14ac:dyDescent="0.25">
      <c r="A9016" s="1" t="str">
        <f t="shared" si="572"/>
        <v>971</v>
      </c>
      <c r="B9016" s="1" t="str">
        <f>TEXT(30,"00")</f>
        <v>30</v>
      </c>
      <c r="C9016" s="1" t="str">
        <f t="shared" si="569"/>
        <v>971-30</v>
      </c>
      <c r="D9016" t="s">
        <v>8984</v>
      </c>
      <c r="E9016" t="b">
        <f>IF(COUNTIF(D9016,"*"&amp;'Keyword Search'!$C$5&amp;"*"),TRUE,FALSE)</f>
        <v>1</v>
      </c>
      <c r="G9016" t="str">
        <f t="shared" si="570"/>
        <v>971-30: Hotel and Motel Accommodations, Including Lodges, Resorts, Bed/Breakfast Inns, etc., Rental or Lease</v>
      </c>
    </row>
    <row r="9017" spans="1:7" x14ac:dyDescent="0.25">
      <c r="A9017" s="1" t="str">
        <f t="shared" si="572"/>
        <v>971</v>
      </c>
      <c r="B9017" s="1" t="str">
        <f>TEXT(34,"00")</f>
        <v>34</v>
      </c>
      <c r="C9017" s="1" t="str">
        <f t="shared" si="569"/>
        <v>971-34</v>
      </c>
      <c r="D9017" t="s">
        <v>8985</v>
      </c>
      <c r="E9017" t="b">
        <f>IF(COUNTIF(D9017,"*"&amp;'Keyword Search'!$C$5&amp;"*"),TRUE,FALSE)</f>
        <v>1</v>
      </c>
      <c r="G9017" t="str">
        <f t="shared" si="570"/>
        <v>971-34: Laboratory Space Rental or Lease</v>
      </c>
    </row>
    <row r="9018" spans="1:7" x14ac:dyDescent="0.25">
      <c r="A9018" s="1" t="str">
        <f t="shared" si="572"/>
        <v>971</v>
      </c>
      <c r="B9018" s="1" t="str">
        <f>TEXT(35,"00")</f>
        <v>35</v>
      </c>
      <c r="C9018" s="1" t="str">
        <f t="shared" si="569"/>
        <v>971-35</v>
      </c>
      <c r="D9018" t="s">
        <v>8986</v>
      </c>
      <c r="E9018" t="b">
        <f>IF(COUNTIF(D9018,"*"&amp;'Keyword Search'!$C$5&amp;"*"),TRUE,FALSE)</f>
        <v>1</v>
      </c>
      <c r="G9018" t="str">
        <f t="shared" si="570"/>
        <v>971-35: Land, Rental or Lease</v>
      </c>
    </row>
    <row r="9019" spans="1:7" x14ac:dyDescent="0.25">
      <c r="A9019" s="1" t="str">
        <f t="shared" si="572"/>
        <v>971</v>
      </c>
      <c r="B9019" s="1" t="str">
        <f>TEXT(36,"00")</f>
        <v>36</v>
      </c>
      <c r="C9019" s="1" t="str">
        <f t="shared" si="569"/>
        <v>971-36</v>
      </c>
      <c r="D9019" t="s">
        <v>8987</v>
      </c>
      <c r="E9019" t="b">
        <f>IF(COUNTIF(D9019,"*"&amp;'Keyword Search'!$C$5&amp;"*"),TRUE,FALSE)</f>
        <v>1</v>
      </c>
      <c r="G9019" t="str">
        <f t="shared" si="570"/>
        <v>971-36: Locker Rental or Lease</v>
      </c>
    </row>
    <row r="9020" spans="1:7" x14ac:dyDescent="0.25">
      <c r="A9020" s="1" t="str">
        <f t="shared" si="572"/>
        <v>971</v>
      </c>
      <c r="B9020" s="1" t="str">
        <f>TEXT(38,"00")</f>
        <v>38</v>
      </c>
      <c r="C9020" s="1" t="str">
        <f t="shared" si="569"/>
        <v>971-38</v>
      </c>
      <c r="D9020" t="s">
        <v>8988</v>
      </c>
      <c r="E9020" t="b">
        <f>IF(COUNTIF(D9020,"*"&amp;'Keyword Search'!$C$5&amp;"*"),TRUE,FALSE)</f>
        <v>1</v>
      </c>
      <c r="G9020" t="str">
        <f t="shared" si="570"/>
        <v>971-38: Medical and Health Care Office Space Rental or Lease</v>
      </c>
    </row>
    <row r="9021" spans="1:7" x14ac:dyDescent="0.25">
      <c r="A9021" s="1" t="str">
        <f t="shared" si="572"/>
        <v>971</v>
      </c>
      <c r="B9021" s="1" t="str">
        <f>TEXT(39,"00")</f>
        <v>39</v>
      </c>
      <c r="C9021" s="1" t="str">
        <f t="shared" si="569"/>
        <v>971-39</v>
      </c>
      <c r="D9021" t="s">
        <v>8989</v>
      </c>
      <c r="E9021" t="b">
        <f>IF(COUNTIF(D9021,"*"&amp;'Keyword Search'!$C$5&amp;"*"),TRUE,FALSE)</f>
        <v>1</v>
      </c>
      <c r="G9021" t="str">
        <f t="shared" si="570"/>
        <v>971-39: Mobile Home Rental or Lease</v>
      </c>
    </row>
    <row r="9022" spans="1:7" x14ac:dyDescent="0.25">
      <c r="A9022" s="1" t="str">
        <f t="shared" si="572"/>
        <v>971</v>
      </c>
      <c r="B9022" s="1" t="str">
        <f>TEXT(40,"00")</f>
        <v>40</v>
      </c>
      <c r="C9022" s="1" t="str">
        <f t="shared" si="569"/>
        <v>971-40</v>
      </c>
      <c r="D9022" t="s">
        <v>8990</v>
      </c>
      <c r="E9022" t="b">
        <f>IF(COUNTIF(D9022,"*"&amp;'Keyword Search'!$C$5&amp;"*"),TRUE,FALSE)</f>
        <v>1</v>
      </c>
      <c r="G9022" t="str">
        <f t="shared" si="570"/>
        <v>971-40: Mobile Office Rental or Lease</v>
      </c>
    </row>
    <row r="9023" spans="1:7" x14ac:dyDescent="0.25">
      <c r="A9023" s="1" t="str">
        <f t="shared" si="572"/>
        <v>971</v>
      </c>
      <c r="B9023" s="1" t="str">
        <f>TEXT(45,"00")</f>
        <v>45</v>
      </c>
      <c r="C9023" s="1" t="str">
        <f t="shared" si="569"/>
        <v>971-45</v>
      </c>
      <c r="D9023" t="s">
        <v>8991</v>
      </c>
      <c r="E9023" t="b">
        <f>IF(COUNTIF(D9023,"*"&amp;'Keyword Search'!$C$5&amp;"*"),TRUE,FALSE)</f>
        <v>1</v>
      </c>
      <c r="G9023" t="str">
        <f t="shared" si="570"/>
        <v>971-45: Office Space Rental or Lease</v>
      </c>
    </row>
    <row r="9024" spans="1:7" x14ac:dyDescent="0.25">
      <c r="A9024" s="1" t="str">
        <f t="shared" si="572"/>
        <v>971</v>
      </c>
      <c r="B9024" s="1" t="str">
        <f>TEXT(55,"00")</f>
        <v>55</v>
      </c>
      <c r="C9024" s="1" t="str">
        <f t="shared" si="569"/>
        <v>971-55</v>
      </c>
      <c r="D9024" t="s">
        <v>8992</v>
      </c>
      <c r="E9024" t="b">
        <f>IF(COUNTIF(D9024,"*"&amp;'Keyword Search'!$C$5&amp;"*"),TRUE,FALSE)</f>
        <v>1</v>
      </c>
      <c r="G9024" t="str">
        <f t="shared" si="570"/>
        <v>971-55: Parking Spaces in a Parking Lot or Garage, Rental or Lease</v>
      </c>
    </row>
    <row r="9025" spans="1:7" x14ac:dyDescent="0.25">
      <c r="A9025" s="1" t="str">
        <f t="shared" si="572"/>
        <v>971</v>
      </c>
      <c r="B9025" s="1" t="str">
        <f>TEXT(57,"00")</f>
        <v>57</v>
      </c>
      <c r="C9025" s="1" t="str">
        <f t="shared" si="569"/>
        <v>971-57</v>
      </c>
      <c r="D9025" t="s">
        <v>8993</v>
      </c>
      <c r="E9025" t="b">
        <f>IF(COUNTIF(D9025,"*"&amp;'Keyword Search'!$C$5&amp;"*"),TRUE,FALSE)</f>
        <v>1</v>
      </c>
      <c r="G9025" t="str">
        <f t="shared" si="570"/>
        <v>971-57: Photographic and Recording Facility Rental or Lease</v>
      </c>
    </row>
    <row r="9026" spans="1:7" x14ac:dyDescent="0.25">
      <c r="A9026" s="1" t="str">
        <f t="shared" si="572"/>
        <v>971</v>
      </c>
      <c r="B9026" s="1" t="str">
        <f>TEXT(63,"00")</f>
        <v>63</v>
      </c>
      <c r="C9026" s="1" t="str">
        <f t="shared" si="569"/>
        <v>971-63</v>
      </c>
      <c r="D9026" t="s">
        <v>8994</v>
      </c>
      <c r="E9026" t="b">
        <f>IF(COUNTIF(D9026,"*"&amp;'Keyword Search'!$C$5&amp;"*"),TRUE,FALSE)</f>
        <v>1</v>
      </c>
      <c r="G9026" t="str">
        <f t="shared" si="570"/>
        <v>971-63: Real Estate: Land and Improvements</v>
      </c>
    </row>
    <row r="9027" spans="1:7" x14ac:dyDescent="0.25">
      <c r="A9027" s="1" t="str">
        <f t="shared" si="572"/>
        <v>971</v>
      </c>
      <c r="B9027" s="1" t="str">
        <f>TEXT(64,"00")</f>
        <v>64</v>
      </c>
      <c r="C9027" s="1" t="str">
        <f t="shared" ref="C9027:C9090" si="573">CONCATENATE(A9027,"-",B9027)</f>
        <v>971-64</v>
      </c>
      <c r="D9027" t="s">
        <v>8995</v>
      </c>
      <c r="E9027" t="b">
        <f>IF(COUNTIF(D9027,"*"&amp;'Keyword Search'!$C$5&amp;"*"),TRUE,FALSE)</f>
        <v>1</v>
      </c>
      <c r="G9027" t="str">
        <f t="shared" si="570"/>
        <v>971-64: Residential Space Rental or Lease</v>
      </c>
    </row>
    <row r="9028" spans="1:7" x14ac:dyDescent="0.25">
      <c r="A9028" s="1" t="str">
        <f t="shared" si="572"/>
        <v>971</v>
      </c>
      <c r="B9028" s="1" t="str">
        <f>TEXT(65,"00")</f>
        <v>65</v>
      </c>
      <c r="C9028" s="1" t="str">
        <f t="shared" si="573"/>
        <v>971-65</v>
      </c>
      <c r="D9028" t="s">
        <v>8996</v>
      </c>
      <c r="E9028" t="b">
        <f>IF(COUNTIF(D9028,"*"&amp;'Keyword Search'!$C$5&amp;"*"),TRUE,FALSE)</f>
        <v>1</v>
      </c>
      <c r="G9028" t="str">
        <f t="shared" ref="G9028:G9091" si="574">CONCATENATE(C9028,": ",D9028)</f>
        <v>971-65: Room Rental or Lease for Conferences, Seminars, etc.</v>
      </c>
    </row>
    <row r="9029" spans="1:7" x14ac:dyDescent="0.25">
      <c r="A9029" s="1" t="str">
        <f t="shared" si="572"/>
        <v>971</v>
      </c>
      <c r="B9029" s="1" t="str">
        <f>TEXT(68,"00")</f>
        <v>68</v>
      </c>
      <c r="C9029" s="1" t="str">
        <f t="shared" si="573"/>
        <v>971-68</v>
      </c>
      <c r="D9029" t="s">
        <v>8997</v>
      </c>
      <c r="E9029" t="b">
        <f>IF(COUNTIF(D9029,"*"&amp;'Keyword Search'!$C$5&amp;"*"),TRUE,FALSE)</f>
        <v>1</v>
      </c>
      <c r="G9029" t="str">
        <f t="shared" si="574"/>
        <v>971-68: Safety Deposit Box Rental or Lease</v>
      </c>
    </row>
    <row r="9030" spans="1:7" x14ac:dyDescent="0.25">
      <c r="A9030" s="1" t="str">
        <f t="shared" si="572"/>
        <v>971</v>
      </c>
      <c r="B9030" s="1" t="str">
        <f>TEXT(70,"00")</f>
        <v>70</v>
      </c>
      <c r="C9030" s="1" t="str">
        <f t="shared" si="573"/>
        <v>971-70</v>
      </c>
      <c r="D9030" t="s">
        <v>8998</v>
      </c>
      <c r="E9030" t="b">
        <f>IF(COUNTIF(D9030,"*"&amp;'Keyword Search'!$C$5&amp;"*"),TRUE,FALSE)</f>
        <v>1</v>
      </c>
      <c r="G9030" t="str">
        <f t="shared" si="574"/>
        <v>971-70: Storage Space Rental or Lease</v>
      </c>
    </row>
    <row r="9031" spans="1:7" x14ac:dyDescent="0.25">
      <c r="A9031" s="1" t="str">
        <f t="shared" si="572"/>
        <v>971</v>
      </c>
      <c r="B9031" s="1" t="str">
        <f>TEXT(82,"00")</f>
        <v>82</v>
      </c>
      <c r="C9031" s="1" t="str">
        <f t="shared" si="573"/>
        <v>971-82</v>
      </c>
      <c r="D9031" t="s">
        <v>8999</v>
      </c>
      <c r="E9031" t="b">
        <f>IF(COUNTIF(D9031,"*"&amp;'Keyword Search'!$C$5&amp;"*"),TRUE,FALSE)</f>
        <v>1</v>
      </c>
      <c r="G9031" t="str">
        <f t="shared" si="574"/>
        <v>971-82: Toilets, Portable, Rental or Lease</v>
      </c>
    </row>
    <row r="9032" spans="1:7" x14ac:dyDescent="0.25">
      <c r="A9032" s="1" t="str">
        <f t="shared" si="572"/>
        <v>971</v>
      </c>
      <c r="B9032" s="1" t="str">
        <f>TEXT(91,"00")</f>
        <v>91</v>
      </c>
      <c r="C9032" s="1" t="str">
        <f t="shared" si="573"/>
        <v>971-91</v>
      </c>
      <c r="D9032" t="s">
        <v>9000</v>
      </c>
      <c r="E9032" t="b">
        <f>IF(COUNTIF(D9032,"*"&amp;'Keyword Search'!$C$5&amp;"*"),TRUE,FALSE)</f>
        <v>1</v>
      </c>
      <c r="G9032" t="str">
        <f t="shared" si="574"/>
        <v>971-91: Warehouse Rental or Lease</v>
      </c>
    </row>
    <row r="9033" spans="1:7" x14ac:dyDescent="0.25">
      <c r="A9033" s="5" t="str">
        <f t="shared" ref="A9033:A9063" si="575">TEXT(972,"000")</f>
        <v>972</v>
      </c>
      <c r="B9033" s="5" t="str">
        <f>TEXT(0,"00")</f>
        <v>00</v>
      </c>
      <c r="C9033" s="1"/>
      <c r="D9033" s="2" t="s">
        <v>9001</v>
      </c>
    </row>
    <row r="9034" spans="1:7" x14ac:dyDescent="0.25">
      <c r="A9034" s="1" t="str">
        <f t="shared" si="575"/>
        <v>972</v>
      </c>
      <c r="B9034" s="1" t="str">
        <f>TEXT(10,"00")</f>
        <v>10</v>
      </c>
      <c r="C9034" s="1" t="str">
        <f t="shared" si="573"/>
        <v>972-10</v>
      </c>
      <c r="D9034" t="s">
        <v>9002</v>
      </c>
      <c r="E9034" t="b">
        <f>IF(COUNTIF(D9034,"*"&amp;'Keyword Search'!$C$5&amp;"*"),TRUE,FALSE)</f>
        <v>1</v>
      </c>
      <c r="G9034" t="str">
        <f t="shared" si="574"/>
        <v>972-10: Chemical Instrumentation Services</v>
      </c>
    </row>
    <row r="9035" spans="1:7" x14ac:dyDescent="0.25">
      <c r="A9035" s="1" t="str">
        <f t="shared" si="575"/>
        <v>972</v>
      </c>
      <c r="B9035" s="1" t="str">
        <f>TEXT(12,"00")</f>
        <v>12</v>
      </c>
      <c r="C9035" s="1" t="str">
        <f t="shared" si="573"/>
        <v>972-12</v>
      </c>
      <c r="D9035" t="s">
        <v>9003</v>
      </c>
      <c r="E9035" t="b">
        <f>IF(COUNTIF(D9035,"*"&amp;'Keyword Search'!$C$5&amp;"*"),TRUE,FALSE)</f>
        <v>1</v>
      </c>
      <c r="G9035" t="str">
        <f t="shared" si="574"/>
        <v>972-12: DNA Sequencing</v>
      </c>
    </row>
    <row r="9036" spans="1:7" x14ac:dyDescent="0.25">
      <c r="A9036" s="1" t="str">
        <f t="shared" si="575"/>
        <v>972</v>
      </c>
      <c r="B9036" s="1" t="str">
        <f>TEXT(13,"00")</f>
        <v>13</v>
      </c>
      <c r="C9036" s="1" t="str">
        <f t="shared" si="573"/>
        <v>972-13</v>
      </c>
      <c r="D9036" t="s">
        <v>9004</v>
      </c>
      <c r="E9036" t="b">
        <f>IF(COUNTIF(D9036,"*"&amp;'Keyword Search'!$C$5&amp;"*"),TRUE,FALSE)</f>
        <v>1</v>
      </c>
      <c r="G9036" t="str">
        <f t="shared" si="574"/>
        <v>972-13: Dosimetry Services</v>
      </c>
    </row>
    <row r="9037" spans="1:7" x14ac:dyDescent="0.25">
      <c r="A9037" s="1" t="str">
        <f t="shared" si="575"/>
        <v>972</v>
      </c>
      <c r="B9037" s="1" t="str">
        <f>TEXT(15,"00")</f>
        <v>15</v>
      </c>
      <c r="C9037" s="1" t="str">
        <f t="shared" si="573"/>
        <v>972-15</v>
      </c>
      <c r="D9037" t="s">
        <v>9005</v>
      </c>
      <c r="E9037" t="b">
        <f>IF(COUNTIF(D9037,"*"&amp;'Keyword Search'!$C$5&amp;"*"),TRUE,FALSE)</f>
        <v>1</v>
      </c>
      <c r="G9037" t="str">
        <f t="shared" si="574"/>
        <v>972-15: Education Research Center Fees</v>
      </c>
    </row>
    <row r="9038" spans="1:7" x14ac:dyDescent="0.25">
      <c r="A9038" s="1" t="str">
        <f t="shared" si="575"/>
        <v>972</v>
      </c>
      <c r="B9038" s="1" t="str">
        <f>TEXT(18,"00")</f>
        <v>18</v>
      </c>
      <c r="C9038" s="1" t="str">
        <f t="shared" si="573"/>
        <v>972-18</v>
      </c>
      <c r="D9038" t="s">
        <v>9006</v>
      </c>
      <c r="E9038" t="b">
        <f>IF(COUNTIF(D9038,"*"&amp;'Keyword Search'!$C$5&amp;"*"),TRUE,FALSE)</f>
        <v>1</v>
      </c>
      <c r="G9038" t="str">
        <f t="shared" si="574"/>
        <v>972-18: Food Services for Classes</v>
      </c>
    </row>
    <row r="9039" spans="1:7" x14ac:dyDescent="0.25">
      <c r="A9039" s="1" t="str">
        <f t="shared" si="575"/>
        <v>972</v>
      </c>
      <c r="B9039" s="1" t="str">
        <f>TEXT(19,"00")</f>
        <v>19</v>
      </c>
      <c r="C9039" s="1" t="str">
        <f t="shared" si="573"/>
        <v>972-19</v>
      </c>
      <c r="D9039" t="s">
        <v>9007</v>
      </c>
      <c r="E9039" t="b">
        <f>IF(COUNTIF(D9039,"*"&amp;'Keyword Search'!$C$5&amp;"*"),TRUE,FALSE)</f>
        <v>1</v>
      </c>
      <c r="G9039" t="str">
        <f t="shared" si="574"/>
        <v>972-19: Food Services for Instructors</v>
      </c>
    </row>
    <row r="9040" spans="1:7" x14ac:dyDescent="0.25">
      <c r="A9040" s="1" t="str">
        <f t="shared" si="575"/>
        <v>972</v>
      </c>
      <c r="B9040" s="1" t="str">
        <f>TEXT(22,"00")</f>
        <v>22</v>
      </c>
      <c r="C9040" s="1" t="str">
        <f t="shared" si="573"/>
        <v>972-22</v>
      </c>
      <c r="D9040" t="s">
        <v>9008</v>
      </c>
      <c r="E9040" t="b">
        <f>IF(COUNTIF(D9040,"*"&amp;'Keyword Search'!$C$5&amp;"*"),TRUE,FALSE)</f>
        <v>1</v>
      </c>
      <c r="G9040" t="str">
        <f t="shared" si="574"/>
        <v>972-22: Housing for Guest Instructors</v>
      </c>
    </row>
    <row r="9041" spans="1:7" x14ac:dyDescent="0.25">
      <c r="A9041" s="1" t="str">
        <f t="shared" si="575"/>
        <v>972</v>
      </c>
      <c r="B9041" s="1" t="str">
        <f>TEXT(25,"00")</f>
        <v>25</v>
      </c>
      <c r="C9041" s="1" t="str">
        <f t="shared" si="573"/>
        <v>972-25</v>
      </c>
      <c r="D9041" t="s">
        <v>9009</v>
      </c>
      <c r="E9041" t="b">
        <f>IF(COUNTIF(D9041,"*"&amp;'Keyword Search'!$C$5&amp;"*"),TRUE,FALSE)</f>
        <v>1</v>
      </c>
      <c r="G9041" t="str">
        <f t="shared" si="574"/>
        <v>972-25: Lecturers, Higher Education</v>
      </c>
    </row>
    <row r="9042" spans="1:7" x14ac:dyDescent="0.25">
      <c r="A9042" s="1" t="str">
        <f t="shared" si="575"/>
        <v>972</v>
      </c>
      <c r="B9042" s="1" t="str">
        <f>TEXT(26,"00")</f>
        <v>26</v>
      </c>
      <c r="C9042" s="1" t="str">
        <f t="shared" si="573"/>
        <v>972-26</v>
      </c>
      <c r="D9042" t="s">
        <v>9010</v>
      </c>
      <c r="E9042" t="b">
        <f>IF(COUNTIF(D9042,"*"&amp;'Keyword Search'!$C$5&amp;"*"),TRUE,FALSE)</f>
        <v>1</v>
      </c>
      <c r="G9042" t="str">
        <f t="shared" si="574"/>
        <v>972-26: Living Allowance, Non-Employee</v>
      </c>
    </row>
    <row r="9043" spans="1:7" x14ac:dyDescent="0.25">
      <c r="A9043" s="1" t="str">
        <f t="shared" si="575"/>
        <v>972</v>
      </c>
      <c r="B9043" s="1" t="str">
        <f>TEXT(28,"00")</f>
        <v>28</v>
      </c>
      <c r="C9043" s="1" t="str">
        <f t="shared" si="573"/>
        <v>972-28</v>
      </c>
      <c r="D9043" t="s">
        <v>9011</v>
      </c>
      <c r="E9043" t="b">
        <f>IF(COUNTIF(D9043,"*"&amp;'Keyword Search'!$C$5&amp;"*"),TRUE,FALSE)</f>
        <v>1</v>
      </c>
      <c r="G9043" t="str">
        <f t="shared" si="574"/>
        <v>972-28: Materials for Conference Expenses</v>
      </c>
    </row>
    <row r="9044" spans="1:7" x14ac:dyDescent="0.25">
      <c r="A9044" s="1" t="str">
        <f t="shared" si="575"/>
        <v>972</v>
      </c>
      <c r="B9044" s="1" t="str">
        <f>TEXT(30,"00")</f>
        <v>30</v>
      </c>
      <c r="C9044" s="1" t="str">
        <f t="shared" si="573"/>
        <v>972-30</v>
      </c>
      <c r="D9044" t="s">
        <v>9012</v>
      </c>
      <c r="E9044" t="b">
        <f>IF(COUNTIF(D9044,"*"&amp;'Keyword Search'!$C$5&amp;"*"),TRUE,FALSE)</f>
        <v>1</v>
      </c>
      <c r="G9044" t="str">
        <f t="shared" si="574"/>
        <v>972-30: Non-Related Research Services (1099)</v>
      </c>
    </row>
    <row r="9045" spans="1:7" x14ac:dyDescent="0.25">
      <c r="A9045" s="1" t="str">
        <f t="shared" si="575"/>
        <v>972</v>
      </c>
      <c r="B9045" s="1" t="str">
        <f>TEXT(31,"00")</f>
        <v>31</v>
      </c>
      <c r="C9045" s="1" t="str">
        <f t="shared" si="573"/>
        <v>972-31</v>
      </c>
      <c r="D9045" t="s">
        <v>9013</v>
      </c>
      <c r="E9045" t="b">
        <f>IF(COUNTIF(D9045,"*"&amp;'Keyword Search'!$C$5&amp;"*"),TRUE,FALSE)</f>
        <v>1</v>
      </c>
      <c r="G9045" t="str">
        <f t="shared" si="574"/>
        <v>972-31: Participant Costs, Books</v>
      </c>
    </row>
    <row r="9046" spans="1:7" x14ac:dyDescent="0.25">
      <c r="A9046" s="1" t="str">
        <f t="shared" si="575"/>
        <v>972</v>
      </c>
      <c r="B9046" s="1" t="str">
        <f>TEXT(32,"00")</f>
        <v>32</v>
      </c>
      <c r="C9046" s="1" t="str">
        <f t="shared" si="573"/>
        <v>972-32</v>
      </c>
      <c r="D9046" t="s">
        <v>9014</v>
      </c>
      <c r="E9046" t="b">
        <f>IF(COUNTIF(D9046,"*"&amp;'Keyword Search'!$C$5&amp;"*"),TRUE,FALSE)</f>
        <v>1</v>
      </c>
      <c r="G9046" t="str">
        <f t="shared" si="574"/>
        <v>972-32: Participant Costs, Conference and Short Class</v>
      </c>
    </row>
    <row r="9047" spans="1:7" x14ac:dyDescent="0.25">
      <c r="A9047" s="1" t="str">
        <f t="shared" si="575"/>
        <v>972</v>
      </c>
      <c r="B9047" s="1" t="str">
        <f>TEXT(33,"00")</f>
        <v>33</v>
      </c>
      <c r="C9047" s="1" t="str">
        <f t="shared" si="573"/>
        <v>972-33</v>
      </c>
      <c r="D9047" t="s">
        <v>9015</v>
      </c>
      <c r="E9047" t="b">
        <f>IF(COUNTIF(D9047,"*"&amp;'Keyword Search'!$C$5&amp;"*"),TRUE,FALSE)</f>
        <v>1</v>
      </c>
      <c r="G9047" t="str">
        <f t="shared" si="574"/>
        <v>972-33: Participant Costs, Fees</v>
      </c>
    </row>
    <row r="9048" spans="1:7" x14ac:dyDescent="0.25">
      <c r="A9048" s="1" t="str">
        <f t="shared" si="575"/>
        <v>972</v>
      </c>
      <c r="B9048" s="1" t="str">
        <f>TEXT(34,"00")</f>
        <v>34</v>
      </c>
      <c r="C9048" s="1" t="str">
        <f t="shared" si="573"/>
        <v>972-34</v>
      </c>
      <c r="D9048" t="s">
        <v>9016</v>
      </c>
      <c r="E9048" t="b">
        <f>IF(COUNTIF(D9048,"*"&amp;'Keyword Search'!$C$5&amp;"*"),TRUE,FALSE)</f>
        <v>1</v>
      </c>
      <c r="G9048" t="str">
        <f t="shared" si="574"/>
        <v>972-34: Participant Costs, Foreign Travel</v>
      </c>
    </row>
    <row r="9049" spans="1:7" x14ac:dyDescent="0.25">
      <c r="A9049" s="1" t="str">
        <f t="shared" si="575"/>
        <v>972</v>
      </c>
      <c r="B9049" s="1" t="str">
        <f>TEXT(35,"00")</f>
        <v>35</v>
      </c>
      <c r="C9049" s="1" t="str">
        <f t="shared" si="573"/>
        <v>972-35</v>
      </c>
      <c r="D9049" t="s">
        <v>9017</v>
      </c>
      <c r="E9049" t="b">
        <f>IF(COUNTIF(D9049,"*"&amp;'Keyword Search'!$C$5&amp;"*"),TRUE,FALSE)</f>
        <v>1</v>
      </c>
      <c r="G9049" t="str">
        <f t="shared" si="574"/>
        <v>972-35: Participant Costs, Materials</v>
      </c>
    </row>
    <row r="9050" spans="1:7" x14ac:dyDescent="0.25">
      <c r="A9050" s="1" t="str">
        <f t="shared" si="575"/>
        <v>972</v>
      </c>
      <c r="B9050" s="1" t="str">
        <f>TEXT(36,"00")</f>
        <v>36</v>
      </c>
      <c r="C9050" s="1" t="str">
        <f t="shared" si="573"/>
        <v>972-36</v>
      </c>
      <c r="D9050" t="s">
        <v>9018</v>
      </c>
      <c r="E9050" t="b">
        <f>IF(COUNTIF(D9050,"*"&amp;'Keyword Search'!$C$5&amp;"*"),TRUE,FALSE)</f>
        <v>1</v>
      </c>
      <c r="G9050" t="str">
        <f t="shared" si="574"/>
        <v>972-36: Participant Costs, Other</v>
      </c>
    </row>
    <row r="9051" spans="1:7" x14ac:dyDescent="0.25">
      <c r="A9051" s="1" t="str">
        <f t="shared" si="575"/>
        <v>972</v>
      </c>
      <c r="B9051" s="1" t="str">
        <f>TEXT(37,"00")</f>
        <v>37</v>
      </c>
      <c r="C9051" s="1" t="str">
        <f t="shared" si="573"/>
        <v>972-37</v>
      </c>
      <c r="D9051" t="s">
        <v>9019</v>
      </c>
      <c r="E9051" t="b">
        <f>IF(COUNTIF(D9051,"*"&amp;'Keyword Search'!$C$5&amp;"*"),TRUE,FALSE)</f>
        <v>1</v>
      </c>
      <c r="G9051" t="str">
        <f t="shared" si="574"/>
        <v>972-37: Participant Costs, Room and Board</v>
      </c>
    </row>
    <row r="9052" spans="1:7" x14ac:dyDescent="0.25">
      <c r="A9052" s="1" t="str">
        <f t="shared" si="575"/>
        <v>972</v>
      </c>
      <c r="B9052" s="1" t="str">
        <f>TEXT(38,"00")</f>
        <v>38</v>
      </c>
      <c r="C9052" s="1" t="str">
        <f t="shared" si="573"/>
        <v>972-38</v>
      </c>
      <c r="D9052" t="s">
        <v>9020</v>
      </c>
      <c r="E9052" t="b">
        <f>IF(COUNTIF(D9052,"*"&amp;'Keyword Search'!$C$5&amp;"*"),TRUE,FALSE)</f>
        <v>1</v>
      </c>
      <c r="G9052" t="str">
        <f t="shared" si="574"/>
        <v>972-38: Participant Costs, Stipends</v>
      </c>
    </row>
    <row r="9053" spans="1:7" x14ac:dyDescent="0.25">
      <c r="A9053" s="1" t="str">
        <f t="shared" si="575"/>
        <v>972</v>
      </c>
      <c r="B9053" s="1" t="str">
        <f>TEXT(39,"00")</f>
        <v>39</v>
      </c>
      <c r="C9053" s="1" t="str">
        <f t="shared" si="573"/>
        <v>972-39</v>
      </c>
      <c r="D9053" t="s">
        <v>9021</v>
      </c>
      <c r="E9053" t="b">
        <f>IF(COUNTIF(D9053,"*"&amp;'Keyword Search'!$C$5&amp;"*"),TRUE,FALSE)</f>
        <v>1</v>
      </c>
      <c r="G9053" t="str">
        <f t="shared" si="574"/>
        <v>972-39: Participant Costs, Travel</v>
      </c>
    </row>
    <row r="9054" spans="1:7" x14ac:dyDescent="0.25">
      <c r="A9054" s="1" t="str">
        <f t="shared" si="575"/>
        <v>972</v>
      </c>
      <c r="B9054" s="1" t="str">
        <f>TEXT(40,"00")</f>
        <v>40</v>
      </c>
      <c r="C9054" s="1" t="str">
        <f t="shared" si="573"/>
        <v>972-40</v>
      </c>
      <c r="D9054" t="s">
        <v>9022</v>
      </c>
      <c r="E9054" t="b">
        <f>IF(COUNTIF(D9054,"*"&amp;'Keyword Search'!$C$5&amp;"*"),TRUE,FALSE)</f>
        <v>1</v>
      </c>
      <c r="G9054" t="str">
        <f t="shared" si="574"/>
        <v>972-40: Participant Costs, Travel Out of State</v>
      </c>
    </row>
    <row r="9055" spans="1:7" x14ac:dyDescent="0.25">
      <c r="A9055" s="1" t="str">
        <f t="shared" si="575"/>
        <v>972</v>
      </c>
      <c r="B9055" s="1" t="str">
        <f>TEXT(41,"00")</f>
        <v>41</v>
      </c>
      <c r="C9055" s="1" t="str">
        <f t="shared" si="573"/>
        <v>972-41</v>
      </c>
      <c r="D9055" t="s">
        <v>9023</v>
      </c>
      <c r="E9055" t="b">
        <f>IF(COUNTIF(D9055,"*"&amp;'Keyword Search'!$C$5&amp;"*"),TRUE,FALSE)</f>
        <v>1</v>
      </c>
      <c r="G9055" t="str">
        <f t="shared" si="574"/>
        <v>972-41: Participant Costs, Tuition</v>
      </c>
    </row>
    <row r="9056" spans="1:7" x14ac:dyDescent="0.25">
      <c r="A9056" s="1" t="str">
        <f t="shared" si="575"/>
        <v>972</v>
      </c>
      <c r="B9056" s="1" t="str">
        <f>TEXT(42,"00")</f>
        <v>42</v>
      </c>
      <c r="C9056" s="1" t="str">
        <f t="shared" si="573"/>
        <v>972-42</v>
      </c>
      <c r="D9056" t="s">
        <v>9024</v>
      </c>
      <c r="E9056" t="b">
        <f>IF(COUNTIF(D9056,"*"&amp;'Keyword Search'!$C$5&amp;"*"),TRUE,FALSE)</f>
        <v>1</v>
      </c>
      <c r="G9056" t="str">
        <f t="shared" si="574"/>
        <v>972-42: Participant Support Costs, Sponsored</v>
      </c>
    </row>
    <row r="9057" spans="1:7" x14ac:dyDescent="0.25">
      <c r="A9057" s="1" t="str">
        <f t="shared" si="575"/>
        <v>972</v>
      </c>
      <c r="B9057" s="1" t="str">
        <f>TEXT(45,"00")</f>
        <v>45</v>
      </c>
      <c r="C9057" s="1" t="str">
        <f t="shared" si="573"/>
        <v>972-45</v>
      </c>
      <c r="D9057" t="s">
        <v>9025</v>
      </c>
      <c r="E9057" t="b">
        <f>IF(COUNTIF(D9057,"*"&amp;'Keyword Search'!$C$5&amp;"*"),TRUE,FALSE)</f>
        <v>1</v>
      </c>
      <c r="G9057" t="str">
        <f t="shared" si="574"/>
        <v>972-45: Qatar Children Education Spaces</v>
      </c>
    </row>
    <row r="9058" spans="1:7" x14ac:dyDescent="0.25">
      <c r="A9058" s="1" t="str">
        <f t="shared" si="575"/>
        <v>972</v>
      </c>
      <c r="B9058" s="1" t="str">
        <f>TEXT(47,"00")</f>
        <v>47</v>
      </c>
      <c r="C9058" s="1" t="str">
        <f t="shared" si="573"/>
        <v>972-47</v>
      </c>
      <c r="D9058" t="s">
        <v>9026</v>
      </c>
      <c r="E9058" t="b">
        <f>IF(COUNTIF(D9058,"*"&amp;'Keyword Search'!$C$5&amp;"*"),TRUE,FALSE)</f>
        <v>1</v>
      </c>
      <c r="G9058" t="str">
        <f t="shared" si="574"/>
        <v>972-47: Regulatory Services</v>
      </c>
    </row>
    <row r="9059" spans="1:7" x14ac:dyDescent="0.25">
      <c r="A9059" s="1" t="str">
        <f t="shared" si="575"/>
        <v>972</v>
      </c>
      <c r="B9059" s="1" t="str">
        <f>TEXT(49,"00")</f>
        <v>49</v>
      </c>
      <c r="C9059" s="1" t="str">
        <f t="shared" si="573"/>
        <v>972-49</v>
      </c>
      <c r="D9059" t="s">
        <v>9027</v>
      </c>
      <c r="E9059" t="b">
        <f>IF(COUNTIF(D9059,"*"&amp;'Keyword Search'!$C$5&amp;"*"),TRUE,FALSE)</f>
        <v>1</v>
      </c>
      <c r="G9059" t="str">
        <f t="shared" si="574"/>
        <v>972-49: Research Equipment Testing</v>
      </c>
    </row>
    <row r="9060" spans="1:7" x14ac:dyDescent="0.25">
      <c r="A9060" s="1" t="str">
        <f t="shared" si="575"/>
        <v>972</v>
      </c>
      <c r="B9060" s="1" t="str">
        <f>TEXT(50,"00")</f>
        <v>50</v>
      </c>
      <c r="C9060" s="1" t="str">
        <f t="shared" si="573"/>
        <v>972-50</v>
      </c>
      <c r="D9060" t="s">
        <v>9028</v>
      </c>
      <c r="E9060" t="b">
        <f>IF(COUNTIF(D9060,"*"&amp;'Keyword Search'!$C$5&amp;"*"),TRUE,FALSE)</f>
        <v>1</v>
      </c>
      <c r="G9060" t="str">
        <f t="shared" si="574"/>
        <v>972-50: Services for Conference Expenses</v>
      </c>
    </row>
    <row r="9061" spans="1:7" x14ac:dyDescent="0.25">
      <c r="A9061" s="1" t="str">
        <f t="shared" si="575"/>
        <v>972</v>
      </c>
      <c r="B9061" s="1" t="str">
        <f>TEXT(55,"00")</f>
        <v>55</v>
      </c>
      <c r="C9061" s="1" t="str">
        <f t="shared" si="573"/>
        <v>972-55</v>
      </c>
      <c r="D9061" t="s">
        <v>9029</v>
      </c>
      <c r="E9061" t="b">
        <f>IF(COUNTIF(D9061,"*"&amp;'Keyword Search'!$C$5&amp;"*"),TRUE,FALSE)</f>
        <v>1</v>
      </c>
      <c r="G9061" t="str">
        <f t="shared" si="574"/>
        <v>972-55: Training, Non-State Employees</v>
      </c>
    </row>
    <row r="9062" spans="1:7" x14ac:dyDescent="0.25">
      <c r="A9062" s="1" t="str">
        <f t="shared" si="575"/>
        <v>972</v>
      </c>
      <c r="B9062" s="1" t="str">
        <f>TEXT(56,"00")</f>
        <v>56</v>
      </c>
      <c r="C9062" s="1" t="str">
        <f t="shared" si="573"/>
        <v>972-56</v>
      </c>
      <c r="D9062" t="s">
        <v>9030</v>
      </c>
      <c r="E9062" t="b">
        <f>IF(COUNTIF(D9062,"*"&amp;'Keyword Search'!$C$5&amp;"*"),TRUE,FALSE)</f>
        <v>1</v>
      </c>
      <c r="G9062" t="str">
        <f t="shared" si="574"/>
        <v>972-56: Trans Path Research Lab Services</v>
      </c>
    </row>
    <row r="9063" spans="1:7" x14ac:dyDescent="0.25">
      <c r="A9063" s="1" t="str">
        <f t="shared" si="575"/>
        <v>972</v>
      </c>
      <c r="B9063" s="1" t="str">
        <f>TEXT(58,"00")</f>
        <v>58</v>
      </c>
      <c r="C9063" s="1" t="str">
        <f t="shared" si="573"/>
        <v>972-58</v>
      </c>
      <c r="D9063" t="s">
        <v>9031</v>
      </c>
      <c r="E9063" t="b">
        <f>IF(COUNTIF(D9063,"*"&amp;'Keyword Search'!$C$5&amp;"*"),TRUE,FALSE)</f>
        <v>1</v>
      </c>
      <c r="G9063" t="str">
        <f t="shared" si="574"/>
        <v>972-58: Visiting Speakers</v>
      </c>
    </row>
    <row r="9064" spans="1:7" x14ac:dyDescent="0.25">
      <c r="A9064" s="5" t="str">
        <f t="shared" ref="A9064:A9105" si="576">TEXT(975,"000")</f>
        <v>975</v>
      </c>
      <c r="B9064" s="5" t="str">
        <f>TEXT(0,"00")</f>
        <v>00</v>
      </c>
      <c r="C9064" s="1"/>
      <c r="D9064" s="2" t="s">
        <v>9032</v>
      </c>
    </row>
    <row r="9065" spans="1:7" x14ac:dyDescent="0.25">
      <c r="A9065" s="1" t="str">
        <f t="shared" si="576"/>
        <v>975</v>
      </c>
      <c r="B9065" s="1" t="str">
        <f>TEXT(6,"00")</f>
        <v>06</v>
      </c>
      <c r="C9065" s="1" t="str">
        <f t="shared" si="573"/>
        <v>975-06</v>
      </c>
      <c r="D9065" t="s">
        <v>9033</v>
      </c>
      <c r="E9065" t="b">
        <f>IF(COUNTIF(D9065,"*"&amp;'Keyword Search'!$C$5&amp;"*"),TRUE,FALSE)</f>
        <v>1</v>
      </c>
      <c r="G9065" t="str">
        <f t="shared" si="574"/>
        <v>975-06: Aerial Device Rental or Lease</v>
      </c>
    </row>
    <row r="9066" spans="1:7" x14ac:dyDescent="0.25">
      <c r="A9066" s="1" t="str">
        <f t="shared" si="576"/>
        <v>975</v>
      </c>
      <c r="B9066" s="1" t="str">
        <f>TEXT(8,"00")</f>
        <v>08</v>
      </c>
      <c r="C9066" s="1" t="str">
        <f t="shared" si="573"/>
        <v>975-08</v>
      </c>
      <c r="D9066" t="s">
        <v>9034</v>
      </c>
      <c r="E9066" t="b">
        <f>IF(COUNTIF(D9066,"*"&amp;'Keyword Search'!$C$5&amp;"*"),TRUE,FALSE)</f>
        <v>1</v>
      </c>
      <c r="G9066" t="str">
        <f t="shared" si="574"/>
        <v>975-08: Agricultural Tractors, Mowers, Implements and Accessories Rental or Lease</v>
      </c>
    </row>
    <row r="9067" spans="1:7" x14ac:dyDescent="0.25">
      <c r="A9067" s="1" t="str">
        <f t="shared" si="576"/>
        <v>975</v>
      </c>
      <c r="B9067" s="1" t="str">
        <f>TEXT(10,"00")</f>
        <v>10</v>
      </c>
      <c r="C9067" s="1" t="str">
        <f t="shared" si="573"/>
        <v>975-10</v>
      </c>
      <c r="D9067" t="s">
        <v>9035</v>
      </c>
      <c r="E9067" t="b">
        <f>IF(COUNTIF(D9067,"*"&amp;'Keyword Search'!$C$5&amp;"*"),TRUE,FALSE)</f>
        <v>1</v>
      </c>
      <c r="G9067" t="str">
        <f t="shared" si="574"/>
        <v>975-10: Airport Equipment and Accessories Rental or Lease</v>
      </c>
    </row>
    <row r="9068" spans="1:7" x14ac:dyDescent="0.25">
      <c r="A9068" s="1" t="str">
        <f t="shared" si="576"/>
        <v>975</v>
      </c>
      <c r="B9068" s="1" t="str">
        <f>TEXT(11,"00")</f>
        <v>11</v>
      </c>
      <c r="C9068" s="1" t="str">
        <f t="shared" si="573"/>
        <v>975-11</v>
      </c>
      <c r="D9068" t="s">
        <v>9036</v>
      </c>
      <c r="E9068" t="b">
        <f>IF(COUNTIF(D9068,"*"&amp;'Keyword Search'!$C$5&amp;"*"),TRUE,FALSE)</f>
        <v>1</v>
      </c>
      <c r="G9068" t="str">
        <f t="shared" si="574"/>
        <v>975-11: Airplanes, Gliders, Helicopters, and Accessories Rental or Lease</v>
      </c>
    </row>
    <row r="9069" spans="1:7" x14ac:dyDescent="0.25">
      <c r="A9069" s="1" t="str">
        <f t="shared" si="576"/>
        <v>975</v>
      </c>
      <c r="B9069" s="1" t="str">
        <f>TEXT(12,"00")</f>
        <v>12</v>
      </c>
      <c r="C9069" s="1" t="str">
        <f t="shared" si="573"/>
        <v>975-12</v>
      </c>
      <c r="D9069" t="s">
        <v>9037</v>
      </c>
      <c r="E9069" t="b">
        <f>IF(COUNTIF(D9069,"*"&amp;'Keyword Search'!$C$5&amp;"*"),TRUE,FALSE)</f>
        <v>1</v>
      </c>
      <c r="G9069" t="str">
        <f t="shared" si="574"/>
        <v>975-12: Animal Rental or Lease</v>
      </c>
    </row>
    <row r="9070" spans="1:7" x14ac:dyDescent="0.25">
      <c r="A9070" s="1" t="str">
        <f t="shared" si="576"/>
        <v>975</v>
      </c>
      <c r="B9070" s="1" t="str">
        <f>TEXT(13,"00")</f>
        <v>13</v>
      </c>
      <c r="C9070" s="1" t="str">
        <f t="shared" si="573"/>
        <v>975-13</v>
      </c>
      <c r="D9070" t="s">
        <v>9038</v>
      </c>
      <c r="E9070" t="b">
        <f>IF(COUNTIF(D9070,"*"&amp;'Keyword Search'!$C$5&amp;"*"),TRUE,FALSE)</f>
        <v>1</v>
      </c>
      <c r="G9070" t="str">
        <f t="shared" si="574"/>
        <v>975-13: Asphalt Equipment and Accessory Rental or Lease</v>
      </c>
    </row>
    <row r="9071" spans="1:7" x14ac:dyDescent="0.25">
      <c r="A9071" s="1" t="str">
        <f t="shared" si="576"/>
        <v>975</v>
      </c>
      <c r="B9071" s="1" t="str">
        <f>TEXT(14,"00")</f>
        <v>14</v>
      </c>
      <c r="C9071" s="1" t="str">
        <f t="shared" si="573"/>
        <v>975-14</v>
      </c>
      <c r="D9071" t="s">
        <v>9039</v>
      </c>
      <c r="E9071" t="b">
        <f>IF(COUNTIF(D9071,"*"&amp;'Keyword Search'!$C$5&amp;"*"),TRUE,FALSE)</f>
        <v>1</v>
      </c>
      <c r="G9071" t="str">
        <f t="shared" si="574"/>
        <v>975-14: Automobiles and Other Passenger Vehicles, Including Emergency Type Rental or Lease</v>
      </c>
    </row>
    <row r="9072" spans="1:7" x14ac:dyDescent="0.25">
      <c r="A9072" s="1" t="str">
        <f t="shared" si="576"/>
        <v>975</v>
      </c>
      <c r="B9072" s="1" t="str">
        <f>TEXT(15,"00")</f>
        <v>15</v>
      </c>
      <c r="C9072" s="1" t="str">
        <f t="shared" si="573"/>
        <v>975-15</v>
      </c>
      <c r="D9072" t="s">
        <v>9040</v>
      </c>
      <c r="E9072" t="b">
        <f>IF(COUNTIF(D9072,"*"&amp;'Keyword Search'!$C$5&amp;"*"),TRUE,FALSE)</f>
        <v>1</v>
      </c>
      <c r="G9072" t="str">
        <f t="shared" si="574"/>
        <v>975-15: Automotive Shop Equipment Rental or Lease</v>
      </c>
    </row>
    <row r="9073" spans="1:7" x14ac:dyDescent="0.25">
      <c r="A9073" s="1" t="str">
        <f t="shared" si="576"/>
        <v>975</v>
      </c>
      <c r="B9073" s="1" t="str">
        <f>TEXT(16,"00")</f>
        <v>16</v>
      </c>
      <c r="C9073" s="1" t="str">
        <f t="shared" si="573"/>
        <v>975-16</v>
      </c>
      <c r="D9073" t="s">
        <v>9041</v>
      </c>
      <c r="E9073" t="b">
        <f>IF(COUNTIF(D9073,"*"&amp;'Keyword Search'!$C$5&amp;"*"),TRUE,FALSE)</f>
        <v>1</v>
      </c>
      <c r="G9073" t="str">
        <f t="shared" si="574"/>
        <v>975-16: Automotive Accessories Rental or Lease, Automobiles, Buses, Trucks, Vans, etc.</v>
      </c>
    </row>
    <row r="9074" spans="1:7" x14ac:dyDescent="0.25">
      <c r="A9074" s="1" t="str">
        <f t="shared" si="576"/>
        <v>975</v>
      </c>
      <c r="B9074" s="1" t="str">
        <f>TEXT(21,"00")</f>
        <v>21</v>
      </c>
      <c r="C9074" s="1" t="str">
        <f t="shared" si="573"/>
        <v>975-21</v>
      </c>
      <c r="D9074" t="s">
        <v>9042</v>
      </c>
      <c r="E9074" t="b">
        <f>IF(COUNTIF(D9074,"*"&amp;'Keyword Search'!$C$5&amp;"*"),TRUE,FALSE)</f>
        <v>1</v>
      </c>
      <c r="G9074" t="str">
        <f t="shared" si="574"/>
        <v>975-21: Boats, Motors, and Marine and Wildlife Equipment and Supplies Rental or Lease</v>
      </c>
    </row>
    <row r="9075" spans="1:7" x14ac:dyDescent="0.25">
      <c r="A9075" s="1" t="str">
        <f t="shared" si="576"/>
        <v>975</v>
      </c>
      <c r="B9075" s="1" t="str">
        <f>TEXT(22,"00")</f>
        <v>22</v>
      </c>
      <c r="C9075" s="1" t="str">
        <f t="shared" si="573"/>
        <v>975-22</v>
      </c>
      <c r="D9075" t="s">
        <v>9043</v>
      </c>
      <c r="E9075" t="b">
        <f>IF(COUNTIF(D9075,"*"&amp;'Keyword Search'!$C$5&amp;"*"),TRUE,FALSE)</f>
        <v>1</v>
      </c>
      <c r="G9075" t="str">
        <f t="shared" si="574"/>
        <v>975-22: Hot Air Balloons Rental or Lease</v>
      </c>
    </row>
    <row r="9076" spans="1:7" x14ac:dyDescent="0.25">
      <c r="A9076" s="1" t="str">
        <f t="shared" si="576"/>
        <v>975</v>
      </c>
      <c r="B9076" s="1" t="str">
        <f>TEXT(24,"00")</f>
        <v>24</v>
      </c>
      <c r="C9076" s="1" t="str">
        <f t="shared" si="573"/>
        <v>975-24</v>
      </c>
      <c r="D9076" t="s">
        <v>9044</v>
      </c>
      <c r="E9076" t="b">
        <f>IF(COUNTIF(D9076,"*"&amp;'Keyword Search'!$C$5&amp;"*"),TRUE,FALSE)</f>
        <v>1</v>
      </c>
      <c r="G9076" t="str">
        <f t="shared" si="574"/>
        <v>975-24: Construction Equipment (Not Otherwise Classified) Rental or Lease</v>
      </c>
    </row>
    <row r="9077" spans="1:7" x14ac:dyDescent="0.25">
      <c r="A9077" s="1" t="str">
        <f t="shared" si="576"/>
        <v>975</v>
      </c>
      <c r="B9077" s="1" t="str">
        <f>TEXT(26,"00")</f>
        <v>26</v>
      </c>
      <c r="C9077" s="1" t="str">
        <f t="shared" si="573"/>
        <v>975-26</v>
      </c>
      <c r="D9077" t="s">
        <v>9045</v>
      </c>
      <c r="E9077" t="b">
        <f>IF(COUNTIF(D9077,"*"&amp;'Keyword Search'!$C$5&amp;"*"),TRUE,FALSE)</f>
        <v>1</v>
      </c>
      <c r="G9077" t="str">
        <f t="shared" si="574"/>
        <v>975-26: Cranes and Buckets Rental or Lease</v>
      </c>
    </row>
    <row r="9078" spans="1:7" x14ac:dyDescent="0.25">
      <c r="A9078" s="1" t="str">
        <f t="shared" si="576"/>
        <v>975</v>
      </c>
      <c r="B9078" s="1" t="str">
        <f>TEXT(29,"00")</f>
        <v>29</v>
      </c>
      <c r="C9078" s="1" t="str">
        <f t="shared" si="573"/>
        <v>975-29</v>
      </c>
      <c r="D9078" t="s">
        <v>9046</v>
      </c>
      <c r="E9078" t="b">
        <f>IF(COUNTIF(D9078,"*"&amp;'Keyword Search'!$C$5&amp;"*"),TRUE,FALSE)</f>
        <v>1</v>
      </c>
      <c r="G9078" t="str">
        <f t="shared" si="574"/>
        <v>975-29: Concrete Equipment and Accessory Rental or Lease</v>
      </c>
    </row>
    <row r="9079" spans="1:7" x14ac:dyDescent="0.25">
      <c r="A9079" s="1" t="str">
        <f t="shared" si="576"/>
        <v>975</v>
      </c>
      <c r="B9079" s="1" t="str">
        <f>TEXT(34,"00")</f>
        <v>34</v>
      </c>
      <c r="C9079" s="1" t="str">
        <f t="shared" si="573"/>
        <v>975-34</v>
      </c>
      <c r="D9079" t="s">
        <v>9047</v>
      </c>
      <c r="E9079" t="b">
        <f>IF(COUNTIF(D9079,"*"&amp;'Keyword Search'!$C$5&amp;"*"),TRUE,FALSE)</f>
        <v>1</v>
      </c>
      <c r="G9079" t="str">
        <f t="shared" si="574"/>
        <v>975-34: Earth Moving Equipment, Graders, Dozers, Loaders, etc. Rental or Lease</v>
      </c>
    </row>
    <row r="9080" spans="1:7" x14ac:dyDescent="0.25">
      <c r="A9080" s="1" t="str">
        <f t="shared" si="576"/>
        <v>975</v>
      </c>
      <c r="B9080" s="1" t="str">
        <f>TEXT(35,"00")</f>
        <v>35</v>
      </c>
      <c r="C9080" s="1" t="str">
        <f t="shared" si="573"/>
        <v>975-35</v>
      </c>
      <c r="D9080" t="s">
        <v>9048</v>
      </c>
      <c r="E9080" t="b">
        <f>IF(COUNTIF(D9080,"*"&amp;'Keyword Search'!$C$5&amp;"*"),TRUE,FALSE)</f>
        <v>1</v>
      </c>
      <c r="G9080" t="str">
        <f t="shared" si="574"/>
        <v>975-35: Equipment With Operator, Rental or Lease</v>
      </c>
    </row>
    <row r="9081" spans="1:7" x14ac:dyDescent="0.25">
      <c r="A9081" s="1" t="str">
        <f t="shared" si="576"/>
        <v>975</v>
      </c>
      <c r="B9081" s="1" t="str">
        <f>TEXT(36,"00")</f>
        <v>36</v>
      </c>
      <c r="C9081" s="1" t="str">
        <f t="shared" si="573"/>
        <v>975-36</v>
      </c>
      <c r="D9081" t="s">
        <v>9049</v>
      </c>
      <c r="E9081" t="b">
        <f>IF(COUNTIF(D9081,"*"&amp;'Keyword Search'!$C$5&amp;"*"),TRUE,FALSE)</f>
        <v>1</v>
      </c>
      <c r="G9081" t="str">
        <f t="shared" si="574"/>
        <v>975-36: Forestry Equipment Rental or Lease</v>
      </c>
    </row>
    <row r="9082" spans="1:7" x14ac:dyDescent="0.25">
      <c r="A9082" s="1" t="str">
        <f t="shared" si="576"/>
        <v>975</v>
      </c>
      <c r="B9082" s="1" t="str">
        <f>TEXT(37,"00")</f>
        <v>37</v>
      </c>
      <c r="C9082" s="1" t="str">
        <f t="shared" si="573"/>
        <v>975-37</v>
      </c>
      <c r="D9082" t="s">
        <v>9050</v>
      </c>
      <c r="E9082" t="b">
        <f>IF(COUNTIF(D9082,"*"&amp;'Keyword Search'!$C$5&amp;"*"),TRUE,FALSE)</f>
        <v>1</v>
      </c>
      <c r="G9082" t="str">
        <f t="shared" si="574"/>
        <v>975-37: Garbage/Refuse Equipment, Dumpsters, etc. Rental or Lease</v>
      </c>
    </row>
    <row r="9083" spans="1:7" x14ac:dyDescent="0.25">
      <c r="A9083" s="1" t="str">
        <f t="shared" si="576"/>
        <v>975</v>
      </c>
      <c r="B9083" s="1" t="str">
        <f>TEXT(38,"00")</f>
        <v>38</v>
      </c>
      <c r="C9083" s="1" t="str">
        <f t="shared" si="573"/>
        <v>975-38</v>
      </c>
      <c r="D9083" t="s">
        <v>9051</v>
      </c>
      <c r="E9083" t="b">
        <f>IF(COUNTIF(D9083,"*"&amp;'Keyword Search'!$C$5&amp;"*"),TRUE,FALSE)</f>
        <v>1</v>
      </c>
      <c r="G9083" t="str">
        <f t="shared" si="574"/>
        <v>975-38: Golf Cart Rental or Lease</v>
      </c>
    </row>
    <row r="9084" spans="1:7" x14ac:dyDescent="0.25">
      <c r="A9084" s="1" t="str">
        <f t="shared" si="576"/>
        <v>975</v>
      </c>
      <c r="B9084" s="1" t="str">
        <f>TEXT(39,"00")</f>
        <v>39</v>
      </c>
      <c r="C9084" s="1" t="str">
        <f t="shared" si="573"/>
        <v>975-39</v>
      </c>
      <c r="D9084" t="s">
        <v>9052</v>
      </c>
      <c r="E9084" t="b">
        <f>IF(COUNTIF(D9084,"*"&amp;'Keyword Search'!$C$5&amp;"*"),TRUE,FALSE)</f>
        <v>1</v>
      </c>
      <c r="G9084" t="str">
        <f t="shared" si="574"/>
        <v>975-39: Hydraulic Tools and Equipment Rental or Lease</v>
      </c>
    </row>
    <row r="9085" spans="1:7" x14ac:dyDescent="0.25">
      <c r="A9085" s="1" t="str">
        <f t="shared" si="576"/>
        <v>975</v>
      </c>
      <c r="B9085" s="1" t="str">
        <f>TEXT(40,"00")</f>
        <v>40</v>
      </c>
      <c r="C9085" s="1" t="str">
        <f t="shared" si="573"/>
        <v>975-40</v>
      </c>
      <c r="D9085" t="s">
        <v>9053</v>
      </c>
      <c r="E9085" t="b">
        <f>IF(COUNTIF(D9085,"*"&amp;'Keyword Search'!$C$5&amp;"*"),TRUE,FALSE)</f>
        <v>1</v>
      </c>
      <c r="G9085" t="str">
        <f t="shared" si="574"/>
        <v>975-40: Industrial Equipment Rental or Lease</v>
      </c>
    </row>
    <row r="9086" spans="1:7" x14ac:dyDescent="0.25">
      <c r="A9086" s="1" t="str">
        <f t="shared" si="576"/>
        <v>975</v>
      </c>
      <c r="B9086" s="1" t="str">
        <f>TEXT(42,"00")</f>
        <v>42</v>
      </c>
      <c r="C9086" s="1" t="str">
        <f t="shared" si="573"/>
        <v>975-42</v>
      </c>
      <c r="D9086" t="s">
        <v>9054</v>
      </c>
      <c r="E9086" t="b">
        <f>IF(COUNTIF(D9086,"*"&amp;'Keyword Search'!$C$5&amp;"*"),TRUE,FALSE)</f>
        <v>1</v>
      </c>
      <c r="G9086" t="str">
        <f t="shared" si="574"/>
        <v>975-42: Machinery and Heavy Hardware Rental or Lease</v>
      </c>
    </row>
    <row r="9087" spans="1:7" x14ac:dyDescent="0.25">
      <c r="A9087" s="1" t="str">
        <f t="shared" si="576"/>
        <v>975</v>
      </c>
      <c r="B9087" s="1" t="str">
        <f>TEXT(44,"00")</f>
        <v>44</v>
      </c>
      <c r="C9087" s="1" t="str">
        <f t="shared" si="573"/>
        <v>975-44</v>
      </c>
      <c r="D9087" t="s">
        <v>9055</v>
      </c>
      <c r="E9087" t="b">
        <f>IF(COUNTIF(D9087,"*"&amp;'Keyword Search'!$C$5&amp;"*"),TRUE,FALSE)</f>
        <v>1</v>
      </c>
      <c r="G9087" t="str">
        <f t="shared" si="574"/>
        <v>975-44: Mass Transit Bus, School Bus, and Rail Vehicle Rental or Lease</v>
      </c>
    </row>
    <row r="9088" spans="1:7" x14ac:dyDescent="0.25">
      <c r="A9088" s="1" t="str">
        <f t="shared" si="576"/>
        <v>975</v>
      </c>
      <c r="B9088" s="1" t="str">
        <f>TEXT(46,"00")</f>
        <v>46</v>
      </c>
      <c r="C9088" s="1" t="str">
        <f t="shared" si="573"/>
        <v>975-46</v>
      </c>
      <c r="D9088" t="s">
        <v>9056</v>
      </c>
      <c r="E9088" t="b">
        <f>IF(COUNTIF(D9088,"*"&amp;'Keyword Search'!$C$5&amp;"*"),TRUE,FALSE)</f>
        <v>1</v>
      </c>
      <c r="G9088" t="str">
        <f t="shared" si="574"/>
        <v>975-46: Material Handling Equipment and Allied Item Rental or Lease</v>
      </c>
    </row>
    <row r="9089" spans="1:7" x14ac:dyDescent="0.25">
      <c r="A9089" s="1" t="str">
        <f t="shared" si="576"/>
        <v>975</v>
      </c>
      <c r="B9089" s="1" t="str">
        <f>TEXT(50,"00")</f>
        <v>50</v>
      </c>
      <c r="C9089" s="1" t="str">
        <f t="shared" si="573"/>
        <v>975-50</v>
      </c>
      <c r="D9089" t="s">
        <v>9057</v>
      </c>
      <c r="E9089" t="b">
        <f>IF(COUNTIF(D9089,"*"&amp;'Keyword Search'!$C$5&amp;"*"),TRUE,FALSE)</f>
        <v>1</v>
      </c>
      <c r="G9089" t="str">
        <f t="shared" si="574"/>
        <v>975-50: Motorcycles, Motor Scooters, and Trucksters Rental or Lease</v>
      </c>
    </row>
    <row r="9090" spans="1:7" x14ac:dyDescent="0.25">
      <c r="A9090" s="1" t="str">
        <f t="shared" si="576"/>
        <v>975</v>
      </c>
      <c r="B9090" s="1" t="str">
        <f>TEXT(54,"00")</f>
        <v>54</v>
      </c>
      <c r="C9090" s="1" t="str">
        <f t="shared" si="573"/>
        <v>975-54</v>
      </c>
      <c r="D9090" t="s">
        <v>9058</v>
      </c>
      <c r="E9090" t="b">
        <f>IF(COUNTIF(D9090,"*"&amp;'Keyword Search'!$C$5&amp;"*"),TRUE,FALSE)</f>
        <v>1</v>
      </c>
      <c r="G9090" t="str">
        <f t="shared" si="574"/>
        <v>975-54: Pneumatic Tools and Equipment Rental or Lease</v>
      </c>
    </row>
    <row r="9091" spans="1:7" x14ac:dyDescent="0.25">
      <c r="A9091" s="1" t="str">
        <f t="shared" si="576"/>
        <v>975</v>
      </c>
      <c r="B9091" s="1" t="str">
        <f>TEXT(65,"00")</f>
        <v>65</v>
      </c>
      <c r="C9091" s="1" t="str">
        <f t="shared" ref="C9091:C9154" si="577">CONCATENATE(A9091,"-",B9091)</f>
        <v>975-65</v>
      </c>
      <c r="D9091" t="s">
        <v>9059</v>
      </c>
      <c r="E9091" t="b">
        <f>IF(COUNTIF(D9091,"*"&amp;'Keyword Search'!$C$5&amp;"*"),TRUE,FALSE)</f>
        <v>1</v>
      </c>
      <c r="G9091" t="str">
        <f t="shared" si="574"/>
        <v>975-65: Recreational Vehicle Rental or Lease, Including Motor Homes</v>
      </c>
    </row>
    <row r="9092" spans="1:7" x14ac:dyDescent="0.25">
      <c r="A9092" s="1" t="str">
        <f t="shared" si="576"/>
        <v>975</v>
      </c>
      <c r="B9092" s="1" t="str">
        <f>TEXT(66,"00")</f>
        <v>66</v>
      </c>
      <c r="C9092" s="1" t="str">
        <f t="shared" si="577"/>
        <v>975-66</v>
      </c>
      <c r="D9092" t="s">
        <v>9060</v>
      </c>
      <c r="E9092" t="b">
        <f>IF(COUNTIF(D9092,"*"&amp;'Keyword Search'!$C$5&amp;"*"),TRUE,FALSE)</f>
        <v>1</v>
      </c>
      <c r="G9092" t="str">
        <f t="shared" ref="G9092:G9155" si="578">CONCATENATE(C9092,": ",D9092)</f>
        <v>975-66: Road and Highway Equipment Rental or Lease, (Not Otherwise Classified)</v>
      </c>
    </row>
    <row r="9093" spans="1:7" x14ac:dyDescent="0.25">
      <c r="A9093" s="1" t="str">
        <f t="shared" si="576"/>
        <v>975</v>
      </c>
      <c r="B9093" s="1" t="str">
        <f>TEXT(68,"00")</f>
        <v>68</v>
      </c>
      <c r="C9093" s="1" t="str">
        <f t="shared" si="577"/>
        <v>975-68</v>
      </c>
      <c r="D9093" t="s">
        <v>9061</v>
      </c>
      <c r="E9093" t="b">
        <f>IF(COUNTIF(D9093,"*"&amp;'Keyword Search'!$C$5&amp;"*"),TRUE,FALSE)</f>
        <v>1</v>
      </c>
      <c r="G9093" t="str">
        <f t="shared" si="578"/>
        <v>975-68: Roofing Equipment and Machine Rental or Lease</v>
      </c>
    </row>
    <row r="9094" spans="1:7" x14ac:dyDescent="0.25">
      <c r="A9094" s="1" t="str">
        <f t="shared" si="576"/>
        <v>975</v>
      </c>
      <c r="B9094" s="1" t="str">
        <f>TEXT(75,"00")</f>
        <v>75</v>
      </c>
      <c r="C9094" s="1" t="str">
        <f t="shared" si="577"/>
        <v>975-75</v>
      </c>
      <c r="D9094" t="s">
        <v>9062</v>
      </c>
      <c r="E9094" t="b">
        <f>IF(COUNTIF(D9094,"*"&amp;'Keyword Search'!$C$5&amp;"*"),TRUE,FALSE)</f>
        <v>1</v>
      </c>
      <c r="G9094" t="str">
        <f t="shared" si="578"/>
        <v>975-75: Snow Plows and Accessory Rental or Lease</v>
      </c>
    </row>
    <row r="9095" spans="1:7" x14ac:dyDescent="0.25">
      <c r="A9095" s="1" t="str">
        <f t="shared" si="576"/>
        <v>975</v>
      </c>
      <c r="B9095" s="1" t="str">
        <f>TEXT(76,"00")</f>
        <v>76</v>
      </c>
      <c r="C9095" s="1" t="str">
        <f t="shared" si="577"/>
        <v>975-76</v>
      </c>
      <c r="D9095" t="s">
        <v>9063</v>
      </c>
      <c r="E9095" t="b">
        <f>IF(COUNTIF(D9095,"*"&amp;'Keyword Search'!$C$5&amp;"*"),TRUE,FALSE)</f>
        <v>1</v>
      </c>
      <c r="G9095" t="str">
        <f t="shared" si="578"/>
        <v>975-76: Spacecraft and/or Satellite Rental or Lease</v>
      </c>
    </row>
    <row r="9096" spans="1:7" x14ac:dyDescent="0.25">
      <c r="A9096" s="1" t="str">
        <f t="shared" si="576"/>
        <v>975</v>
      </c>
      <c r="B9096" s="1" t="str">
        <f>TEXT(77,"00")</f>
        <v>77</v>
      </c>
      <c r="C9096" s="1" t="str">
        <f t="shared" si="577"/>
        <v>975-77</v>
      </c>
      <c r="D9096" t="s">
        <v>9064</v>
      </c>
      <c r="E9096" t="b">
        <f>IF(COUNTIF(D9096,"*"&amp;'Keyword Search'!$C$5&amp;"*"),TRUE,FALSE)</f>
        <v>1</v>
      </c>
      <c r="G9096" t="str">
        <f t="shared" si="578"/>
        <v>975-77: Sprinkler Equipment Rental or Lease, Street</v>
      </c>
    </row>
    <row r="9097" spans="1:7" x14ac:dyDescent="0.25">
      <c r="A9097" s="1" t="str">
        <f t="shared" si="576"/>
        <v>975</v>
      </c>
      <c r="B9097" s="1" t="str">
        <f>TEXT(78,"00")</f>
        <v>78</v>
      </c>
      <c r="C9097" s="1" t="str">
        <f t="shared" si="577"/>
        <v>975-78</v>
      </c>
      <c r="D9097" t="s">
        <v>9065</v>
      </c>
      <c r="E9097" t="b">
        <f>IF(COUNTIF(D9097,"*"&amp;'Keyword Search'!$C$5&amp;"*"),TRUE,FALSE)</f>
        <v>1</v>
      </c>
      <c r="G9097" t="str">
        <f t="shared" si="578"/>
        <v>975-78: Sweepers, Street, Rental or Lease</v>
      </c>
    </row>
    <row r="9098" spans="1:7" x14ac:dyDescent="0.25">
      <c r="A9098" s="1" t="str">
        <f t="shared" si="576"/>
        <v>975</v>
      </c>
      <c r="B9098" s="1" t="str">
        <f>TEXT(81,"00")</f>
        <v>81</v>
      </c>
      <c r="C9098" s="1" t="str">
        <f t="shared" si="577"/>
        <v>975-81</v>
      </c>
      <c r="D9098" t="s">
        <v>9066</v>
      </c>
      <c r="E9098" t="b">
        <f>IF(COUNTIF(D9098,"*"&amp;'Keyword Search'!$C$5&amp;"*"),TRUE,FALSE)</f>
        <v>1</v>
      </c>
      <c r="G9098" t="str">
        <f t="shared" si="578"/>
        <v>975-81: Tires and Tubes, Rental or Lease</v>
      </c>
    </row>
    <row r="9099" spans="1:7" x14ac:dyDescent="0.25">
      <c r="A9099" s="1" t="str">
        <f t="shared" si="576"/>
        <v>975</v>
      </c>
      <c r="B9099" s="1" t="str">
        <f>TEXT(82,"00")</f>
        <v>82</v>
      </c>
      <c r="C9099" s="1" t="str">
        <f t="shared" si="577"/>
        <v>975-82</v>
      </c>
      <c r="D9099" t="s">
        <v>9067</v>
      </c>
      <c r="E9099" t="b">
        <f>IF(COUNTIF(D9099,"*"&amp;'Keyword Search'!$C$5&amp;"*"),TRUE,FALSE)</f>
        <v>1</v>
      </c>
      <c r="G9099" t="str">
        <f t="shared" si="578"/>
        <v>975-82: Tracking Equipment, Rental or Lease</v>
      </c>
    </row>
    <row r="9100" spans="1:7" x14ac:dyDescent="0.25">
      <c r="A9100" s="1" t="str">
        <f t="shared" si="576"/>
        <v>975</v>
      </c>
      <c r="B9100" s="1" t="str">
        <f>TEXT(83,"00")</f>
        <v>83</v>
      </c>
      <c r="C9100" s="1" t="str">
        <f t="shared" si="577"/>
        <v>975-83</v>
      </c>
      <c r="D9100" t="s">
        <v>9068</v>
      </c>
      <c r="E9100" t="b">
        <f>IF(COUNTIF(D9100,"*"&amp;'Keyword Search'!$C$5&amp;"*"),TRUE,FALSE)</f>
        <v>1</v>
      </c>
      <c r="G9100" t="str">
        <f t="shared" si="578"/>
        <v>975-83: Tractors, Industrial and Construction, Rental or Lease</v>
      </c>
    </row>
    <row r="9101" spans="1:7" x14ac:dyDescent="0.25">
      <c r="A9101" s="1" t="str">
        <f t="shared" si="576"/>
        <v>975</v>
      </c>
      <c r="B9101" s="1" t="str">
        <f>TEXT(84,"00")</f>
        <v>84</v>
      </c>
      <c r="C9101" s="1" t="str">
        <f t="shared" si="577"/>
        <v>975-84</v>
      </c>
      <c r="D9101" t="s">
        <v>9069</v>
      </c>
      <c r="E9101" t="b">
        <f>IF(COUNTIF(D9101,"*"&amp;'Keyword Search'!$C$5&amp;"*"),TRUE,FALSE)</f>
        <v>1</v>
      </c>
      <c r="G9101" t="str">
        <f t="shared" si="578"/>
        <v>975-84: Trailer Rental or Lease</v>
      </c>
    </row>
    <row r="9102" spans="1:7" x14ac:dyDescent="0.25">
      <c r="A9102" s="1" t="str">
        <f t="shared" si="576"/>
        <v>975</v>
      </c>
      <c r="B9102" s="1" t="str">
        <f>TEXT(85,"00")</f>
        <v>85</v>
      </c>
      <c r="C9102" s="1" t="str">
        <f t="shared" si="577"/>
        <v>975-85</v>
      </c>
      <c r="D9102" t="s">
        <v>9070</v>
      </c>
      <c r="E9102" t="b">
        <f>IF(COUNTIF(D9102,"*"&amp;'Keyword Search'!$C$5&amp;"*"),TRUE,FALSE)</f>
        <v>1</v>
      </c>
      <c r="G9102" t="str">
        <f t="shared" si="578"/>
        <v>975-85: Tram Rental or Lease, Touring, etc.</v>
      </c>
    </row>
    <row r="9103" spans="1:7" x14ac:dyDescent="0.25">
      <c r="A9103" s="1" t="str">
        <f t="shared" si="576"/>
        <v>975</v>
      </c>
      <c r="B9103" s="1" t="str">
        <f>TEXT(86,"00")</f>
        <v>86</v>
      </c>
      <c r="C9103" s="1" t="str">
        <f t="shared" si="577"/>
        <v>975-86</v>
      </c>
      <c r="D9103" t="s">
        <v>9071</v>
      </c>
      <c r="E9103" t="b">
        <f>IF(COUNTIF(D9103,"*"&amp;'Keyword Search'!$C$5&amp;"*"),TRUE,FALSE)</f>
        <v>1</v>
      </c>
      <c r="G9103" t="str">
        <f t="shared" si="578"/>
        <v>975-86: Truck and Van, Including Fire and Garbage Trucks Rental or Lease</v>
      </c>
    </row>
    <row r="9104" spans="1:7" x14ac:dyDescent="0.25">
      <c r="A9104" s="1" t="str">
        <f t="shared" si="576"/>
        <v>975</v>
      </c>
      <c r="B9104" s="1" t="str">
        <f>TEXT(88,"00")</f>
        <v>88</v>
      </c>
      <c r="C9104" s="1" t="str">
        <f t="shared" si="577"/>
        <v>975-88</v>
      </c>
      <c r="D9104" t="s">
        <v>9072</v>
      </c>
      <c r="E9104" t="b">
        <f>IF(COUNTIF(D9104,"*"&amp;'Keyword Search'!$C$5&amp;"*"),TRUE,FALSE)</f>
        <v>1</v>
      </c>
      <c r="G9104" t="str">
        <f t="shared" si="578"/>
        <v>975-88: Utility Vehicle Rental or Lease</v>
      </c>
    </row>
    <row r="9105" spans="1:7" x14ac:dyDescent="0.25">
      <c r="A9105" s="1" t="str">
        <f t="shared" si="576"/>
        <v>975</v>
      </c>
      <c r="B9105" s="1" t="str">
        <f>TEXT(93,"00")</f>
        <v>93</v>
      </c>
      <c r="C9105" s="1" t="str">
        <f t="shared" si="577"/>
        <v>975-93</v>
      </c>
      <c r="D9105" t="s">
        <v>9073</v>
      </c>
      <c r="E9105" t="b">
        <f>IF(COUNTIF(D9105,"*"&amp;'Keyword Search'!$C$5&amp;"*"),TRUE,FALSE)</f>
        <v>1</v>
      </c>
      <c r="G9105" t="str">
        <f t="shared" si="578"/>
        <v>975-93: Wrecker Rental or Lease</v>
      </c>
    </row>
    <row r="9106" spans="1:7" x14ac:dyDescent="0.25">
      <c r="A9106" s="5" t="str">
        <f t="shared" ref="A9106:A9123" si="579">TEXT(977,"000")</f>
        <v>977</v>
      </c>
      <c r="B9106" s="5" t="str">
        <f>TEXT(0,"00")</f>
        <v>00</v>
      </c>
      <c r="C9106" s="1"/>
      <c r="D9106" s="2" t="s">
        <v>9074</v>
      </c>
    </row>
    <row r="9107" spans="1:7" x14ac:dyDescent="0.25">
      <c r="A9107" s="1" t="str">
        <f t="shared" si="579"/>
        <v>977</v>
      </c>
      <c r="B9107" s="1" t="str">
        <f>TEXT(8,"00")</f>
        <v>08</v>
      </c>
      <c r="C9107" s="1" t="str">
        <f t="shared" si="577"/>
        <v>977-08</v>
      </c>
      <c r="D9107" t="s">
        <v>9075</v>
      </c>
      <c r="E9107" t="b">
        <f>IF(COUNTIF(D9107,"*"&amp;'Keyword Search'!$C$5&amp;"*"),TRUE,FALSE)</f>
        <v>1</v>
      </c>
      <c r="G9107" t="str">
        <f t="shared" si="578"/>
        <v>977-08: Albums, Tapes, Compact Disks, etc. Rental or Lease</v>
      </c>
    </row>
    <row r="9108" spans="1:7" x14ac:dyDescent="0.25">
      <c r="A9108" s="1" t="str">
        <f t="shared" si="579"/>
        <v>977</v>
      </c>
      <c r="B9108" s="1" t="str">
        <f>TEXT(10,"00")</f>
        <v>10</v>
      </c>
      <c r="C9108" s="1" t="str">
        <f t="shared" si="577"/>
        <v>977-10</v>
      </c>
      <c r="D9108" t="s">
        <v>9076</v>
      </c>
      <c r="E9108" t="b">
        <f>IF(COUNTIF(D9108,"*"&amp;'Keyword Search'!$C$5&amp;"*"),TRUE,FALSE)</f>
        <v>1</v>
      </c>
      <c r="G9108" t="str">
        <f t="shared" si="578"/>
        <v>977-10: Appliances and Equipment, Household, Rental or Lease</v>
      </c>
    </row>
    <row r="9109" spans="1:7" x14ac:dyDescent="0.25">
      <c r="A9109" s="1" t="str">
        <f t="shared" si="579"/>
        <v>977</v>
      </c>
      <c r="B9109" s="1" t="str">
        <f>TEXT(25,"00")</f>
        <v>25</v>
      </c>
      <c r="C9109" s="1" t="str">
        <f t="shared" si="577"/>
        <v>977-25</v>
      </c>
      <c r="D9109" t="s">
        <v>9077</v>
      </c>
      <c r="E9109" t="b">
        <f>IF(COUNTIF(D9109,"*"&amp;'Keyword Search'!$C$5&amp;"*"),TRUE,FALSE)</f>
        <v>1</v>
      </c>
      <c r="G9109" t="str">
        <f t="shared" si="578"/>
        <v>977-25: Cafeteria, Food Service, and Kitchen Equipment Rental or Lease</v>
      </c>
    </row>
    <row r="9110" spans="1:7" x14ac:dyDescent="0.25">
      <c r="A9110" s="1" t="str">
        <f t="shared" si="579"/>
        <v>977</v>
      </c>
      <c r="B9110" s="1" t="str">
        <f>TEXT(32,"00")</f>
        <v>32</v>
      </c>
      <c r="C9110" s="1" t="str">
        <f t="shared" si="577"/>
        <v>977-32</v>
      </c>
      <c r="D9110" t="s">
        <v>9078</v>
      </c>
      <c r="E9110" t="b">
        <f>IF(COUNTIF(D9110,"*"&amp;'Keyword Search'!$C$5&amp;"*"),TRUE,FALSE)</f>
        <v>1</v>
      </c>
      <c r="G9110" t="str">
        <f t="shared" si="578"/>
        <v>977-32: Drapery and Curtain Rental or Lease</v>
      </c>
    </row>
    <row r="9111" spans="1:7" x14ac:dyDescent="0.25">
      <c r="A9111" s="1" t="str">
        <f t="shared" si="579"/>
        <v>977</v>
      </c>
      <c r="B9111" s="1" t="str">
        <f>TEXT(35,"00")</f>
        <v>35</v>
      </c>
      <c r="C9111" s="1" t="str">
        <f t="shared" si="577"/>
        <v>977-35</v>
      </c>
      <c r="D9111" t="s">
        <v>9079</v>
      </c>
      <c r="E9111" t="b">
        <f>IF(COUNTIF(D9111,"*"&amp;'Keyword Search'!$C$5&amp;"*"),TRUE,FALSE)</f>
        <v>1</v>
      </c>
      <c r="G9111" t="str">
        <f t="shared" si="578"/>
        <v>977-35: Entertainment and Hospitality Equipment Rental or Lease</v>
      </c>
    </row>
    <row r="9112" spans="1:7" x14ac:dyDescent="0.25">
      <c r="A9112" s="1" t="str">
        <f t="shared" si="579"/>
        <v>977</v>
      </c>
      <c r="B9112" s="1" t="str">
        <f>TEXT(37,"00")</f>
        <v>37</v>
      </c>
      <c r="C9112" s="1" t="str">
        <f t="shared" si="577"/>
        <v>977-37</v>
      </c>
      <c r="D9112" t="s">
        <v>9080</v>
      </c>
      <c r="E9112" t="b">
        <f>IF(COUNTIF(D9112,"*"&amp;'Keyword Search'!$C$5&amp;"*"),TRUE,FALSE)</f>
        <v>1</v>
      </c>
      <c r="G9112" t="str">
        <f t="shared" si="578"/>
        <v>977-37: Film, Movie and Video Tape Rental or Lease</v>
      </c>
    </row>
    <row r="9113" spans="1:7" x14ac:dyDescent="0.25">
      <c r="A9113" s="1" t="str">
        <f t="shared" si="579"/>
        <v>977</v>
      </c>
      <c r="B9113" s="1" t="str">
        <f>TEXT(39,"00")</f>
        <v>39</v>
      </c>
      <c r="C9113" s="1" t="str">
        <f t="shared" si="577"/>
        <v>977-39</v>
      </c>
      <c r="D9113" t="s">
        <v>9081</v>
      </c>
      <c r="E9113" t="b">
        <f>IF(COUNTIF(D9113,"*"&amp;'Keyword Search'!$C$5&amp;"*"),TRUE,FALSE)</f>
        <v>1</v>
      </c>
      <c r="G9113" t="str">
        <f t="shared" si="578"/>
        <v>977-39: Floor Covering and Carpet Equipment Rental or Lease</v>
      </c>
    </row>
    <row r="9114" spans="1:7" x14ac:dyDescent="0.25">
      <c r="A9114" s="1" t="str">
        <f t="shared" si="579"/>
        <v>977</v>
      </c>
      <c r="B9114" s="1" t="str">
        <f>TEXT(41,"00")</f>
        <v>41</v>
      </c>
      <c r="C9114" s="1" t="str">
        <f t="shared" si="577"/>
        <v>977-41</v>
      </c>
      <c r="D9114" t="s">
        <v>9082</v>
      </c>
      <c r="E9114" t="b">
        <f>IF(COUNTIF(D9114,"*"&amp;'Keyword Search'!$C$5&amp;"*"),TRUE,FALSE)</f>
        <v>1</v>
      </c>
      <c r="G9114" t="str">
        <f t="shared" si="578"/>
        <v>977-41: Furniture, Not Office, Rental or Lease</v>
      </c>
    </row>
    <row r="9115" spans="1:7" x14ac:dyDescent="0.25">
      <c r="A9115" s="1" t="str">
        <f t="shared" si="579"/>
        <v>977</v>
      </c>
      <c r="B9115" s="1" t="str">
        <f>TEXT(42,"00")</f>
        <v>42</v>
      </c>
      <c r="C9115" s="1" t="str">
        <f t="shared" si="577"/>
        <v>977-42</v>
      </c>
      <c r="D9115" t="s">
        <v>9083</v>
      </c>
      <c r="E9115" t="b">
        <f>IF(COUNTIF(D9115,"*"&amp;'Keyword Search'!$C$5&amp;"*"),TRUE,FALSE)</f>
        <v>1</v>
      </c>
      <c r="G9115" t="str">
        <f t="shared" si="578"/>
        <v>977-42: Furniture, Office, Rental or Lease</v>
      </c>
    </row>
    <row r="9116" spans="1:7" x14ac:dyDescent="0.25">
      <c r="A9116" s="1" t="str">
        <f t="shared" si="579"/>
        <v>977</v>
      </c>
      <c r="B9116" s="1" t="str">
        <f>TEXT(49,"00")</f>
        <v>49</v>
      </c>
      <c r="C9116" s="1" t="str">
        <f t="shared" si="577"/>
        <v>977-49</v>
      </c>
      <c r="D9116" t="s">
        <v>9084</v>
      </c>
      <c r="E9116" t="b">
        <f>IF(COUNTIF(D9116,"*"&amp;'Keyword Search'!$C$5&amp;"*"),TRUE,FALSE)</f>
        <v>1</v>
      </c>
      <c r="G9116" t="str">
        <f t="shared" si="578"/>
        <v>977-49: Hand Tool Rental or Lease</v>
      </c>
    </row>
    <row r="9117" spans="1:7" x14ac:dyDescent="0.25">
      <c r="A9117" s="1" t="str">
        <f t="shared" si="579"/>
        <v>977</v>
      </c>
      <c r="B9117" s="1" t="str">
        <f>TEXT(51,"00")</f>
        <v>51</v>
      </c>
      <c r="C9117" s="1" t="str">
        <f t="shared" si="577"/>
        <v>977-51</v>
      </c>
      <c r="D9117" t="s">
        <v>9085</v>
      </c>
      <c r="E9117" t="b">
        <f>IF(COUNTIF(D9117,"*"&amp;'Keyword Search'!$C$5&amp;"*"),TRUE,FALSE)</f>
        <v>1</v>
      </c>
      <c r="G9117" t="str">
        <f t="shared" si="578"/>
        <v>977-51: Hardware, Shelf Hardware, and Allied Items Rental or Lease</v>
      </c>
    </row>
    <row r="9118" spans="1:7" x14ac:dyDescent="0.25">
      <c r="A9118" s="1" t="str">
        <f t="shared" si="579"/>
        <v>977</v>
      </c>
      <c r="B9118" s="1" t="str">
        <f>TEXT(59,"00")</f>
        <v>59</v>
      </c>
      <c r="C9118" s="1" t="str">
        <f t="shared" si="577"/>
        <v>977-59</v>
      </c>
      <c r="D9118" t="s">
        <v>9086</v>
      </c>
      <c r="E9118" t="b">
        <f>IF(COUNTIF(D9118,"*"&amp;'Keyword Search'!$C$5&amp;"*"),TRUE,FALSE)</f>
        <v>1</v>
      </c>
      <c r="G9118" t="str">
        <f t="shared" si="578"/>
        <v>977-59: Musical Instrument Rental or Lease</v>
      </c>
    </row>
    <row r="9119" spans="1:7" x14ac:dyDescent="0.25">
      <c r="A9119" s="1" t="str">
        <f t="shared" si="579"/>
        <v>977</v>
      </c>
      <c r="B9119" s="1" t="str">
        <f>TEXT(63,"00")</f>
        <v>63</v>
      </c>
      <c r="C9119" s="1" t="str">
        <f t="shared" si="577"/>
        <v>977-63</v>
      </c>
      <c r="D9119" t="s">
        <v>9087</v>
      </c>
      <c r="E9119" t="b">
        <f>IF(COUNTIF(D9119,"*"&amp;'Keyword Search'!$C$5&amp;"*"),TRUE,FALSE)</f>
        <v>1</v>
      </c>
      <c r="G9119" t="str">
        <f t="shared" si="578"/>
        <v>977-63: Scaffolding and Ladders Rental or Lease</v>
      </c>
    </row>
    <row r="9120" spans="1:7" x14ac:dyDescent="0.25">
      <c r="A9120" s="1" t="str">
        <f t="shared" si="579"/>
        <v>977</v>
      </c>
      <c r="B9120" s="1" t="str">
        <f>TEXT(64,"00")</f>
        <v>64</v>
      </c>
      <c r="C9120" s="1" t="str">
        <f t="shared" si="577"/>
        <v>977-64</v>
      </c>
      <c r="D9120" t="s">
        <v>9088</v>
      </c>
      <c r="E9120" t="b">
        <f>IF(COUNTIF(D9120,"*"&amp;'Keyword Search'!$C$5&amp;"*"),TRUE,FALSE)</f>
        <v>1</v>
      </c>
      <c r="G9120" t="str">
        <f t="shared" si="578"/>
        <v>977-64: Sewing and Textile Machine Rental or Lease</v>
      </c>
    </row>
    <row r="9121" spans="1:7" x14ac:dyDescent="0.25">
      <c r="A9121" s="1" t="str">
        <f t="shared" si="579"/>
        <v>977</v>
      </c>
      <c r="B9121" s="1" t="str">
        <f>TEXT(73,"00")</f>
        <v>73</v>
      </c>
      <c r="C9121" s="1" t="str">
        <f t="shared" si="577"/>
        <v>977-73</v>
      </c>
      <c r="D9121" t="s">
        <v>9089</v>
      </c>
      <c r="E9121" t="b">
        <f>IF(COUNTIF(D9121,"*"&amp;'Keyword Search'!$C$5&amp;"*"),TRUE,FALSE)</f>
        <v>1</v>
      </c>
      <c r="G9121" t="str">
        <f t="shared" si="578"/>
        <v>977-73: Toilets and Showers, Portable, Rental or Lease</v>
      </c>
    </row>
    <row r="9122" spans="1:7" x14ac:dyDescent="0.25">
      <c r="A9122" s="1" t="str">
        <f t="shared" si="579"/>
        <v>977</v>
      </c>
      <c r="B9122" s="1" t="str">
        <f>TEXT(85,"00")</f>
        <v>85</v>
      </c>
      <c r="C9122" s="1" t="str">
        <f t="shared" si="577"/>
        <v>977-85</v>
      </c>
      <c r="D9122" t="s">
        <v>9090</v>
      </c>
      <c r="E9122" t="b">
        <f>IF(COUNTIF(D9122,"*"&amp;'Keyword Search'!$C$5&amp;"*"),TRUE,FALSE)</f>
        <v>1</v>
      </c>
      <c r="G9122" t="str">
        <f t="shared" si="578"/>
        <v>977-85: Vending Machine Rental or Lease</v>
      </c>
    </row>
    <row r="9123" spans="1:7" x14ac:dyDescent="0.25">
      <c r="A9123" s="1" t="str">
        <f t="shared" si="579"/>
        <v>977</v>
      </c>
      <c r="B9123" s="1" t="str">
        <f>TEXT(86,"00")</f>
        <v>86</v>
      </c>
      <c r="C9123" s="1" t="str">
        <f t="shared" si="577"/>
        <v>977-86</v>
      </c>
      <c r="D9123" t="s">
        <v>9091</v>
      </c>
      <c r="E9123" t="b">
        <f>IF(COUNTIF(D9123,"*"&amp;'Keyword Search'!$C$5&amp;"*"),TRUE,FALSE)</f>
        <v>1</v>
      </c>
      <c r="G9123" t="str">
        <f t="shared" si="578"/>
        <v>977-86: Venetian Blinds, Awnings, and Shades Rental or Lease</v>
      </c>
    </row>
    <row r="9124" spans="1:7" x14ac:dyDescent="0.25">
      <c r="A9124" s="5" t="str">
        <f t="shared" ref="A9124:A9139" si="580">TEXT(979,"000")</f>
        <v>979</v>
      </c>
      <c r="B9124" s="5" t="str">
        <f>TEXT(0,"00")</f>
        <v>00</v>
      </c>
      <c r="C9124" s="1"/>
      <c r="D9124" s="2" t="s">
        <v>9092</v>
      </c>
    </row>
    <row r="9125" spans="1:7" x14ac:dyDescent="0.25">
      <c r="A9125" s="1" t="str">
        <f t="shared" si="580"/>
        <v>979</v>
      </c>
      <c r="B9125" s="1" t="str">
        <f>TEXT(17,"00")</f>
        <v>17</v>
      </c>
      <c r="C9125" s="1" t="str">
        <f t="shared" si="577"/>
        <v>979-17</v>
      </c>
      <c r="D9125" t="s">
        <v>9093</v>
      </c>
      <c r="E9125" t="b">
        <f>IF(COUNTIF(D9125,"*"&amp;'Keyword Search'!$C$5&amp;"*"),TRUE,FALSE)</f>
        <v>1</v>
      </c>
      <c r="G9125" t="str">
        <f t="shared" si="578"/>
        <v>979-17: Chemical Laboratory Equipment and Supplies Rental or Lease</v>
      </c>
    </row>
    <row r="9126" spans="1:7" x14ac:dyDescent="0.25">
      <c r="A9126" s="1" t="str">
        <f t="shared" si="580"/>
        <v>979</v>
      </c>
      <c r="B9126" s="1" t="str">
        <f>TEXT(20,"00")</f>
        <v>20</v>
      </c>
      <c r="C9126" s="1" t="str">
        <f t="shared" si="577"/>
        <v>979-20</v>
      </c>
      <c r="D9126" t="s">
        <v>9094</v>
      </c>
      <c r="E9126" t="b">
        <f>IF(COUNTIF(D9126,"*"&amp;'Keyword Search'!$C$5&amp;"*"),TRUE,FALSE)</f>
        <v>1</v>
      </c>
      <c r="G9126" t="str">
        <f t="shared" si="578"/>
        <v>979-20: Controlling, Indicating, and Recording Instrument Rental or Lease</v>
      </c>
    </row>
    <row r="9127" spans="1:7" x14ac:dyDescent="0.25">
      <c r="A9127" s="1" t="str">
        <f t="shared" si="580"/>
        <v>979</v>
      </c>
      <c r="B9127" s="1" t="str">
        <f>TEXT(35,"00")</f>
        <v>35</v>
      </c>
      <c r="C9127" s="1" t="str">
        <f t="shared" si="577"/>
        <v>979-35</v>
      </c>
      <c r="D9127" t="s">
        <v>9095</v>
      </c>
      <c r="E9127" t="b">
        <f>IF(COUNTIF(D9127,"*"&amp;'Keyword Search'!$C$5&amp;"*"),TRUE,FALSE)</f>
        <v>1</v>
      </c>
      <c r="G9127" t="str">
        <f t="shared" si="578"/>
        <v>979-35: Engineering Equipment and Supplies Rental or Lease</v>
      </c>
    </row>
    <row r="9128" spans="1:7" x14ac:dyDescent="0.25">
      <c r="A9128" s="1" t="str">
        <f t="shared" si="580"/>
        <v>979</v>
      </c>
      <c r="B9128" s="1" t="str">
        <f>TEXT(37,"00")</f>
        <v>37</v>
      </c>
      <c r="C9128" s="1" t="str">
        <f t="shared" si="577"/>
        <v>979-37</v>
      </c>
      <c r="D9128" t="s">
        <v>9096</v>
      </c>
      <c r="E9128" t="b">
        <f>IF(COUNTIF(D9128,"*"&amp;'Keyword Search'!$C$5&amp;"*"),TRUE,FALSE)</f>
        <v>1</v>
      </c>
      <c r="G9128" t="str">
        <f t="shared" si="578"/>
        <v>979-37: First Aid and Safety Equipment, Including Manikins and Models Rental or Lease</v>
      </c>
    </row>
    <row r="9129" spans="1:7" x14ac:dyDescent="0.25">
      <c r="A9129" s="1" t="str">
        <f t="shared" si="580"/>
        <v>979</v>
      </c>
      <c r="B9129" s="1" t="str">
        <f>TEXT(39,"00")</f>
        <v>39</v>
      </c>
      <c r="C9129" s="1" t="str">
        <f t="shared" si="577"/>
        <v>979-39</v>
      </c>
      <c r="D9129" t="s">
        <v>9097</v>
      </c>
      <c r="E9129" t="b">
        <f>IF(COUNTIF(D9129,"*"&amp;'Keyword Search'!$C$5&amp;"*"),TRUE,FALSE)</f>
        <v>1</v>
      </c>
      <c r="G9129" t="str">
        <f t="shared" si="578"/>
        <v>979-39: Furniture, Hospital, Specialized, Rental or Lease</v>
      </c>
    </row>
    <row r="9130" spans="1:7" x14ac:dyDescent="0.25">
      <c r="A9130" s="1" t="str">
        <f t="shared" si="580"/>
        <v>979</v>
      </c>
      <c r="B9130" s="1" t="str">
        <f>TEXT(45,"00")</f>
        <v>45</v>
      </c>
      <c r="C9130" s="1" t="str">
        <f t="shared" si="577"/>
        <v>979-45</v>
      </c>
      <c r="D9130" t="s">
        <v>9098</v>
      </c>
      <c r="E9130" t="b">
        <f>IF(COUNTIF(D9130,"*"&amp;'Keyword Search'!$C$5&amp;"*"),TRUE,FALSE)</f>
        <v>1</v>
      </c>
      <c r="G9130" t="str">
        <f t="shared" si="578"/>
        <v>979-45: Hospital Equipment, General, Rental or Lease</v>
      </c>
    </row>
    <row r="9131" spans="1:7" x14ac:dyDescent="0.25">
      <c r="A9131" s="1" t="str">
        <f t="shared" si="580"/>
        <v>979</v>
      </c>
      <c r="B9131" s="1" t="str">
        <f>TEXT(46,"00")</f>
        <v>46</v>
      </c>
      <c r="C9131" s="1" t="str">
        <f t="shared" si="577"/>
        <v>979-46</v>
      </c>
      <c r="D9131" t="s">
        <v>9099</v>
      </c>
      <c r="E9131" t="b">
        <f>IF(COUNTIF(D9131,"*"&amp;'Keyword Search'!$C$5&amp;"*"),TRUE,FALSE)</f>
        <v>1</v>
      </c>
      <c r="G9131" t="str">
        <f t="shared" si="578"/>
        <v>979-46: Hospital Equipment, Invalid, Rental or Lease</v>
      </c>
    </row>
    <row r="9132" spans="1:7" x14ac:dyDescent="0.25">
      <c r="A9132" s="1" t="str">
        <f t="shared" si="580"/>
        <v>979</v>
      </c>
      <c r="B9132" s="1" t="str">
        <f>TEXT(47,"00")</f>
        <v>47</v>
      </c>
      <c r="C9132" s="1" t="str">
        <f t="shared" si="577"/>
        <v>979-47</v>
      </c>
      <c r="D9132" t="s">
        <v>9100</v>
      </c>
      <c r="E9132" t="b">
        <f>IF(COUNTIF(D9132,"*"&amp;'Keyword Search'!$C$5&amp;"*"),TRUE,FALSE)</f>
        <v>1</v>
      </c>
      <c r="G9132" t="str">
        <f t="shared" si="578"/>
        <v>979-47: Hospital Surgical and Operating Equipment Rental or Lease</v>
      </c>
    </row>
    <row r="9133" spans="1:7" x14ac:dyDescent="0.25">
      <c r="A9133" s="1" t="str">
        <f t="shared" si="580"/>
        <v>979</v>
      </c>
      <c r="B9133" s="1" t="str">
        <f>TEXT(52,"00")</f>
        <v>52</v>
      </c>
      <c r="C9133" s="1" t="str">
        <f t="shared" si="577"/>
        <v>979-52</v>
      </c>
      <c r="D9133" t="s">
        <v>9101</v>
      </c>
      <c r="E9133" t="b">
        <f>IF(COUNTIF(D9133,"*"&amp;'Keyword Search'!$C$5&amp;"*"),TRUE,FALSE)</f>
        <v>1</v>
      </c>
      <c r="G9133" t="str">
        <f t="shared" si="578"/>
        <v>979-52: Laboratory Equipment and Accessory Rental or Lease: General and Analytical Research Use, Nuclear, Optical, Physical</v>
      </c>
    </row>
    <row r="9134" spans="1:7" x14ac:dyDescent="0.25">
      <c r="A9134" s="1" t="str">
        <f t="shared" si="580"/>
        <v>979</v>
      </c>
      <c r="B9134" s="1" t="str">
        <f>TEXT(53,"00")</f>
        <v>53</v>
      </c>
      <c r="C9134" s="1" t="str">
        <f t="shared" si="577"/>
        <v>979-53</v>
      </c>
      <c r="D9134" t="s">
        <v>9102</v>
      </c>
      <c r="E9134" t="b">
        <f>IF(COUNTIF(D9134,"*"&amp;'Keyword Search'!$C$5&amp;"*"),TRUE,FALSE)</f>
        <v>1</v>
      </c>
      <c r="G9134" t="str">
        <f t="shared" si="578"/>
        <v>979-53: Laboratory Equipment and Accessories, Rental or Lease: Biochemistry, Biology, Environmental Science, etc.</v>
      </c>
    </row>
    <row r="9135" spans="1:7" x14ac:dyDescent="0.25">
      <c r="A9135" s="1" t="str">
        <f t="shared" si="580"/>
        <v>979</v>
      </c>
      <c r="B9135" s="1" t="str">
        <f>TEXT(65,"00")</f>
        <v>65</v>
      </c>
      <c r="C9135" s="1" t="str">
        <f t="shared" si="577"/>
        <v>979-65</v>
      </c>
      <c r="D9135" t="s">
        <v>9103</v>
      </c>
      <c r="E9135" t="b">
        <f>IF(COUNTIF(D9135,"*"&amp;'Keyword Search'!$C$5&amp;"*"),TRUE,FALSE)</f>
        <v>1</v>
      </c>
      <c r="G9135" t="str">
        <f t="shared" si="578"/>
        <v>979-65: Refrigeration Equipment and Accessory Rental or Lease</v>
      </c>
    </row>
    <row r="9136" spans="1:7" x14ac:dyDescent="0.25">
      <c r="A9136" s="1" t="str">
        <f t="shared" si="580"/>
        <v>979</v>
      </c>
      <c r="B9136" s="1" t="str">
        <f>TEXT(70,"00")</f>
        <v>70</v>
      </c>
      <c r="C9136" s="1" t="str">
        <f t="shared" si="577"/>
        <v>979-70</v>
      </c>
      <c r="D9136" t="s">
        <v>9104</v>
      </c>
      <c r="E9136" t="b">
        <f>IF(COUNTIF(D9136,"*"&amp;'Keyword Search'!$C$5&amp;"*"),TRUE,FALSE)</f>
        <v>1</v>
      </c>
      <c r="G9136" t="str">
        <f t="shared" si="578"/>
        <v>979-70: Sanitizing and Disinfecting Equipment, Rental or Lease</v>
      </c>
    </row>
    <row r="9137" spans="1:7" x14ac:dyDescent="0.25">
      <c r="A9137" s="1" t="str">
        <f t="shared" si="580"/>
        <v>979</v>
      </c>
      <c r="B9137" s="1" t="str">
        <f>TEXT(72,"00")</f>
        <v>72</v>
      </c>
      <c r="C9137" s="1" t="str">
        <f t="shared" si="577"/>
        <v>979-72</v>
      </c>
      <c r="D9137" t="s">
        <v>9105</v>
      </c>
      <c r="E9137" t="b">
        <f>IF(COUNTIF(D9137,"*"&amp;'Keyword Search'!$C$5&amp;"*"),TRUE,FALSE)</f>
        <v>1</v>
      </c>
      <c r="G9137" t="str">
        <f t="shared" si="578"/>
        <v>979-72: Scales and Weighing Apparatus Rental or Lease</v>
      </c>
    </row>
    <row r="9138" spans="1:7" x14ac:dyDescent="0.25">
      <c r="A9138" s="1" t="str">
        <f t="shared" si="580"/>
        <v>979</v>
      </c>
      <c r="B9138" s="1" t="str">
        <f>TEXT(81,"00")</f>
        <v>81</v>
      </c>
      <c r="C9138" s="1" t="str">
        <f t="shared" si="577"/>
        <v>979-81</v>
      </c>
      <c r="D9138" t="s">
        <v>9106</v>
      </c>
      <c r="E9138" t="b">
        <f>IF(COUNTIF(D9138,"*"&amp;'Keyword Search'!$C$5&amp;"*"),TRUE,FALSE)</f>
        <v>1</v>
      </c>
      <c r="G9138" t="str">
        <f t="shared" si="578"/>
        <v>979-81: Testing and Training Apparatus, Instruments, and Machines Rental or Lease</v>
      </c>
    </row>
    <row r="9139" spans="1:7" x14ac:dyDescent="0.25">
      <c r="A9139" s="1" t="str">
        <f t="shared" si="580"/>
        <v>979</v>
      </c>
      <c r="B9139" s="1" t="str">
        <f>TEXT(94,"00")</f>
        <v>94</v>
      </c>
      <c r="C9139" s="1" t="str">
        <f t="shared" si="577"/>
        <v>979-94</v>
      </c>
      <c r="D9139" t="s">
        <v>9107</v>
      </c>
      <c r="E9139" t="b">
        <f>IF(COUNTIF(D9139,"*"&amp;'Keyword Search'!$C$5&amp;"*"),TRUE,FALSE)</f>
        <v>1</v>
      </c>
      <c r="G9139" t="str">
        <f t="shared" si="578"/>
        <v>979-94: X-Ray Equipment, Medical, Rental or Lease</v>
      </c>
    </row>
    <row r="9140" spans="1:7" x14ac:dyDescent="0.25">
      <c r="A9140" s="5" t="str">
        <f t="shared" ref="A9140:A9174" si="581">TEXT(981,"000")</f>
        <v>981</v>
      </c>
      <c r="B9140" s="5" t="str">
        <f>TEXT(0,"00")</f>
        <v>00</v>
      </c>
      <c r="C9140" s="1"/>
      <c r="D9140" s="2" t="s">
        <v>9108</v>
      </c>
    </row>
    <row r="9141" spans="1:7" x14ac:dyDescent="0.25">
      <c r="A9141" s="1" t="str">
        <f t="shared" si="581"/>
        <v>981</v>
      </c>
      <c r="B9141" s="1" t="str">
        <f>TEXT(11,"00")</f>
        <v>11</v>
      </c>
      <c r="C9141" s="1" t="str">
        <f t="shared" si="577"/>
        <v>981-11</v>
      </c>
      <c r="D9141" t="s">
        <v>9109</v>
      </c>
      <c r="E9141" t="b">
        <f>IF(COUNTIF(D9141,"*"&amp;'Keyword Search'!$C$5&amp;"*"),TRUE,FALSE)</f>
        <v>1</v>
      </c>
      <c r="G9141" t="str">
        <f t="shared" si="578"/>
        <v>981-11: Air Compressors and Accessories Rental or Lease</v>
      </c>
    </row>
    <row r="9142" spans="1:7" x14ac:dyDescent="0.25">
      <c r="A9142" s="1" t="str">
        <f t="shared" si="581"/>
        <v>981</v>
      </c>
      <c r="B9142" s="1" t="str">
        <f>TEXT(12,"00")</f>
        <v>12</v>
      </c>
      <c r="C9142" s="1" t="str">
        <f t="shared" si="577"/>
        <v>981-12</v>
      </c>
      <c r="D9142" t="s">
        <v>9110</v>
      </c>
      <c r="E9142" t="b">
        <f>IF(COUNTIF(D9142,"*"&amp;'Keyword Search'!$C$5&amp;"*"),TRUE,FALSE)</f>
        <v>1</v>
      </c>
      <c r="G9142" t="str">
        <f t="shared" si="578"/>
        <v>981-12: Air Conditioning Equipment and Accessories Rental or Lease</v>
      </c>
    </row>
    <row r="9143" spans="1:7" x14ac:dyDescent="0.25">
      <c r="A9143" s="1" t="str">
        <f t="shared" si="581"/>
        <v>981</v>
      </c>
      <c r="B9143" s="1" t="str">
        <f>TEXT(14,"00")</f>
        <v>14</v>
      </c>
      <c r="C9143" s="1" t="str">
        <f t="shared" si="577"/>
        <v>981-14</v>
      </c>
      <c r="D9143" t="s">
        <v>9111</v>
      </c>
      <c r="E9143" t="b">
        <f>IF(COUNTIF(D9143,"*"&amp;'Keyword Search'!$C$5&amp;"*"),TRUE,FALSE)</f>
        <v>1</v>
      </c>
      <c r="G9143" t="str">
        <f t="shared" si="578"/>
        <v>981-14: Amusement Park Ride Equipment Rental or Lease</v>
      </c>
    </row>
    <row r="9144" spans="1:7" x14ac:dyDescent="0.25">
      <c r="A9144" s="1" t="str">
        <f t="shared" si="581"/>
        <v>981</v>
      </c>
      <c r="B9144" s="1" t="str">
        <f>TEXT(16,"00")</f>
        <v>16</v>
      </c>
      <c r="C9144" s="1" t="str">
        <f t="shared" si="577"/>
        <v>981-16</v>
      </c>
      <c r="D9144" t="s">
        <v>9112</v>
      </c>
      <c r="E9144" t="b">
        <f>IF(COUNTIF(D9144,"*"&amp;'Keyword Search'!$C$5&amp;"*"),TRUE,FALSE)</f>
        <v>1</v>
      </c>
      <c r="G9144" t="str">
        <f t="shared" si="578"/>
        <v>981-16: Athletic Equipment and Sporting Goods and Accessories Rental or Lease</v>
      </c>
    </row>
    <row r="9145" spans="1:7" x14ac:dyDescent="0.25">
      <c r="A9145" s="1" t="str">
        <f t="shared" si="581"/>
        <v>981</v>
      </c>
      <c r="B9145" s="1" t="str">
        <f>TEXT(20,"00")</f>
        <v>20</v>
      </c>
      <c r="C9145" s="1" t="str">
        <f t="shared" si="577"/>
        <v>981-20</v>
      </c>
      <c r="D9145" t="s">
        <v>9113</v>
      </c>
      <c r="E9145" t="b">
        <f>IF(COUNTIF(D9145,"*"&amp;'Keyword Search'!$C$5&amp;"*"),TRUE,FALSE)</f>
        <v>1</v>
      </c>
      <c r="G9145" t="str">
        <f t="shared" si="578"/>
        <v>981-20: Book and Publication Rental or Lease</v>
      </c>
    </row>
    <row r="9146" spans="1:7" x14ac:dyDescent="0.25">
      <c r="A9146" s="1" t="str">
        <f t="shared" si="581"/>
        <v>981</v>
      </c>
      <c r="B9146" s="1" t="str">
        <f>TEXT(24,"00")</f>
        <v>24</v>
      </c>
      <c r="C9146" s="1" t="str">
        <f t="shared" si="577"/>
        <v>981-24</v>
      </c>
      <c r="D9146" t="s">
        <v>9114</v>
      </c>
      <c r="E9146" t="b">
        <f>IF(COUNTIF(D9146,"*"&amp;'Keyword Search'!$C$5&amp;"*"),TRUE,FALSE)</f>
        <v>1</v>
      </c>
      <c r="G9146" t="str">
        <f t="shared" si="578"/>
        <v>981-24: Containers, All Kinds, Including Recycling Collection Containers Rental or Lease</v>
      </c>
    </row>
    <row r="9147" spans="1:7" x14ac:dyDescent="0.25">
      <c r="A9147" s="1" t="str">
        <f t="shared" si="581"/>
        <v>981</v>
      </c>
      <c r="B9147" s="1" t="str">
        <f>TEXT(30,"00")</f>
        <v>30</v>
      </c>
      <c r="C9147" s="1" t="str">
        <f t="shared" si="577"/>
        <v>981-30</v>
      </c>
      <c r="D9147" t="s">
        <v>9115</v>
      </c>
      <c r="E9147" t="b">
        <f>IF(COUNTIF(D9147,"*"&amp;'Keyword Search'!$C$5&amp;"*"),TRUE,FALSE)</f>
        <v>1</v>
      </c>
      <c r="G9147" t="str">
        <f t="shared" si="578"/>
        <v>981-30: Electrical Equipment and Supply Rental or Lease</v>
      </c>
    </row>
    <row r="9148" spans="1:7" x14ac:dyDescent="0.25">
      <c r="A9148" s="1" t="str">
        <f t="shared" si="581"/>
        <v>981</v>
      </c>
      <c r="B9148" s="1" t="str">
        <f>TEXT(32,"00")</f>
        <v>32</v>
      </c>
      <c r="C9148" s="1" t="str">
        <f t="shared" si="577"/>
        <v>981-32</v>
      </c>
      <c r="D9148" t="s">
        <v>9116</v>
      </c>
      <c r="E9148" t="b">
        <f>IF(COUNTIF(D9148,"*"&amp;'Keyword Search'!$C$5&amp;"*"),TRUE,FALSE)</f>
        <v>1</v>
      </c>
      <c r="G9148" t="str">
        <f t="shared" si="578"/>
        <v>981-32: Energy Collecting Equipment Rental or Lease: Solar and Wind</v>
      </c>
    </row>
    <row r="9149" spans="1:7" x14ac:dyDescent="0.25">
      <c r="A9149" s="1" t="str">
        <f t="shared" si="581"/>
        <v>981</v>
      </c>
      <c r="B9149" s="1" t="str">
        <f>TEXT(36,"00")</f>
        <v>36</v>
      </c>
      <c r="C9149" s="1" t="str">
        <f t="shared" si="577"/>
        <v>981-36</v>
      </c>
      <c r="D9149" t="s">
        <v>9117</v>
      </c>
      <c r="E9149" t="b">
        <f>IF(COUNTIF(D9149,"*"&amp;'Keyword Search'!$C$5&amp;"*"),TRUE,FALSE)</f>
        <v>1</v>
      </c>
      <c r="G9149" t="str">
        <f t="shared" si="578"/>
        <v>981-36: Fencing Rental or Lease</v>
      </c>
    </row>
    <row r="9150" spans="1:7" x14ac:dyDescent="0.25">
      <c r="A9150" s="1" t="str">
        <f t="shared" si="581"/>
        <v>981</v>
      </c>
      <c r="B9150" s="1" t="str">
        <f>TEXT(38,"00")</f>
        <v>38</v>
      </c>
      <c r="C9150" s="1" t="str">
        <f t="shared" si="577"/>
        <v>981-38</v>
      </c>
      <c r="D9150" t="s">
        <v>9118</v>
      </c>
      <c r="E9150" t="b">
        <f>IF(COUNTIF(D9150,"*"&amp;'Keyword Search'!$C$5&amp;"*"),TRUE,FALSE)</f>
        <v>1</v>
      </c>
      <c r="G9150" t="str">
        <f t="shared" si="578"/>
        <v>981-38: Fire Protection Systems and Supplies Rental or Lease</v>
      </c>
    </row>
    <row r="9151" spans="1:7" x14ac:dyDescent="0.25">
      <c r="A9151" s="1" t="str">
        <f t="shared" si="581"/>
        <v>981</v>
      </c>
      <c r="B9151" s="1" t="str">
        <f>TEXT(39,"00")</f>
        <v>39</v>
      </c>
      <c r="C9151" s="1" t="str">
        <f t="shared" si="577"/>
        <v>981-39</v>
      </c>
      <c r="D9151" t="s">
        <v>9119</v>
      </c>
      <c r="E9151" t="b">
        <f>IF(COUNTIF(D9151,"*"&amp;'Keyword Search'!$C$5&amp;"*"),TRUE,FALSE)</f>
        <v>1</v>
      </c>
      <c r="G9151" t="str">
        <f t="shared" si="578"/>
        <v>981-39: Fishing, Hunting, and Camping Equipment Rental or Lease</v>
      </c>
    </row>
    <row r="9152" spans="1:7" x14ac:dyDescent="0.25">
      <c r="A9152" s="1" t="str">
        <f t="shared" si="581"/>
        <v>981</v>
      </c>
      <c r="B9152" s="1" t="str">
        <f>TEXT(40,"00")</f>
        <v>40</v>
      </c>
      <c r="C9152" s="1" t="str">
        <f t="shared" si="577"/>
        <v>981-40</v>
      </c>
      <c r="D9152" t="s">
        <v>9120</v>
      </c>
      <c r="E9152" t="b">
        <f>IF(COUNTIF(D9152,"*"&amp;'Keyword Search'!$C$5&amp;"*"),TRUE,FALSE)</f>
        <v>1</v>
      </c>
      <c r="G9152" t="str">
        <f t="shared" si="578"/>
        <v>981-40: Garden, Greenhouse, and Nursery Equipment Rental or Lease</v>
      </c>
    </row>
    <row r="9153" spans="1:7" x14ac:dyDescent="0.25">
      <c r="A9153" s="1" t="str">
        <f t="shared" si="581"/>
        <v>981</v>
      </c>
      <c r="B9153" s="1" t="str">
        <f>TEXT(41,"00")</f>
        <v>41</v>
      </c>
      <c r="C9153" s="1" t="str">
        <f t="shared" si="577"/>
        <v>981-41</v>
      </c>
      <c r="D9153" t="s">
        <v>9121</v>
      </c>
      <c r="E9153" t="b">
        <f>IF(COUNTIF(D9153,"*"&amp;'Keyword Search'!$C$5&amp;"*"),TRUE,FALSE)</f>
        <v>1</v>
      </c>
      <c r="G9153" t="str">
        <f t="shared" si="578"/>
        <v>981-41: Gas Equipment Rental or Lease</v>
      </c>
    </row>
    <row r="9154" spans="1:7" x14ac:dyDescent="0.25">
      <c r="A9154" s="1" t="str">
        <f t="shared" si="581"/>
        <v>981</v>
      </c>
      <c r="B9154" s="1" t="str">
        <f>TEXT(43,"00")</f>
        <v>43</v>
      </c>
      <c r="C9154" s="1" t="str">
        <f t="shared" si="577"/>
        <v>981-43</v>
      </c>
      <c r="D9154" t="s">
        <v>9122</v>
      </c>
      <c r="E9154" t="b">
        <f>IF(COUNTIF(D9154,"*"&amp;'Keyword Search'!$C$5&amp;"*"),TRUE,FALSE)</f>
        <v>1</v>
      </c>
      <c r="G9154" t="str">
        <f t="shared" si="578"/>
        <v>981-43: Generator Rental or Lease and Maintenance Services</v>
      </c>
    </row>
    <row r="9155" spans="1:7" x14ac:dyDescent="0.25">
      <c r="A9155" s="1" t="str">
        <f t="shared" si="581"/>
        <v>981</v>
      </c>
      <c r="B9155" s="1" t="str">
        <f>TEXT(46,"00")</f>
        <v>46</v>
      </c>
      <c r="C9155" s="1" t="str">
        <f t="shared" ref="C9155:C9218" si="582">CONCATENATE(A9155,"-",B9155)</f>
        <v>981-46</v>
      </c>
      <c r="D9155" t="s">
        <v>9123</v>
      </c>
      <c r="E9155" t="b">
        <f>IF(COUNTIF(D9155,"*"&amp;'Keyword Search'!$C$5&amp;"*"),TRUE,FALSE)</f>
        <v>1</v>
      </c>
      <c r="G9155" t="str">
        <f t="shared" si="578"/>
        <v>981-46: Guard Dog Rental or Lease</v>
      </c>
    </row>
    <row r="9156" spans="1:7" x14ac:dyDescent="0.25">
      <c r="A9156" s="1" t="str">
        <f t="shared" si="581"/>
        <v>981</v>
      </c>
      <c r="B9156" s="1" t="str">
        <f>TEXT(47,"00")</f>
        <v>47</v>
      </c>
      <c r="C9156" s="1" t="str">
        <f t="shared" si="582"/>
        <v>981-47</v>
      </c>
      <c r="D9156" t="s">
        <v>9124</v>
      </c>
      <c r="E9156" t="b">
        <f>IF(COUNTIF(D9156,"*"&amp;'Keyword Search'!$C$5&amp;"*"),TRUE,FALSE)</f>
        <v>1</v>
      </c>
      <c r="G9156" t="str">
        <f t="shared" ref="G9156:G9219" si="583">CONCATENATE(C9156,": ",D9156)</f>
        <v>981-47: Heating Units, Ventilating Equipment, and Accessories Rental or Lease</v>
      </c>
    </row>
    <row r="9157" spans="1:7" x14ac:dyDescent="0.25">
      <c r="A9157" s="1" t="str">
        <f t="shared" si="581"/>
        <v>981</v>
      </c>
      <c r="B9157" s="1" t="str">
        <f>TEXT(49,"00")</f>
        <v>49</v>
      </c>
      <c r="C9157" s="1" t="str">
        <f t="shared" si="582"/>
        <v>981-49</v>
      </c>
      <c r="D9157" t="s">
        <v>9125</v>
      </c>
      <c r="E9157" t="b">
        <f>IF(COUNTIF(D9157,"*"&amp;'Keyword Search'!$C$5&amp;"*"),TRUE,FALSE)</f>
        <v>1</v>
      </c>
      <c r="G9157" t="str">
        <f t="shared" si="583"/>
        <v>981-49: Irrigation Systems Rental or Lease (See 975-08 for Farm Type)</v>
      </c>
    </row>
    <row r="9158" spans="1:7" x14ac:dyDescent="0.25">
      <c r="A9158" s="1" t="str">
        <f t="shared" si="581"/>
        <v>981</v>
      </c>
      <c r="B9158" s="1" t="str">
        <f>TEXT(52,"00")</f>
        <v>52</v>
      </c>
      <c r="C9158" s="1" t="str">
        <f t="shared" si="582"/>
        <v>981-52</v>
      </c>
      <c r="D9158" t="s">
        <v>9126</v>
      </c>
      <c r="E9158" t="b">
        <f>IF(COUNTIF(D9158,"*"&amp;'Keyword Search'!$C$5&amp;"*"),TRUE,FALSE)</f>
        <v>1</v>
      </c>
      <c r="G9158" t="str">
        <f t="shared" si="583"/>
        <v>981-52: Meeting Room Equipment and Accessories, Rental or Lease</v>
      </c>
    </row>
    <row r="9159" spans="1:7" x14ac:dyDescent="0.25">
      <c r="A9159" s="1" t="str">
        <f t="shared" si="581"/>
        <v>981</v>
      </c>
      <c r="B9159" s="1" t="str">
        <f>TEXT(54,"00")</f>
        <v>54</v>
      </c>
      <c r="C9159" s="1" t="str">
        <f t="shared" si="582"/>
        <v>981-54</v>
      </c>
      <c r="D9159" t="s">
        <v>9127</v>
      </c>
      <c r="E9159" t="b">
        <f>IF(COUNTIF(D9159,"*"&amp;'Keyword Search'!$C$5&amp;"*"),TRUE,FALSE)</f>
        <v>1</v>
      </c>
      <c r="G9159" t="str">
        <f t="shared" si="583"/>
        <v>981-54: Plumbing Equipment Rental or Lease</v>
      </c>
    </row>
    <row r="9160" spans="1:7" x14ac:dyDescent="0.25">
      <c r="A9160" s="1" t="str">
        <f t="shared" si="581"/>
        <v>981</v>
      </c>
      <c r="B9160" s="1" t="str">
        <f>TEXT(56,"00")</f>
        <v>56</v>
      </c>
      <c r="C9160" s="1" t="str">
        <f t="shared" si="582"/>
        <v>981-56</v>
      </c>
      <c r="D9160" t="s">
        <v>9128</v>
      </c>
      <c r="E9160" t="b">
        <f>IF(COUNTIF(D9160,"*"&amp;'Keyword Search'!$C$5&amp;"*"),TRUE,FALSE)</f>
        <v>1</v>
      </c>
      <c r="G9160" t="str">
        <f t="shared" si="583"/>
        <v>981-56: Police Equipment Supplies Rental or Lease</v>
      </c>
    </row>
    <row r="9161" spans="1:7" x14ac:dyDescent="0.25">
      <c r="A9161" s="1" t="str">
        <f t="shared" si="581"/>
        <v>981</v>
      </c>
      <c r="B9161" s="1" t="str">
        <f>TEXT(57,"00")</f>
        <v>57</v>
      </c>
      <c r="C9161" s="1" t="str">
        <f t="shared" si="582"/>
        <v>981-57</v>
      </c>
      <c r="D9161" t="s">
        <v>9129</v>
      </c>
      <c r="E9161" t="b">
        <f>IF(COUNTIF(D9161,"*"&amp;'Keyword Search'!$C$5&amp;"*"),TRUE,FALSE)</f>
        <v>1</v>
      </c>
      <c r="G9161" t="str">
        <f t="shared" si="583"/>
        <v>981-57: Pumps and Pump Accessory Rental or Lease</v>
      </c>
    </row>
    <row r="9162" spans="1:7" x14ac:dyDescent="0.25">
      <c r="A9162" s="1" t="str">
        <f t="shared" si="581"/>
        <v>981</v>
      </c>
      <c r="B9162" s="1" t="str">
        <f>TEXT(61,"00")</f>
        <v>61</v>
      </c>
      <c r="C9162" s="1" t="str">
        <f t="shared" si="582"/>
        <v>981-61</v>
      </c>
      <c r="D9162" t="s">
        <v>9130</v>
      </c>
      <c r="E9162" t="b">
        <f>IF(COUNTIF(D9162,"*"&amp;'Keyword Search'!$C$5&amp;"*"),TRUE,FALSE)</f>
        <v>1</v>
      </c>
      <c r="G9162" t="str">
        <f t="shared" si="583"/>
        <v>981-61: Recreational, Park, Picnic and Playground Equipment and Accessories Rental or Lease</v>
      </c>
    </row>
    <row r="9163" spans="1:7" x14ac:dyDescent="0.25">
      <c r="A9163" s="1" t="str">
        <f t="shared" si="581"/>
        <v>981</v>
      </c>
      <c r="B9163" s="1" t="str">
        <f>TEXT(65,"00")</f>
        <v>65</v>
      </c>
      <c r="C9163" s="1" t="str">
        <f t="shared" si="582"/>
        <v>981-65</v>
      </c>
      <c r="D9163" t="s">
        <v>9131</v>
      </c>
      <c r="E9163" t="b">
        <f>IF(COUNTIF(D9163,"*"&amp;'Keyword Search'!$C$5&amp;"*"),TRUE,FALSE)</f>
        <v>1</v>
      </c>
      <c r="G9163" t="str">
        <f t="shared" si="583"/>
        <v>981-65: School Equipment and Supplies Rental or Lease</v>
      </c>
    </row>
    <row r="9164" spans="1:7" x14ac:dyDescent="0.25">
      <c r="A9164" s="1" t="str">
        <f t="shared" si="581"/>
        <v>981</v>
      </c>
      <c r="B9164" s="1" t="str">
        <f>TEXT(66,"00")</f>
        <v>66</v>
      </c>
      <c r="C9164" s="1" t="str">
        <f t="shared" si="582"/>
        <v>981-66</v>
      </c>
      <c r="D9164" t="s">
        <v>9132</v>
      </c>
      <c r="E9164" t="b">
        <f>IF(COUNTIF(D9164,"*"&amp;'Keyword Search'!$C$5&amp;"*"),TRUE,FALSE)</f>
        <v>1</v>
      </c>
      <c r="G9164" t="str">
        <f t="shared" si="583"/>
        <v>981-66: Security and Access Systems, Airport, Library, Hospitals, etc. Rental or Lease</v>
      </c>
    </row>
    <row r="9165" spans="1:7" x14ac:dyDescent="0.25">
      <c r="A9165" s="1" t="str">
        <f t="shared" si="581"/>
        <v>981</v>
      </c>
      <c r="B9165" s="1" t="str">
        <f>TEXT(68,"00")</f>
        <v>68</v>
      </c>
      <c r="C9165" s="1" t="str">
        <f t="shared" si="582"/>
        <v>981-68</v>
      </c>
      <c r="D9165" t="s">
        <v>9133</v>
      </c>
      <c r="E9165" t="b">
        <f>IF(COUNTIF(D9165,"*"&amp;'Keyword Search'!$C$5&amp;"*"),TRUE,FALSE)</f>
        <v>1</v>
      </c>
      <c r="G9165" t="str">
        <f t="shared" si="583"/>
        <v>981-68: Steam Boilers, Steam Heating, and Power Plant Items Rental or Lease</v>
      </c>
    </row>
    <row r="9166" spans="1:7" x14ac:dyDescent="0.25">
      <c r="A9166" s="1" t="str">
        <f t="shared" si="581"/>
        <v>981</v>
      </c>
      <c r="B9166" s="1" t="str">
        <f>TEXT(69,"00")</f>
        <v>69</v>
      </c>
      <c r="C9166" s="1" t="str">
        <f t="shared" si="582"/>
        <v>981-69</v>
      </c>
      <c r="D9166" t="s">
        <v>9134</v>
      </c>
      <c r="E9166" t="b">
        <f>IF(COUNTIF(D9166,"*"&amp;'Keyword Search'!$C$5&amp;"*"),TRUE,FALSE)</f>
        <v>1</v>
      </c>
      <c r="G9166" t="str">
        <f t="shared" si="583"/>
        <v>981-69: Storage Tank Rental or Lease</v>
      </c>
    </row>
    <row r="9167" spans="1:7" x14ac:dyDescent="0.25">
      <c r="A9167" s="1" t="str">
        <f t="shared" si="581"/>
        <v>981</v>
      </c>
      <c r="B9167" s="1" t="str">
        <f>TEXT(72,"00")</f>
        <v>72</v>
      </c>
      <c r="C9167" s="1" t="str">
        <f t="shared" si="582"/>
        <v>981-72</v>
      </c>
      <c r="D9167" t="s">
        <v>9135</v>
      </c>
      <c r="E9167" t="b">
        <f>IF(COUNTIF(D9167,"*"&amp;'Keyword Search'!$C$5&amp;"*"),TRUE,FALSE)</f>
        <v>1</v>
      </c>
      <c r="G9167" t="str">
        <f t="shared" si="583"/>
        <v>981-72: Tents, Tarpaulins and Supplies Rental or Lease</v>
      </c>
    </row>
    <row r="9168" spans="1:7" x14ac:dyDescent="0.25">
      <c r="A9168" s="1" t="str">
        <f t="shared" si="581"/>
        <v>981</v>
      </c>
      <c r="B9168" s="1" t="str">
        <f>TEXT(73,"00")</f>
        <v>73</v>
      </c>
      <c r="C9168" s="1" t="str">
        <f t="shared" si="582"/>
        <v>981-73</v>
      </c>
      <c r="D9168" t="s">
        <v>9136</v>
      </c>
      <c r="E9168" t="b">
        <f>IF(COUNTIF(D9168,"*"&amp;'Keyword Search'!$C$5&amp;"*"),TRUE,FALSE)</f>
        <v>1</v>
      </c>
      <c r="G9168" t="str">
        <f t="shared" si="583"/>
        <v>981-73: Timepieces Rental or Lease</v>
      </c>
    </row>
    <row r="9169" spans="1:7" x14ac:dyDescent="0.25">
      <c r="A9169" s="1" t="str">
        <f t="shared" si="581"/>
        <v>981</v>
      </c>
      <c r="B9169" s="1" t="str">
        <f>TEXT(74,"00")</f>
        <v>74</v>
      </c>
      <c r="C9169" s="1" t="str">
        <f t="shared" si="582"/>
        <v>981-74</v>
      </c>
      <c r="D9169" t="s">
        <v>9137</v>
      </c>
      <c r="E9169" t="b">
        <f>IF(COUNTIF(D9169,"*"&amp;'Keyword Search'!$C$5&amp;"*"),TRUE,FALSE)</f>
        <v>1</v>
      </c>
      <c r="G9169" t="str">
        <f t="shared" si="583"/>
        <v>981-74: Theatrical Equipment and Supplies, Including Costumes Rental or Lease</v>
      </c>
    </row>
    <row r="9170" spans="1:7" x14ac:dyDescent="0.25">
      <c r="A9170" s="1" t="str">
        <f t="shared" si="581"/>
        <v>981</v>
      </c>
      <c r="B9170" s="1" t="str">
        <f>TEXT(76,"00")</f>
        <v>76</v>
      </c>
      <c r="C9170" s="1" t="str">
        <f t="shared" si="582"/>
        <v>981-76</v>
      </c>
      <c r="D9170" t="s">
        <v>9138</v>
      </c>
      <c r="E9170" t="b">
        <f>IF(COUNTIF(D9170,"*"&amp;'Keyword Search'!$C$5&amp;"*"),TRUE,FALSE)</f>
        <v>1</v>
      </c>
      <c r="G9170" t="str">
        <f t="shared" si="583"/>
        <v>981-76: Traffic Control Equipment and Accessories Rental or Lease</v>
      </c>
    </row>
    <row r="9171" spans="1:7" x14ac:dyDescent="0.25">
      <c r="A9171" s="1" t="str">
        <f t="shared" si="581"/>
        <v>981</v>
      </c>
      <c r="B9171" s="1" t="str">
        <f>TEXT(82,"00")</f>
        <v>82</v>
      </c>
      <c r="C9171" s="1" t="str">
        <f t="shared" si="582"/>
        <v>981-82</v>
      </c>
      <c r="D9171" t="s">
        <v>9139</v>
      </c>
      <c r="E9171" t="b">
        <f>IF(COUNTIF(D9171,"*"&amp;'Keyword Search'!$C$5&amp;"*"),TRUE,FALSE)</f>
        <v>1</v>
      </c>
      <c r="G9171" t="str">
        <f t="shared" si="583"/>
        <v>981-82: Weather Instrument, Equipment, and Accessory, Rental or Lease</v>
      </c>
    </row>
    <row r="9172" spans="1:7" x14ac:dyDescent="0.25">
      <c r="A9172" s="1" t="str">
        <f t="shared" si="581"/>
        <v>981</v>
      </c>
      <c r="B9172" s="1" t="str">
        <f>TEXT(83,"00")</f>
        <v>83</v>
      </c>
      <c r="C9172" s="1" t="str">
        <f t="shared" si="582"/>
        <v>981-83</v>
      </c>
      <c r="D9172" t="s">
        <v>9140</v>
      </c>
      <c r="E9172" t="b">
        <f>IF(COUNTIF(D9172,"*"&amp;'Keyword Search'!$C$5&amp;"*"),TRUE,FALSE)</f>
        <v>1</v>
      </c>
      <c r="G9172" t="str">
        <f t="shared" si="583"/>
        <v>981-83: Washers, Pressure, All Types Rental or Lease</v>
      </c>
    </row>
    <row r="9173" spans="1:7" x14ac:dyDescent="0.25">
      <c r="A9173" s="1" t="str">
        <f t="shared" si="581"/>
        <v>981</v>
      </c>
      <c r="B9173" s="1" t="str">
        <f>TEXT(84,"00")</f>
        <v>84</v>
      </c>
      <c r="C9173" s="1" t="str">
        <f t="shared" si="582"/>
        <v>981-84</v>
      </c>
      <c r="D9173" t="s">
        <v>9141</v>
      </c>
      <c r="E9173" t="b">
        <f>IF(COUNTIF(D9173,"*"&amp;'Keyword Search'!$C$5&amp;"*"),TRUE,FALSE)</f>
        <v>1</v>
      </c>
      <c r="G9173" t="str">
        <f t="shared" si="583"/>
        <v>981-84: Water and Sewer Equipment, Including Well Pointing Equipment Rental or Lease</v>
      </c>
    </row>
    <row r="9174" spans="1:7" x14ac:dyDescent="0.25">
      <c r="A9174" s="1" t="str">
        <f t="shared" si="581"/>
        <v>981</v>
      </c>
      <c r="B9174" s="1" t="str">
        <f>TEXT(85,"00")</f>
        <v>85</v>
      </c>
      <c r="C9174" s="1" t="str">
        <f t="shared" si="582"/>
        <v>981-85</v>
      </c>
      <c r="D9174" t="s">
        <v>9142</v>
      </c>
      <c r="E9174" t="b">
        <f>IF(COUNTIF(D9174,"*"&amp;'Keyword Search'!$C$5&amp;"*"),TRUE,FALSE)</f>
        <v>1</v>
      </c>
      <c r="G9174" t="str">
        <f t="shared" si="583"/>
        <v>981-85: Welding Equipment and Supplies Rental or Lease</v>
      </c>
    </row>
    <row r="9175" spans="1:7" x14ac:dyDescent="0.25">
      <c r="A9175" s="5" t="str">
        <f t="shared" ref="A9175:A9188" si="584">TEXT(983,"000")</f>
        <v>983</v>
      </c>
      <c r="B9175" s="5" t="str">
        <f>TEXT(0,"00")</f>
        <v>00</v>
      </c>
      <c r="C9175" s="1"/>
      <c r="D9175" s="2" t="s">
        <v>9143</v>
      </c>
    </row>
    <row r="9176" spans="1:7" x14ac:dyDescent="0.25">
      <c r="A9176" s="1" t="str">
        <f t="shared" si="584"/>
        <v>983</v>
      </c>
      <c r="B9176" s="1" t="str">
        <f>TEXT(18,"00")</f>
        <v>18</v>
      </c>
      <c r="C9176" s="1" t="str">
        <f t="shared" si="582"/>
        <v>983-18</v>
      </c>
      <c r="D9176" t="s">
        <v>9144</v>
      </c>
      <c r="E9176" t="b">
        <f>IF(COUNTIF(D9176,"*"&amp;'Keyword Search'!$C$5&amp;"*"),TRUE,FALSE)</f>
        <v>1</v>
      </c>
      <c r="G9176" t="str">
        <f t="shared" si="583"/>
        <v>983-18: Broom, Brush, and Mop Manufacturing Machinery Rental or Lease</v>
      </c>
    </row>
    <row r="9177" spans="1:7" x14ac:dyDescent="0.25">
      <c r="A9177" s="1" t="str">
        <f t="shared" si="584"/>
        <v>983</v>
      </c>
      <c r="B9177" s="1" t="str">
        <f>TEXT(22,"00")</f>
        <v>22</v>
      </c>
      <c r="C9177" s="1" t="str">
        <f t="shared" si="582"/>
        <v>983-22</v>
      </c>
      <c r="D9177" t="s">
        <v>9145</v>
      </c>
      <c r="E9177" t="b">
        <f>IF(COUNTIF(D9177,"*"&amp;'Keyword Search'!$C$5&amp;"*"),TRUE,FALSE)</f>
        <v>1</v>
      </c>
      <c r="G9177" t="str">
        <f t="shared" si="583"/>
        <v>983-22: Clothing, Including Formal Wear and Diapers Rental or Lease</v>
      </c>
    </row>
    <row r="9178" spans="1:7" x14ac:dyDescent="0.25">
      <c r="A9178" s="1" t="str">
        <f t="shared" si="584"/>
        <v>983</v>
      </c>
      <c r="B9178" s="1" t="str">
        <f>TEXT(34,"00")</f>
        <v>34</v>
      </c>
      <c r="C9178" s="1" t="str">
        <f t="shared" si="582"/>
        <v>983-34</v>
      </c>
      <c r="D9178" t="s">
        <v>9146</v>
      </c>
      <c r="E9178" t="b">
        <f>IF(COUNTIF(D9178,"*"&amp;'Keyword Search'!$C$5&amp;"*"),TRUE,FALSE)</f>
        <v>1</v>
      </c>
      <c r="G9178" t="str">
        <f t="shared" si="583"/>
        <v>983-34: Floor Maintenance Machine Rental or Lease</v>
      </c>
    </row>
    <row r="9179" spans="1:7" x14ac:dyDescent="0.25">
      <c r="A9179" s="1" t="str">
        <f t="shared" si="584"/>
        <v>983</v>
      </c>
      <c r="B9179" s="1" t="str">
        <f>TEXT(38,"00")</f>
        <v>38</v>
      </c>
      <c r="C9179" s="1" t="str">
        <f t="shared" si="582"/>
        <v>983-38</v>
      </c>
      <c r="D9179" t="s">
        <v>9147</v>
      </c>
      <c r="E9179" t="b">
        <f>IF(COUNTIF(D9179,"*"&amp;'Keyword Search'!$C$5&amp;"*"),TRUE,FALSE)</f>
        <v>1</v>
      </c>
      <c r="G9179" t="str">
        <f t="shared" si="583"/>
        <v>983-38: Janitorial Equipment Rental or Lease</v>
      </c>
    </row>
    <row r="9180" spans="1:7" x14ac:dyDescent="0.25">
      <c r="A9180" s="1" t="str">
        <f t="shared" si="584"/>
        <v>983</v>
      </c>
      <c r="B9180" s="1" t="str">
        <f>TEXT(45,"00")</f>
        <v>45</v>
      </c>
      <c r="C9180" s="1" t="str">
        <f t="shared" si="582"/>
        <v>983-45</v>
      </c>
      <c r="D9180" t="s">
        <v>9148</v>
      </c>
      <c r="E9180" t="b">
        <f>IF(COUNTIF(D9180,"*"&amp;'Keyword Search'!$C$5&amp;"*"),TRUE,FALSE)</f>
        <v>1</v>
      </c>
      <c r="G9180" t="str">
        <f t="shared" si="583"/>
        <v>983-45: Laundry and Dry Cleaning Equipment, Commercial, Rental or Lease</v>
      </c>
    </row>
    <row r="9181" spans="1:7" x14ac:dyDescent="0.25">
      <c r="A9181" s="1" t="str">
        <f t="shared" si="584"/>
        <v>983</v>
      </c>
      <c r="B9181" s="1" t="str">
        <f>TEXT(47,"00")</f>
        <v>47</v>
      </c>
      <c r="C9181" s="1" t="str">
        <f t="shared" si="582"/>
        <v>983-47</v>
      </c>
      <c r="D9181" t="s">
        <v>9149</v>
      </c>
      <c r="E9181" t="b">
        <f>IF(COUNTIF(D9181,"*"&amp;'Keyword Search'!$C$5&amp;"*"),TRUE,FALSE)</f>
        <v>1</v>
      </c>
      <c r="G9181" t="str">
        <f t="shared" si="583"/>
        <v>983-47: Lawn Equipment Rental or Lease</v>
      </c>
    </row>
    <row r="9182" spans="1:7" x14ac:dyDescent="0.25">
      <c r="A9182" s="1" t="str">
        <f t="shared" si="584"/>
        <v>983</v>
      </c>
      <c r="B9182" s="1" t="str">
        <f>TEXT(55,"00")</f>
        <v>55</v>
      </c>
      <c r="C9182" s="1" t="str">
        <f t="shared" si="582"/>
        <v>983-55</v>
      </c>
      <c r="D9182" t="s">
        <v>9150</v>
      </c>
      <c r="E9182" t="b">
        <f>IF(COUNTIF(D9182,"*"&amp;'Keyword Search'!$C$5&amp;"*"),TRUE,FALSE)</f>
        <v>1</v>
      </c>
      <c r="G9182" t="str">
        <f t="shared" si="583"/>
        <v>983-55: Painting Equipment and Supplies Rental or Lease</v>
      </c>
    </row>
    <row r="9183" spans="1:7" x14ac:dyDescent="0.25">
      <c r="A9183" s="1" t="str">
        <f t="shared" si="584"/>
        <v>983</v>
      </c>
      <c r="B9183" s="1" t="str">
        <f>TEXT(64,"00")</f>
        <v>64</v>
      </c>
      <c r="C9183" s="1" t="str">
        <f t="shared" si="582"/>
        <v>983-64</v>
      </c>
      <c r="D9183" t="s">
        <v>9151</v>
      </c>
      <c r="E9183" t="b">
        <f>IF(COUNTIF(D9183,"*"&amp;'Keyword Search'!$C$5&amp;"*"),TRUE,FALSE)</f>
        <v>1</v>
      </c>
      <c r="G9183" t="str">
        <f t="shared" si="583"/>
        <v>983-64: Robes, Caps, and Gowns, Choir and Graduation, Rental or Lease</v>
      </c>
    </row>
    <row r="9184" spans="1:7" x14ac:dyDescent="0.25">
      <c r="A9184" s="1" t="str">
        <f t="shared" si="584"/>
        <v>983</v>
      </c>
      <c r="B9184" s="1" t="str">
        <f>TEXT(68,"00")</f>
        <v>68</v>
      </c>
      <c r="C9184" s="1" t="str">
        <f t="shared" si="582"/>
        <v>983-68</v>
      </c>
      <c r="D9184" t="s">
        <v>9152</v>
      </c>
      <c r="E9184" t="b">
        <f>IF(COUNTIF(D9184,"*"&amp;'Keyword Search'!$C$5&amp;"*"),TRUE,FALSE)</f>
        <v>1</v>
      </c>
      <c r="G9184" t="str">
        <f t="shared" si="583"/>
        <v>983-68: Spraying Equipment Rental or Lease</v>
      </c>
    </row>
    <row r="9185" spans="1:7" x14ac:dyDescent="0.25">
      <c r="A9185" s="1" t="str">
        <f t="shared" si="584"/>
        <v>983</v>
      </c>
      <c r="B9185" s="1" t="str">
        <f>TEXT(77,"00")</f>
        <v>77</v>
      </c>
      <c r="C9185" s="1" t="str">
        <f t="shared" si="582"/>
        <v>983-77</v>
      </c>
      <c r="D9185" t="s">
        <v>9153</v>
      </c>
      <c r="E9185" t="b">
        <f>IF(COUNTIF(D9185,"*"&amp;'Keyword Search'!$C$5&amp;"*"),TRUE,FALSE)</f>
        <v>1</v>
      </c>
      <c r="G9185" t="str">
        <f t="shared" si="583"/>
        <v>983-77: Textiles, Linens, etc. Including Shop Towels, Rental or Lease</v>
      </c>
    </row>
    <row r="9186" spans="1:7" x14ac:dyDescent="0.25">
      <c r="A9186" s="1" t="str">
        <f t="shared" si="584"/>
        <v>983</v>
      </c>
      <c r="B9186" s="1" t="str">
        <f>TEXT(79,"00")</f>
        <v>79</v>
      </c>
      <c r="C9186" s="1" t="str">
        <f t="shared" si="582"/>
        <v>983-79</v>
      </c>
      <c r="D9186" t="s">
        <v>9154</v>
      </c>
      <c r="E9186" t="b">
        <f>IF(COUNTIF(D9186,"*"&amp;'Keyword Search'!$C$5&amp;"*"),TRUE,FALSE)</f>
        <v>1</v>
      </c>
      <c r="G9186" t="str">
        <f t="shared" si="583"/>
        <v>983-79: Treated and Dry Mops and Rugs, Including Floor Mats, Rental or Lease</v>
      </c>
    </row>
    <row r="9187" spans="1:7" x14ac:dyDescent="0.25">
      <c r="A9187" s="1" t="str">
        <f t="shared" si="584"/>
        <v>983</v>
      </c>
      <c r="B9187" s="1" t="str">
        <f>TEXT(80,"00")</f>
        <v>80</v>
      </c>
      <c r="C9187" s="1" t="str">
        <f t="shared" si="582"/>
        <v>983-80</v>
      </c>
      <c r="D9187" t="s">
        <v>9155</v>
      </c>
      <c r="E9187" t="b">
        <f>IF(COUNTIF(D9187,"*"&amp;'Keyword Search'!$C$5&amp;"*"),TRUE,FALSE)</f>
        <v>1</v>
      </c>
      <c r="G9187" t="str">
        <f t="shared" si="583"/>
        <v>983-80: Treated and Dry Sweeping and Dust Cloth Rental or Lease</v>
      </c>
    </row>
    <row r="9188" spans="1:7" x14ac:dyDescent="0.25">
      <c r="A9188" s="1" t="str">
        <f t="shared" si="584"/>
        <v>983</v>
      </c>
      <c r="B9188" s="1" t="str">
        <f>TEXT(86,"00")</f>
        <v>86</v>
      </c>
      <c r="C9188" s="1" t="str">
        <f t="shared" si="582"/>
        <v>983-86</v>
      </c>
      <c r="D9188" t="s">
        <v>9156</v>
      </c>
      <c r="E9188" t="b">
        <f>IF(COUNTIF(D9188,"*"&amp;'Keyword Search'!$C$5&amp;"*"),TRUE,FALSE)</f>
        <v>1</v>
      </c>
      <c r="G9188" t="str">
        <f t="shared" si="583"/>
        <v>983-86: Uniform Rental or Lease</v>
      </c>
    </row>
    <row r="9189" spans="1:7" x14ac:dyDescent="0.25">
      <c r="A9189" s="5" t="str">
        <f t="shared" ref="A9189:A9204" si="585">TEXT(984,"000")</f>
        <v>984</v>
      </c>
      <c r="B9189" s="5" t="str">
        <f>TEXT(0,"00")</f>
        <v>00</v>
      </c>
      <c r="C9189" s="1"/>
      <c r="D9189" s="2" t="s">
        <v>9157</v>
      </c>
    </row>
    <row r="9190" spans="1:7" x14ac:dyDescent="0.25">
      <c r="A9190" s="1" t="str">
        <f t="shared" si="585"/>
        <v>984</v>
      </c>
      <c r="B9190" s="1" t="str">
        <f>TEXT(12,"00")</f>
        <v>12</v>
      </c>
      <c r="C9190" s="1" t="str">
        <f t="shared" si="582"/>
        <v>984-12</v>
      </c>
      <c r="D9190" t="s">
        <v>9158</v>
      </c>
      <c r="E9190" t="b">
        <f>IF(COUNTIF(D9190,"*"&amp;'Keyword Search'!$C$5&amp;"*"),TRUE,FALSE)</f>
        <v>1</v>
      </c>
      <c r="G9190" t="str">
        <f t="shared" si="583"/>
        <v>984-12: *Bursters, Decollators, Detachers, etc., Rental or Lease</v>
      </c>
    </row>
    <row r="9191" spans="1:7" x14ac:dyDescent="0.25">
      <c r="A9191" s="1" t="str">
        <f t="shared" si="585"/>
        <v>984</v>
      </c>
      <c r="B9191" s="1" t="str">
        <f>TEXT(19,"00")</f>
        <v>19</v>
      </c>
      <c r="C9191" s="1" t="str">
        <f t="shared" si="582"/>
        <v>984-19</v>
      </c>
      <c r="D9191" t="s">
        <v>9159</v>
      </c>
      <c r="E9191" t="b">
        <f>IF(COUNTIF(D9191,"*"&amp;'Keyword Search'!$C$5&amp;"*"),TRUE,FALSE)</f>
        <v>1</v>
      </c>
      <c r="G9191" t="str">
        <f t="shared" si="583"/>
        <v>984-19: *Communication Boards, Control Units, Modems, Processors and Protocol Converters, etc., Rental or Lease</v>
      </c>
    </row>
    <row r="9192" spans="1:7" x14ac:dyDescent="0.25">
      <c r="A9192" s="1" t="str">
        <f t="shared" si="585"/>
        <v>984</v>
      </c>
      <c r="B9192" s="1" t="str">
        <f>TEXT(23,"00")</f>
        <v>23</v>
      </c>
      <c r="C9192" s="1" t="str">
        <f t="shared" si="582"/>
        <v>984-23</v>
      </c>
      <c r="D9192" t="s">
        <v>9160</v>
      </c>
      <c r="E9192" t="b">
        <f>IF(COUNTIF(D9192,"*"&amp;'Keyword Search'!$C$5&amp;"*"),TRUE,FALSE)</f>
        <v>1</v>
      </c>
      <c r="G9192" t="str">
        <f t="shared" si="583"/>
        <v>984-23: *Computers, Microcomputer, Rental or Lease</v>
      </c>
    </row>
    <row r="9193" spans="1:7" x14ac:dyDescent="0.25">
      <c r="A9193" s="1" t="str">
        <f t="shared" si="585"/>
        <v>984</v>
      </c>
      <c r="B9193" s="1" t="str">
        <f>TEXT(24,"00")</f>
        <v>24</v>
      </c>
      <c r="C9193" s="1" t="str">
        <f t="shared" si="582"/>
        <v>984-24</v>
      </c>
      <c r="D9193" t="s">
        <v>9161</v>
      </c>
      <c r="E9193" t="b">
        <f>IF(COUNTIF(D9193,"*"&amp;'Keyword Search'!$C$5&amp;"*"),TRUE,FALSE)</f>
        <v>1</v>
      </c>
      <c r="G9193" t="str">
        <f t="shared" si="583"/>
        <v>984-24: Computers, Microcomputer, Handheld, Laptop and Notebook, Rental or Lease</v>
      </c>
    </row>
    <row r="9194" spans="1:7" x14ac:dyDescent="0.25">
      <c r="A9194" s="1" t="str">
        <f t="shared" si="585"/>
        <v>984</v>
      </c>
      <c r="B9194" s="1" t="str">
        <f>TEXT(26,"00")</f>
        <v>26</v>
      </c>
      <c r="C9194" s="1" t="str">
        <f t="shared" si="582"/>
        <v>984-26</v>
      </c>
      <c r="D9194" t="s">
        <v>9162</v>
      </c>
      <c r="E9194" t="b">
        <f>IF(COUNTIF(D9194,"*"&amp;'Keyword Search'!$C$5&amp;"*"),TRUE,FALSE)</f>
        <v>1</v>
      </c>
      <c r="G9194" t="str">
        <f t="shared" si="583"/>
        <v>984-26: *Computers, Mainframe, Rental or Lease</v>
      </c>
    </row>
    <row r="9195" spans="1:7" x14ac:dyDescent="0.25">
      <c r="A9195" s="1" t="str">
        <f t="shared" si="585"/>
        <v>984</v>
      </c>
      <c r="B9195" s="1" t="str">
        <f>TEXT(30,"00")</f>
        <v>30</v>
      </c>
      <c r="C9195" s="1" t="str">
        <f t="shared" si="582"/>
        <v>984-30</v>
      </c>
      <c r="D9195" t="s">
        <v>9163</v>
      </c>
      <c r="E9195" t="b">
        <f>IF(COUNTIF(D9195,"*"&amp;'Keyword Search'!$C$5&amp;"*"),TRUE,FALSE)</f>
        <v>1</v>
      </c>
      <c r="G9195" t="str">
        <f t="shared" si="583"/>
        <v>984-30: *Computer Accessories (Not Otherwise Classified) Rental or Lease: CRT Holders, Forms Tractors, Wrist Supports, etc.</v>
      </c>
    </row>
    <row r="9196" spans="1:7" x14ac:dyDescent="0.25">
      <c r="A9196" s="1" t="str">
        <f t="shared" si="585"/>
        <v>984</v>
      </c>
      <c r="B9196" s="1" t="str">
        <f>TEXT(34,"00")</f>
        <v>34</v>
      </c>
      <c r="C9196" s="1" t="str">
        <f t="shared" si="582"/>
        <v>984-34</v>
      </c>
      <c r="D9196" t="s">
        <v>9164</v>
      </c>
      <c r="E9196" t="b">
        <f>IF(COUNTIF(D9196,"*"&amp;'Keyword Search'!$C$5&amp;"*"),TRUE,FALSE)</f>
        <v>1</v>
      </c>
      <c r="G9196" t="str">
        <f t="shared" si="583"/>
        <v>984-34: *Covers and Enclosures, Acoustical and Protective, Computer Equipment Rental or Lease</v>
      </c>
    </row>
    <row r="9197" spans="1:7" x14ac:dyDescent="0.25">
      <c r="A9197" s="1" t="str">
        <f t="shared" si="585"/>
        <v>984</v>
      </c>
      <c r="B9197" s="1" t="str">
        <f>TEXT(39,"00")</f>
        <v>39</v>
      </c>
      <c r="C9197" s="1" t="str">
        <f t="shared" si="582"/>
        <v>984-39</v>
      </c>
      <c r="D9197" t="s">
        <v>9165</v>
      </c>
      <c r="E9197" t="b">
        <f>IF(COUNTIF(D9197,"*"&amp;'Keyword Search'!$C$5&amp;"*"),TRUE,FALSE)</f>
        <v>1</v>
      </c>
      <c r="G9197" t="str">
        <f t="shared" si="583"/>
        <v>984-39: *Drives, Rental or Lease: CDROM, Hard, Floppy and Tape</v>
      </c>
    </row>
    <row r="9198" spans="1:7" x14ac:dyDescent="0.25">
      <c r="A9198" s="1" t="str">
        <f t="shared" si="585"/>
        <v>984</v>
      </c>
      <c r="B9198" s="1" t="str">
        <f>TEXT(54,"00")</f>
        <v>54</v>
      </c>
      <c r="C9198" s="1" t="str">
        <f t="shared" si="582"/>
        <v>984-54</v>
      </c>
      <c r="D9198" t="s">
        <v>9166</v>
      </c>
      <c r="E9198" t="b">
        <f>IF(COUNTIF(D9198,"*"&amp;'Keyword Search'!$C$5&amp;"*"),TRUE,FALSE)</f>
        <v>1</v>
      </c>
      <c r="G9198" t="str">
        <f t="shared" si="583"/>
        <v>984-54: *Peripheral Miscellaneous Rental or Lease: Keyboards, Mice, Monitors, etc.</v>
      </c>
    </row>
    <row r="9199" spans="1:7" x14ac:dyDescent="0.25">
      <c r="A9199" s="1" t="str">
        <f t="shared" si="585"/>
        <v>984</v>
      </c>
      <c r="B9199" s="1" t="str">
        <f>TEXT(57,"00")</f>
        <v>57</v>
      </c>
      <c r="C9199" s="1" t="str">
        <f t="shared" si="582"/>
        <v>984-57</v>
      </c>
      <c r="D9199" t="s">
        <v>9167</v>
      </c>
      <c r="E9199" t="b">
        <f>IF(COUNTIF(D9199,"*"&amp;'Keyword Search'!$C$5&amp;"*"),TRUE,FALSE)</f>
        <v>1</v>
      </c>
      <c r="G9199" t="str">
        <f t="shared" si="583"/>
        <v>984-57: *Power Supplies Rental or Lease: Surge Protectors, UPS, etc.</v>
      </c>
    </row>
    <row r="9200" spans="1:7" x14ac:dyDescent="0.25">
      <c r="A9200" s="1" t="str">
        <f t="shared" si="585"/>
        <v>984</v>
      </c>
      <c r="B9200" s="1" t="str">
        <f>TEXT(60,"00")</f>
        <v>60</v>
      </c>
      <c r="C9200" s="1" t="str">
        <f t="shared" si="582"/>
        <v>984-60</v>
      </c>
      <c r="D9200" t="s">
        <v>9168</v>
      </c>
      <c r="E9200" t="b">
        <f>IF(COUNTIF(D9200,"*"&amp;'Keyword Search'!$C$5&amp;"*"),TRUE,FALSE)</f>
        <v>1</v>
      </c>
      <c r="G9200" t="str">
        <f t="shared" si="583"/>
        <v>984-60: *Printers and Plotters, Computer, All Types, Rental or Lease</v>
      </c>
    </row>
    <row r="9201" spans="1:7" x14ac:dyDescent="0.25">
      <c r="A9201" s="1" t="str">
        <f t="shared" si="585"/>
        <v>984</v>
      </c>
      <c r="B9201" s="1" t="str">
        <f>TEXT(83,"00")</f>
        <v>83</v>
      </c>
      <c r="C9201" s="1" t="str">
        <f t="shared" si="582"/>
        <v>984-83</v>
      </c>
      <c r="D9201" t="s">
        <v>9169</v>
      </c>
      <c r="E9201" t="b">
        <f>IF(COUNTIF(D9201,"*"&amp;'Keyword Search'!$C$5&amp;"*"),TRUE,FALSE)</f>
        <v>1</v>
      </c>
      <c r="G9201" t="str">
        <f t="shared" si="583"/>
        <v>984-83: *Scanner and Reader Rental or Lease</v>
      </c>
    </row>
    <row r="9202" spans="1:7" x14ac:dyDescent="0.25">
      <c r="A9202" s="1" t="str">
        <f t="shared" si="585"/>
        <v>984</v>
      </c>
      <c r="B9202" s="1" t="str">
        <f>TEXT(84,"00")</f>
        <v>84</v>
      </c>
      <c r="C9202" s="1" t="str">
        <f t="shared" si="582"/>
        <v>984-84</v>
      </c>
      <c r="D9202" t="s">
        <v>9170</v>
      </c>
      <c r="E9202" t="b">
        <f>IF(COUNTIF(D9202,"*"&amp;'Keyword Search'!$C$5&amp;"*"),TRUE,FALSE)</f>
        <v>1</v>
      </c>
      <c r="G9202" t="str">
        <f t="shared" si="583"/>
        <v>984-84: Servers, Rental or Lease</v>
      </c>
    </row>
    <row r="9203" spans="1:7" x14ac:dyDescent="0.25">
      <c r="A9203" s="1" t="str">
        <f t="shared" si="585"/>
        <v>984</v>
      </c>
      <c r="B9203" s="1" t="str">
        <f>TEXT(87,"00")</f>
        <v>87</v>
      </c>
      <c r="C9203" s="1" t="str">
        <f t="shared" si="582"/>
        <v>984-87</v>
      </c>
      <c r="D9203" t="s">
        <v>9171</v>
      </c>
      <c r="E9203" t="b">
        <f>IF(COUNTIF(D9203,"*"&amp;'Keyword Search'!$C$5&amp;"*"),TRUE,FALSE)</f>
        <v>1</v>
      </c>
      <c r="G9203" t="str">
        <f t="shared" si="583"/>
        <v>984-87: *Terminals, CRTs and Remote Job Entry Devices Rental or Lease</v>
      </c>
    </row>
    <row r="9204" spans="1:7" x14ac:dyDescent="0.25">
      <c r="A9204" s="1" t="str">
        <f t="shared" si="585"/>
        <v>984</v>
      </c>
      <c r="B9204" s="1" t="str">
        <f>TEXT(92,"00")</f>
        <v>92</v>
      </c>
      <c r="C9204" s="1" t="str">
        <f t="shared" si="582"/>
        <v>984-92</v>
      </c>
      <c r="D9204" t="s">
        <v>9172</v>
      </c>
      <c r="E9204" t="b">
        <f>IF(COUNTIF(D9204,"*"&amp;'Keyword Search'!$C$5&amp;"*"),TRUE,FALSE)</f>
        <v>1</v>
      </c>
      <c r="G9204" t="str">
        <f t="shared" si="583"/>
        <v>984-92: *Word Processing Equipment Rental or Lease</v>
      </c>
    </row>
    <row r="9205" spans="1:7" x14ac:dyDescent="0.25">
      <c r="A9205" s="5" t="str">
        <f t="shared" ref="A9205:A9235" si="586">TEXT(985,"000")</f>
        <v>985</v>
      </c>
      <c r="B9205" s="5" t="str">
        <f>TEXT(0,"00")</f>
        <v>00</v>
      </c>
      <c r="C9205" s="1"/>
      <c r="D9205" s="2" t="s">
        <v>9173</v>
      </c>
    </row>
    <row r="9206" spans="1:7" x14ac:dyDescent="0.25">
      <c r="A9206" s="1" t="str">
        <f t="shared" si="586"/>
        <v>985</v>
      </c>
      <c r="B9206" s="1" t="str">
        <f>TEXT(12,"00")</f>
        <v>12</v>
      </c>
      <c r="C9206" s="1" t="str">
        <f t="shared" si="582"/>
        <v>985-12</v>
      </c>
      <c r="D9206" t="s">
        <v>9174</v>
      </c>
      <c r="E9206" t="b">
        <f>IF(COUNTIF(D9206,"*"&amp;'Keyword Search'!$C$5&amp;"*"),TRUE,FALSE)</f>
        <v>1</v>
      </c>
      <c r="G9206" t="str">
        <f t="shared" si="583"/>
        <v>985-12: Audio and Video Equipment and Accessory Rental or Lease</v>
      </c>
    </row>
    <row r="9207" spans="1:7" x14ac:dyDescent="0.25">
      <c r="A9207" s="1" t="str">
        <f t="shared" si="586"/>
        <v>985</v>
      </c>
      <c r="B9207" s="1" t="str">
        <f>TEXT(23,"00")</f>
        <v>23</v>
      </c>
      <c r="C9207" s="1" t="str">
        <f t="shared" si="582"/>
        <v>985-23</v>
      </c>
      <c r="D9207" t="s">
        <v>9175</v>
      </c>
      <c r="E9207" t="b">
        <f>IF(COUNTIF(D9207,"*"&amp;'Keyword Search'!$C$5&amp;"*"),TRUE,FALSE)</f>
        <v>1</v>
      </c>
      <c r="G9207" t="str">
        <f t="shared" si="583"/>
        <v>985-23: *Copy Machines, Thermal Type, Rental or Lease</v>
      </c>
    </row>
    <row r="9208" spans="1:7" x14ac:dyDescent="0.25">
      <c r="A9208" s="1" t="str">
        <f t="shared" si="586"/>
        <v>985</v>
      </c>
      <c r="B9208" s="1" t="str">
        <f>TEXT(24,"00")</f>
        <v>24</v>
      </c>
      <c r="C9208" s="1" t="str">
        <f t="shared" si="582"/>
        <v>985-24</v>
      </c>
      <c r="D9208" t="s">
        <v>9176</v>
      </c>
      <c r="E9208" t="b">
        <f>IF(COUNTIF(D9208,"*"&amp;'Keyword Search'!$C$5&amp;"*"),TRUE,FALSE)</f>
        <v>1</v>
      </c>
      <c r="G9208" t="str">
        <f t="shared" si="583"/>
        <v>985-24: *Copy Machines, Coated or Treated Paper Type, Rental or Lease</v>
      </c>
    </row>
    <row r="9209" spans="1:7" x14ac:dyDescent="0.25">
      <c r="A9209" s="1" t="str">
        <f t="shared" si="586"/>
        <v>985</v>
      </c>
      <c r="B9209" s="1" t="str">
        <f>TEXT(25,"00")</f>
        <v>25</v>
      </c>
      <c r="C9209" s="1" t="str">
        <f t="shared" si="582"/>
        <v>985-25</v>
      </c>
      <c r="D9209" t="s">
        <v>9177</v>
      </c>
      <c r="E9209" t="b">
        <f>IF(COUNTIF(D9209,"*"&amp;'Keyword Search'!$C$5&amp;"*"),TRUE,FALSE)</f>
        <v>1</v>
      </c>
      <c r="G9209" t="str">
        <f t="shared" si="583"/>
        <v>985-25: *Copy Machines, For use by Engineers, Rental or Lease</v>
      </c>
    </row>
    <row r="9210" spans="1:7" x14ac:dyDescent="0.25">
      <c r="A9210" s="1" t="str">
        <f t="shared" si="586"/>
        <v>985</v>
      </c>
      <c r="B9210" s="1" t="str">
        <f>TEXT(26,"00")</f>
        <v>26</v>
      </c>
      <c r="C9210" s="1" t="str">
        <f t="shared" si="582"/>
        <v>985-26</v>
      </c>
      <c r="D9210" t="s">
        <v>9178</v>
      </c>
      <c r="E9210" t="b">
        <f>IF(COUNTIF(D9210,"*"&amp;'Keyword Search'!$C$5&amp;"*"),TRUE,FALSE)</f>
        <v>1</v>
      </c>
      <c r="G9210" t="str">
        <f t="shared" si="583"/>
        <v>985-26: *Copy Machine, Plain Paper Type, Including Cost-Per-Copy Type Leases, Rental or Lease</v>
      </c>
    </row>
    <row r="9211" spans="1:7" x14ac:dyDescent="0.25">
      <c r="A9211" s="1" t="str">
        <f t="shared" si="586"/>
        <v>985</v>
      </c>
      <c r="B9211" s="1" t="str">
        <f>TEXT(27,"00")</f>
        <v>27</v>
      </c>
      <c r="C9211" s="1" t="str">
        <f t="shared" si="582"/>
        <v>985-27</v>
      </c>
      <c r="D9211" t="s">
        <v>9179</v>
      </c>
      <c r="E9211" t="b">
        <f>IF(COUNTIF(D9211,"*"&amp;'Keyword Search'!$C$5&amp;"*"),TRUE,FALSE)</f>
        <v>1</v>
      </c>
      <c r="G9211" t="str">
        <f t="shared" si="583"/>
        <v>985-27: *Copy Machines, Digital and Analog Types, Rental or Lease</v>
      </c>
    </row>
    <row r="9212" spans="1:7" x14ac:dyDescent="0.25">
      <c r="A9212" s="1" t="str">
        <f t="shared" si="586"/>
        <v>985</v>
      </c>
      <c r="B9212" s="1" t="str">
        <f>TEXT(28,"00")</f>
        <v>28</v>
      </c>
      <c r="C9212" s="1" t="str">
        <f t="shared" si="582"/>
        <v>985-28</v>
      </c>
      <c r="D9212" t="s">
        <v>9180</v>
      </c>
      <c r="E9212" t="b">
        <f>IF(COUNTIF(D9212,"*"&amp;'Keyword Search'!$C$5&amp;"*"),TRUE,FALSE)</f>
        <v>1</v>
      </c>
      <c r="G9212" t="str">
        <f t="shared" si="583"/>
        <v>985-28: Coolers, Drinking Water, Rental or Lease</v>
      </c>
    </row>
    <row r="9213" spans="1:7" x14ac:dyDescent="0.25">
      <c r="A9213" s="1" t="str">
        <f t="shared" si="586"/>
        <v>985</v>
      </c>
      <c r="B9213" s="1" t="str">
        <f>TEXT(30,"00")</f>
        <v>30</v>
      </c>
      <c r="C9213" s="1" t="str">
        <f t="shared" si="582"/>
        <v>985-30</v>
      </c>
      <c r="D9213" t="s">
        <v>9181</v>
      </c>
      <c r="E9213" t="b">
        <f>IF(COUNTIF(D9213,"*"&amp;'Keyword Search'!$C$5&amp;"*"),TRUE,FALSE)</f>
        <v>1</v>
      </c>
      <c r="G9213" t="str">
        <f t="shared" si="583"/>
        <v>985-30: *Digital Printing and Graphic System, Rental or Lease</v>
      </c>
    </row>
    <row r="9214" spans="1:7" x14ac:dyDescent="0.25">
      <c r="A9214" s="1" t="str">
        <f t="shared" si="586"/>
        <v>985</v>
      </c>
      <c r="B9214" s="1" t="str">
        <f>TEXT(35,"00")</f>
        <v>35</v>
      </c>
      <c r="C9214" s="1" t="str">
        <f t="shared" si="582"/>
        <v>985-35</v>
      </c>
      <c r="D9214" t="s">
        <v>9182</v>
      </c>
      <c r="E9214" t="b">
        <f>IF(COUNTIF(D9214,"*"&amp;'Keyword Search'!$C$5&amp;"*"),TRUE,FALSE)</f>
        <v>1</v>
      </c>
      <c r="G9214" t="str">
        <f t="shared" si="583"/>
        <v>985-35: *Duplicating Machines, All Types, Rental or Lease</v>
      </c>
    </row>
    <row r="9215" spans="1:7" x14ac:dyDescent="0.25">
      <c r="A9215" s="1" t="str">
        <f t="shared" si="586"/>
        <v>985</v>
      </c>
      <c r="B9215" s="1" t="str">
        <f>TEXT(40,"00")</f>
        <v>40</v>
      </c>
      <c r="C9215" s="1" t="str">
        <f t="shared" si="582"/>
        <v>985-40</v>
      </c>
      <c r="D9215" t="s">
        <v>9183</v>
      </c>
      <c r="E9215" t="b">
        <f>IF(COUNTIF(D9215,"*"&amp;'Keyword Search'!$C$5&amp;"*"),TRUE,FALSE)</f>
        <v>1</v>
      </c>
      <c r="G9215" t="str">
        <f t="shared" si="583"/>
        <v>985-40: Filing Systems Rental or Lease</v>
      </c>
    </row>
    <row r="9216" spans="1:7" x14ac:dyDescent="0.25">
      <c r="A9216" s="1" t="str">
        <f t="shared" si="586"/>
        <v>985</v>
      </c>
      <c r="B9216" s="1" t="str">
        <f>TEXT(47,"00")</f>
        <v>47</v>
      </c>
      <c r="C9216" s="1" t="str">
        <f t="shared" si="582"/>
        <v>985-47</v>
      </c>
      <c r="D9216" t="s">
        <v>9184</v>
      </c>
      <c r="E9216" t="b">
        <f>IF(COUNTIF(D9216,"*"&amp;'Keyword Search'!$C$5&amp;"*"),TRUE,FALSE)</f>
        <v>1</v>
      </c>
      <c r="G9216" t="str">
        <f t="shared" si="583"/>
        <v>985-47: Intercom and Other Sound Equipment Rental or Lease</v>
      </c>
    </row>
    <row r="9217" spans="1:7" x14ac:dyDescent="0.25">
      <c r="A9217" s="1" t="str">
        <f t="shared" si="586"/>
        <v>985</v>
      </c>
      <c r="B9217" s="1" t="str">
        <f>TEXT(52,"00")</f>
        <v>52</v>
      </c>
      <c r="C9217" s="1" t="str">
        <f t="shared" si="582"/>
        <v>985-52</v>
      </c>
      <c r="D9217" t="s">
        <v>9185</v>
      </c>
      <c r="E9217" t="b">
        <f>IF(COUNTIF(D9217,"*"&amp;'Keyword Search'!$C$5&amp;"*"),TRUE,FALSE)</f>
        <v>1</v>
      </c>
      <c r="G9217" t="str">
        <f t="shared" si="583"/>
        <v>985-52: Library Machine Rental or Lease</v>
      </c>
    </row>
    <row r="9218" spans="1:7" x14ac:dyDescent="0.25">
      <c r="A9218" s="1" t="str">
        <f t="shared" si="586"/>
        <v>985</v>
      </c>
      <c r="B9218" s="1" t="str">
        <f>TEXT(54,"00")</f>
        <v>54</v>
      </c>
      <c r="C9218" s="1" t="str">
        <f t="shared" si="582"/>
        <v>985-54</v>
      </c>
      <c r="D9218" t="s">
        <v>9186</v>
      </c>
      <c r="E9218" t="b">
        <f>IF(COUNTIF(D9218,"*"&amp;'Keyword Search'!$C$5&amp;"*"),TRUE,FALSE)</f>
        <v>1</v>
      </c>
      <c r="G9218" t="str">
        <f t="shared" si="583"/>
        <v>985-54: Mailing Equipment Including Postage Meter Rental or Lease</v>
      </c>
    </row>
    <row r="9219" spans="1:7" x14ac:dyDescent="0.25">
      <c r="A9219" s="1" t="str">
        <f t="shared" si="586"/>
        <v>985</v>
      </c>
      <c r="B9219" s="1" t="str">
        <f>TEXT(55,"00")</f>
        <v>55</v>
      </c>
      <c r="C9219" s="1" t="str">
        <f t="shared" ref="C9219:C9282" si="587">CONCATENATE(A9219,"-",B9219)</f>
        <v>985-55</v>
      </c>
      <c r="D9219" t="s">
        <v>9187</v>
      </c>
      <c r="E9219" t="b">
        <f>IF(COUNTIF(D9219,"*"&amp;'Keyword Search'!$C$5&amp;"*"),TRUE,FALSE)</f>
        <v>1</v>
      </c>
      <c r="G9219" t="str">
        <f t="shared" si="583"/>
        <v>985-55: *Microfiche/Microfilm Equipment and Accessory Rental or Lease</v>
      </c>
    </row>
    <row r="9220" spans="1:7" x14ac:dyDescent="0.25">
      <c r="A9220" s="1" t="str">
        <f t="shared" si="586"/>
        <v>985</v>
      </c>
      <c r="B9220" s="1" t="str">
        <f>TEXT(58,"00")</f>
        <v>58</v>
      </c>
      <c r="C9220" s="1" t="str">
        <f t="shared" si="587"/>
        <v>985-58</v>
      </c>
      <c r="D9220" t="s">
        <v>9188</v>
      </c>
      <c r="E9220" t="b">
        <f>IF(COUNTIF(D9220,"*"&amp;'Keyword Search'!$C$5&amp;"*"),TRUE,FALSE)</f>
        <v>1</v>
      </c>
      <c r="G9220" t="str">
        <f t="shared" ref="G9220:G9283" si="588">CONCATENATE(C9220,": ",D9220)</f>
        <v>985-58: *Office Machines, Multi-Function, Rental or Lease</v>
      </c>
    </row>
    <row r="9221" spans="1:7" x14ac:dyDescent="0.25">
      <c r="A9221" s="1" t="str">
        <f t="shared" si="586"/>
        <v>985</v>
      </c>
      <c r="B9221" s="1" t="str">
        <f>TEXT(59,"00")</f>
        <v>59</v>
      </c>
      <c r="C9221" s="1" t="str">
        <f t="shared" si="587"/>
        <v>985-59</v>
      </c>
      <c r="D9221" t="s">
        <v>9189</v>
      </c>
      <c r="E9221" t="b">
        <f>IF(COUNTIF(D9221,"*"&amp;'Keyword Search'!$C$5&amp;"*"),TRUE,FALSE)</f>
        <v>1</v>
      </c>
      <c r="G9221" t="str">
        <f t="shared" si="588"/>
        <v>985-59: *Office Machines, Equipment, and Accessories Rental or Lease (Not Otherwise Classified)</v>
      </c>
    </row>
    <row r="9222" spans="1:7" x14ac:dyDescent="0.25">
      <c r="A9222" s="1" t="str">
        <f t="shared" si="586"/>
        <v>985</v>
      </c>
      <c r="B9222" s="1" t="str">
        <f>TEXT(60,"00")</f>
        <v>60</v>
      </c>
      <c r="C9222" s="1" t="str">
        <f t="shared" si="587"/>
        <v>985-60</v>
      </c>
      <c r="D9222" t="s">
        <v>9190</v>
      </c>
      <c r="E9222" t="b">
        <f>IF(COUNTIF(D9222,"*"&amp;'Keyword Search'!$C$5&amp;"*"),TRUE,FALSE)</f>
        <v>1</v>
      </c>
      <c r="G9222" t="str">
        <f t="shared" si="588"/>
        <v>985-60: Postal Equipment, Rental or Lease, Including Post Office Box Rentals</v>
      </c>
    </row>
    <row r="9223" spans="1:7" x14ac:dyDescent="0.25">
      <c r="A9223" s="1" t="str">
        <f t="shared" si="586"/>
        <v>985</v>
      </c>
      <c r="B9223" s="1" t="str">
        <f>TEXT(61,"00")</f>
        <v>61</v>
      </c>
      <c r="C9223" s="1" t="str">
        <f t="shared" si="587"/>
        <v>985-61</v>
      </c>
      <c r="D9223" t="s">
        <v>9191</v>
      </c>
      <c r="E9223" t="b">
        <f>IF(COUNTIF(D9223,"*"&amp;'Keyword Search'!$C$5&amp;"*"),TRUE,FALSE)</f>
        <v>1</v>
      </c>
      <c r="G9223" t="str">
        <f t="shared" si="588"/>
        <v>985-61: Photographic and Recording Equipment Rental or Lease</v>
      </c>
    </row>
    <row r="9224" spans="1:7" x14ac:dyDescent="0.25">
      <c r="A9224" s="1" t="str">
        <f t="shared" si="586"/>
        <v>985</v>
      </c>
      <c r="B9224" s="1" t="str">
        <f>TEXT(62,"00")</f>
        <v>62</v>
      </c>
      <c r="C9224" s="1" t="str">
        <f t="shared" si="587"/>
        <v>985-62</v>
      </c>
      <c r="D9224" t="s">
        <v>9192</v>
      </c>
      <c r="E9224" t="b">
        <f>IF(COUNTIF(D9224,"*"&amp;'Keyword Search'!$C$5&amp;"*"),TRUE,FALSE)</f>
        <v>1</v>
      </c>
      <c r="G9224" t="str">
        <f t="shared" si="588"/>
        <v>985-62: Plants, Nursery Stock, Rental and Leasing Services</v>
      </c>
    </row>
    <row r="9225" spans="1:7" x14ac:dyDescent="0.25">
      <c r="A9225" s="1" t="str">
        <f t="shared" si="586"/>
        <v>985</v>
      </c>
      <c r="B9225" s="1" t="str">
        <f>TEXT(64,"00")</f>
        <v>64</v>
      </c>
      <c r="C9225" s="1" t="str">
        <f t="shared" si="587"/>
        <v>985-64</v>
      </c>
      <c r="D9225" t="s">
        <v>9193</v>
      </c>
      <c r="E9225" t="b">
        <f>IF(COUNTIF(D9225,"*"&amp;'Keyword Search'!$C$5&amp;"*"),TRUE,FALSE)</f>
        <v>1</v>
      </c>
      <c r="G9225" t="str">
        <f t="shared" si="588"/>
        <v>985-64: *Printing Plant Equipment and Supplies Rental or Lease</v>
      </c>
    </row>
    <row r="9226" spans="1:7" x14ac:dyDescent="0.25">
      <c r="A9226" s="1" t="str">
        <f t="shared" si="586"/>
        <v>985</v>
      </c>
      <c r="B9226" s="1" t="str">
        <f>TEXT(69,"00")</f>
        <v>69</v>
      </c>
      <c r="C9226" s="1" t="str">
        <f t="shared" si="587"/>
        <v>985-69</v>
      </c>
      <c r="D9226" t="s">
        <v>9194</v>
      </c>
      <c r="E9226" t="b">
        <f>IF(COUNTIF(D9226,"*"&amp;'Keyword Search'!$C$5&amp;"*"),TRUE,FALSE)</f>
        <v>1</v>
      </c>
      <c r="G9226" t="str">
        <f t="shared" si="588"/>
        <v>985-69: *Radio and Telecommunications Equipment and Accessory Rental or Lease, Including Radio Towers and Telephone Poles</v>
      </c>
    </row>
    <row r="9227" spans="1:7" x14ac:dyDescent="0.25">
      <c r="A9227" s="1" t="str">
        <f t="shared" si="586"/>
        <v>985</v>
      </c>
      <c r="B9227" s="1" t="str">
        <f>TEXT(73,"00")</f>
        <v>73</v>
      </c>
      <c r="C9227" s="1" t="str">
        <f t="shared" si="587"/>
        <v>985-73</v>
      </c>
      <c r="D9227" t="s">
        <v>9195</v>
      </c>
      <c r="E9227" t="b">
        <f>IF(COUNTIF(D9227,"*"&amp;'Keyword Search'!$C$5&amp;"*"),TRUE,FALSE)</f>
        <v>1</v>
      </c>
      <c r="G9227" t="str">
        <f t="shared" si="588"/>
        <v>985-73: Signs, Message Boards and Centers, etc., Rental or Lease</v>
      </c>
    </row>
    <row r="9228" spans="1:7" x14ac:dyDescent="0.25">
      <c r="A9228" s="1" t="str">
        <f t="shared" si="586"/>
        <v>985</v>
      </c>
      <c r="B9228" s="1" t="str">
        <f>TEXT(74,"00")</f>
        <v>74</v>
      </c>
      <c r="C9228" s="1" t="str">
        <f t="shared" si="587"/>
        <v>985-74</v>
      </c>
      <c r="D9228" t="s">
        <v>9196</v>
      </c>
      <c r="E9228" t="b">
        <f>IF(COUNTIF(D9228,"*"&amp;'Keyword Search'!$C$5&amp;"*"),TRUE,FALSE)</f>
        <v>1</v>
      </c>
      <c r="G9228" t="str">
        <f t="shared" si="588"/>
        <v>985-74: *Software, Computer, Rental or Lease</v>
      </c>
    </row>
    <row r="9229" spans="1:7" x14ac:dyDescent="0.25">
      <c r="A9229" s="1" t="str">
        <f t="shared" si="586"/>
        <v>985</v>
      </c>
      <c r="B9229" s="1" t="str">
        <f>TEXT(76,"00")</f>
        <v>76</v>
      </c>
      <c r="C9229" s="1" t="str">
        <f t="shared" si="587"/>
        <v>985-76</v>
      </c>
      <c r="D9229" t="s">
        <v>9197</v>
      </c>
      <c r="E9229" t="b">
        <f>IF(COUNTIF(D9229,"*"&amp;'Keyword Search'!$C$5&amp;"*"),TRUE,FALSE)</f>
        <v>1</v>
      </c>
      <c r="G9229" t="str">
        <f t="shared" si="588"/>
        <v>985-76: *Teleconference Systems Rental or Lease</v>
      </c>
    </row>
    <row r="9230" spans="1:7" x14ac:dyDescent="0.25">
      <c r="A9230" s="1" t="str">
        <f t="shared" si="586"/>
        <v>985</v>
      </c>
      <c r="B9230" s="1" t="str">
        <f>TEXT(77,"00")</f>
        <v>77</v>
      </c>
      <c r="C9230" s="1" t="str">
        <f t="shared" si="587"/>
        <v>985-77</v>
      </c>
      <c r="D9230" t="s">
        <v>9198</v>
      </c>
      <c r="E9230" t="b">
        <f>IF(COUNTIF(D9230,"*"&amp;'Keyword Search'!$C$5&amp;"*"),TRUE,FALSE)</f>
        <v>1</v>
      </c>
      <c r="G9230" t="str">
        <f t="shared" si="588"/>
        <v>985-77: *Telephone Systems and Portable Phones, Including Pagers, Rental or Lease</v>
      </c>
    </row>
    <row r="9231" spans="1:7" x14ac:dyDescent="0.25">
      <c r="A9231" s="1" t="str">
        <f t="shared" si="586"/>
        <v>985</v>
      </c>
      <c r="B9231" s="1" t="str">
        <f>TEXT(78,"00")</f>
        <v>78</v>
      </c>
      <c r="C9231" s="1" t="str">
        <f t="shared" si="587"/>
        <v>985-78</v>
      </c>
      <c r="D9231" t="s">
        <v>9199</v>
      </c>
      <c r="E9231" t="b">
        <f>IF(COUNTIF(D9231,"*"&amp;'Keyword Search'!$C$5&amp;"*"),TRUE,FALSE)</f>
        <v>1</v>
      </c>
      <c r="G9231" t="str">
        <f t="shared" si="588"/>
        <v>985-78: Television Equipment and Accessories Rental or Lease</v>
      </c>
    </row>
    <row r="9232" spans="1:7" x14ac:dyDescent="0.25">
      <c r="A9232" s="1" t="str">
        <f t="shared" si="586"/>
        <v>985</v>
      </c>
      <c r="B9232" s="1" t="str">
        <f>TEXT(79,"00")</f>
        <v>79</v>
      </c>
      <c r="C9232" s="1" t="str">
        <f t="shared" si="587"/>
        <v>985-79</v>
      </c>
      <c r="D9232" t="s">
        <v>9200</v>
      </c>
      <c r="E9232" t="b">
        <f>IF(COUNTIF(D9232,"*"&amp;'Keyword Search'!$C$5&amp;"*"),TRUE,FALSE)</f>
        <v>1</v>
      </c>
      <c r="G9232" t="str">
        <f t="shared" si="588"/>
        <v>985-79: Ticket Dispensing and Collection Equipment Rental or Lease</v>
      </c>
    </row>
    <row r="9233" spans="1:7" x14ac:dyDescent="0.25">
      <c r="A9233" s="1" t="str">
        <f t="shared" si="586"/>
        <v>985</v>
      </c>
      <c r="B9233" s="1" t="str">
        <f>TEXT(85,"00")</f>
        <v>85</v>
      </c>
      <c r="C9233" s="1" t="str">
        <f t="shared" si="587"/>
        <v>985-85</v>
      </c>
      <c r="D9233" t="s">
        <v>9201</v>
      </c>
      <c r="E9233" t="b">
        <f>IF(COUNTIF(D9233,"*"&amp;'Keyword Search'!$C$5&amp;"*"),TRUE,FALSE)</f>
        <v>1</v>
      </c>
      <c r="G9233" t="str">
        <f t="shared" si="588"/>
        <v>985-85: Visual Education Equipment and Supplies Rental or Lease</v>
      </c>
    </row>
    <row r="9234" spans="1:7" x14ac:dyDescent="0.25">
      <c r="A9234" s="1" t="str">
        <f t="shared" si="586"/>
        <v>985</v>
      </c>
      <c r="B9234" s="1" t="str">
        <f>TEXT(86,"00")</f>
        <v>86</v>
      </c>
      <c r="C9234" s="1" t="str">
        <f t="shared" si="587"/>
        <v>985-86</v>
      </c>
      <c r="D9234" t="s">
        <v>9202</v>
      </c>
      <c r="E9234" t="b">
        <f>IF(COUNTIF(D9234,"*"&amp;'Keyword Search'!$C$5&amp;"*"),TRUE,FALSE)</f>
        <v>1</v>
      </c>
      <c r="G9234" t="str">
        <f t="shared" si="588"/>
        <v>985-86: *Voice Mail Systems Rental or Lease</v>
      </c>
    </row>
    <row r="9235" spans="1:7" x14ac:dyDescent="0.25">
      <c r="A9235" s="1" t="str">
        <f t="shared" si="586"/>
        <v>985</v>
      </c>
      <c r="B9235" s="1" t="str">
        <f>TEXT(87,"00")</f>
        <v>87</v>
      </c>
      <c r="C9235" s="1" t="str">
        <f t="shared" si="587"/>
        <v>985-87</v>
      </c>
      <c r="D9235" t="s">
        <v>9203</v>
      </c>
      <c r="E9235" t="b">
        <f>IF(COUNTIF(D9235,"*"&amp;'Keyword Search'!$C$5&amp;"*"),TRUE,FALSE)</f>
        <v>1</v>
      </c>
      <c r="G9235" t="str">
        <f t="shared" si="588"/>
        <v>985-87: *Voting Machine Rental or Lease</v>
      </c>
    </row>
    <row r="9236" spans="1:7" x14ac:dyDescent="0.25">
      <c r="A9236" s="5" t="str">
        <f t="shared" ref="A9236:A9269" si="589">TEXT(988,"000")</f>
        <v>988</v>
      </c>
      <c r="B9236" s="5" t="str">
        <f>TEXT(0,"00")</f>
        <v>00</v>
      </c>
      <c r="C9236" s="1"/>
      <c r="D9236" s="2" t="s">
        <v>9204</v>
      </c>
    </row>
    <row r="9237" spans="1:7" x14ac:dyDescent="0.25">
      <c r="A9237" s="1" t="str">
        <f t="shared" si="589"/>
        <v>988</v>
      </c>
      <c r="B9237" s="1" t="str">
        <f>TEXT(2,"00")</f>
        <v>02</v>
      </c>
      <c r="C9237" s="1" t="str">
        <f t="shared" si="587"/>
        <v>988-02</v>
      </c>
      <c r="D9237" t="s">
        <v>9205</v>
      </c>
      <c r="E9237" t="b">
        <f>IF(COUNTIF(D9237,"*"&amp;'Keyword Search'!$C$5&amp;"*"),TRUE,FALSE)</f>
        <v>1</v>
      </c>
      <c r="G9237" t="str">
        <f t="shared" si="588"/>
        <v>988-02: Arborist Services</v>
      </c>
    </row>
    <row r="9238" spans="1:7" x14ac:dyDescent="0.25">
      <c r="A9238" s="1" t="str">
        <f t="shared" si="589"/>
        <v>988</v>
      </c>
      <c r="B9238" s="1" t="str">
        <f>TEXT(3,"00")</f>
        <v>03</v>
      </c>
      <c r="C9238" s="1" t="str">
        <f t="shared" si="587"/>
        <v>988-03</v>
      </c>
      <c r="D9238" t="s">
        <v>9206</v>
      </c>
      <c r="E9238" t="b">
        <f>IF(COUNTIF(D9238,"*"&amp;'Keyword Search'!$C$5&amp;"*"),TRUE,FALSE)</f>
        <v>1</v>
      </c>
      <c r="G9238" t="str">
        <f t="shared" si="588"/>
        <v>988-03: Athletic Field Maintenance (Inactive, please see commodity code 909-17 effective January 1, 2016)</v>
      </c>
    </row>
    <row r="9239" spans="1:7" x14ac:dyDescent="0.25">
      <c r="A9239" s="1" t="str">
        <f t="shared" si="589"/>
        <v>988</v>
      </c>
      <c r="B9239" s="1" t="str">
        <f>TEXT(7,"00")</f>
        <v>07</v>
      </c>
      <c r="C9239" s="1" t="str">
        <f t="shared" si="587"/>
        <v>988-07</v>
      </c>
      <c r="D9239" t="s">
        <v>9207</v>
      </c>
      <c r="E9239" t="b">
        <f>IF(COUNTIF(D9239,"*"&amp;'Keyword Search'!$C$5&amp;"*"),TRUE,FALSE)</f>
        <v>1</v>
      </c>
      <c r="G9239" t="str">
        <f t="shared" si="588"/>
        <v>988-07: Cleaning of Amusement Areas, Exposition Centers, Grounds, Parks, Picnic Areas, Rest Areas, Etc.</v>
      </c>
    </row>
    <row r="9240" spans="1:7" x14ac:dyDescent="0.25">
      <c r="A9240" s="1" t="str">
        <f t="shared" si="589"/>
        <v>988</v>
      </c>
      <c r="B9240" s="1" t="str">
        <f>TEXT(8,"00")</f>
        <v>08</v>
      </c>
      <c r="C9240" s="1" t="str">
        <f t="shared" si="587"/>
        <v>988-08</v>
      </c>
      <c r="D9240" t="s">
        <v>9208</v>
      </c>
      <c r="E9240" t="b">
        <f>IF(COUNTIF(D9240,"*"&amp;'Keyword Search'!$C$5&amp;"*"),TRUE,FALSE)</f>
        <v>1</v>
      </c>
      <c r="G9240" t="str">
        <f t="shared" si="588"/>
        <v>988-08: Cleaning of Roadside Park, Rest Stop Areas Including Privy Vaults, Septic Tanks and Trash Cans</v>
      </c>
    </row>
    <row r="9241" spans="1:7" x14ac:dyDescent="0.25">
      <c r="A9241" s="1" t="str">
        <f t="shared" si="589"/>
        <v>988</v>
      </c>
      <c r="B9241" s="1" t="str">
        <f>TEXT(14,"00")</f>
        <v>14</v>
      </c>
      <c r="C9241" s="1" t="str">
        <f t="shared" si="587"/>
        <v>988-14</v>
      </c>
      <c r="D9241" t="s">
        <v>9209</v>
      </c>
      <c r="E9241" t="b">
        <f>IF(COUNTIF(D9241,"*"&amp;'Keyword Search'!$C$5&amp;"*"),TRUE,FALSE)</f>
        <v>1</v>
      </c>
      <c r="G9241" t="str">
        <f t="shared" si="588"/>
        <v>988-14: Erosion Control Services</v>
      </c>
    </row>
    <row r="9242" spans="1:7" x14ac:dyDescent="0.25">
      <c r="A9242" s="1" t="str">
        <f t="shared" si="589"/>
        <v>988</v>
      </c>
      <c r="B9242" s="1" t="str">
        <f>TEXT(15,"00")</f>
        <v>15</v>
      </c>
      <c r="C9242" s="1" t="str">
        <f t="shared" si="587"/>
        <v>988-15</v>
      </c>
      <c r="D9242" t="s">
        <v>9210</v>
      </c>
      <c r="E9242" t="b">
        <f>IF(COUNTIF(D9242,"*"&amp;'Keyword Search'!$C$5&amp;"*"),TRUE,FALSE)</f>
        <v>1</v>
      </c>
      <c r="G9242" t="str">
        <f t="shared" si="588"/>
        <v>988-15: Fence Installation, Maintenance and Repair</v>
      </c>
    </row>
    <row r="9243" spans="1:7" x14ac:dyDescent="0.25">
      <c r="A9243" s="1" t="str">
        <f t="shared" si="589"/>
        <v>988</v>
      </c>
      <c r="B9243" s="1" t="str">
        <f>TEXT(20,"00")</f>
        <v>20</v>
      </c>
      <c r="C9243" s="1" t="str">
        <f t="shared" si="587"/>
        <v>988-20</v>
      </c>
      <c r="D9243" t="s">
        <v>9211</v>
      </c>
      <c r="E9243" t="b">
        <f>IF(COUNTIF(D9243,"*"&amp;'Keyword Search'!$C$5&amp;"*"),TRUE,FALSE)</f>
        <v>1</v>
      </c>
      <c r="G9243" t="str">
        <f t="shared" si="588"/>
        <v>988-20: Fire Break Services</v>
      </c>
    </row>
    <row r="9244" spans="1:7" x14ac:dyDescent="0.25">
      <c r="A9244" s="1" t="str">
        <f t="shared" si="589"/>
        <v>988</v>
      </c>
      <c r="B9244" s="1" t="str">
        <f>TEXT(26,"00")</f>
        <v>26</v>
      </c>
      <c r="C9244" s="1" t="str">
        <f t="shared" si="587"/>
        <v>988-26</v>
      </c>
      <c r="D9244" t="s">
        <v>9212</v>
      </c>
      <c r="E9244" t="b">
        <f>IF(COUNTIF(D9244,"*"&amp;'Keyword Search'!$C$5&amp;"*"),TRUE,FALSE)</f>
        <v>1</v>
      </c>
      <c r="G9244" t="str">
        <f t="shared" si="588"/>
        <v>988-26: Flood Control Services</v>
      </c>
    </row>
    <row r="9245" spans="1:7" x14ac:dyDescent="0.25">
      <c r="A9245" s="1" t="str">
        <f t="shared" si="589"/>
        <v>988</v>
      </c>
      <c r="B9245" s="1" t="str">
        <f>TEXT(27,"00")</f>
        <v>27</v>
      </c>
      <c r="C9245" s="1" t="str">
        <f t="shared" si="587"/>
        <v>988-27</v>
      </c>
      <c r="D9245" t="s">
        <v>9213</v>
      </c>
      <c r="E9245" t="b">
        <f>IF(COUNTIF(D9245,"*"&amp;'Keyword Search'!$C$5&amp;"*"),TRUE,FALSE)</f>
        <v>1</v>
      </c>
      <c r="G9245" t="str">
        <f t="shared" si="588"/>
        <v>988-27: Flora Protection Services</v>
      </c>
    </row>
    <row r="9246" spans="1:7" x14ac:dyDescent="0.25">
      <c r="A9246" s="1" t="str">
        <f t="shared" si="589"/>
        <v>988</v>
      </c>
      <c r="B9246" s="1" t="str">
        <f>TEXT(31,"00")</f>
        <v>31</v>
      </c>
      <c r="C9246" s="1" t="str">
        <f t="shared" si="587"/>
        <v>988-31</v>
      </c>
      <c r="D9246" t="s">
        <v>9214</v>
      </c>
      <c r="E9246" t="b">
        <f>IF(COUNTIF(D9246,"*"&amp;'Keyword Search'!$C$5&amp;"*"),TRUE,FALSE)</f>
        <v>1</v>
      </c>
      <c r="G9246" t="str">
        <f t="shared" si="588"/>
        <v>988-31: Golf Course Management and Operation</v>
      </c>
    </row>
    <row r="9247" spans="1:7" x14ac:dyDescent="0.25">
      <c r="A9247" s="1" t="str">
        <f t="shared" si="589"/>
        <v>988</v>
      </c>
      <c r="B9247" s="1" t="str">
        <f>TEXT(32,"00")</f>
        <v>32</v>
      </c>
      <c r="C9247" s="1" t="str">
        <f t="shared" si="587"/>
        <v>988-32</v>
      </c>
      <c r="D9247" t="s">
        <v>9215</v>
      </c>
      <c r="E9247" t="b">
        <f>IF(COUNTIF(D9247,"*"&amp;'Keyword Search'!$C$5&amp;"*"),TRUE,FALSE)</f>
        <v>1</v>
      </c>
      <c r="G9247" t="str">
        <f t="shared" si="588"/>
        <v>988-32: Grading, Parking Lots, etc., Not Road Building</v>
      </c>
    </row>
    <row r="9248" spans="1:7" x14ac:dyDescent="0.25">
      <c r="A9248" s="1" t="str">
        <f t="shared" si="589"/>
        <v>988</v>
      </c>
      <c r="B9248" s="1" t="str">
        <f>TEXT(36,"00")</f>
        <v>36</v>
      </c>
      <c r="C9248" s="1" t="str">
        <f t="shared" si="587"/>
        <v>988-36</v>
      </c>
      <c r="D9248" t="s">
        <v>9216</v>
      </c>
      <c r="E9248" t="b">
        <f>IF(COUNTIF(D9248,"*"&amp;'Keyword Search'!$C$5&amp;"*"),TRUE,FALSE)</f>
        <v>1</v>
      </c>
      <c r="G9248" t="str">
        <f t="shared" si="588"/>
        <v>988-36: Grounds and Roadside Maintenance: Mowing, Edging, Plant, Not Tree Trimming, etc.</v>
      </c>
    </row>
    <row r="9249" spans="1:7" x14ac:dyDescent="0.25">
      <c r="A9249" s="1" t="str">
        <f t="shared" si="589"/>
        <v>988</v>
      </c>
      <c r="B9249" s="1" t="str">
        <f>TEXT(38,"00")</f>
        <v>38</v>
      </c>
      <c r="C9249" s="1" t="str">
        <f t="shared" si="587"/>
        <v>988-38</v>
      </c>
      <c r="D9249" t="s">
        <v>9217</v>
      </c>
      <c r="E9249" t="b">
        <f>IF(COUNTIF(D9249,"*"&amp;'Keyword Search'!$C$5&amp;"*"),TRUE,FALSE)</f>
        <v>1</v>
      </c>
      <c r="G9249" t="str">
        <f t="shared" si="588"/>
        <v>988-38: Hydromulching Services</v>
      </c>
    </row>
    <row r="9250" spans="1:7" x14ac:dyDescent="0.25">
      <c r="A9250" s="1" t="str">
        <f t="shared" si="589"/>
        <v>988</v>
      </c>
      <c r="B9250" s="1" t="str">
        <f>TEXT(40,"00")</f>
        <v>40</v>
      </c>
      <c r="C9250" s="1" t="str">
        <f t="shared" si="587"/>
        <v>988-40</v>
      </c>
      <c r="D9250" t="s">
        <v>9218</v>
      </c>
      <c r="E9250" t="b">
        <f>IF(COUNTIF(D9250,"*"&amp;'Keyword Search'!$C$5&amp;"*"),TRUE,FALSE)</f>
        <v>1</v>
      </c>
      <c r="G9250" t="str">
        <f t="shared" si="588"/>
        <v>988-40: Ice Production Services for Skating Rinks</v>
      </c>
    </row>
    <row r="9251" spans="1:7" x14ac:dyDescent="0.25">
      <c r="A9251" s="1" t="str">
        <f t="shared" si="589"/>
        <v>988</v>
      </c>
      <c r="B9251" s="1" t="str">
        <f>TEXT(46,"00")</f>
        <v>46</v>
      </c>
      <c r="C9251" s="1" t="str">
        <f t="shared" si="587"/>
        <v>988-46</v>
      </c>
      <c r="D9251" t="s">
        <v>9219</v>
      </c>
      <c r="E9251" t="b">
        <f>IF(COUNTIF(D9251,"*"&amp;'Keyword Search'!$C$5&amp;"*"),TRUE,FALSE)</f>
        <v>1</v>
      </c>
      <c r="G9251" t="str">
        <f t="shared" si="588"/>
        <v>988-46: Landfill Services</v>
      </c>
    </row>
    <row r="9252" spans="1:7" x14ac:dyDescent="0.25">
      <c r="A9252" s="1" t="str">
        <f t="shared" si="589"/>
        <v>988</v>
      </c>
      <c r="B9252" s="1" t="str">
        <f>TEXT(52,"00")</f>
        <v>52</v>
      </c>
      <c r="C9252" s="1" t="str">
        <f t="shared" si="587"/>
        <v>988-52</v>
      </c>
      <c r="D9252" t="s">
        <v>9220</v>
      </c>
      <c r="E9252" t="b">
        <f>IF(COUNTIF(D9252,"*"&amp;'Keyword Search'!$C$5&amp;"*"),TRUE,FALSE)</f>
        <v>1</v>
      </c>
      <c r="G9252" t="str">
        <f t="shared" si="588"/>
        <v>988-52: Landscaping, Including Design, Fertilizing, Planting, etc., Not Grounds Maintenance or Tree Trimming Services</v>
      </c>
    </row>
    <row r="9253" spans="1:7" x14ac:dyDescent="0.25">
      <c r="A9253" s="1" t="str">
        <f t="shared" si="589"/>
        <v>988</v>
      </c>
      <c r="B9253" s="1" t="str">
        <f>TEXT(54,"00")</f>
        <v>54</v>
      </c>
      <c r="C9253" s="1" t="str">
        <f t="shared" si="587"/>
        <v>988-54</v>
      </c>
      <c r="D9253" t="s">
        <v>9221</v>
      </c>
      <c r="E9253" t="b">
        <f>IF(COUNTIF(D9253,"*"&amp;'Keyword Search'!$C$5&amp;"*"),TRUE,FALSE)</f>
        <v>1</v>
      </c>
      <c r="G9253" t="str">
        <f t="shared" si="588"/>
        <v>988-54: Lighting Services for Parks, Athletic Fields, Parking Lots, etc.</v>
      </c>
    </row>
    <row r="9254" spans="1:7" x14ac:dyDescent="0.25">
      <c r="A9254" s="1" t="str">
        <f t="shared" si="589"/>
        <v>988</v>
      </c>
      <c r="B9254" s="1" t="str">
        <f>TEXT(56,"00")</f>
        <v>56</v>
      </c>
      <c r="C9254" s="1" t="str">
        <f t="shared" si="587"/>
        <v>988-56</v>
      </c>
      <c r="D9254" t="s">
        <v>9222</v>
      </c>
      <c r="E9254" t="b">
        <f>IF(COUNTIF(D9254,"*"&amp;'Keyword Search'!$C$5&amp;"*"),TRUE,FALSE)</f>
        <v>1</v>
      </c>
      <c r="G9254" t="str">
        <f t="shared" si="588"/>
        <v>988-56: Litter Removal Services, Including Beach Cleaning, (See 910-27 For Buildings)</v>
      </c>
    </row>
    <row r="9255" spans="1:7" x14ac:dyDescent="0.25">
      <c r="A9255" s="1" t="str">
        <f t="shared" si="589"/>
        <v>988</v>
      </c>
      <c r="B9255" s="1" t="str">
        <f>TEXT(59,"00")</f>
        <v>59</v>
      </c>
      <c r="C9255" s="1" t="str">
        <f t="shared" si="587"/>
        <v>988-59</v>
      </c>
      <c r="D9255" t="s">
        <v>9223</v>
      </c>
      <c r="E9255" t="b">
        <f>IF(COUNTIF(D9255,"*"&amp;'Keyword Search'!$C$5&amp;"*"),TRUE,FALSE)</f>
        <v>1</v>
      </c>
      <c r="G9255" t="str">
        <f t="shared" si="588"/>
        <v>988-59: Mulch and Compost Production Services</v>
      </c>
    </row>
    <row r="9256" spans="1:7" x14ac:dyDescent="0.25">
      <c r="A9256" s="1" t="str">
        <f t="shared" si="589"/>
        <v>988</v>
      </c>
      <c r="B9256" s="1" t="str">
        <f>TEXT(63,"00")</f>
        <v>63</v>
      </c>
      <c r="C9256" s="1" t="str">
        <f t="shared" si="587"/>
        <v>988-63</v>
      </c>
      <c r="D9256" t="s">
        <v>9224</v>
      </c>
      <c r="E9256" t="b">
        <f>IF(COUNTIF(D9256,"*"&amp;'Keyword Search'!$C$5&amp;"*"),TRUE,FALSE)</f>
        <v>1</v>
      </c>
      <c r="G9256" t="str">
        <f t="shared" si="588"/>
        <v>988-63: Park Area Construction and Renovation</v>
      </c>
    </row>
    <row r="9257" spans="1:7" x14ac:dyDescent="0.25">
      <c r="A9257" s="1" t="str">
        <f t="shared" si="589"/>
        <v>988</v>
      </c>
      <c r="B9257" s="1" t="str">
        <f>TEXT(64,"00")</f>
        <v>64</v>
      </c>
      <c r="C9257" s="1" t="str">
        <f t="shared" si="587"/>
        <v>988-64</v>
      </c>
      <c r="D9257" t="s">
        <v>9225</v>
      </c>
      <c r="E9257" t="b">
        <f>IF(COUNTIF(D9257,"*"&amp;'Keyword Search'!$C$5&amp;"*"),TRUE,FALSE)</f>
        <v>1</v>
      </c>
      <c r="G9257" t="str">
        <f t="shared" si="588"/>
        <v>988-64: Parks Systems Administrative Services</v>
      </c>
    </row>
    <row r="9258" spans="1:7" x14ac:dyDescent="0.25">
      <c r="A9258" s="1" t="str">
        <f t="shared" si="589"/>
        <v>988</v>
      </c>
      <c r="B9258" s="1" t="str">
        <f>TEXT(65,"00")</f>
        <v>65</v>
      </c>
      <c r="C9258" s="1" t="str">
        <f t="shared" si="587"/>
        <v>988-65</v>
      </c>
      <c r="D9258" t="s">
        <v>9226</v>
      </c>
      <c r="E9258" t="b">
        <f>IF(COUNTIF(D9258,"*"&amp;'Keyword Search'!$C$5&amp;"*"),TRUE,FALSE)</f>
        <v>1</v>
      </c>
      <c r="G9258" t="str">
        <f t="shared" si="588"/>
        <v>988-65: Parks Systems Technical Services</v>
      </c>
    </row>
    <row r="9259" spans="1:7" x14ac:dyDescent="0.25">
      <c r="A9259" s="1" t="str">
        <f t="shared" si="589"/>
        <v>988</v>
      </c>
      <c r="B9259" s="1" t="str">
        <f>TEXT(72,"00")</f>
        <v>72</v>
      </c>
      <c r="C9259" s="1" t="str">
        <f t="shared" si="587"/>
        <v>988-72</v>
      </c>
      <c r="D9259" t="s">
        <v>9227</v>
      </c>
      <c r="E9259" t="b">
        <f>IF(COUNTIF(D9259,"*"&amp;'Keyword Search'!$C$5&amp;"*"),TRUE,FALSE)</f>
        <v>1</v>
      </c>
      <c r="G9259" t="str">
        <f t="shared" si="588"/>
        <v>988-72: Pest Control, Other Than Buildings, Including Spraying Trees and Shrubs</v>
      </c>
    </row>
    <row r="9260" spans="1:7" x14ac:dyDescent="0.25">
      <c r="A9260" s="1" t="str">
        <f t="shared" si="589"/>
        <v>988</v>
      </c>
      <c r="B9260" s="1" t="str">
        <f>TEXT(73,"00")</f>
        <v>73</v>
      </c>
      <c r="C9260" s="1" t="str">
        <f t="shared" si="587"/>
        <v>988-73</v>
      </c>
      <c r="D9260" t="s">
        <v>9228</v>
      </c>
      <c r="E9260" t="b">
        <f>IF(COUNTIF(D9260,"*"&amp;'Keyword Search'!$C$5&amp;"*"),TRUE,FALSE)</f>
        <v>1</v>
      </c>
      <c r="G9260" t="str">
        <f t="shared" si="588"/>
        <v>988-73: Playground Equipment Maintenance and Repair, Including Installation and Removal</v>
      </c>
    </row>
    <row r="9261" spans="1:7" x14ac:dyDescent="0.25">
      <c r="A9261" s="1" t="str">
        <f t="shared" si="589"/>
        <v>988</v>
      </c>
      <c r="B9261" s="1" t="str">
        <f>TEXT(75,"00")</f>
        <v>75</v>
      </c>
      <c r="C9261" s="1" t="str">
        <f t="shared" si="587"/>
        <v>988-75</v>
      </c>
      <c r="D9261" t="s">
        <v>9229</v>
      </c>
      <c r="E9261" t="b">
        <f>IF(COUNTIF(D9261,"*"&amp;'Keyword Search'!$C$5&amp;"*"),TRUE,FALSE)</f>
        <v>1</v>
      </c>
      <c r="G9261" t="str">
        <f t="shared" si="588"/>
        <v>988-75: Roadside Maintenance Services, Including Mowing, etc. (Inactive, please see commodity code 988-36 effective January 1, 2016)</v>
      </c>
    </row>
    <row r="9262" spans="1:7" x14ac:dyDescent="0.25">
      <c r="A9262" s="1" t="str">
        <f t="shared" si="589"/>
        <v>988</v>
      </c>
      <c r="B9262" s="1" t="str">
        <f>TEXT(77,"00")</f>
        <v>77</v>
      </c>
      <c r="C9262" s="1" t="str">
        <f t="shared" si="587"/>
        <v>988-77</v>
      </c>
      <c r="D9262" t="s">
        <v>9230</v>
      </c>
      <c r="E9262" t="b">
        <f>IF(COUNTIF(D9262,"*"&amp;'Keyword Search'!$C$5&amp;"*"),TRUE,FALSE)</f>
        <v>1</v>
      </c>
      <c r="G9262" t="str">
        <f t="shared" si="588"/>
        <v>988-77: Skating Rink and Ski Trail Maintenance and Repair, Including Resurfacing, Ice</v>
      </c>
    </row>
    <row r="9263" spans="1:7" x14ac:dyDescent="0.25">
      <c r="A9263" s="1" t="str">
        <f t="shared" si="589"/>
        <v>988</v>
      </c>
      <c r="B9263" s="1" t="str">
        <f>TEXT(78,"00")</f>
        <v>78</v>
      </c>
      <c r="C9263" s="1" t="str">
        <f t="shared" si="587"/>
        <v>988-78</v>
      </c>
      <c r="D9263" t="s">
        <v>9231</v>
      </c>
      <c r="E9263" t="b">
        <f>IF(COUNTIF(D9263,"*"&amp;'Keyword Search'!$C$5&amp;"*"),TRUE,FALSE)</f>
        <v>1</v>
      </c>
      <c r="G9263" t="str">
        <f t="shared" si="588"/>
        <v>988-78: Skating Rink Maintenance and Repair, Including Resurfacing, Roller</v>
      </c>
    </row>
    <row r="9264" spans="1:7" x14ac:dyDescent="0.25">
      <c r="A9264" s="1" t="str">
        <f t="shared" si="589"/>
        <v>988</v>
      </c>
      <c r="B9264" s="1" t="str">
        <f>TEXT(79,"00")</f>
        <v>79</v>
      </c>
      <c r="C9264" s="1" t="str">
        <f t="shared" si="587"/>
        <v>988-79</v>
      </c>
      <c r="D9264" t="s">
        <v>9232</v>
      </c>
      <c r="E9264" t="b">
        <f>IF(COUNTIF(D9264,"*"&amp;'Keyword Search'!$C$5&amp;"*"),TRUE,FALSE)</f>
        <v>1</v>
      </c>
      <c r="G9264" t="str">
        <f t="shared" si="588"/>
        <v>988-79: Ski Trail Maintenance and Repair (Inactive, please see commodity code 988-77 effective January 1, 2016)</v>
      </c>
    </row>
    <row r="9265" spans="1:7" x14ac:dyDescent="0.25">
      <c r="A9265" s="1" t="str">
        <f t="shared" si="589"/>
        <v>988</v>
      </c>
      <c r="B9265" s="1" t="str">
        <f>TEXT(83,"00")</f>
        <v>83</v>
      </c>
      <c r="C9265" s="1" t="str">
        <f t="shared" si="587"/>
        <v>988-83</v>
      </c>
      <c r="D9265" t="s">
        <v>9233</v>
      </c>
      <c r="E9265" t="b">
        <f>IF(COUNTIF(D9265,"*"&amp;'Keyword Search'!$C$5&amp;"*"),TRUE,FALSE)</f>
        <v>1</v>
      </c>
      <c r="G9265" t="str">
        <f t="shared" si="588"/>
        <v>988-83: Swimming Pool Management and Operation</v>
      </c>
    </row>
    <row r="9266" spans="1:7" x14ac:dyDescent="0.25">
      <c r="A9266" s="1" t="str">
        <f t="shared" si="589"/>
        <v>988</v>
      </c>
      <c r="B9266" s="1" t="str">
        <f>TEXT(84,"00")</f>
        <v>84</v>
      </c>
      <c r="C9266" s="1" t="str">
        <f t="shared" si="587"/>
        <v>988-84</v>
      </c>
      <c r="D9266" t="s">
        <v>9234</v>
      </c>
      <c r="E9266" t="b">
        <f>IF(COUNTIF(D9266,"*"&amp;'Keyword Search'!$C$5&amp;"*"),TRUE,FALSE)</f>
        <v>1</v>
      </c>
      <c r="G9266" t="str">
        <f t="shared" si="588"/>
        <v>988-84: Tennis Court Management and Opersations</v>
      </c>
    </row>
    <row r="9267" spans="1:7" x14ac:dyDescent="0.25">
      <c r="A9267" s="1" t="str">
        <f t="shared" si="589"/>
        <v>988</v>
      </c>
      <c r="B9267" s="1" t="str">
        <f>TEXT(87,"00")</f>
        <v>87</v>
      </c>
      <c r="C9267" s="1" t="str">
        <f t="shared" si="587"/>
        <v>988-87</v>
      </c>
      <c r="D9267" t="s">
        <v>9235</v>
      </c>
      <c r="E9267" t="b">
        <f>IF(COUNTIF(D9267,"*"&amp;'Keyword Search'!$C$5&amp;"*"),TRUE,FALSE)</f>
        <v>1</v>
      </c>
      <c r="G9267" t="str">
        <f t="shared" si="588"/>
        <v>988-87: Tree Trimming and Pruning Services, Utility Lines, Energized</v>
      </c>
    </row>
    <row r="9268" spans="1:7" x14ac:dyDescent="0.25">
      <c r="A9268" s="1" t="str">
        <f t="shared" si="589"/>
        <v>988</v>
      </c>
      <c r="B9268" s="1" t="str">
        <f>TEXT(88,"00")</f>
        <v>88</v>
      </c>
      <c r="C9268" s="1" t="str">
        <f t="shared" si="587"/>
        <v>988-88</v>
      </c>
      <c r="D9268" t="s">
        <v>9236</v>
      </c>
      <c r="E9268" t="b">
        <f>IF(COUNTIF(D9268,"*"&amp;'Keyword Search'!$C$5&amp;"*"),TRUE,FALSE)</f>
        <v>1</v>
      </c>
      <c r="G9268" t="str">
        <f t="shared" si="588"/>
        <v>988-88: Tree Trimming and Pruning Services</v>
      </c>
    </row>
    <row r="9269" spans="1:7" x14ac:dyDescent="0.25">
      <c r="A9269" s="1" t="str">
        <f t="shared" si="589"/>
        <v>988</v>
      </c>
      <c r="B9269" s="1" t="str">
        <f>TEXT(89,"00")</f>
        <v>89</v>
      </c>
      <c r="C9269" s="1" t="str">
        <f t="shared" si="587"/>
        <v>988-89</v>
      </c>
      <c r="D9269" t="s">
        <v>9237</v>
      </c>
      <c r="E9269" t="b">
        <f>IF(COUNTIF(D9269,"*"&amp;'Keyword Search'!$C$5&amp;"*"),TRUE,FALSE)</f>
        <v>1</v>
      </c>
      <c r="G9269" t="str">
        <f t="shared" si="588"/>
        <v>988-89: Weed and Vegetation Control, Including Trees, Shrubs and Aquatic Weed Control</v>
      </c>
    </row>
    <row r="9270" spans="1:7" x14ac:dyDescent="0.25">
      <c r="A9270" s="5" t="str">
        <f t="shared" ref="A9270:A9278" si="590">TEXT(989,"000")</f>
        <v>989</v>
      </c>
      <c r="B9270" s="5" t="str">
        <f>TEXT(0,"00")</f>
        <v>00</v>
      </c>
      <c r="C9270" s="1"/>
      <c r="D9270" s="2" t="s">
        <v>9238</v>
      </c>
    </row>
    <row r="9271" spans="1:7" x14ac:dyDescent="0.25">
      <c r="A9271" s="1" t="str">
        <f t="shared" si="590"/>
        <v>989</v>
      </c>
      <c r="B9271" s="1" t="str">
        <f>TEXT(14,"00")</f>
        <v>14</v>
      </c>
      <c r="C9271" s="1" t="str">
        <f t="shared" si="587"/>
        <v>989-14</v>
      </c>
      <c r="D9271" t="s">
        <v>9239</v>
      </c>
      <c r="E9271" t="b">
        <f>IF(COUNTIF(D9271,"*"&amp;'Keyword Search'!$C$5&amp;"*"),TRUE,FALSE)</f>
        <v>1</v>
      </c>
      <c r="G9271" t="str">
        <f t="shared" si="588"/>
        <v>989-14: Asphalt Sampling and Inspection Services</v>
      </c>
    </row>
    <row r="9272" spans="1:7" x14ac:dyDescent="0.25">
      <c r="A9272" s="1" t="str">
        <f t="shared" si="590"/>
        <v>989</v>
      </c>
      <c r="B9272" s="1" t="str">
        <f>TEXT(24,"00")</f>
        <v>24</v>
      </c>
      <c r="C9272" s="1" t="str">
        <f t="shared" si="587"/>
        <v>989-24</v>
      </c>
      <c r="D9272" t="s">
        <v>9240</v>
      </c>
      <c r="E9272" t="b">
        <f>IF(COUNTIF(D9272,"*"&amp;'Keyword Search'!$C$5&amp;"*"),TRUE,FALSE)</f>
        <v>1</v>
      </c>
      <c r="G9272" t="str">
        <f t="shared" si="588"/>
        <v>989-24: Chemical Sampling and Preparation Services</v>
      </c>
    </row>
    <row r="9273" spans="1:7" x14ac:dyDescent="0.25">
      <c r="A9273" s="1" t="str">
        <f t="shared" si="590"/>
        <v>989</v>
      </c>
      <c r="B9273" s="1" t="str">
        <f>TEXT(40,"00")</f>
        <v>40</v>
      </c>
      <c r="C9273" s="1" t="str">
        <f t="shared" si="587"/>
        <v>989-40</v>
      </c>
      <c r="D9273" t="s">
        <v>9241</v>
      </c>
      <c r="E9273" t="b">
        <f>IF(COUNTIF(D9273,"*"&amp;'Keyword Search'!$C$5&amp;"*"),TRUE,FALSE)</f>
        <v>1</v>
      </c>
      <c r="G9273" t="str">
        <f t="shared" si="588"/>
        <v>989-40: Food Sampling and Preparation Services</v>
      </c>
    </row>
    <row r="9274" spans="1:7" x14ac:dyDescent="0.25">
      <c r="A9274" s="1" t="str">
        <f t="shared" si="590"/>
        <v>989</v>
      </c>
      <c r="B9274" s="1" t="str">
        <f>TEXT(45,"00")</f>
        <v>45</v>
      </c>
      <c r="C9274" s="1" t="str">
        <f t="shared" si="587"/>
        <v>989-45</v>
      </c>
      <c r="D9274" t="s">
        <v>9242</v>
      </c>
      <c r="E9274" t="b">
        <f>IF(COUNTIF(D9274,"*"&amp;'Keyword Search'!$C$5&amp;"*"),TRUE,FALSE)</f>
        <v>1</v>
      </c>
      <c r="G9274" t="str">
        <f t="shared" si="588"/>
        <v>989-45: Grain Sampling and Preparation Services</v>
      </c>
    </row>
    <row r="9275" spans="1:7" x14ac:dyDescent="0.25">
      <c r="A9275" s="1" t="str">
        <f t="shared" si="590"/>
        <v>989</v>
      </c>
      <c r="B9275" s="1" t="str">
        <f>TEXT(52,"00")</f>
        <v>52</v>
      </c>
      <c r="C9275" s="1" t="str">
        <f t="shared" si="587"/>
        <v>989-52</v>
      </c>
      <c r="D9275" t="s">
        <v>9243</v>
      </c>
      <c r="E9275" t="b">
        <f>IF(COUNTIF(D9275,"*"&amp;'Keyword Search'!$C$5&amp;"*"),TRUE,FALSE)</f>
        <v>1</v>
      </c>
      <c r="G9275" t="str">
        <f t="shared" si="588"/>
        <v>989-52: Metal Sampling and Analysis Services</v>
      </c>
    </row>
    <row r="9276" spans="1:7" x14ac:dyDescent="0.25">
      <c r="A9276" s="1" t="str">
        <f t="shared" si="590"/>
        <v>989</v>
      </c>
      <c r="B9276" s="1" t="str">
        <f>TEXT(54,"00")</f>
        <v>54</v>
      </c>
      <c r="C9276" s="1" t="str">
        <f t="shared" si="587"/>
        <v>989-54</v>
      </c>
      <c r="D9276" t="s">
        <v>9244</v>
      </c>
      <c r="E9276" t="b">
        <f>IF(COUNTIF(D9276,"*"&amp;'Keyword Search'!$C$5&amp;"*"),TRUE,FALSE)</f>
        <v>1</v>
      </c>
      <c r="G9276" t="str">
        <f t="shared" si="588"/>
        <v>989-54: Oil Well Sampling and Core Sample, Billets, Preparation Services</v>
      </c>
    </row>
    <row r="9277" spans="1:7" x14ac:dyDescent="0.25">
      <c r="A9277" s="1" t="str">
        <f t="shared" si="590"/>
        <v>989</v>
      </c>
      <c r="B9277" s="1" t="str">
        <f>TEXT(75,"00")</f>
        <v>75</v>
      </c>
      <c r="C9277" s="1" t="str">
        <f t="shared" si="587"/>
        <v>989-75</v>
      </c>
      <c r="D9277" t="s">
        <v>9245</v>
      </c>
      <c r="E9277" t="b">
        <f>IF(COUNTIF(D9277,"*"&amp;'Keyword Search'!$C$5&amp;"*"),TRUE,FALSE)</f>
        <v>1</v>
      </c>
      <c r="G9277" t="str">
        <f t="shared" si="588"/>
        <v>989-75: Soil Sampling and Preparation Services</v>
      </c>
    </row>
    <row r="9278" spans="1:7" x14ac:dyDescent="0.25">
      <c r="A9278" s="1" t="str">
        <f t="shared" si="590"/>
        <v>989</v>
      </c>
      <c r="B9278" s="1" t="str">
        <f>TEXT(91,"00")</f>
        <v>91</v>
      </c>
      <c r="C9278" s="1" t="str">
        <f t="shared" si="587"/>
        <v>989-91</v>
      </c>
      <c r="D9278" t="s">
        <v>9246</v>
      </c>
      <c r="E9278" t="b">
        <f>IF(COUNTIF(D9278,"*"&amp;'Keyword Search'!$C$5&amp;"*"),TRUE,FALSE)</f>
        <v>1</v>
      </c>
      <c r="G9278" t="str">
        <f t="shared" si="588"/>
        <v>989-91: *Water Sampling and Analysis Services</v>
      </c>
    </row>
    <row r="9279" spans="1:7" x14ac:dyDescent="0.25">
      <c r="A9279" s="5" t="str">
        <f t="shared" ref="A9279:A9315" si="591">TEXT(990,"000")</f>
        <v>990</v>
      </c>
      <c r="B9279" s="5" t="str">
        <f>TEXT(0,"00")</f>
        <v>00</v>
      </c>
      <c r="C9279" s="1"/>
      <c r="D9279" s="2" t="s">
        <v>9247</v>
      </c>
    </row>
    <row r="9280" spans="1:7" x14ac:dyDescent="0.25">
      <c r="A9280" s="1" t="str">
        <f t="shared" si="591"/>
        <v>990</v>
      </c>
      <c r="B9280" s="1" t="str">
        <f>TEXT(5,"00")</f>
        <v>05</v>
      </c>
      <c r="C9280" s="1" t="str">
        <f t="shared" si="587"/>
        <v>990-05</v>
      </c>
      <c r="D9280" t="s">
        <v>9248</v>
      </c>
      <c r="E9280" t="b">
        <f>IF(COUNTIF(D9280,"*"&amp;'Keyword Search'!$C$5&amp;"*"),TRUE,FALSE)</f>
        <v>1</v>
      </c>
      <c r="G9280" t="str">
        <f t="shared" si="588"/>
        <v>990-05: *Alarm Services</v>
      </c>
    </row>
    <row r="9281" spans="1:7" x14ac:dyDescent="0.25">
      <c r="A9281" s="1" t="str">
        <f t="shared" si="591"/>
        <v>990</v>
      </c>
      <c r="B9281" s="1" t="str">
        <f>TEXT(10,"00")</f>
        <v>10</v>
      </c>
      <c r="C9281" s="1" t="str">
        <f t="shared" si="587"/>
        <v>990-10</v>
      </c>
      <c r="D9281" t="s">
        <v>9249</v>
      </c>
      <c r="E9281" t="b">
        <f>IF(COUNTIF(D9281,"*"&amp;'Keyword Search'!$C$5&amp;"*"),TRUE,FALSE)</f>
        <v>1</v>
      </c>
      <c r="G9281" t="str">
        <f t="shared" si="588"/>
        <v>990-10: Armored Car Services</v>
      </c>
    </row>
    <row r="9282" spans="1:7" x14ac:dyDescent="0.25">
      <c r="A9282" s="1" t="str">
        <f t="shared" si="591"/>
        <v>990</v>
      </c>
      <c r="B9282" s="1" t="str">
        <f>TEXT(18,"00")</f>
        <v>18</v>
      </c>
      <c r="C9282" s="1" t="str">
        <f t="shared" si="587"/>
        <v>990-18</v>
      </c>
      <c r="D9282" t="s">
        <v>9250</v>
      </c>
      <c r="E9282" t="b">
        <f>IF(COUNTIF(D9282,"*"&amp;'Keyword Search'!$C$5&amp;"*"),TRUE,FALSE)</f>
        <v>1</v>
      </c>
      <c r="G9282" t="str">
        <f t="shared" si="588"/>
        <v>990-18: Bomb and Explosives Disposal Services</v>
      </c>
    </row>
    <row r="9283" spans="1:7" x14ac:dyDescent="0.25">
      <c r="A9283" s="1" t="str">
        <f t="shared" si="591"/>
        <v>990</v>
      </c>
      <c r="B9283" s="1" t="str">
        <f>TEXT(22,"00")</f>
        <v>22</v>
      </c>
      <c r="C9283" s="1" t="str">
        <f t="shared" ref="C9283:C9346" si="592">CONCATENATE(A9283,"-",B9283)</f>
        <v>990-22</v>
      </c>
      <c r="D9283" t="s">
        <v>9251</v>
      </c>
      <c r="E9283" t="b">
        <f>IF(COUNTIF(D9283,"*"&amp;'Keyword Search'!$C$5&amp;"*"),TRUE,FALSE)</f>
        <v>1</v>
      </c>
      <c r="G9283" t="str">
        <f t="shared" si="588"/>
        <v>990-22: *Card Access Security Services</v>
      </c>
    </row>
    <row r="9284" spans="1:7" x14ac:dyDescent="0.25">
      <c r="A9284" s="1" t="str">
        <f t="shared" si="591"/>
        <v>990</v>
      </c>
      <c r="B9284" s="1" t="str">
        <f>TEXT(25,"00")</f>
        <v>25</v>
      </c>
      <c r="C9284" s="1" t="str">
        <f t="shared" si="592"/>
        <v>990-25</v>
      </c>
      <c r="D9284" t="s">
        <v>9252</v>
      </c>
      <c r="E9284" t="b">
        <f>IF(COUNTIF(D9284,"*"&amp;'Keyword Search'!$C$5&amp;"*"),TRUE,FALSE)</f>
        <v>1</v>
      </c>
      <c r="G9284" t="str">
        <f t="shared" ref="G9284:G9347" si="593">CONCATENATE(C9284,": ",D9284)</f>
        <v>990-25: *Crime Prevention Services</v>
      </c>
    </row>
    <row r="9285" spans="1:7" x14ac:dyDescent="0.25">
      <c r="A9285" s="1" t="str">
        <f t="shared" si="591"/>
        <v>990</v>
      </c>
      <c r="B9285" s="1" t="str">
        <f>TEXT(27,"00")</f>
        <v>27</v>
      </c>
      <c r="C9285" s="1" t="str">
        <f t="shared" si="592"/>
        <v>990-27</v>
      </c>
      <c r="D9285" t="s">
        <v>9253</v>
      </c>
      <c r="E9285" t="b">
        <f>IF(COUNTIF(D9285,"*"&amp;'Keyword Search'!$C$5&amp;"*"),TRUE,FALSE)</f>
        <v>1</v>
      </c>
      <c r="G9285" t="str">
        <f t="shared" si="593"/>
        <v>990-27: Crossing Guard Services</v>
      </c>
    </row>
    <row r="9286" spans="1:7" x14ac:dyDescent="0.25">
      <c r="A9286" s="1" t="str">
        <f t="shared" si="591"/>
        <v>990</v>
      </c>
      <c r="B9286" s="1" t="str">
        <f>TEXT(28,"00")</f>
        <v>28</v>
      </c>
      <c r="C9286" s="1" t="str">
        <f t="shared" si="592"/>
        <v>990-28</v>
      </c>
      <c r="D9286" t="s">
        <v>9254</v>
      </c>
      <c r="E9286" t="b">
        <f>IF(COUNTIF(D9286,"*"&amp;'Keyword Search'!$C$5&amp;"*"),TRUE,FALSE)</f>
        <v>1</v>
      </c>
      <c r="G9286" t="str">
        <f t="shared" si="593"/>
        <v>990-28: *Document Recovery Services, Disaster, Including Paper Documents, Film, Tapes etc.</v>
      </c>
    </row>
    <row r="9287" spans="1:7" x14ac:dyDescent="0.25">
      <c r="A9287" s="1" t="str">
        <f t="shared" si="591"/>
        <v>990</v>
      </c>
      <c r="B9287" s="1" t="str">
        <f>TEXT(29,"00")</f>
        <v>29</v>
      </c>
      <c r="C9287" s="1" t="str">
        <f t="shared" si="592"/>
        <v>990-29</v>
      </c>
      <c r="D9287" t="s">
        <v>9255</v>
      </c>
      <c r="E9287" t="b">
        <f>IF(COUNTIF(D9287,"*"&amp;'Keyword Search'!$C$5&amp;"*"),TRUE,FALSE)</f>
        <v>1</v>
      </c>
      <c r="G9287" t="str">
        <f t="shared" si="593"/>
        <v>990-29: *Disaster Preparedness and Emergency Planning Services</v>
      </c>
    </row>
    <row r="9288" spans="1:7" x14ac:dyDescent="0.25">
      <c r="A9288" s="1" t="str">
        <f t="shared" si="591"/>
        <v>990</v>
      </c>
      <c r="B9288" s="1" t="str">
        <f>TEXT(30,"00")</f>
        <v>30</v>
      </c>
      <c r="C9288" s="1" t="str">
        <f t="shared" si="592"/>
        <v>990-30</v>
      </c>
      <c r="D9288" t="s">
        <v>9256</v>
      </c>
      <c r="E9288" t="b">
        <f>IF(COUNTIF(D9288,"*"&amp;'Keyword Search'!$C$5&amp;"*"),TRUE,FALSE)</f>
        <v>1</v>
      </c>
      <c r="G9288" t="str">
        <f t="shared" si="593"/>
        <v>990-30: Disaster Relief Services</v>
      </c>
    </row>
    <row r="9289" spans="1:7" x14ac:dyDescent="0.25">
      <c r="A9289" s="1" t="str">
        <f t="shared" si="591"/>
        <v>990</v>
      </c>
      <c r="B9289" s="1" t="str">
        <f>TEXT(31,"00")</f>
        <v>31</v>
      </c>
      <c r="C9289" s="1" t="str">
        <f t="shared" si="592"/>
        <v>990-31</v>
      </c>
      <c r="D9289" t="s">
        <v>9257</v>
      </c>
      <c r="E9289" t="b">
        <f>IF(COUNTIF(D9289,"*"&amp;'Keyword Search'!$C$5&amp;"*"),TRUE,FALSE)</f>
        <v>1</v>
      </c>
      <c r="G9289" t="str">
        <f t="shared" si="593"/>
        <v>990-31: *Dispatching Services, Including Fire, Police and Medical Services</v>
      </c>
    </row>
    <row r="9290" spans="1:7" x14ac:dyDescent="0.25">
      <c r="A9290" s="1" t="str">
        <f t="shared" si="591"/>
        <v>990</v>
      </c>
      <c r="B9290" s="1" t="str">
        <f>TEXT(32,"00")</f>
        <v>32</v>
      </c>
      <c r="C9290" s="1" t="str">
        <f t="shared" si="592"/>
        <v>990-32</v>
      </c>
      <c r="D9290" t="s">
        <v>9258</v>
      </c>
      <c r="E9290" t="b">
        <f>IF(COUNTIF(D9290,"*"&amp;'Keyword Search'!$C$5&amp;"*"),TRUE,FALSE)</f>
        <v>1</v>
      </c>
      <c r="G9290" t="str">
        <f t="shared" si="593"/>
        <v>990-32: Driver's License Services</v>
      </c>
    </row>
    <row r="9291" spans="1:7" x14ac:dyDescent="0.25">
      <c r="A9291" s="1" t="str">
        <f t="shared" si="591"/>
        <v>990</v>
      </c>
      <c r="B9291" s="1" t="str">
        <f>TEXT(33,"00")</f>
        <v>33</v>
      </c>
      <c r="C9291" s="1" t="str">
        <f t="shared" si="592"/>
        <v>990-33</v>
      </c>
      <c r="D9291" t="s">
        <v>9259</v>
      </c>
      <c r="E9291" t="b">
        <f>IF(COUNTIF(D9291,"*"&amp;'Keyword Search'!$C$5&amp;"*"),TRUE,FALSE)</f>
        <v>1</v>
      </c>
      <c r="G9291" t="str">
        <f t="shared" si="593"/>
        <v>990-33: Drug Detection Services, Including Use of Drug Sniffing Dogs</v>
      </c>
    </row>
    <row r="9292" spans="1:7" x14ac:dyDescent="0.25">
      <c r="A9292" s="1" t="str">
        <f t="shared" si="591"/>
        <v>990</v>
      </c>
      <c r="B9292" s="1" t="str">
        <f>TEXT(36,"00")</f>
        <v>36</v>
      </c>
      <c r="C9292" s="1" t="str">
        <f t="shared" si="592"/>
        <v>990-36</v>
      </c>
      <c r="D9292" t="s">
        <v>9260</v>
      </c>
      <c r="E9292" t="b">
        <f>IF(COUNTIF(D9292,"*"&amp;'Keyword Search'!$C$5&amp;"*"),TRUE,FALSE)</f>
        <v>1</v>
      </c>
      <c r="G9292" t="str">
        <f t="shared" si="593"/>
        <v>990-36: Emergency Facility Support Management</v>
      </c>
    </row>
    <row r="9293" spans="1:7" x14ac:dyDescent="0.25">
      <c r="A9293" s="1" t="str">
        <f t="shared" si="591"/>
        <v>990</v>
      </c>
      <c r="B9293" s="1" t="str">
        <f>TEXT(37,"00")</f>
        <v>37</v>
      </c>
      <c r="C9293" s="1" t="str">
        <f t="shared" si="592"/>
        <v>990-37</v>
      </c>
      <c r="D9293" t="s">
        <v>9261</v>
      </c>
      <c r="E9293" t="b">
        <f>IF(COUNTIF(D9293,"*"&amp;'Keyword Search'!$C$5&amp;"*"),TRUE,FALSE)</f>
        <v>1</v>
      </c>
      <c r="G9293" t="str">
        <f t="shared" si="593"/>
        <v>990-37: Emergency Medical Services, Including Emergency Ambulance Services, (See 948-12 for Non-emergency Ambulance Services)</v>
      </c>
    </row>
    <row r="9294" spans="1:7" x14ac:dyDescent="0.25">
      <c r="A9294" s="1" t="str">
        <f t="shared" si="591"/>
        <v>990</v>
      </c>
      <c r="B9294" s="1" t="str">
        <f>TEXT(38,"00")</f>
        <v>38</v>
      </c>
      <c r="C9294" s="1" t="str">
        <f t="shared" si="592"/>
        <v>990-38</v>
      </c>
      <c r="D9294" t="s">
        <v>9262</v>
      </c>
      <c r="E9294" t="b">
        <f>IF(COUNTIF(D9294,"*"&amp;'Keyword Search'!$C$5&amp;"*"),TRUE,FALSE)</f>
        <v>1</v>
      </c>
      <c r="G9294" t="str">
        <f t="shared" si="593"/>
        <v>990-38: *Emergency Personnel Recall Service</v>
      </c>
    </row>
    <row r="9295" spans="1:7" x14ac:dyDescent="0.25">
      <c r="A9295" s="1" t="str">
        <f t="shared" si="591"/>
        <v>990</v>
      </c>
      <c r="B9295" s="1" t="str">
        <f>TEXT(39,"00")</f>
        <v>39</v>
      </c>
      <c r="C9295" s="1" t="str">
        <f t="shared" si="592"/>
        <v>990-39</v>
      </c>
      <c r="D9295" t="s">
        <v>9263</v>
      </c>
      <c r="E9295" t="b">
        <f>IF(COUNTIF(D9295,"*"&amp;'Keyword Search'!$C$5&amp;"*"),TRUE,FALSE)</f>
        <v>1</v>
      </c>
      <c r="G9295" t="str">
        <f t="shared" si="593"/>
        <v>990-39: *Emergency Systems Monitoring Service, Including Alarms and Operational Readiness Reporting</v>
      </c>
    </row>
    <row r="9296" spans="1:7" x14ac:dyDescent="0.25">
      <c r="A9296" s="1" t="str">
        <f t="shared" si="591"/>
        <v>990</v>
      </c>
      <c r="B9296" s="1" t="str">
        <f>TEXT(41,"00")</f>
        <v>41</v>
      </c>
      <c r="C9296" s="1" t="str">
        <f t="shared" si="592"/>
        <v>990-41</v>
      </c>
      <c r="D9296" t="s">
        <v>9264</v>
      </c>
      <c r="E9296" t="b">
        <f>IF(COUNTIF(D9296,"*"&amp;'Keyword Search'!$C$5&amp;"*"),TRUE,FALSE)</f>
        <v>1</v>
      </c>
      <c r="G9296" t="str">
        <f t="shared" si="593"/>
        <v>990-41: Fingerprinting Services</v>
      </c>
    </row>
    <row r="9297" spans="1:7" x14ac:dyDescent="0.25">
      <c r="A9297" s="1" t="str">
        <f t="shared" si="591"/>
        <v>990</v>
      </c>
      <c r="B9297" s="1" t="str">
        <f>TEXT(42,"00")</f>
        <v>42</v>
      </c>
      <c r="C9297" s="1" t="str">
        <f t="shared" si="592"/>
        <v>990-42</v>
      </c>
      <c r="D9297" t="s">
        <v>9265</v>
      </c>
      <c r="E9297" t="b">
        <f>IF(COUNTIF(D9297,"*"&amp;'Keyword Search'!$C$5&amp;"*"),TRUE,FALSE)</f>
        <v>1</v>
      </c>
      <c r="G9297" t="str">
        <f t="shared" si="593"/>
        <v>990-42: *Fire Alarm and Safety Services, Including Installation of Equipment</v>
      </c>
    </row>
    <row r="9298" spans="1:7" x14ac:dyDescent="0.25">
      <c r="A9298" s="1" t="str">
        <f t="shared" si="591"/>
        <v>990</v>
      </c>
      <c r="B9298" s="1" t="str">
        <f>TEXT(43,"00")</f>
        <v>43</v>
      </c>
      <c r="C9298" s="1" t="str">
        <f t="shared" si="592"/>
        <v>990-43</v>
      </c>
      <c r="D9298" t="s">
        <v>9266</v>
      </c>
      <c r="E9298" t="b">
        <f>IF(COUNTIF(D9298,"*"&amp;'Keyword Search'!$C$5&amp;"*"),TRUE,FALSE)</f>
        <v>1</v>
      </c>
      <c r="G9298" t="str">
        <f t="shared" si="593"/>
        <v>990-43: Fire Fighting Services, Oil and Gas Wells (See 952-44 for other Fire Fighting Services)</v>
      </c>
    </row>
    <row r="9299" spans="1:7" x14ac:dyDescent="0.25">
      <c r="A9299" s="1" t="str">
        <f t="shared" si="591"/>
        <v>990</v>
      </c>
      <c r="B9299" s="1" t="str">
        <f>TEXT(46,"00")</f>
        <v>46</v>
      </c>
      <c r="C9299" s="1" t="str">
        <f t="shared" si="592"/>
        <v>990-46</v>
      </c>
      <c r="D9299" t="s">
        <v>9267</v>
      </c>
      <c r="E9299" t="b">
        <f>IF(COUNTIF(D9299,"*"&amp;'Keyword Search'!$C$5&amp;"*"),TRUE,FALSE)</f>
        <v>1</v>
      </c>
      <c r="G9299" t="str">
        <f t="shared" si="593"/>
        <v>990-46: Guard and Security Services</v>
      </c>
    </row>
    <row r="9300" spans="1:7" x14ac:dyDescent="0.25">
      <c r="A9300" s="1" t="str">
        <f t="shared" si="591"/>
        <v>990</v>
      </c>
      <c r="B9300" s="1" t="str">
        <f>TEXT(48,"00")</f>
        <v>48</v>
      </c>
      <c r="C9300" s="1" t="str">
        <f t="shared" si="592"/>
        <v>990-48</v>
      </c>
      <c r="D9300" t="s">
        <v>9268</v>
      </c>
      <c r="E9300" t="b">
        <f>IF(COUNTIF(D9300,"*"&amp;'Keyword Search'!$C$5&amp;"*"),TRUE,FALSE)</f>
        <v>1</v>
      </c>
      <c r="G9300" t="str">
        <f t="shared" si="593"/>
        <v>990-48: *Identity Theft Protection and Data Security Services</v>
      </c>
    </row>
    <row r="9301" spans="1:7" x14ac:dyDescent="0.25">
      <c r="A9301" s="1" t="str">
        <f t="shared" si="591"/>
        <v>990</v>
      </c>
      <c r="B9301" s="1" t="str">
        <f>TEXT(49,"00")</f>
        <v>49</v>
      </c>
      <c r="C9301" s="1" t="str">
        <f t="shared" si="592"/>
        <v>990-49</v>
      </c>
      <c r="D9301" t="s">
        <v>9269</v>
      </c>
      <c r="E9301" t="b">
        <f>IF(COUNTIF(D9301,"*"&amp;'Keyword Search'!$C$5&amp;"*"),TRUE,FALSE)</f>
        <v>1</v>
      </c>
      <c r="G9301" t="str">
        <f t="shared" si="593"/>
        <v>990-49: *Incident Management Response Services, Including Patient Tracking, Responder Credentialing, Asset and Inventory Management</v>
      </c>
    </row>
    <row r="9302" spans="1:7" x14ac:dyDescent="0.25">
      <c r="A9302" s="1" t="str">
        <f t="shared" si="591"/>
        <v>990</v>
      </c>
      <c r="B9302" s="1" t="str">
        <f>TEXT(50,"00")</f>
        <v>50</v>
      </c>
      <c r="C9302" s="1" t="str">
        <f t="shared" si="592"/>
        <v>990-50</v>
      </c>
      <c r="D9302" t="s">
        <v>9270</v>
      </c>
      <c r="E9302" t="b">
        <f>IF(COUNTIF(D9302,"*"&amp;'Keyword Search'!$C$5&amp;"*"),TRUE,FALSE)</f>
        <v>1</v>
      </c>
      <c r="G9302" t="str">
        <f t="shared" si="593"/>
        <v>990-50: *Installation of Security and Alarm Equipment</v>
      </c>
    </row>
    <row r="9303" spans="1:7" x14ac:dyDescent="0.25">
      <c r="A9303" s="1" t="str">
        <f t="shared" si="591"/>
        <v>990</v>
      </c>
      <c r="B9303" s="1" t="str">
        <f>TEXT(52,"00")</f>
        <v>52</v>
      </c>
      <c r="C9303" s="1" t="str">
        <f t="shared" si="592"/>
        <v>990-52</v>
      </c>
      <c r="D9303" t="s">
        <v>9271</v>
      </c>
      <c r="E9303" t="b">
        <f>IF(COUNTIF(D9303,"*"&amp;'Keyword Search'!$C$5&amp;"*"),TRUE,FALSE)</f>
        <v>1</v>
      </c>
      <c r="G9303" t="str">
        <f t="shared" si="593"/>
        <v>990-52: *Investigative Services</v>
      </c>
    </row>
    <row r="9304" spans="1:7" x14ac:dyDescent="0.25">
      <c r="A9304" s="1" t="str">
        <f t="shared" si="591"/>
        <v>990</v>
      </c>
      <c r="B9304" s="1" t="str">
        <f>TEXT(57,"00")</f>
        <v>57</v>
      </c>
      <c r="C9304" s="1" t="str">
        <f t="shared" si="592"/>
        <v>990-57</v>
      </c>
      <c r="D9304" t="s">
        <v>9272</v>
      </c>
      <c r="E9304" t="b">
        <f>IF(COUNTIF(D9304,"*"&amp;'Keyword Search'!$C$5&amp;"*"),TRUE,FALSE)</f>
        <v>1</v>
      </c>
      <c r="G9304" t="str">
        <f t="shared" si="593"/>
        <v>990-57: *Lie Detection Services</v>
      </c>
    </row>
    <row r="9305" spans="1:7" x14ac:dyDescent="0.25">
      <c r="A9305" s="1" t="str">
        <f t="shared" si="591"/>
        <v>990</v>
      </c>
      <c r="B9305" s="1" t="str">
        <f>TEXT(58,"00")</f>
        <v>58</v>
      </c>
      <c r="C9305" s="1" t="str">
        <f t="shared" si="592"/>
        <v>990-58</v>
      </c>
      <c r="D9305" t="s">
        <v>9273</v>
      </c>
      <c r="E9305" t="b">
        <f>IF(COUNTIF(D9305,"*"&amp;'Keyword Search'!$C$5&amp;"*"),TRUE,FALSE)</f>
        <v>1</v>
      </c>
      <c r="G9305" t="str">
        <f t="shared" si="593"/>
        <v>990-58: Lifeguard Services</v>
      </c>
    </row>
    <row r="9306" spans="1:7" x14ac:dyDescent="0.25">
      <c r="A9306" s="1" t="str">
        <f t="shared" si="591"/>
        <v>990</v>
      </c>
      <c r="B9306" s="1" t="str">
        <f>TEXT(60,"00")</f>
        <v>60</v>
      </c>
      <c r="C9306" s="1" t="str">
        <f t="shared" si="592"/>
        <v>990-60</v>
      </c>
      <c r="D9306" t="s">
        <v>9274</v>
      </c>
      <c r="E9306" t="b">
        <f>IF(COUNTIF(D9306,"*"&amp;'Keyword Search'!$C$5&amp;"*"),TRUE,FALSE)</f>
        <v>1</v>
      </c>
      <c r="G9306" t="str">
        <f t="shared" si="593"/>
        <v>990-60: Disaster Site Clean-up and Recovery Services</v>
      </c>
    </row>
    <row r="9307" spans="1:7" x14ac:dyDescent="0.25">
      <c r="A9307" s="1" t="str">
        <f t="shared" si="591"/>
        <v>990</v>
      </c>
      <c r="B9307" s="1" t="str">
        <f>TEXT(67,"00")</f>
        <v>67</v>
      </c>
      <c r="C9307" s="1" t="str">
        <f t="shared" si="592"/>
        <v>990-67</v>
      </c>
      <c r="D9307" t="s">
        <v>9275</v>
      </c>
      <c r="E9307" t="b">
        <f>IF(COUNTIF(D9307,"*"&amp;'Keyword Search'!$C$5&amp;"*"),TRUE,FALSE)</f>
        <v>1</v>
      </c>
      <c r="G9307" t="str">
        <f t="shared" si="593"/>
        <v>990-67: Patrol Services</v>
      </c>
    </row>
    <row r="9308" spans="1:7" x14ac:dyDescent="0.25">
      <c r="A9308" s="1" t="str">
        <f t="shared" si="591"/>
        <v>990</v>
      </c>
      <c r="B9308" s="1" t="str">
        <f>TEXT(68,"00")</f>
        <v>68</v>
      </c>
      <c r="C9308" s="1" t="str">
        <f t="shared" si="592"/>
        <v>990-68</v>
      </c>
      <c r="D9308" t="s">
        <v>9276</v>
      </c>
      <c r="E9308" t="b">
        <f>IF(COUNTIF(D9308,"*"&amp;'Keyword Search'!$C$5&amp;"*"),TRUE,FALSE)</f>
        <v>1</v>
      </c>
      <c r="G9308" t="str">
        <f t="shared" si="593"/>
        <v>990-68: Playground Safety Certification Services</v>
      </c>
    </row>
    <row r="9309" spans="1:7" x14ac:dyDescent="0.25">
      <c r="A9309" s="1" t="str">
        <f t="shared" si="591"/>
        <v>990</v>
      </c>
      <c r="B9309" s="1" t="str">
        <f>TEXT(70,"00")</f>
        <v>70</v>
      </c>
      <c r="C9309" s="1" t="str">
        <f t="shared" si="592"/>
        <v>990-70</v>
      </c>
      <c r="D9309" t="s">
        <v>9277</v>
      </c>
      <c r="E9309" t="b">
        <f>IF(COUNTIF(D9309,"*"&amp;'Keyword Search'!$C$5&amp;"*"),TRUE,FALSE)</f>
        <v>1</v>
      </c>
      <c r="G9309" t="str">
        <f t="shared" si="593"/>
        <v>990-70: *Polygraph Testing Services</v>
      </c>
    </row>
    <row r="9310" spans="1:7" x14ac:dyDescent="0.25">
      <c r="A9310" s="1" t="str">
        <f t="shared" si="591"/>
        <v>990</v>
      </c>
      <c r="B9310" s="1" t="str">
        <f>TEXT(75,"00")</f>
        <v>75</v>
      </c>
      <c r="C9310" s="1" t="str">
        <f t="shared" si="592"/>
        <v>990-75</v>
      </c>
      <c r="D9310" t="s">
        <v>9278</v>
      </c>
      <c r="E9310" t="b">
        <f>IF(COUNTIF(D9310,"*"&amp;'Keyword Search'!$C$5&amp;"*"),TRUE,FALSE)</f>
        <v>1</v>
      </c>
      <c r="G9310" t="str">
        <f t="shared" si="593"/>
        <v>990-75: Rescue and Search Team Services</v>
      </c>
    </row>
    <row r="9311" spans="1:7" x14ac:dyDescent="0.25">
      <c r="A9311" s="1" t="str">
        <f t="shared" si="591"/>
        <v>990</v>
      </c>
      <c r="B9311" s="1" t="str">
        <f>TEXT(77,"00")</f>
        <v>77</v>
      </c>
      <c r="C9311" s="1" t="str">
        <f t="shared" si="592"/>
        <v>990-77</v>
      </c>
      <c r="D9311" t="s">
        <v>9279</v>
      </c>
      <c r="E9311" t="b">
        <f>IF(COUNTIF(D9311,"*"&amp;'Keyword Search'!$C$5&amp;"*"),TRUE,FALSE)</f>
        <v>1</v>
      </c>
      <c r="G9311" t="str">
        <f t="shared" si="593"/>
        <v>990-77: Safety Training and Awareness Services, Including Highway Safety, Boating, Seat Belt, CPR and AED Training</v>
      </c>
    </row>
    <row r="9312" spans="1:7" x14ac:dyDescent="0.25">
      <c r="A9312" s="1" t="str">
        <f t="shared" si="591"/>
        <v>990</v>
      </c>
      <c r="B9312" s="1" t="str">
        <f>TEXT(78,"00")</f>
        <v>78</v>
      </c>
      <c r="C9312" s="1" t="str">
        <f t="shared" si="592"/>
        <v>990-78</v>
      </c>
      <c r="D9312" t="s">
        <v>9280</v>
      </c>
      <c r="E9312" t="b">
        <f>IF(COUNTIF(D9312,"*"&amp;'Keyword Search'!$C$5&amp;"*"),TRUE,FALSE)</f>
        <v>1</v>
      </c>
      <c r="G9312" t="str">
        <f t="shared" si="593"/>
        <v>990-78: Security Services, Hazardous Waste Site</v>
      </c>
    </row>
    <row r="9313" spans="1:7" x14ac:dyDescent="0.25">
      <c r="A9313" s="1" t="str">
        <f t="shared" si="591"/>
        <v>990</v>
      </c>
      <c r="B9313" s="1" t="str">
        <f>TEXT(79,"00")</f>
        <v>79</v>
      </c>
      <c r="C9313" s="1" t="str">
        <f t="shared" si="592"/>
        <v>990-79</v>
      </c>
      <c r="D9313" t="s">
        <v>9281</v>
      </c>
      <c r="E9313" t="b">
        <f>IF(COUNTIF(D9313,"*"&amp;'Keyword Search'!$C$5&amp;"*"),TRUE,FALSE)</f>
        <v>1</v>
      </c>
      <c r="G9313" t="str">
        <f t="shared" si="593"/>
        <v>990-79: Sanitizing and Disinfecting Services, Security, Fire, Safety and Emergency</v>
      </c>
    </row>
    <row r="9314" spans="1:7" x14ac:dyDescent="0.25">
      <c r="A9314" s="1" t="str">
        <f t="shared" si="591"/>
        <v>990</v>
      </c>
      <c r="B9314" s="1" t="str">
        <f>TEXT(80,"00")</f>
        <v>80</v>
      </c>
      <c r="C9314" s="1" t="str">
        <f t="shared" si="592"/>
        <v>990-80</v>
      </c>
      <c r="D9314" t="s">
        <v>9282</v>
      </c>
      <c r="E9314" t="b">
        <f>IF(COUNTIF(D9314,"*"&amp;'Keyword Search'!$C$5&amp;"*"),TRUE,FALSE)</f>
        <v>1</v>
      </c>
      <c r="G9314" t="str">
        <f t="shared" si="593"/>
        <v>990-80: *Surveillance Services</v>
      </c>
    </row>
    <row r="9315" spans="1:7" x14ac:dyDescent="0.25">
      <c r="A9315" s="1" t="str">
        <f t="shared" si="591"/>
        <v>990</v>
      </c>
      <c r="B9315" s="1" t="str">
        <f>TEXT(90,"00")</f>
        <v>90</v>
      </c>
      <c r="C9315" s="1" t="str">
        <f t="shared" si="592"/>
        <v>990-90</v>
      </c>
      <c r="D9315" t="s">
        <v>9283</v>
      </c>
      <c r="E9315" t="b">
        <f>IF(COUNTIF(D9315,"*"&amp;'Keyword Search'!$C$5&amp;"*"),TRUE,FALSE)</f>
        <v>1</v>
      </c>
      <c r="G9315" t="str">
        <f t="shared" si="593"/>
        <v>990-90: X-Ray Film Badge Services</v>
      </c>
    </row>
    <row r="9316" spans="1:7" x14ac:dyDescent="0.25">
      <c r="A9316" s="5" t="str">
        <f t="shared" ref="A9316:A9343" si="594">TEXT(992,"000")</f>
        <v>992</v>
      </c>
      <c r="B9316" s="5" t="str">
        <f>TEXT(0,"00")</f>
        <v>00</v>
      </c>
      <c r="C9316" s="1"/>
      <c r="D9316" s="2" t="s">
        <v>9284</v>
      </c>
    </row>
    <row r="9317" spans="1:7" x14ac:dyDescent="0.25">
      <c r="A9317" s="1" t="str">
        <f t="shared" si="594"/>
        <v>992</v>
      </c>
      <c r="B9317" s="1" t="str">
        <f>TEXT(15,"00")</f>
        <v>15</v>
      </c>
      <c r="C9317" s="1" t="str">
        <f t="shared" si="592"/>
        <v>992-15</v>
      </c>
      <c r="D9317" t="s">
        <v>9285</v>
      </c>
      <c r="E9317" t="b">
        <f>IF(COUNTIF(D9317,"*"&amp;'Keyword Search'!$C$5&amp;"*"),TRUE,FALSE)</f>
        <v>1</v>
      </c>
      <c r="G9317" t="str">
        <f t="shared" si="593"/>
        <v>992-15: Air Quality Monitoring Equipment Testing and Calibration Services</v>
      </c>
    </row>
    <row r="9318" spans="1:7" x14ac:dyDescent="0.25">
      <c r="A9318" s="1" t="str">
        <f t="shared" si="594"/>
        <v>992</v>
      </c>
      <c r="B9318" s="1" t="str">
        <f>TEXT(19,"00")</f>
        <v>19</v>
      </c>
      <c r="C9318" s="1" t="str">
        <f t="shared" si="592"/>
        <v>992-19</v>
      </c>
      <c r="D9318" t="s">
        <v>9286</v>
      </c>
      <c r="E9318" t="b">
        <f>IF(COUNTIF(D9318,"*"&amp;'Keyword Search'!$C$5&amp;"*"),TRUE,FALSE)</f>
        <v>1</v>
      </c>
      <c r="G9318" t="str">
        <f t="shared" si="593"/>
        <v>992-19: Automotive and Road Equipment Testing and Calibration Services</v>
      </c>
    </row>
    <row r="9319" spans="1:7" x14ac:dyDescent="0.25">
      <c r="A9319" s="1" t="str">
        <f t="shared" si="594"/>
        <v>992</v>
      </c>
      <c r="B9319" s="1" t="str">
        <f>TEXT(22,"00")</f>
        <v>22</v>
      </c>
      <c r="C9319" s="1" t="str">
        <f t="shared" si="592"/>
        <v>992-22</v>
      </c>
      <c r="D9319" t="s">
        <v>9287</v>
      </c>
      <c r="E9319" t="b">
        <f>IF(COUNTIF(D9319,"*"&amp;'Keyword Search'!$C$5&amp;"*"),TRUE,FALSE)</f>
        <v>1</v>
      </c>
      <c r="G9319" t="str">
        <f t="shared" si="593"/>
        <v>992-22: Ballistics Testing Services</v>
      </c>
    </row>
    <row r="9320" spans="1:7" x14ac:dyDescent="0.25">
      <c r="A9320" s="1" t="str">
        <f t="shared" si="594"/>
        <v>992</v>
      </c>
      <c r="B9320" s="1" t="str">
        <f>TEXT(26,"00")</f>
        <v>26</v>
      </c>
      <c r="C9320" s="1" t="str">
        <f t="shared" si="592"/>
        <v>992-26</v>
      </c>
      <c r="D9320" t="s">
        <v>9288</v>
      </c>
      <c r="E9320" t="b">
        <f>IF(COUNTIF(D9320,"*"&amp;'Keyword Search'!$C$5&amp;"*"),TRUE,FALSE)</f>
        <v>1</v>
      </c>
      <c r="G9320" t="str">
        <f t="shared" si="593"/>
        <v>992-26: Biological and Microbiological Testing Services</v>
      </c>
    </row>
    <row r="9321" spans="1:7" x14ac:dyDescent="0.25">
      <c r="A9321" s="1" t="str">
        <f t="shared" si="594"/>
        <v>992</v>
      </c>
      <c r="B9321" s="1" t="str">
        <f>TEXT(31,"00")</f>
        <v>31</v>
      </c>
      <c r="C9321" s="1" t="str">
        <f t="shared" si="592"/>
        <v>992-31</v>
      </c>
      <c r="D9321" t="s">
        <v>9289</v>
      </c>
      <c r="E9321" t="b">
        <f>IF(COUNTIF(D9321,"*"&amp;'Keyword Search'!$C$5&amp;"*"),TRUE,FALSE)</f>
        <v>1</v>
      </c>
      <c r="G9321" t="str">
        <f t="shared" si="593"/>
        <v>992-31: Chemical Testing Services (See 962-22 For Laboratory Testing)</v>
      </c>
    </row>
    <row r="9322" spans="1:7" x14ac:dyDescent="0.25">
      <c r="A9322" s="1" t="str">
        <f t="shared" si="594"/>
        <v>992</v>
      </c>
      <c r="B9322" s="1" t="str">
        <f>TEXT(34,"00")</f>
        <v>34</v>
      </c>
      <c r="C9322" s="1" t="str">
        <f t="shared" si="592"/>
        <v>992-34</v>
      </c>
      <c r="D9322" t="s">
        <v>9290</v>
      </c>
      <c r="E9322" t="b">
        <f>IF(COUNTIF(D9322,"*"&amp;'Keyword Search'!$C$5&amp;"*"),TRUE,FALSE)</f>
        <v>1</v>
      </c>
      <c r="G9322" t="str">
        <f t="shared" si="593"/>
        <v>992-34: Concrete Testing Services</v>
      </c>
    </row>
    <row r="9323" spans="1:7" x14ac:dyDescent="0.25">
      <c r="A9323" s="1" t="str">
        <f t="shared" si="594"/>
        <v>992</v>
      </c>
      <c r="B9323" s="1" t="str">
        <f>TEXT(36,"00")</f>
        <v>36</v>
      </c>
      <c r="C9323" s="1" t="str">
        <f t="shared" si="592"/>
        <v>992-36</v>
      </c>
      <c r="D9323" t="s">
        <v>9291</v>
      </c>
      <c r="E9323" t="b">
        <f>IF(COUNTIF(D9323,"*"&amp;'Keyword Search'!$C$5&amp;"*"),TRUE,FALSE)</f>
        <v>1</v>
      </c>
      <c r="G9323" t="str">
        <f t="shared" si="593"/>
        <v>992-36: Core Sample, Not Concrete, Testing Services</v>
      </c>
    </row>
    <row r="9324" spans="1:7" x14ac:dyDescent="0.25">
      <c r="A9324" s="1" t="str">
        <f t="shared" si="594"/>
        <v>992</v>
      </c>
      <c r="B9324" s="1" t="str">
        <f>TEXT(39,"00")</f>
        <v>39</v>
      </c>
      <c r="C9324" s="1" t="str">
        <f t="shared" si="592"/>
        <v>992-39</v>
      </c>
      <c r="D9324" t="s">
        <v>9292</v>
      </c>
      <c r="E9324" t="b">
        <f>IF(COUNTIF(D9324,"*"&amp;'Keyword Search'!$C$5&amp;"*"),TRUE,FALSE)</f>
        <v>1</v>
      </c>
      <c r="G9324" t="str">
        <f t="shared" si="593"/>
        <v>992-39: Electrical Systems Testing Services</v>
      </c>
    </row>
    <row r="9325" spans="1:7" x14ac:dyDescent="0.25">
      <c r="A9325" s="1" t="str">
        <f t="shared" si="594"/>
        <v>992</v>
      </c>
      <c r="B9325" s="1" t="str">
        <f>TEXT(40,"00")</f>
        <v>40</v>
      </c>
      <c r="C9325" s="1" t="str">
        <f t="shared" si="592"/>
        <v>992-40</v>
      </c>
      <c r="D9325" t="s">
        <v>9293</v>
      </c>
      <c r="E9325" t="b">
        <f>IF(COUNTIF(D9325,"*"&amp;'Keyword Search'!$C$5&amp;"*"),TRUE,FALSE)</f>
        <v>1</v>
      </c>
      <c r="G9325" t="str">
        <f t="shared" si="593"/>
        <v>992-40: Electronic and Electrical Cable Testing Services</v>
      </c>
    </row>
    <row r="9326" spans="1:7" x14ac:dyDescent="0.25">
      <c r="A9326" s="1" t="str">
        <f t="shared" si="594"/>
        <v>992</v>
      </c>
      <c r="B9326" s="1" t="str">
        <f>TEXT(45,"00")</f>
        <v>45</v>
      </c>
      <c r="C9326" s="1" t="str">
        <f t="shared" si="592"/>
        <v>992-45</v>
      </c>
      <c r="D9326" t="s">
        <v>9294</v>
      </c>
      <c r="E9326" t="b">
        <f>IF(COUNTIF(D9326,"*"&amp;'Keyword Search'!$C$5&amp;"*"),TRUE,FALSE)</f>
        <v>1</v>
      </c>
      <c r="G9326" t="str">
        <f t="shared" si="593"/>
        <v>992-45: Gaseous Fuel Tank Testing Services, Vehicular</v>
      </c>
    </row>
    <row r="9327" spans="1:7" x14ac:dyDescent="0.25">
      <c r="A9327" s="1" t="str">
        <f t="shared" si="594"/>
        <v>992</v>
      </c>
      <c r="B9327" s="1" t="str">
        <f>TEXT(47,"00")</f>
        <v>47</v>
      </c>
      <c r="C9327" s="1" t="str">
        <f t="shared" si="592"/>
        <v>992-47</v>
      </c>
      <c r="D9327" t="s">
        <v>9295</v>
      </c>
      <c r="E9327" t="b">
        <f>IF(COUNTIF(D9327,"*"&amp;'Keyword Search'!$C$5&amp;"*"),TRUE,FALSE)</f>
        <v>1</v>
      </c>
      <c r="G9327" t="str">
        <f t="shared" si="593"/>
        <v>992-47: HVAC System Testing, Balancing and Troubleshooting Services</v>
      </c>
    </row>
    <row r="9328" spans="1:7" x14ac:dyDescent="0.25">
      <c r="A9328" s="1" t="str">
        <f t="shared" si="594"/>
        <v>992</v>
      </c>
      <c r="B9328" s="1" t="str">
        <f>TEXT(49,"00")</f>
        <v>49</v>
      </c>
      <c r="C9328" s="1" t="str">
        <f t="shared" si="592"/>
        <v>992-49</v>
      </c>
      <c r="D9328" t="s">
        <v>9296</v>
      </c>
      <c r="E9328" t="b">
        <f>IF(COUNTIF(D9328,"*"&amp;'Keyword Search'!$C$5&amp;"*"),TRUE,FALSE)</f>
        <v>1</v>
      </c>
      <c r="G9328" t="str">
        <f t="shared" si="593"/>
        <v>992-49: Light Measurement Equipment Testing and Calibration Services</v>
      </c>
    </row>
    <row r="9329" spans="1:7" x14ac:dyDescent="0.25">
      <c r="A9329" s="1" t="str">
        <f t="shared" si="594"/>
        <v>992</v>
      </c>
      <c r="B9329" s="1" t="str">
        <f>TEXT(53,"00")</f>
        <v>53</v>
      </c>
      <c r="C9329" s="1" t="str">
        <f t="shared" si="592"/>
        <v>992-53</v>
      </c>
      <c r="D9329" t="s">
        <v>9297</v>
      </c>
      <c r="E9329" t="b">
        <f>IF(COUNTIF(D9329,"*"&amp;'Keyword Search'!$C$5&amp;"*"),TRUE,FALSE)</f>
        <v>1</v>
      </c>
      <c r="G9329" t="str">
        <f t="shared" si="593"/>
        <v>992-53: Medical Equipment Testing and Calibration Services, Not X-Ray</v>
      </c>
    </row>
    <row r="9330" spans="1:7" x14ac:dyDescent="0.25">
      <c r="A9330" s="1" t="str">
        <f t="shared" si="594"/>
        <v>992</v>
      </c>
      <c r="B9330" s="1" t="str">
        <f>TEXT(55,"00")</f>
        <v>55</v>
      </c>
      <c r="C9330" s="1" t="str">
        <f t="shared" si="592"/>
        <v>992-55</v>
      </c>
      <c r="D9330" t="s">
        <v>9298</v>
      </c>
      <c r="E9330" t="b">
        <f>IF(COUNTIF(D9330,"*"&amp;'Keyword Search'!$C$5&amp;"*"),TRUE,FALSE)</f>
        <v>1</v>
      </c>
      <c r="G9330" t="str">
        <f t="shared" si="593"/>
        <v>992-55: Miscellaneous Testing and Calibration Services</v>
      </c>
    </row>
    <row r="9331" spans="1:7" x14ac:dyDescent="0.25">
      <c r="A9331" s="1" t="str">
        <f t="shared" si="594"/>
        <v>992</v>
      </c>
      <c r="B9331" s="1" t="str">
        <f>TEXT(58,"00")</f>
        <v>58</v>
      </c>
      <c r="C9331" s="1" t="str">
        <f t="shared" si="592"/>
        <v>992-58</v>
      </c>
      <c r="D9331" t="s">
        <v>9299</v>
      </c>
      <c r="E9331" t="b">
        <f>IF(COUNTIF(D9331,"*"&amp;'Keyword Search'!$C$5&amp;"*"),TRUE,FALSE)</f>
        <v>1</v>
      </c>
      <c r="G9331" t="str">
        <f t="shared" si="593"/>
        <v>992-58: Office Equipment Testing Services</v>
      </c>
    </row>
    <row r="9332" spans="1:7" x14ac:dyDescent="0.25">
      <c r="A9332" s="1" t="str">
        <f t="shared" si="594"/>
        <v>992</v>
      </c>
      <c r="B9332" s="1" t="str">
        <f>TEXT(59,"00")</f>
        <v>59</v>
      </c>
      <c r="C9332" s="1" t="str">
        <f t="shared" si="592"/>
        <v>992-59</v>
      </c>
      <c r="D9332" t="s">
        <v>9300</v>
      </c>
      <c r="E9332" t="b">
        <f>IF(COUNTIF(D9332,"*"&amp;'Keyword Search'!$C$5&amp;"*"),TRUE,FALSE)</f>
        <v>1</v>
      </c>
      <c r="G9332" t="str">
        <f t="shared" si="593"/>
        <v>992-59: Oil Field Equipment Testing Services</v>
      </c>
    </row>
    <row r="9333" spans="1:7" x14ac:dyDescent="0.25">
      <c r="A9333" s="1" t="str">
        <f t="shared" si="594"/>
        <v>992</v>
      </c>
      <c r="B9333" s="1" t="str">
        <f>TEXT(61,"00")</f>
        <v>61</v>
      </c>
      <c r="C9333" s="1" t="str">
        <f t="shared" si="592"/>
        <v>992-61</v>
      </c>
      <c r="D9333" t="s">
        <v>9301</v>
      </c>
      <c r="E9333" t="b">
        <f>IF(COUNTIF(D9333,"*"&amp;'Keyword Search'!$C$5&amp;"*"),TRUE,FALSE)</f>
        <v>1</v>
      </c>
      <c r="G9333" t="str">
        <f t="shared" si="593"/>
        <v>992-61: Paint Testing Services</v>
      </c>
    </row>
    <row r="9334" spans="1:7" x14ac:dyDescent="0.25">
      <c r="A9334" s="1" t="str">
        <f t="shared" si="594"/>
        <v>992</v>
      </c>
      <c r="B9334" s="1" t="str">
        <f>TEXT(65,"00")</f>
        <v>65</v>
      </c>
      <c r="C9334" s="1" t="str">
        <f t="shared" si="592"/>
        <v>992-65</v>
      </c>
      <c r="D9334" t="s">
        <v>9302</v>
      </c>
      <c r="E9334" t="b">
        <f>IF(COUNTIF(D9334,"*"&amp;'Keyword Search'!$C$5&amp;"*"),TRUE,FALSE)</f>
        <v>1</v>
      </c>
      <c r="G9334" t="str">
        <f t="shared" si="593"/>
        <v>992-65: Pressure Testing Services, Fuel Tanks, Pressure Tanks, etc.</v>
      </c>
    </row>
    <row r="9335" spans="1:7" x14ac:dyDescent="0.25">
      <c r="A9335" s="1" t="str">
        <f t="shared" si="594"/>
        <v>992</v>
      </c>
      <c r="B9335" s="1" t="str">
        <f>TEXT(70,"00")</f>
        <v>70</v>
      </c>
      <c r="C9335" s="1" t="str">
        <f t="shared" si="592"/>
        <v>992-70</v>
      </c>
      <c r="D9335" t="s">
        <v>9303</v>
      </c>
      <c r="E9335" t="b">
        <f>IF(COUNTIF(D9335,"*"&amp;'Keyword Search'!$C$5&amp;"*"),TRUE,FALSE)</f>
        <v>1</v>
      </c>
      <c r="G9335" t="str">
        <f t="shared" si="593"/>
        <v>992-70: Radar Equipment Testing and Calibration Services</v>
      </c>
    </row>
    <row r="9336" spans="1:7" x14ac:dyDescent="0.25">
      <c r="A9336" s="1" t="str">
        <f t="shared" si="594"/>
        <v>992</v>
      </c>
      <c r="B9336" s="1" t="str">
        <f>TEXT(71,"00")</f>
        <v>71</v>
      </c>
      <c r="C9336" s="1" t="str">
        <f t="shared" si="592"/>
        <v>992-71</v>
      </c>
      <c r="D9336" t="s">
        <v>9304</v>
      </c>
      <c r="E9336" t="b">
        <f>IF(COUNTIF(D9336,"*"&amp;'Keyword Search'!$C$5&amp;"*"),TRUE,FALSE)</f>
        <v>1</v>
      </c>
      <c r="G9336" t="str">
        <f t="shared" si="593"/>
        <v>992-71: Radio Instrument Testing and Calibration Services</v>
      </c>
    </row>
    <row r="9337" spans="1:7" x14ac:dyDescent="0.25">
      <c r="A9337" s="1" t="str">
        <f t="shared" si="594"/>
        <v>992</v>
      </c>
      <c r="B9337" s="1" t="str">
        <f>TEXT(72,"00")</f>
        <v>72</v>
      </c>
      <c r="C9337" s="1" t="str">
        <f t="shared" si="592"/>
        <v>992-72</v>
      </c>
      <c r="D9337" t="s">
        <v>9305</v>
      </c>
      <c r="E9337" t="b">
        <f>IF(COUNTIF(D9337,"*"&amp;'Keyword Search'!$C$5&amp;"*"),TRUE,FALSE)</f>
        <v>1</v>
      </c>
      <c r="G9337" t="str">
        <f t="shared" si="593"/>
        <v>992-72: Return Merchandising Authorization Testing Services</v>
      </c>
    </row>
    <row r="9338" spans="1:7" x14ac:dyDescent="0.25">
      <c r="A9338" s="1" t="str">
        <f t="shared" si="594"/>
        <v>992</v>
      </c>
      <c r="B9338" s="1" t="str">
        <f>TEXT(75,"00")</f>
        <v>75</v>
      </c>
      <c r="C9338" s="1" t="str">
        <f t="shared" si="592"/>
        <v>992-75</v>
      </c>
      <c r="D9338" t="s">
        <v>9306</v>
      </c>
      <c r="E9338" t="b">
        <f>IF(COUNTIF(D9338,"*"&amp;'Keyword Search'!$C$5&amp;"*"),TRUE,FALSE)</f>
        <v>1</v>
      </c>
      <c r="G9338" t="str">
        <f t="shared" si="593"/>
        <v>992-75: Safety Equipment Testing and Calibration Services</v>
      </c>
    </row>
    <row r="9339" spans="1:7" x14ac:dyDescent="0.25">
      <c r="A9339" s="1" t="str">
        <f t="shared" si="594"/>
        <v>992</v>
      </c>
      <c r="B9339" s="1" t="str">
        <f>TEXT(77,"00")</f>
        <v>77</v>
      </c>
      <c r="C9339" s="1" t="str">
        <f t="shared" si="592"/>
        <v>992-77</v>
      </c>
      <c r="D9339" t="s">
        <v>9307</v>
      </c>
      <c r="E9339" t="b">
        <f>IF(COUNTIF(D9339,"*"&amp;'Keyword Search'!$C$5&amp;"*"),TRUE,FALSE)</f>
        <v>1</v>
      </c>
      <c r="G9339" t="str">
        <f t="shared" si="593"/>
        <v>992-77: *Scientific Equipment Testing and Calibration Services</v>
      </c>
    </row>
    <row r="9340" spans="1:7" x14ac:dyDescent="0.25">
      <c r="A9340" s="1" t="str">
        <f t="shared" si="594"/>
        <v>992</v>
      </c>
      <c r="B9340" s="1" t="str">
        <f>TEXT(83,"00")</f>
        <v>83</v>
      </c>
      <c r="C9340" s="1" t="str">
        <f t="shared" si="592"/>
        <v>992-83</v>
      </c>
      <c r="D9340" t="s">
        <v>9308</v>
      </c>
      <c r="E9340" t="b">
        <f>IF(COUNTIF(D9340,"*"&amp;'Keyword Search'!$C$5&amp;"*"),TRUE,FALSE)</f>
        <v>1</v>
      </c>
      <c r="G9340" t="str">
        <f t="shared" si="593"/>
        <v>992-83: Textile Testing Services</v>
      </c>
    </row>
    <row r="9341" spans="1:7" x14ac:dyDescent="0.25">
      <c r="A9341" s="1" t="str">
        <f t="shared" si="594"/>
        <v>992</v>
      </c>
      <c r="B9341" s="1" t="str">
        <f>TEXT(87,"00")</f>
        <v>87</v>
      </c>
      <c r="C9341" s="1" t="str">
        <f t="shared" si="592"/>
        <v>992-87</v>
      </c>
      <c r="D9341" t="s">
        <v>9309</v>
      </c>
      <c r="E9341" t="b">
        <f>IF(COUNTIF(D9341,"*"&amp;'Keyword Search'!$C$5&amp;"*"),TRUE,FALSE)</f>
        <v>1</v>
      </c>
      <c r="G9341" t="str">
        <f t="shared" si="593"/>
        <v>992-87: Underground Leak Testing Services</v>
      </c>
    </row>
    <row r="9342" spans="1:7" x14ac:dyDescent="0.25">
      <c r="A9342" s="1" t="str">
        <f t="shared" si="594"/>
        <v>992</v>
      </c>
      <c r="B9342" s="1" t="str">
        <f>TEXT(90,"00")</f>
        <v>90</v>
      </c>
      <c r="C9342" s="1" t="str">
        <f t="shared" si="592"/>
        <v>992-90</v>
      </c>
      <c r="D9342" t="s">
        <v>9310</v>
      </c>
      <c r="E9342" t="b">
        <f>IF(COUNTIF(D9342,"*"&amp;'Keyword Search'!$C$5&amp;"*"),TRUE,FALSE)</f>
        <v>1</v>
      </c>
      <c r="G9342" t="str">
        <f t="shared" si="593"/>
        <v>992-90: Video Instrument Testing and Calibration Services</v>
      </c>
    </row>
    <row r="9343" spans="1:7" x14ac:dyDescent="0.25">
      <c r="A9343" s="1" t="str">
        <f t="shared" si="594"/>
        <v>992</v>
      </c>
      <c r="B9343" s="1" t="str">
        <f>TEXT(97,"00")</f>
        <v>97</v>
      </c>
      <c r="C9343" s="1" t="str">
        <f t="shared" si="592"/>
        <v>992-97</v>
      </c>
      <c r="D9343" t="s">
        <v>9311</v>
      </c>
      <c r="E9343" t="b">
        <f>IF(COUNTIF(D9343,"*"&amp;'Keyword Search'!$C$5&amp;"*"),TRUE,FALSE)</f>
        <v>1</v>
      </c>
      <c r="G9343" t="str">
        <f t="shared" si="593"/>
        <v>992-97: X-Ray Equipment Testing and Calibration Services</v>
      </c>
    </row>
    <row r="9344" spans="1:7" x14ac:dyDescent="0.25">
      <c r="A9344" s="5" t="str">
        <f t="shared" ref="A9344:A9382" si="595">TEXT(993,"000")</f>
        <v>993</v>
      </c>
      <c r="B9344" s="5" t="str">
        <f>TEXT(0,"00")</f>
        <v>00</v>
      </c>
      <c r="C9344" s="1"/>
      <c r="D9344" s="2" t="s">
        <v>9312</v>
      </c>
    </row>
    <row r="9345" spans="1:7" x14ac:dyDescent="0.25">
      <c r="A9345" s="1" t="str">
        <f t="shared" si="595"/>
        <v>993</v>
      </c>
      <c r="B9345" s="1" t="str">
        <f>TEXT(10,"00")</f>
        <v>10</v>
      </c>
      <c r="C9345" s="1" t="str">
        <f t="shared" si="592"/>
        <v>993-10</v>
      </c>
      <c r="D9345" t="s">
        <v>9313</v>
      </c>
      <c r="E9345" t="b">
        <f>IF(COUNTIF(D9345,"*"&amp;'Keyword Search'!$C$5&amp;"*"),TRUE,FALSE)</f>
        <v>1</v>
      </c>
      <c r="G9345" t="str">
        <f t="shared" si="593"/>
        <v>993-10: Travel, Business</v>
      </c>
    </row>
    <row r="9346" spans="1:7" x14ac:dyDescent="0.25">
      <c r="A9346" s="1" t="str">
        <f t="shared" si="595"/>
        <v>993</v>
      </c>
      <c r="B9346" s="1" t="str">
        <f>TEXT(11,"00")</f>
        <v>11</v>
      </c>
      <c r="C9346" s="1" t="str">
        <f t="shared" si="592"/>
        <v>993-11</v>
      </c>
      <c r="D9346" t="s">
        <v>9314</v>
      </c>
      <c r="E9346" t="b">
        <f>IF(COUNTIF(D9346,"*"&amp;'Keyword Search'!$C$5&amp;"*"),TRUE,FALSE)</f>
        <v>1</v>
      </c>
      <c r="G9346" t="str">
        <f t="shared" si="593"/>
        <v>993-11: Travel, Foreign, Employee</v>
      </c>
    </row>
    <row r="9347" spans="1:7" x14ac:dyDescent="0.25">
      <c r="A9347" s="1" t="str">
        <f t="shared" si="595"/>
        <v>993</v>
      </c>
      <c r="B9347" s="1" t="str">
        <f>TEXT(12,"00")</f>
        <v>12</v>
      </c>
      <c r="C9347" s="1" t="str">
        <f t="shared" ref="C9347:C9410" si="596">CONCATENATE(A9347,"-",B9347)</f>
        <v>993-12</v>
      </c>
      <c r="D9347" t="s">
        <v>9315</v>
      </c>
      <c r="E9347" t="b">
        <f>IF(COUNTIF(D9347,"*"&amp;'Keyword Search'!$C$5&amp;"*"),TRUE,FALSE)</f>
        <v>1</v>
      </c>
      <c r="G9347" t="str">
        <f t="shared" si="593"/>
        <v>993-12: Travel Agency Fees, Foreign Travel</v>
      </c>
    </row>
    <row r="9348" spans="1:7" x14ac:dyDescent="0.25">
      <c r="A9348" s="1" t="str">
        <f t="shared" si="595"/>
        <v>993</v>
      </c>
      <c r="B9348" s="1" t="str">
        <f>TEXT(13,"00")</f>
        <v>13</v>
      </c>
      <c r="C9348" s="1" t="str">
        <f t="shared" si="596"/>
        <v>993-13</v>
      </c>
      <c r="D9348" t="s">
        <v>9316</v>
      </c>
      <c r="E9348" t="b">
        <f>IF(COUNTIF(D9348,"*"&amp;'Keyword Search'!$C$5&amp;"*"),TRUE,FALSE)</f>
        <v>1</v>
      </c>
      <c r="G9348" t="str">
        <f t="shared" ref="G9348:G9411" si="597">CONCATENATE(C9348,": ",D9348)</f>
        <v>993-13: Travel Agency Fees, Prospective Employee</v>
      </c>
    </row>
    <row r="9349" spans="1:7" x14ac:dyDescent="0.25">
      <c r="A9349" s="1" t="str">
        <f t="shared" si="595"/>
        <v>993</v>
      </c>
      <c r="B9349" s="1" t="str">
        <f>TEXT(14,"00")</f>
        <v>14</v>
      </c>
      <c r="C9349" s="1" t="str">
        <f t="shared" si="596"/>
        <v>993-14</v>
      </c>
      <c r="D9349" t="s">
        <v>9317</v>
      </c>
      <c r="E9349" t="b">
        <f>IF(COUNTIF(D9349,"*"&amp;'Keyword Search'!$C$5&amp;"*"),TRUE,FALSE)</f>
        <v>1</v>
      </c>
      <c r="G9349" t="str">
        <f t="shared" si="597"/>
        <v>993-14: Travel Agency Fees, Students</v>
      </c>
    </row>
    <row r="9350" spans="1:7" x14ac:dyDescent="0.25">
      <c r="A9350" s="1" t="str">
        <f t="shared" si="595"/>
        <v>993</v>
      </c>
      <c r="B9350" s="1" t="str">
        <f>TEXT(16,"00")</f>
        <v>16</v>
      </c>
      <c r="C9350" s="1" t="str">
        <f t="shared" si="596"/>
        <v>993-16</v>
      </c>
      <c r="D9350" t="s">
        <v>9318</v>
      </c>
      <c r="E9350" t="b">
        <f>IF(COUNTIF(D9350,"*"&amp;'Keyword Search'!$C$5&amp;"*"),TRUE,FALSE)</f>
        <v>1</v>
      </c>
      <c r="G9350" t="str">
        <f t="shared" si="597"/>
        <v>993-16: Travel, Faculty</v>
      </c>
    </row>
    <row r="9351" spans="1:7" x14ac:dyDescent="0.25">
      <c r="A9351" s="1" t="str">
        <f t="shared" si="595"/>
        <v>993</v>
      </c>
      <c r="B9351" s="1" t="str">
        <f>TEXT(20,"00")</f>
        <v>20</v>
      </c>
      <c r="C9351" s="1" t="str">
        <f t="shared" si="596"/>
        <v>993-20</v>
      </c>
      <c r="D9351" t="s">
        <v>9319</v>
      </c>
      <c r="E9351" t="b">
        <f>IF(COUNTIF(D9351,"*"&amp;'Keyword Search'!$C$5&amp;"*"),TRUE,FALSE)</f>
        <v>1</v>
      </c>
      <c r="G9351" t="str">
        <f t="shared" si="597"/>
        <v>993-20: Travel, Professional Development, Employee</v>
      </c>
    </row>
    <row r="9352" spans="1:7" x14ac:dyDescent="0.25">
      <c r="A9352" s="1" t="str">
        <f t="shared" si="595"/>
        <v>993</v>
      </c>
      <c r="B9352" s="1" t="str">
        <f>TEXT(21,"00")</f>
        <v>21</v>
      </c>
      <c r="C9352" s="1" t="str">
        <f t="shared" si="596"/>
        <v>993-21</v>
      </c>
      <c r="D9352" t="s">
        <v>9320</v>
      </c>
      <c r="E9352" t="b">
        <f>IF(COUNTIF(D9352,"*"&amp;'Keyword Search'!$C$5&amp;"*"),TRUE,FALSE)</f>
        <v>1</v>
      </c>
      <c r="G9352" t="str">
        <f t="shared" si="597"/>
        <v>993-21: Travel, Prospective State Employee</v>
      </c>
    </row>
    <row r="9353" spans="1:7" x14ac:dyDescent="0.25">
      <c r="A9353" s="1" t="str">
        <f t="shared" si="595"/>
        <v>993</v>
      </c>
      <c r="B9353" s="1" t="str">
        <f>TEXT(22,"00")</f>
        <v>22</v>
      </c>
      <c r="C9353" s="1" t="str">
        <f t="shared" si="596"/>
        <v>993-22</v>
      </c>
      <c r="D9353" t="s">
        <v>9321</v>
      </c>
      <c r="E9353" t="b">
        <f>IF(COUNTIF(D9353,"*"&amp;'Keyword Search'!$C$5&amp;"*"),TRUE,FALSE)</f>
        <v>1</v>
      </c>
      <c r="G9353" t="str">
        <f t="shared" si="597"/>
        <v>993-22: Travel, Prospective Students, Local</v>
      </c>
    </row>
    <row r="9354" spans="1:7" x14ac:dyDescent="0.25">
      <c r="A9354" s="1" t="str">
        <f t="shared" si="595"/>
        <v>993</v>
      </c>
      <c r="B9354" s="1" t="str">
        <f>TEXT(25,"00")</f>
        <v>25</v>
      </c>
      <c r="C9354" s="1" t="str">
        <f t="shared" si="596"/>
        <v>993-25</v>
      </c>
      <c r="D9354" t="s">
        <v>9322</v>
      </c>
      <c r="E9354" t="b">
        <f>IF(COUNTIF(D9354,"*"&amp;'Keyword Search'!$C$5&amp;"*"),TRUE,FALSE)</f>
        <v>1</v>
      </c>
      <c r="G9354" t="str">
        <f t="shared" si="597"/>
        <v>993-25: Travel, Students, Including Meals</v>
      </c>
    </row>
    <row r="9355" spans="1:7" x14ac:dyDescent="0.25">
      <c r="A9355" s="1" t="str">
        <f t="shared" si="595"/>
        <v>993</v>
      </c>
      <c r="B9355" s="1" t="str">
        <f>TEXT(30,"00")</f>
        <v>30</v>
      </c>
      <c r="C9355" s="1" t="str">
        <f t="shared" si="596"/>
        <v>993-30</v>
      </c>
      <c r="D9355" t="s">
        <v>9323</v>
      </c>
      <c r="E9355" t="b">
        <f>IF(COUNTIF(D9355,"*"&amp;'Keyword Search'!$C$5&amp;"*"),TRUE,FALSE)</f>
        <v>1</v>
      </c>
      <c r="G9355" t="str">
        <f t="shared" si="597"/>
        <v>993-30: Travel-In, Actual Expenses Overnight</v>
      </c>
    </row>
    <row r="9356" spans="1:7" x14ac:dyDescent="0.25">
      <c r="A9356" s="1" t="str">
        <f t="shared" si="595"/>
        <v>993</v>
      </c>
      <c r="B9356" s="1" t="str">
        <f>TEXT(31,"00")</f>
        <v>31</v>
      </c>
      <c r="C9356" s="1" t="str">
        <f t="shared" si="596"/>
        <v>993-31</v>
      </c>
      <c r="D9356" t="s">
        <v>9324</v>
      </c>
      <c r="E9356" t="b">
        <f>IF(COUNTIF(D9356,"*"&amp;'Keyword Search'!$C$5&amp;"*"),TRUE,FALSE)</f>
        <v>1</v>
      </c>
      <c r="G9356" t="str">
        <f t="shared" si="597"/>
        <v>993-31: Travel-In, Apartments and House Rent Expense</v>
      </c>
    </row>
    <row r="9357" spans="1:7" x14ac:dyDescent="0.25">
      <c r="A9357" s="1" t="str">
        <f t="shared" si="595"/>
        <v>993</v>
      </c>
      <c r="B9357" s="1" t="str">
        <f>TEXT(35,"00")</f>
        <v>35</v>
      </c>
      <c r="C9357" s="1" t="str">
        <f t="shared" si="596"/>
        <v>993-35</v>
      </c>
      <c r="D9357" t="s">
        <v>9325</v>
      </c>
      <c r="E9357" t="b">
        <f>IF(COUNTIF(D9357,"*"&amp;'Keyword Search'!$C$5&amp;"*"),TRUE,FALSE)</f>
        <v>1</v>
      </c>
      <c r="G9357" t="str">
        <f t="shared" si="597"/>
        <v>993-35: Travel-In, Incidental Expenses</v>
      </c>
    </row>
    <row r="9358" spans="1:7" x14ac:dyDescent="0.25">
      <c r="A9358" s="1" t="str">
        <f t="shared" si="595"/>
        <v>993</v>
      </c>
      <c r="B9358" s="1" t="str">
        <f>TEXT(38,"00")</f>
        <v>38</v>
      </c>
      <c r="C9358" s="1" t="str">
        <f t="shared" si="596"/>
        <v>993-38</v>
      </c>
      <c r="D9358" t="s">
        <v>9326</v>
      </c>
      <c r="E9358" t="b">
        <f>IF(COUNTIF(D9358,"*"&amp;'Keyword Search'!$C$5&amp;"*"),TRUE,FALSE)</f>
        <v>1</v>
      </c>
      <c r="G9358" t="str">
        <f t="shared" si="597"/>
        <v>993-38: Travel-In, Lodging</v>
      </c>
    </row>
    <row r="9359" spans="1:7" x14ac:dyDescent="0.25">
      <c r="A9359" s="1" t="str">
        <f t="shared" si="595"/>
        <v>993</v>
      </c>
      <c r="B9359" s="1" t="str">
        <f>TEXT(39,"00")</f>
        <v>39</v>
      </c>
      <c r="C9359" s="1" t="str">
        <f t="shared" si="596"/>
        <v>993-39</v>
      </c>
      <c r="D9359" t="s">
        <v>9327</v>
      </c>
      <c r="E9359" t="b">
        <f>IF(COUNTIF(D9359,"*"&amp;'Keyword Search'!$C$5&amp;"*"),TRUE,FALSE)</f>
        <v>1</v>
      </c>
      <c r="G9359" t="str">
        <f t="shared" si="597"/>
        <v>993-39: Travel-In, Lodging, Overage of Allowed Per Diem</v>
      </c>
    </row>
    <row r="9360" spans="1:7" x14ac:dyDescent="0.25">
      <c r="A9360" s="1" t="str">
        <f t="shared" si="595"/>
        <v>993</v>
      </c>
      <c r="B9360" s="1" t="str">
        <f>TEXT(40,"00")</f>
        <v>40</v>
      </c>
      <c r="C9360" s="1" t="str">
        <f t="shared" si="596"/>
        <v>993-40</v>
      </c>
      <c r="D9360" t="s">
        <v>9328</v>
      </c>
      <c r="E9360" t="b">
        <f>IF(COUNTIF(D9360,"*"&amp;'Keyword Search'!$C$5&amp;"*"),TRUE,FALSE)</f>
        <v>1</v>
      </c>
      <c r="G9360" t="str">
        <f t="shared" si="597"/>
        <v>993-40: Travel-In, Meals</v>
      </c>
    </row>
    <row r="9361" spans="1:7" x14ac:dyDescent="0.25">
      <c r="A9361" s="1" t="str">
        <f t="shared" si="595"/>
        <v>993</v>
      </c>
      <c r="B9361" s="1" t="str">
        <f>TEXT(42,"00")</f>
        <v>42</v>
      </c>
      <c r="C9361" s="1" t="str">
        <f t="shared" si="596"/>
        <v>993-42</v>
      </c>
      <c r="D9361" t="s">
        <v>9329</v>
      </c>
      <c r="E9361" t="b">
        <f>IF(COUNTIF(D9361,"*"&amp;'Keyword Search'!$C$5&amp;"*"),TRUE,FALSE)</f>
        <v>1</v>
      </c>
      <c r="G9361" t="str">
        <f t="shared" si="597"/>
        <v>993-42: Travel-In, Mileage</v>
      </c>
    </row>
    <row r="9362" spans="1:7" x14ac:dyDescent="0.25">
      <c r="A9362" s="1" t="str">
        <f t="shared" si="595"/>
        <v>993</v>
      </c>
      <c r="B9362" s="1" t="str">
        <f>TEXT(44,"00")</f>
        <v>44</v>
      </c>
      <c r="C9362" s="1" t="str">
        <f t="shared" si="596"/>
        <v>993-44</v>
      </c>
      <c r="D9362" t="s">
        <v>9330</v>
      </c>
      <c r="E9362" t="b">
        <f>IF(COUNTIF(D9362,"*"&amp;'Keyword Search'!$C$5&amp;"*"),TRUE,FALSE)</f>
        <v>1</v>
      </c>
      <c r="G9362" t="str">
        <f t="shared" si="597"/>
        <v>993-44: Travel-In, Mileage, Aircraft</v>
      </c>
    </row>
    <row r="9363" spans="1:7" x14ac:dyDescent="0.25">
      <c r="A9363" s="1" t="str">
        <f t="shared" si="595"/>
        <v>993</v>
      </c>
      <c r="B9363" s="1" t="str">
        <f>TEXT(45,"00")</f>
        <v>45</v>
      </c>
      <c r="C9363" s="1" t="str">
        <f t="shared" si="596"/>
        <v>993-45</v>
      </c>
      <c r="D9363" t="s">
        <v>9331</v>
      </c>
      <c r="E9363" t="b">
        <f>IF(COUNTIF(D9363,"*"&amp;'Keyword Search'!$C$5&amp;"*"),TRUE,FALSE)</f>
        <v>1</v>
      </c>
      <c r="G9363" t="str">
        <f t="shared" si="597"/>
        <v>993-45: Travel-In, Parking Fees</v>
      </c>
    </row>
    <row r="9364" spans="1:7" x14ac:dyDescent="0.25">
      <c r="A9364" s="1" t="str">
        <f t="shared" si="595"/>
        <v>993</v>
      </c>
      <c r="B9364" s="1" t="str">
        <f>TEXT(46,"00")</f>
        <v>46</v>
      </c>
      <c r="C9364" s="1" t="str">
        <f t="shared" si="596"/>
        <v>993-46</v>
      </c>
      <c r="D9364" t="s">
        <v>9332</v>
      </c>
      <c r="E9364" t="b">
        <f>IF(COUNTIF(D9364,"*"&amp;'Keyword Search'!$C$5&amp;"*"),TRUE,FALSE)</f>
        <v>1</v>
      </c>
      <c r="G9364" t="str">
        <f t="shared" si="597"/>
        <v>993-46: Travel-In, Public Transportation, Auto Rental</v>
      </c>
    </row>
    <row r="9365" spans="1:7" x14ac:dyDescent="0.25">
      <c r="A9365" s="1" t="str">
        <f t="shared" si="595"/>
        <v>993</v>
      </c>
      <c r="B9365" s="1" t="str">
        <f>TEXT(47,"00")</f>
        <v>47</v>
      </c>
      <c r="C9365" s="1" t="str">
        <f t="shared" si="596"/>
        <v>993-47</v>
      </c>
      <c r="D9365" t="s">
        <v>9333</v>
      </c>
      <c r="E9365" t="b">
        <f>IF(COUNTIF(D9365,"*"&amp;'Keyword Search'!$C$5&amp;"*"),TRUE,FALSE)</f>
        <v>1</v>
      </c>
      <c r="G9365" t="str">
        <f t="shared" si="597"/>
        <v>993-47: Travel-In, Public Transportation, Other</v>
      </c>
    </row>
    <row r="9366" spans="1:7" x14ac:dyDescent="0.25">
      <c r="A9366" s="1" t="str">
        <f t="shared" si="595"/>
        <v>993</v>
      </c>
      <c r="B9366" s="1" t="str">
        <f>TEXT(48,"00")</f>
        <v>48</v>
      </c>
      <c r="C9366" s="1" t="str">
        <f t="shared" si="596"/>
        <v>993-48</v>
      </c>
      <c r="D9366" t="s">
        <v>9334</v>
      </c>
      <c r="E9366" t="b">
        <f>IF(COUNTIF(D9366,"*"&amp;'Keyword Search'!$C$5&amp;"*"),TRUE,FALSE)</f>
        <v>1</v>
      </c>
      <c r="G9366" t="str">
        <f t="shared" si="597"/>
        <v>993-48: Travel-In, University and Agency Transportation Fleet Operations</v>
      </c>
    </row>
    <row r="9367" spans="1:7" x14ac:dyDescent="0.25">
      <c r="A9367" s="1" t="str">
        <f t="shared" si="595"/>
        <v>993</v>
      </c>
      <c r="B9367" s="1" t="str">
        <f>TEXT(49,"00")</f>
        <v>49</v>
      </c>
      <c r="C9367" s="1" t="str">
        <f t="shared" si="596"/>
        <v>993-49</v>
      </c>
      <c r="D9367" t="s">
        <v>9335</v>
      </c>
      <c r="E9367" t="b">
        <f>IF(COUNTIF(D9367,"*"&amp;'Keyword Search'!$C$5&amp;"*"),TRUE,FALSE)</f>
        <v>1</v>
      </c>
      <c r="G9367" t="str">
        <f t="shared" si="597"/>
        <v>993-49: Travel-In, Travel Agency Fees</v>
      </c>
    </row>
    <row r="9368" spans="1:7" x14ac:dyDescent="0.25">
      <c r="A9368" s="1" t="str">
        <f t="shared" si="595"/>
        <v>993</v>
      </c>
      <c r="B9368" s="1" t="str">
        <f>TEXT(52,"00")</f>
        <v>52</v>
      </c>
      <c r="C9368" s="1" t="str">
        <f t="shared" si="596"/>
        <v>993-52</v>
      </c>
      <c r="D9368" t="s">
        <v>9336</v>
      </c>
      <c r="E9368" t="b">
        <f>IF(COUNTIF(D9368,"*"&amp;'Keyword Search'!$C$5&amp;"*"),TRUE,FALSE)</f>
        <v>1</v>
      </c>
      <c r="G9368" t="str">
        <f t="shared" si="597"/>
        <v>993-52: Travel-Out, Actual Expenses, Overnight</v>
      </c>
    </row>
    <row r="9369" spans="1:7" x14ac:dyDescent="0.25">
      <c r="A9369" s="1" t="str">
        <f t="shared" si="595"/>
        <v>993</v>
      </c>
      <c r="B9369" s="1" t="str">
        <f>TEXT(53,"00")</f>
        <v>53</v>
      </c>
      <c r="C9369" s="1" t="str">
        <f t="shared" si="596"/>
        <v>993-53</v>
      </c>
      <c r="D9369" t="s">
        <v>9337</v>
      </c>
      <c r="E9369" t="b">
        <f>IF(COUNTIF(D9369,"*"&amp;'Keyword Search'!$C$5&amp;"*"),TRUE,FALSE)</f>
        <v>1</v>
      </c>
      <c r="G9369" t="str">
        <f t="shared" si="597"/>
        <v>993-53: Travel-Out, Apartment and House Rent Expense</v>
      </c>
    </row>
    <row r="9370" spans="1:7" x14ac:dyDescent="0.25">
      <c r="A9370" s="1" t="str">
        <f t="shared" si="595"/>
        <v>993</v>
      </c>
      <c r="B9370" s="1" t="str">
        <f>TEXT(55,"00")</f>
        <v>55</v>
      </c>
      <c r="C9370" s="1" t="str">
        <f t="shared" si="596"/>
        <v>993-55</v>
      </c>
      <c r="D9370" t="s">
        <v>9338</v>
      </c>
      <c r="E9370" t="b">
        <f>IF(COUNTIF(D9370,"*"&amp;'Keyword Search'!$C$5&amp;"*"),TRUE,FALSE)</f>
        <v>1</v>
      </c>
      <c r="G9370" t="str">
        <f t="shared" si="597"/>
        <v>993-55: Travel-Out, Incidental Expenses</v>
      </c>
    </row>
    <row r="9371" spans="1:7" x14ac:dyDescent="0.25">
      <c r="A9371" s="1" t="str">
        <f t="shared" si="595"/>
        <v>993</v>
      </c>
      <c r="B9371" s="1" t="str">
        <f>TEXT(56,"00")</f>
        <v>56</v>
      </c>
      <c r="C9371" s="1" t="str">
        <f t="shared" si="596"/>
        <v>993-56</v>
      </c>
      <c r="D9371" t="s">
        <v>9339</v>
      </c>
      <c r="E9371" t="b">
        <f>IF(COUNTIF(D9371,"*"&amp;'Keyword Search'!$C$5&amp;"*"),TRUE,FALSE)</f>
        <v>1</v>
      </c>
      <c r="G9371" t="str">
        <f t="shared" si="597"/>
        <v>993-56: Travel-Out, Lodging</v>
      </c>
    </row>
    <row r="9372" spans="1:7" x14ac:dyDescent="0.25">
      <c r="A9372" s="1" t="str">
        <f t="shared" si="595"/>
        <v>993</v>
      </c>
      <c r="B9372" s="1" t="str">
        <f>TEXT(57,"00")</f>
        <v>57</v>
      </c>
      <c r="C9372" s="1" t="str">
        <f t="shared" si="596"/>
        <v>993-57</v>
      </c>
      <c r="D9372" t="s">
        <v>9340</v>
      </c>
      <c r="E9372" t="b">
        <f>IF(COUNTIF(D9372,"*"&amp;'Keyword Search'!$C$5&amp;"*"),TRUE,FALSE)</f>
        <v>1</v>
      </c>
      <c r="G9372" t="str">
        <f t="shared" si="597"/>
        <v>993-57: Travel-Out, Lodging, Overage of Allowed Per Diem</v>
      </c>
    </row>
    <row r="9373" spans="1:7" x14ac:dyDescent="0.25">
      <c r="A9373" s="1" t="str">
        <f t="shared" si="595"/>
        <v>993</v>
      </c>
      <c r="B9373" s="1" t="str">
        <f>TEXT(58,"00")</f>
        <v>58</v>
      </c>
      <c r="C9373" s="1" t="str">
        <f t="shared" si="596"/>
        <v>993-58</v>
      </c>
      <c r="D9373" t="s">
        <v>9341</v>
      </c>
      <c r="E9373" t="b">
        <f>IF(COUNTIF(D9373,"*"&amp;'Keyword Search'!$C$5&amp;"*"),TRUE,FALSE)</f>
        <v>1</v>
      </c>
      <c r="G9373" t="str">
        <f t="shared" si="597"/>
        <v>993-58: Travel-Out, Meals-Non-Overnight</v>
      </c>
    </row>
    <row r="9374" spans="1:7" x14ac:dyDescent="0.25">
      <c r="A9374" s="1" t="str">
        <f t="shared" si="595"/>
        <v>993</v>
      </c>
      <c r="B9374" s="1" t="str">
        <f>TEXT(59,"00")</f>
        <v>59</v>
      </c>
      <c r="C9374" s="1" t="str">
        <f t="shared" si="596"/>
        <v>993-59</v>
      </c>
      <c r="D9374" t="s">
        <v>9342</v>
      </c>
      <c r="E9374" t="b">
        <f>IF(COUNTIF(D9374,"*"&amp;'Keyword Search'!$C$5&amp;"*"),TRUE,FALSE)</f>
        <v>1</v>
      </c>
      <c r="G9374" t="str">
        <f t="shared" si="597"/>
        <v>993-59: Travel-Out, Meals</v>
      </c>
    </row>
    <row r="9375" spans="1:7" x14ac:dyDescent="0.25">
      <c r="A9375" s="1" t="str">
        <f t="shared" si="595"/>
        <v>993</v>
      </c>
      <c r="B9375" s="1" t="str">
        <f>TEXT(60,"00")</f>
        <v>60</v>
      </c>
      <c r="C9375" s="1" t="str">
        <f t="shared" si="596"/>
        <v>993-60</v>
      </c>
      <c r="D9375" t="s">
        <v>9343</v>
      </c>
      <c r="E9375" t="b">
        <f>IF(COUNTIF(D9375,"*"&amp;'Keyword Search'!$C$5&amp;"*"),TRUE,FALSE)</f>
        <v>1</v>
      </c>
      <c r="G9375" t="str">
        <f t="shared" si="597"/>
        <v>993-60: Travel-Out, Mileage</v>
      </c>
    </row>
    <row r="9376" spans="1:7" x14ac:dyDescent="0.25">
      <c r="A9376" s="1" t="str">
        <f t="shared" si="595"/>
        <v>993</v>
      </c>
      <c r="B9376" s="1" t="str">
        <f>TEXT(61,"00")</f>
        <v>61</v>
      </c>
      <c r="C9376" s="1" t="str">
        <f t="shared" si="596"/>
        <v>993-61</v>
      </c>
      <c r="D9376" t="s">
        <v>9344</v>
      </c>
      <c r="E9376" t="b">
        <f>IF(COUNTIF(D9376,"*"&amp;'Keyword Search'!$C$5&amp;"*"),TRUE,FALSE)</f>
        <v>1</v>
      </c>
      <c r="G9376" t="str">
        <f t="shared" si="597"/>
        <v>993-61: Travel-Out, Mileage, Aircraft</v>
      </c>
    </row>
    <row r="9377" spans="1:7" x14ac:dyDescent="0.25">
      <c r="A9377" s="1" t="str">
        <f t="shared" si="595"/>
        <v>993</v>
      </c>
      <c r="B9377" s="1" t="str">
        <f>TEXT(64,"00")</f>
        <v>64</v>
      </c>
      <c r="C9377" s="1" t="str">
        <f t="shared" si="596"/>
        <v>993-64</v>
      </c>
      <c r="D9377" t="s">
        <v>9345</v>
      </c>
      <c r="E9377" t="b">
        <f>IF(COUNTIF(D9377,"*"&amp;'Keyword Search'!$C$5&amp;"*"),TRUE,FALSE)</f>
        <v>1</v>
      </c>
      <c r="G9377" t="str">
        <f t="shared" si="597"/>
        <v>993-64: Travel-Out, Parking Fees</v>
      </c>
    </row>
    <row r="9378" spans="1:7" x14ac:dyDescent="0.25">
      <c r="A9378" s="1" t="str">
        <f t="shared" si="595"/>
        <v>993</v>
      </c>
      <c r="B9378" s="1" t="str">
        <f>TEXT(66,"00")</f>
        <v>66</v>
      </c>
      <c r="C9378" s="1" t="str">
        <f t="shared" si="596"/>
        <v>993-66</v>
      </c>
      <c r="D9378" t="s">
        <v>9346</v>
      </c>
      <c r="E9378" t="b">
        <f>IF(COUNTIF(D9378,"*"&amp;'Keyword Search'!$C$5&amp;"*"),TRUE,FALSE)</f>
        <v>1</v>
      </c>
      <c r="G9378" t="str">
        <f t="shared" si="597"/>
        <v>993-66: Travel-Out, Public Transportation</v>
      </c>
    </row>
    <row r="9379" spans="1:7" x14ac:dyDescent="0.25">
      <c r="A9379" s="1" t="str">
        <f t="shared" si="595"/>
        <v>993</v>
      </c>
      <c r="B9379" s="1" t="str">
        <f>TEXT(67,"00")</f>
        <v>67</v>
      </c>
      <c r="C9379" s="1" t="str">
        <f t="shared" si="596"/>
        <v>993-67</v>
      </c>
      <c r="D9379" t="s">
        <v>9347</v>
      </c>
      <c r="E9379" t="b">
        <f>IF(COUNTIF(D9379,"*"&amp;'Keyword Search'!$C$5&amp;"*"),TRUE,FALSE)</f>
        <v>1</v>
      </c>
      <c r="G9379" t="str">
        <f t="shared" si="597"/>
        <v>993-67: Travel-Out, Public Transportation, Auto Rental</v>
      </c>
    </row>
    <row r="9380" spans="1:7" x14ac:dyDescent="0.25">
      <c r="A9380" s="1" t="str">
        <f t="shared" si="595"/>
        <v>993</v>
      </c>
      <c r="B9380" s="1" t="str">
        <f>TEXT(68,"00")</f>
        <v>68</v>
      </c>
      <c r="C9380" s="1" t="str">
        <f t="shared" si="596"/>
        <v>993-68</v>
      </c>
      <c r="D9380" t="s">
        <v>9348</v>
      </c>
      <c r="E9380" t="b">
        <f>IF(COUNTIF(D9380,"*"&amp;'Keyword Search'!$C$5&amp;"*"),TRUE,FALSE)</f>
        <v>1</v>
      </c>
      <c r="G9380" t="str">
        <f t="shared" si="597"/>
        <v>993-68: Travel-Out, Public Transportation, Other</v>
      </c>
    </row>
    <row r="9381" spans="1:7" x14ac:dyDescent="0.25">
      <c r="A9381" s="1" t="str">
        <f t="shared" si="595"/>
        <v>993</v>
      </c>
      <c r="B9381" s="1" t="str">
        <f>TEXT(69,"00")</f>
        <v>69</v>
      </c>
      <c r="C9381" s="1" t="str">
        <f t="shared" si="596"/>
        <v>993-69</v>
      </c>
      <c r="D9381" t="s">
        <v>9349</v>
      </c>
      <c r="E9381" t="b">
        <f>IF(COUNTIF(D9381,"*"&amp;'Keyword Search'!$C$5&amp;"*"),TRUE,FALSE)</f>
        <v>1</v>
      </c>
      <c r="G9381" t="str">
        <f t="shared" si="597"/>
        <v>993-69: Travel-Out, University and Agency Transportation Fleet Operations</v>
      </c>
    </row>
    <row r="9382" spans="1:7" x14ac:dyDescent="0.25">
      <c r="A9382" s="1" t="str">
        <f t="shared" si="595"/>
        <v>993</v>
      </c>
      <c r="B9382" s="1" t="str">
        <f>TEXT(70,"00")</f>
        <v>70</v>
      </c>
      <c r="C9382" s="1" t="str">
        <f t="shared" si="596"/>
        <v>993-70</v>
      </c>
      <c r="D9382" t="s">
        <v>9350</v>
      </c>
      <c r="E9382" t="b">
        <f>IF(COUNTIF(D9382,"*"&amp;'Keyword Search'!$C$5&amp;"*"),TRUE,FALSE)</f>
        <v>1</v>
      </c>
      <c r="G9382" t="str">
        <f t="shared" si="597"/>
        <v>993-70: Travel-Out, Travel Agency Fees</v>
      </c>
    </row>
    <row r="9383" spans="1:7" x14ac:dyDescent="0.25">
      <c r="A9383" s="5" t="str">
        <f t="shared" ref="A9383:A9446" si="598">TEXT(998,"000")</f>
        <v>998</v>
      </c>
      <c r="B9383" s="5" t="str">
        <f>TEXT(0,"00")</f>
        <v>00</v>
      </c>
      <c r="C9383" s="1"/>
      <c r="D9383" s="2" t="s">
        <v>9351</v>
      </c>
    </row>
    <row r="9384" spans="1:7" x14ac:dyDescent="0.25">
      <c r="A9384" s="1" t="str">
        <f t="shared" si="598"/>
        <v>998</v>
      </c>
      <c r="B9384" s="1" t="str">
        <f>TEXT(3,"00")</f>
        <v>03</v>
      </c>
      <c r="C9384" s="1" t="str">
        <f t="shared" si="596"/>
        <v>998-03</v>
      </c>
      <c r="D9384" t="s">
        <v>9352</v>
      </c>
      <c r="E9384" t="b">
        <f>IF(COUNTIF(D9384,"*"&amp;'Keyword Search'!$C$5&amp;"*"),TRUE,FALSE)</f>
        <v>1</v>
      </c>
      <c r="G9384" t="str">
        <f t="shared" si="597"/>
        <v>998-03: Aircraft and Aviation Equipment and Parts, Sale of Surplus and Obsolete Items</v>
      </c>
    </row>
    <row r="9385" spans="1:7" x14ac:dyDescent="0.25">
      <c r="A9385" s="1" t="str">
        <f t="shared" si="598"/>
        <v>998</v>
      </c>
      <c r="B9385" s="1" t="str">
        <f>TEXT(5,"00")</f>
        <v>05</v>
      </c>
      <c r="C9385" s="1" t="str">
        <f t="shared" si="596"/>
        <v>998-05</v>
      </c>
      <c r="D9385" t="s">
        <v>9353</v>
      </c>
      <c r="E9385" t="b">
        <f>IF(COUNTIF(D9385,"*"&amp;'Keyword Search'!$C$5&amp;"*"),TRUE,FALSE)</f>
        <v>1</v>
      </c>
      <c r="G9385" t="str">
        <f t="shared" si="597"/>
        <v>998-05: Agriculture Equipment and Commodities, Sale of Surplus and Obsolete Items</v>
      </c>
    </row>
    <row r="9386" spans="1:7" x14ac:dyDescent="0.25">
      <c r="A9386" s="1" t="str">
        <f t="shared" si="598"/>
        <v>998</v>
      </c>
      <c r="B9386" s="1" t="str">
        <f>TEXT(6,"00")</f>
        <v>06</v>
      </c>
      <c r="C9386" s="1" t="str">
        <f t="shared" si="596"/>
        <v>998-06</v>
      </c>
      <c r="D9386" t="s">
        <v>9354</v>
      </c>
      <c r="E9386" t="b">
        <f>IF(COUNTIF(D9386,"*"&amp;'Keyword Search'!$C$5&amp;"*"),TRUE,FALSE)</f>
        <v>1</v>
      </c>
      <c r="G9386" t="str">
        <f t="shared" si="597"/>
        <v>998-06: Ammunition, Explosives, and Weapons, Licensed Dealers Only, Sale of Surplus and Obsolete Items</v>
      </c>
    </row>
    <row r="9387" spans="1:7" x14ac:dyDescent="0.25">
      <c r="A9387" s="1" t="str">
        <f t="shared" si="598"/>
        <v>998</v>
      </c>
      <c r="B9387" s="1" t="str">
        <f>TEXT(7,"00")</f>
        <v>07</v>
      </c>
      <c r="C9387" s="1" t="str">
        <f t="shared" si="596"/>
        <v>998-07</v>
      </c>
      <c r="D9387" t="s">
        <v>9355</v>
      </c>
      <c r="E9387" t="b">
        <f>IF(COUNTIF(D9387,"*"&amp;'Keyword Search'!$C$5&amp;"*"),TRUE,FALSE)</f>
        <v>1</v>
      </c>
      <c r="G9387" t="str">
        <f t="shared" si="597"/>
        <v>998-07: Animals and Livestock, Sale of Surplus and Obsolete Items</v>
      </c>
    </row>
    <row r="9388" spans="1:7" x14ac:dyDescent="0.25">
      <c r="A9388" s="1" t="str">
        <f t="shared" si="598"/>
        <v>998</v>
      </c>
      <c r="B9388" s="1" t="str">
        <f>TEXT(8,"00")</f>
        <v>08</v>
      </c>
      <c r="C9388" s="1" t="str">
        <f t="shared" si="596"/>
        <v>998-08</v>
      </c>
      <c r="D9388" t="s">
        <v>9356</v>
      </c>
      <c r="E9388" t="b">
        <f>IF(COUNTIF(D9388,"*"&amp;'Keyword Search'!$C$5&amp;"*"),TRUE,FALSE)</f>
        <v>1</v>
      </c>
      <c r="G9388" t="str">
        <f t="shared" si="597"/>
        <v>998-08: Arts and Crafts, Sale of Surplus and Obsolete Items</v>
      </c>
    </row>
    <row r="9389" spans="1:7" x14ac:dyDescent="0.25">
      <c r="A9389" s="1" t="str">
        <f t="shared" si="598"/>
        <v>998</v>
      </c>
      <c r="B9389" s="1" t="str">
        <f>TEXT(9,"00")</f>
        <v>09</v>
      </c>
      <c r="C9389" s="1" t="str">
        <f t="shared" si="596"/>
        <v>998-09</v>
      </c>
      <c r="D9389" t="s">
        <v>9357</v>
      </c>
      <c r="E9389" t="b">
        <f>IF(COUNTIF(D9389,"*"&amp;'Keyword Search'!$C$5&amp;"*"),TRUE,FALSE)</f>
        <v>1</v>
      </c>
      <c r="G9389" t="str">
        <f t="shared" si="597"/>
        <v>998-09: Automobile, Truck and Bus Parts and Equipment, Sale of Surplus and Obsolete Items</v>
      </c>
    </row>
    <row r="9390" spans="1:7" x14ac:dyDescent="0.25">
      <c r="A9390" s="1" t="str">
        <f t="shared" si="598"/>
        <v>998</v>
      </c>
      <c r="B9390" s="1" t="str">
        <f>TEXT(10,"00")</f>
        <v>10</v>
      </c>
      <c r="C9390" s="1" t="str">
        <f t="shared" si="596"/>
        <v>998-10</v>
      </c>
      <c r="D9390" t="s">
        <v>9358</v>
      </c>
      <c r="E9390" t="b">
        <f>IF(COUNTIF(D9390,"*"&amp;'Keyword Search'!$C$5&amp;"*"),TRUE,FALSE)</f>
        <v>1</v>
      </c>
      <c r="G9390" t="str">
        <f t="shared" si="597"/>
        <v>998-10: Bags, All Types, Sale of Surplus and Obsolete Items</v>
      </c>
    </row>
    <row r="9391" spans="1:7" x14ac:dyDescent="0.25">
      <c r="A9391" s="1" t="str">
        <f t="shared" si="598"/>
        <v>998</v>
      </c>
      <c r="B9391" s="1" t="str">
        <f>TEXT(11,"00")</f>
        <v>11</v>
      </c>
      <c r="C9391" s="1" t="str">
        <f t="shared" si="596"/>
        <v>998-11</v>
      </c>
      <c r="D9391" t="s">
        <v>9359</v>
      </c>
      <c r="E9391" t="b">
        <f>IF(COUNTIF(D9391,"*"&amp;'Keyword Search'!$C$5&amp;"*"),TRUE,FALSE)</f>
        <v>1</v>
      </c>
      <c r="G9391" t="str">
        <f t="shared" si="597"/>
        <v>998-11: Barber and Beauty Shop Equipment, Sale of Surplus and Obsolete Items</v>
      </c>
    </row>
    <row r="9392" spans="1:7" x14ac:dyDescent="0.25">
      <c r="A9392" s="1" t="str">
        <f t="shared" si="598"/>
        <v>998</v>
      </c>
      <c r="B9392" s="1" t="str">
        <f>TEXT(12,"00")</f>
        <v>12</v>
      </c>
      <c r="C9392" s="1" t="str">
        <f t="shared" si="596"/>
        <v>998-12</v>
      </c>
      <c r="D9392" t="s">
        <v>9360</v>
      </c>
      <c r="E9392" t="b">
        <f>IF(COUNTIF(D9392,"*"&amp;'Keyword Search'!$C$5&amp;"*"),TRUE,FALSE)</f>
        <v>1</v>
      </c>
      <c r="G9392" t="str">
        <f t="shared" si="597"/>
        <v>998-12: Barrels, Drums, Cans, Pails, etc., Sale of Surplus and Obsolete Items</v>
      </c>
    </row>
    <row r="9393" spans="1:7" x14ac:dyDescent="0.25">
      <c r="A9393" s="1" t="str">
        <f t="shared" si="598"/>
        <v>998</v>
      </c>
      <c r="B9393" s="1" t="str">
        <f>TEXT(15,"00")</f>
        <v>15</v>
      </c>
      <c r="C9393" s="1" t="str">
        <f t="shared" si="596"/>
        <v>998-15</v>
      </c>
      <c r="D9393" t="s">
        <v>9361</v>
      </c>
      <c r="E9393" t="b">
        <f>IF(COUNTIF(D9393,"*"&amp;'Keyword Search'!$C$5&amp;"*"),TRUE,FALSE)</f>
        <v>1</v>
      </c>
      <c r="G9393" t="str">
        <f t="shared" si="597"/>
        <v>998-15: Batteries, All Types, Sale of Surplus and Obsolete Items</v>
      </c>
    </row>
    <row r="9394" spans="1:7" x14ac:dyDescent="0.25">
      <c r="A9394" s="1" t="str">
        <f t="shared" si="598"/>
        <v>998</v>
      </c>
      <c r="B9394" s="1" t="str">
        <f>TEXT(17,"00")</f>
        <v>17</v>
      </c>
      <c r="C9394" s="1" t="str">
        <f t="shared" si="596"/>
        <v>998-17</v>
      </c>
      <c r="D9394" t="s">
        <v>9362</v>
      </c>
      <c r="E9394" t="b">
        <f>IF(COUNTIF(D9394,"*"&amp;'Keyword Search'!$C$5&amp;"*"),TRUE,FALSE)</f>
        <v>1</v>
      </c>
      <c r="G9394" t="str">
        <f t="shared" si="597"/>
        <v>998-17: Boats and Marine Equipment, Sale of Surplus and Obsolete Items</v>
      </c>
    </row>
    <row r="9395" spans="1:7" x14ac:dyDescent="0.25">
      <c r="A9395" s="1" t="str">
        <f t="shared" si="598"/>
        <v>998</v>
      </c>
      <c r="B9395" s="1" t="str">
        <f>TEXT(18,"00")</f>
        <v>18</v>
      </c>
      <c r="C9395" s="1" t="str">
        <f t="shared" si="596"/>
        <v>998-18</v>
      </c>
      <c r="D9395" t="s">
        <v>9363</v>
      </c>
      <c r="E9395" t="b">
        <f>IF(COUNTIF(D9395,"*"&amp;'Keyword Search'!$C$5&amp;"*"),TRUE,FALSE)</f>
        <v>1</v>
      </c>
      <c r="G9395" t="str">
        <f t="shared" si="597"/>
        <v>998-18: Books, All Types (Library, School, etc.), Sale of Surplus and Obsolete Items</v>
      </c>
    </row>
    <row r="9396" spans="1:7" x14ac:dyDescent="0.25">
      <c r="A9396" s="1" t="str">
        <f t="shared" si="598"/>
        <v>998</v>
      </c>
      <c r="B9396" s="1" t="str">
        <f>TEXT(19,"00")</f>
        <v>19</v>
      </c>
      <c r="C9396" s="1" t="str">
        <f t="shared" si="596"/>
        <v>998-19</v>
      </c>
      <c r="D9396" t="s">
        <v>9364</v>
      </c>
      <c r="E9396" t="b">
        <f>IF(COUNTIF(D9396,"*"&amp;'Keyword Search'!$C$5&amp;"*"),TRUE,FALSE)</f>
        <v>1</v>
      </c>
      <c r="G9396" t="str">
        <f t="shared" si="597"/>
        <v>998-19: Builders Supplies, Sale of Surplus and Obsolete Items</v>
      </c>
    </row>
    <row r="9397" spans="1:7" x14ac:dyDescent="0.25">
      <c r="A9397" s="1" t="str">
        <f t="shared" si="598"/>
        <v>998</v>
      </c>
      <c r="B9397" s="1" t="str">
        <f>TEXT(20,"00")</f>
        <v>20</v>
      </c>
      <c r="C9397" s="1" t="str">
        <f t="shared" si="596"/>
        <v>998-20</v>
      </c>
      <c r="D9397" t="s">
        <v>9365</v>
      </c>
      <c r="E9397" t="b">
        <f>IF(COUNTIF(D9397,"*"&amp;'Keyword Search'!$C$5&amp;"*"),TRUE,FALSE)</f>
        <v>1</v>
      </c>
      <c r="G9397" t="str">
        <f t="shared" si="597"/>
        <v>998-20: Buses, Transit and School, Sale of Surplus and Obsolete Items</v>
      </c>
    </row>
    <row r="9398" spans="1:7" x14ac:dyDescent="0.25">
      <c r="A9398" s="1" t="str">
        <f t="shared" si="598"/>
        <v>998</v>
      </c>
      <c r="B9398" s="1" t="str">
        <f>TEXT(21,"00")</f>
        <v>21</v>
      </c>
      <c r="C9398" s="1" t="str">
        <f t="shared" si="596"/>
        <v>998-21</v>
      </c>
      <c r="D9398" t="s">
        <v>9366</v>
      </c>
      <c r="E9398" t="b">
        <f>IF(COUNTIF(D9398,"*"&amp;'Keyword Search'!$C$5&amp;"*"),TRUE,FALSE)</f>
        <v>1</v>
      </c>
      <c r="G9398" t="str">
        <f t="shared" si="597"/>
        <v>998-21: Cafeteria and Kitchen Equipment, Including Food Service Equipment), Sale of Surplus and Obsolete Items</v>
      </c>
    </row>
    <row r="9399" spans="1:7" x14ac:dyDescent="0.25">
      <c r="A9399" s="1" t="str">
        <f t="shared" si="598"/>
        <v>998</v>
      </c>
      <c r="B9399" s="1" t="str">
        <f>TEXT(24,"00")</f>
        <v>24</v>
      </c>
      <c r="C9399" s="1" t="str">
        <f t="shared" si="596"/>
        <v>998-24</v>
      </c>
      <c r="D9399" t="s">
        <v>9367</v>
      </c>
      <c r="E9399" t="b">
        <f>IF(COUNTIF(D9399,"*"&amp;'Keyword Search'!$C$5&amp;"*"),TRUE,FALSE)</f>
        <v>1</v>
      </c>
      <c r="G9399" t="str">
        <f t="shared" si="597"/>
        <v>998-24: Chemicals, All Types, Sale of Surplus and Obsolete Items</v>
      </c>
    </row>
    <row r="9400" spans="1:7" x14ac:dyDescent="0.25">
      <c r="A9400" s="1" t="str">
        <f t="shared" si="598"/>
        <v>998</v>
      </c>
      <c r="B9400" s="1" t="str">
        <f>TEXT(25,"00")</f>
        <v>25</v>
      </c>
      <c r="C9400" s="1" t="str">
        <f t="shared" si="596"/>
        <v>998-25</v>
      </c>
      <c r="D9400" t="s">
        <v>9368</v>
      </c>
      <c r="E9400" t="b">
        <f>IF(COUNTIF(D9400,"*"&amp;'Keyword Search'!$C$5&amp;"*"),TRUE,FALSE)</f>
        <v>1</v>
      </c>
      <c r="G9400" t="str">
        <f t="shared" si="597"/>
        <v>998-25: Clocks, Watches, Timepieces, All Types, Sale of Surplus and Obsolete Items</v>
      </c>
    </row>
    <row r="9401" spans="1:7" x14ac:dyDescent="0.25">
      <c r="A9401" s="1" t="str">
        <f t="shared" si="598"/>
        <v>998</v>
      </c>
      <c r="B9401" s="1" t="str">
        <f>TEXT(26,"00")</f>
        <v>26</v>
      </c>
      <c r="C9401" s="1" t="str">
        <f t="shared" si="596"/>
        <v>998-26</v>
      </c>
      <c r="D9401" t="s">
        <v>9369</v>
      </c>
      <c r="E9401" t="b">
        <f>IF(COUNTIF(D9401,"*"&amp;'Keyword Search'!$C$5&amp;"*"),TRUE,FALSE)</f>
        <v>1</v>
      </c>
      <c r="G9401" t="str">
        <f t="shared" si="597"/>
        <v>998-26: Clothing, Sale of Surplus and Obsolete Items</v>
      </c>
    </row>
    <row r="9402" spans="1:7" x14ac:dyDescent="0.25">
      <c r="A9402" s="1" t="str">
        <f t="shared" si="598"/>
        <v>998</v>
      </c>
      <c r="B9402" s="1" t="str">
        <f>TEXT(28,"00")</f>
        <v>28</v>
      </c>
      <c r="C9402" s="1" t="str">
        <f t="shared" si="596"/>
        <v>998-28</v>
      </c>
      <c r="D9402" t="s">
        <v>9370</v>
      </c>
      <c r="E9402" t="b">
        <f>IF(COUNTIF(D9402,"*"&amp;'Keyword Search'!$C$5&amp;"*"),TRUE,FALSE)</f>
        <v>1</v>
      </c>
      <c r="G9402" t="str">
        <f t="shared" si="597"/>
        <v>998-28: Communication Equipment, Including Radio, Television, Telephone, VCR, Video and Audio Equipment, etc., Sale of Surplus and Obsolete Items</v>
      </c>
    </row>
    <row r="9403" spans="1:7" x14ac:dyDescent="0.25">
      <c r="A9403" s="1" t="str">
        <f t="shared" si="598"/>
        <v>998</v>
      </c>
      <c r="B9403" s="1" t="str">
        <f>TEXT(29,"00")</f>
        <v>29</v>
      </c>
      <c r="C9403" s="1" t="str">
        <f t="shared" si="596"/>
        <v>998-29</v>
      </c>
      <c r="D9403" t="s">
        <v>9371</v>
      </c>
      <c r="E9403" t="b">
        <f>IF(COUNTIF(D9403,"*"&amp;'Keyword Search'!$C$5&amp;"*"),TRUE,FALSE)</f>
        <v>1</v>
      </c>
      <c r="G9403" t="str">
        <f t="shared" si="597"/>
        <v>998-29: Computers, Parts and Supplies, Sale of Surplus and Obsolete Items</v>
      </c>
    </row>
    <row r="9404" spans="1:7" x14ac:dyDescent="0.25">
      <c r="A9404" s="1" t="str">
        <f t="shared" si="598"/>
        <v>998</v>
      </c>
      <c r="B9404" s="1" t="str">
        <f>TEXT(30,"00")</f>
        <v>30</v>
      </c>
      <c r="C9404" s="1" t="str">
        <f t="shared" si="596"/>
        <v>998-30</v>
      </c>
      <c r="D9404" t="s">
        <v>9372</v>
      </c>
      <c r="E9404" t="b">
        <f>IF(COUNTIF(D9404,"*"&amp;'Keyword Search'!$C$5&amp;"*"),TRUE,FALSE)</f>
        <v>1</v>
      </c>
      <c r="G9404" t="str">
        <f t="shared" si="597"/>
        <v>998-30: Confiscated and Personal Merchandise, Sale of Surplus and Obsolete Items</v>
      </c>
    </row>
    <row r="9405" spans="1:7" x14ac:dyDescent="0.25">
      <c r="A9405" s="1" t="str">
        <f t="shared" si="598"/>
        <v>998</v>
      </c>
      <c r="B9405" s="1" t="str">
        <f>TEXT(32,"00")</f>
        <v>32</v>
      </c>
      <c r="C9405" s="1" t="str">
        <f t="shared" si="596"/>
        <v>998-32</v>
      </c>
      <c r="D9405" t="s">
        <v>9373</v>
      </c>
      <c r="E9405" t="b">
        <f>IF(COUNTIF(D9405,"*"&amp;'Keyword Search'!$C$5&amp;"*"),TRUE,FALSE)</f>
        <v>1</v>
      </c>
      <c r="G9405" t="str">
        <f t="shared" si="597"/>
        <v>998-32: Photocopier Machines and Multi-functional Devices, Sale of Surplus and Obsolete Items</v>
      </c>
    </row>
    <row r="9406" spans="1:7" x14ac:dyDescent="0.25">
      <c r="A9406" s="1" t="str">
        <f t="shared" si="598"/>
        <v>998</v>
      </c>
      <c r="B9406" s="1" t="str">
        <f>TEXT(33,"00")</f>
        <v>33</v>
      </c>
      <c r="C9406" s="1" t="str">
        <f t="shared" si="596"/>
        <v>998-33</v>
      </c>
      <c r="D9406" t="s">
        <v>9374</v>
      </c>
      <c r="E9406" t="b">
        <f>IF(COUNTIF(D9406,"*"&amp;'Keyword Search'!$C$5&amp;"*"),TRUE,FALSE)</f>
        <v>1</v>
      </c>
      <c r="G9406" t="str">
        <f t="shared" si="597"/>
        <v>998-33: Dairy Equipment, Sale of Surplus and Obsolete Items</v>
      </c>
    </row>
    <row r="9407" spans="1:7" x14ac:dyDescent="0.25">
      <c r="A9407" s="1" t="str">
        <f t="shared" si="598"/>
        <v>998</v>
      </c>
      <c r="B9407" s="1" t="str">
        <f>TEXT(35,"00")</f>
        <v>35</v>
      </c>
      <c r="C9407" s="1" t="str">
        <f t="shared" si="596"/>
        <v>998-35</v>
      </c>
      <c r="D9407" t="s">
        <v>9375</v>
      </c>
      <c r="E9407" t="b">
        <f>IF(COUNTIF(D9407,"*"&amp;'Keyword Search'!$C$5&amp;"*"),TRUE,FALSE)</f>
        <v>1</v>
      </c>
      <c r="G9407" t="str">
        <f t="shared" si="597"/>
        <v>998-35: Drugs, First Aid, Veterinary, Sale of Surplus and Obsolete Items</v>
      </c>
    </row>
    <row r="9408" spans="1:7" x14ac:dyDescent="0.25">
      <c r="A9408" s="1" t="str">
        <f t="shared" si="598"/>
        <v>998</v>
      </c>
      <c r="B9408" s="1" t="str">
        <f>TEXT(36,"00")</f>
        <v>36</v>
      </c>
      <c r="C9408" s="1" t="str">
        <f t="shared" si="596"/>
        <v>998-36</v>
      </c>
      <c r="D9408" t="s">
        <v>9376</v>
      </c>
      <c r="E9408" t="b">
        <f>IF(COUNTIF(D9408,"*"&amp;'Keyword Search'!$C$5&amp;"*"),TRUE,FALSE)</f>
        <v>1</v>
      </c>
      <c r="G9408" t="str">
        <f t="shared" si="597"/>
        <v>998-36: Equipment, Heavy, Sale of Surplus and Obsolete Items</v>
      </c>
    </row>
    <row r="9409" spans="1:7" x14ac:dyDescent="0.25">
      <c r="A9409" s="1" t="str">
        <f t="shared" si="598"/>
        <v>998</v>
      </c>
      <c r="B9409" s="1" t="str">
        <f>TEXT(37,"00")</f>
        <v>37</v>
      </c>
      <c r="C9409" s="1" t="str">
        <f t="shared" si="596"/>
        <v>998-37</v>
      </c>
      <c r="D9409" t="s">
        <v>9377</v>
      </c>
      <c r="E9409" t="b">
        <f>IF(COUNTIF(D9409,"*"&amp;'Keyword Search'!$C$5&amp;"*"),TRUE,FALSE)</f>
        <v>1</v>
      </c>
      <c r="G9409" t="str">
        <f t="shared" si="597"/>
        <v>998-37: Electrical Equipment and Supplies, Sale of Surplus and Obsolete Items</v>
      </c>
    </row>
    <row r="9410" spans="1:7" x14ac:dyDescent="0.25">
      <c r="A9410" s="1" t="str">
        <f t="shared" si="598"/>
        <v>998</v>
      </c>
      <c r="B9410" s="1" t="str">
        <f>TEXT(38,"00")</f>
        <v>38</v>
      </c>
      <c r="C9410" s="1" t="str">
        <f t="shared" si="596"/>
        <v>998-38</v>
      </c>
      <c r="D9410" t="s">
        <v>9378</v>
      </c>
      <c r="E9410" t="b">
        <f>IF(COUNTIF(D9410,"*"&amp;'Keyword Search'!$C$5&amp;"*"),TRUE,FALSE)</f>
        <v>1</v>
      </c>
      <c r="G9410" t="str">
        <f t="shared" si="597"/>
        <v>998-38: Engineering Equipment and Supplies, Including Survey Equipment and Instruments, Sale of Surplus and Obsolete Items</v>
      </c>
    </row>
    <row r="9411" spans="1:7" x14ac:dyDescent="0.25">
      <c r="A9411" s="1" t="str">
        <f t="shared" si="598"/>
        <v>998</v>
      </c>
      <c r="B9411" s="1" t="str">
        <f>TEXT(39,"00")</f>
        <v>39</v>
      </c>
      <c r="C9411" s="1" t="str">
        <f t="shared" ref="C9411:C9455" si="599">CONCATENATE(A9411,"-",B9411)</f>
        <v>998-39</v>
      </c>
      <c r="D9411" t="s">
        <v>9379</v>
      </c>
      <c r="E9411" t="b">
        <f>IF(COUNTIF(D9411,"*"&amp;'Keyword Search'!$C$5&amp;"*"),TRUE,FALSE)</f>
        <v>1</v>
      </c>
      <c r="G9411" t="str">
        <f t="shared" si="597"/>
        <v>998-39: Escalators, Elevators, and Moving Walks, Sale of Surplus and Obsolete Items</v>
      </c>
    </row>
    <row r="9412" spans="1:7" x14ac:dyDescent="0.25">
      <c r="A9412" s="1" t="str">
        <f t="shared" si="598"/>
        <v>998</v>
      </c>
      <c r="B9412" s="1" t="str">
        <f>TEXT(40,"00")</f>
        <v>40</v>
      </c>
      <c r="C9412" s="1" t="str">
        <f t="shared" si="599"/>
        <v>998-40</v>
      </c>
      <c r="D9412" t="s">
        <v>9380</v>
      </c>
      <c r="E9412" t="b">
        <f>IF(COUNTIF(D9412,"*"&amp;'Keyword Search'!$C$5&amp;"*"),TRUE,FALSE)</f>
        <v>1</v>
      </c>
      <c r="G9412" t="str">
        <f t="shared" ref="G9412:G9455" si="600">CONCATENATE(C9412,": ",D9412)</f>
        <v>998-40: Fertilizer, Sale of Surplus and Obsolete Items</v>
      </c>
    </row>
    <row r="9413" spans="1:7" x14ac:dyDescent="0.25">
      <c r="A9413" s="1" t="str">
        <f t="shared" si="598"/>
        <v>998</v>
      </c>
      <c r="B9413" s="1" t="str">
        <f>TEXT(42,"00")</f>
        <v>42</v>
      </c>
      <c r="C9413" s="1" t="str">
        <f t="shared" si="599"/>
        <v>998-42</v>
      </c>
      <c r="D9413" t="s">
        <v>9381</v>
      </c>
      <c r="E9413" t="b">
        <f>IF(COUNTIF(D9413,"*"&amp;'Keyword Search'!$C$5&amp;"*"),TRUE,FALSE)</f>
        <v>1</v>
      </c>
      <c r="G9413" t="str">
        <f t="shared" si="600"/>
        <v>998-42: Fire and Police Equipment (Not Otherwise Classified), Sale of Surplus and Obsolete Items</v>
      </c>
    </row>
    <row r="9414" spans="1:7" x14ac:dyDescent="0.25">
      <c r="A9414" s="1" t="str">
        <f t="shared" si="598"/>
        <v>998</v>
      </c>
      <c r="B9414" s="1" t="str">
        <f>TEXT(44,"00")</f>
        <v>44</v>
      </c>
      <c r="C9414" s="1" t="str">
        <f t="shared" si="599"/>
        <v>998-44</v>
      </c>
      <c r="D9414" t="s">
        <v>9382</v>
      </c>
      <c r="E9414" t="b">
        <f>IF(COUNTIF(D9414,"*"&amp;'Keyword Search'!$C$5&amp;"*"),TRUE,FALSE)</f>
        <v>1</v>
      </c>
      <c r="G9414" t="str">
        <f t="shared" si="600"/>
        <v>998-44: Food, Sale of Surplus and Obsolete Items</v>
      </c>
    </row>
    <row r="9415" spans="1:7" x14ac:dyDescent="0.25">
      <c r="A9415" s="1" t="str">
        <f t="shared" si="598"/>
        <v>998</v>
      </c>
      <c r="B9415" s="1" t="str">
        <f>TEXT(46,"00")</f>
        <v>46</v>
      </c>
      <c r="C9415" s="1" t="str">
        <f t="shared" si="599"/>
        <v>998-46</v>
      </c>
      <c r="D9415" t="s">
        <v>9383</v>
      </c>
      <c r="E9415" t="b">
        <f>IF(COUNTIF(D9415,"*"&amp;'Keyword Search'!$C$5&amp;"*"),TRUE,FALSE)</f>
        <v>1</v>
      </c>
      <c r="G9415" t="str">
        <f t="shared" si="600"/>
        <v>998-46: Furniture, Sale of Surplus and Obsolete Items</v>
      </c>
    </row>
    <row r="9416" spans="1:7" x14ac:dyDescent="0.25">
      <c r="A9416" s="1" t="str">
        <f t="shared" si="598"/>
        <v>998</v>
      </c>
      <c r="B9416" s="1" t="str">
        <f>TEXT(47,"00")</f>
        <v>47</v>
      </c>
      <c r="C9416" s="1" t="str">
        <f t="shared" si="599"/>
        <v>998-47</v>
      </c>
      <c r="D9416" t="s">
        <v>9384</v>
      </c>
      <c r="E9416" t="b">
        <f>IF(COUNTIF(D9416,"*"&amp;'Keyword Search'!$C$5&amp;"*"),TRUE,FALSE)</f>
        <v>1</v>
      </c>
      <c r="G9416" t="str">
        <f t="shared" si="600"/>
        <v>998-47: Glass, Sale of Surplus and Obsolete Items</v>
      </c>
    </row>
    <row r="9417" spans="1:7" x14ac:dyDescent="0.25">
      <c r="A9417" s="1" t="str">
        <f t="shared" si="598"/>
        <v>998</v>
      </c>
      <c r="B9417" s="1" t="str">
        <f>TEXT(48,"00")</f>
        <v>48</v>
      </c>
      <c r="C9417" s="1" t="str">
        <f t="shared" si="599"/>
        <v>998-48</v>
      </c>
      <c r="D9417" t="s">
        <v>9385</v>
      </c>
      <c r="E9417" t="b">
        <f>IF(COUNTIF(D9417,"*"&amp;'Keyword Search'!$C$5&amp;"*"),TRUE,FALSE)</f>
        <v>1</v>
      </c>
      <c r="G9417" t="str">
        <f t="shared" si="600"/>
        <v>998-48: Garbage, Sale of Surplus and Obsolete Items</v>
      </c>
    </row>
    <row r="9418" spans="1:7" x14ac:dyDescent="0.25">
      <c r="A9418" s="1" t="str">
        <f t="shared" si="598"/>
        <v>998</v>
      </c>
      <c r="B9418" s="1" t="str">
        <f>TEXT(49,"00")</f>
        <v>49</v>
      </c>
      <c r="C9418" s="1" t="str">
        <f t="shared" si="599"/>
        <v>998-49</v>
      </c>
      <c r="D9418" t="s">
        <v>9386</v>
      </c>
      <c r="E9418" t="b">
        <f>IF(COUNTIF(D9418,"*"&amp;'Keyword Search'!$C$5&amp;"*"),TRUE,FALSE)</f>
        <v>1</v>
      </c>
      <c r="G9418" t="str">
        <f t="shared" si="600"/>
        <v>998-49: Garbage and Refuse Containers, Sale of Surplus and Obsolete Items</v>
      </c>
    </row>
    <row r="9419" spans="1:7" x14ac:dyDescent="0.25">
      <c r="A9419" s="1" t="str">
        <f t="shared" si="598"/>
        <v>998</v>
      </c>
      <c r="B9419" s="1" t="str">
        <f>TEXT(50,"00")</f>
        <v>50</v>
      </c>
      <c r="C9419" s="1" t="str">
        <f t="shared" si="599"/>
        <v>998-50</v>
      </c>
      <c r="D9419" t="s">
        <v>9387</v>
      </c>
      <c r="E9419" t="b">
        <f>IF(COUNTIF(D9419,"*"&amp;'Keyword Search'!$C$5&amp;"*"),TRUE,FALSE)</f>
        <v>1</v>
      </c>
      <c r="G9419" t="str">
        <f t="shared" si="600"/>
        <v>998-50: Hardware, Sale of Surplus and Obsolete Items</v>
      </c>
    </row>
    <row r="9420" spans="1:7" x14ac:dyDescent="0.25">
      <c r="A9420" s="1" t="str">
        <f t="shared" si="598"/>
        <v>998</v>
      </c>
      <c r="B9420" s="1" t="str">
        <f>TEXT(52,"00")</f>
        <v>52</v>
      </c>
      <c r="C9420" s="1" t="str">
        <f t="shared" si="599"/>
        <v>998-52</v>
      </c>
      <c r="D9420" t="s">
        <v>9388</v>
      </c>
      <c r="E9420" t="b">
        <f>IF(COUNTIF(D9420,"*"&amp;'Keyword Search'!$C$5&amp;"*"),TRUE,FALSE)</f>
        <v>1</v>
      </c>
      <c r="G9420" t="str">
        <f t="shared" si="600"/>
        <v>998-52: Heating, Air Conditioning, Ventilating &amp; Refrigeration Equipment, Sale of Surplus and Obsolete Items</v>
      </c>
    </row>
    <row r="9421" spans="1:7" x14ac:dyDescent="0.25">
      <c r="A9421" s="1" t="str">
        <f t="shared" si="598"/>
        <v>998</v>
      </c>
      <c r="B9421" s="1" t="str">
        <f>TEXT(54,"00")</f>
        <v>54</v>
      </c>
      <c r="C9421" s="1" t="str">
        <f t="shared" si="599"/>
        <v>998-54</v>
      </c>
      <c r="D9421" t="s">
        <v>9389</v>
      </c>
      <c r="E9421" t="b">
        <f>IF(COUNTIF(D9421,"*"&amp;'Keyword Search'!$C$5&amp;"*"),TRUE,FALSE)</f>
        <v>1</v>
      </c>
      <c r="G9421" t="str">
        <f t="shared" si="600"/>
        <v>998-54: Highway Equipment, Tractors, Loaders, Graders, Dozers, etc., Sale of Surplus and Obsolete Items</v>
      </c>
    </row>
    <row r="9422" spans="1:7" x14ac:dyDescent="0.25">
      <c r="A9422" s="1" t="str">
        <f t="shared" si="598"/>
        <v>998</v>
      </c>
      <c r="B9422" s="1" t="str">
        <f>TEXT(57,"00")</f>
        <v>57</v>
      </c>
      <c r="C9422" s="1" t="str">
        <f t="shared" si="599"/>
        <v>998-57</v>
      </c>
      <c r="D9422" t="s">
        <v>9390</v>
      </c>
      <c r="E9422" t="b">
        <f>IF(COUNTIF(D9422,"*"&amp;'Keyword Search'!$C$5&amp;"*"),TRUE,FALSE)</f>
        <v>1</v>
      </c>
      <c r="G9422" t="str">
        <f t="shared" si="600"/>
        <v>998-57: Laboratory Equipment, Sale of Surplus and Obsolete Items</v>
      </c>
    </row>
    <row r="9423" spans="1:7" x14ac:dyDescent="0.25">
      <c r="A9423" s="1" t="str">
        <f t="shared" si="598"/>
        <v>998</v>
      </c>
      <c r="B9423" s="1" t="str">
        <f>TEXT(59,"00")</f>
        <v>59</v>
      </c>
      <c r="C9423" s="1" t="str">
        <f t="shared" si="599"/>
        <v>998-59</v>
      </c>
      <c r="D9423" t="s">
        <v>9391</v>
      </c>
      <c r="E9423" t="b">
        <f>IF(COUNTIF(D9423,"*"&amp;'Keyword Search'!$C$5&amp;"*"),TRUE,FALSE)</f>
        <v>1</v>
      </c>
      <c r="G9423" t="str">
        <f t="shared" si="600"/>
        <v>998-59: Laundry Equipment, Sale of Surplus and Obsolete Items</v>
      </c>
    </row>
    <row r="9424" spans="1:7" x14ac:dyDescent="0.25">
      <c r="A9424" s="1" t="str">
        <f t="shared" si="598"/>
        <v>998</v>
      </c>
      <c r="B9424" s="1" t="str">
        <f>TEXT(60,"00")</f>
        <v>60</v>
      </c>
      <c r="C9424" s="1" t="str">
        <f t="shared" si="599"/>
        <v>998-60</v>
      </c>
      <c r="D9424" t="s">
        <v>9392</v>
      </c>
      <c r="E9424" t="b">
        <f>IF(COUNTIF(D9424,"*"&amp;'Keyword Search'!$C$5&amp;"*"),TRUE,FALSE)</f>
        <v>1</v>
      </c>
      <c r="G9424" t="str">
        <f t="shared" si="600"/>
        <v>998-60: Library Equipment, Sale of Surplus and Obsolete Items</v>
      </c>
    </row>
    <row r="9425" spans="1:7" x14ac:dyDescent="0.25">
      <c r="A9425" s="1" t="str">
        <f t="shared" si="598"/>
        <v>998</v>
      </c>
      <c r="B9425" s="1" t="str">
        <f>TEXT(63,"00")</f>
        <v>63</v>
      </c>
      <c r="C9425" s="1" t="str">
        <f t="shared" si="599"/>
        <v>998-63</v>
      </c>
      <c r="D9425" t="s">
        <v>9393</v>
      </c>
      <c r="E9425" t="b">
        <f>IF(COUNTIF(D9425,"*"&amp;'Keyword Search'!$C$5&amp;"*"),TRUE,FALSE)</f>
        <v>1</v>
      </c>
      <c r="G9425" t="str">
        <f t="shared" si="600"/>
        <v>998-63: Lumber and Pilings, Sale of Surplus and Obsolete Items</v>
      </c>
    </row>
    <row r="9426" spans="1:7" x14ac:dyDescent="0.25">
      <c r="A9426" s="1" t="str">
        <f t="shared" si="598"/>
        <v>998</v>
      </c>
      <c r="B9426" s="1" t="str">
        <f>TEXT(65,"00")</f>
        <v>65</v>
      </c>
      <c r="C9426" s="1" t="str">
        <f t="shared" si="599"/>
        <v>998-65</v>
      </c>
      <c r="D9426" t="s">
        <v>9394</v>
      </c>
      <c r="E9426" t="b">
        <f>IF(COUNTIF(D9426,"*"&amp;'Keyword Search'!$C$5&amp;"*"),TRUE,FALSE)</f>
        <v>1</v>
      </c>
      <c r="G9426" t="str">
        <f t="shared" si="600"/>
        <v>998-65: Machinery, Industrial, Sale of Surplus and Obsolete Items</v>
      </c>
    </row>
    <row r="9427" spans="1:7" x14ac:dyDescent="0.25">
      <c r="A9427" s="1" t="str">
        <f t="shared" si="598"/>
        <v>998</v>
      </c>
      <c r="B9427" s="1" t="str">
        <f>TEXT(66,"00")</f>
        <v>66</v>
      </c>
      <c r="C9427" s="1" t="str">
        <f t="shared" si="599"/>
        <v>998-66</v>
      </c>
      <c r="D9427" t="s">
        <v>9395</v>
      </c>
      <c r="E9427" t="b">
        <f>IF(COUNTIF(D9427,"*"&amp;'Keyword Search'!$C$5&amp;"*"),TRUE,FALSE)</f>
        <v>1</v>
      </c>
      <c r="G9427" t="str">
        <f t="shared" si="600"/>
        <v>998-66: Mailing Equipment, Including Shipping Containers, Sale of Surplus and Obsolete Items</v>
      </c>
    </row>
    <row r="9428" spans="1:7" x14ac:dyDescent="0.25">
      <c r="A9428" s="1" t="str">
        <f t="shared" si="598"/>
        <v>998</v>
      </c>
      <c r="B9428" s="1" t="str">
        <f>TEXT(67,"00")</f>
        <v>67</v>
      </c>
      <c r="C9428" s="1" t="str">
        <f t="shared" si="599"/>
        <v>998-67</v>
      </c>
      <c r="D9428" t="s">
        <v>9396</v>
      </c>
      <c r="E9428" t="b">
        <f>IF(COUNTIF(D9428,"*"&amp;'Keyword Search'!$C$5&amp;"*"),TRUE,FALSE)</f>
        <v>1</v>
      </c>
      <c r="G9428" t="str">
        <f t="shared" si="600"/>
        <v>998-67: Medical and Dental Equipment and Supplies, Sale of Surplus and Obsolete Items</v>
      </c>
    </row>
    <row r="9429" spans="1:7" x14ac:dyDescent="0.25">
      <c r="A9429" s="1" t="str">
        <f t="shared" si="598"/>
        <v>998</v>
      </c>
      <c r="B9429" s="1" t="str">
        <f>TEXT(68,"00")</f>
        <v>68</v>
      </c>
      <c r="C9429" s="1" t="str">
        <f t="shared" si="599"/>
        <v>998-68</v>
      </c>
      <c r="D9429" t="s">
        <v>9397</v>
      </c>
      <c r="E9429" t="b">
        <f>IF(COUNTIF(D9429,"*"&amp;'Keyword Search'!$C$5&amp;"*"),TRUE,FALSE)</f>
        <v>1</v>
      </c>
      <c r="G9429" t="str">
        <f t="shared" si="600"/>
        <v>998-68: Metal, Scrap, Sale of Surplus and Obsolete Items</v>
      </c>
    </row>
    <row r="9430" spans="1:7" x14ac:dyDescent="0.25">
      <c r="A9430" s="1" t="str">
        <f t="shared" si="598"/>
        <v>998</v>
      </c>
      <c r="B9430" s="1" t="str">
        <f>TEXT(69,"00")</f>
        <v>69</v>
      </c>
      <c r="C9430" s="1" t="str">
        <f t="shared" si="599"/>
        <v>998-69</v>
      </c>
      <c r="D9430" t="s">
        <v>9398</v>
      </c>
      <c r="E9430" t="b">
        <f>IF(COUNTIF(D9430,"*"&amp;'Keyword Search'!$C$5&amp;"*"),TRUE,FALSE)</f>
        <v>1</v>
      </c>
      <c r="G9430" t="str">
        <f t="shared" si="600"/>
        <v>998-69: Metals, Precious, Sale of Surplus and Obsolete Items</v>
      </c>
    </row>
    <row r="9431" spans="1:7" x14ac:dyDescent="0.25">
      <c r="A9431" s="1" t="str">
        <f t="shared" si="598"/>
        <v>998</v>
      </c>
      <c r="B9431" s="1" t="str">
        <f>TEXT(70,"00")</f>
        <v>70</v>
      </c>
      <c r="C9431" s="1" t="str">
        <f t="shared" si="599"/>
        <v>998-70</v>
      </c>
      <c r="D9431" t="s">
        <v>9399</v>
      </c>
      <c r="E9431" t="b">
        <f>IF(COUNTIF(D9431,"*"&amp;'Keyword Search'!$C$5&amp;"*"),TRUE,FALSE)</f>
        <v>1</v>
      </c>
      <c r="G9431" t="str">
        <f t="shared" si="600"/>
        <v>998-70: Musical Equipment, Sale of Surplus and Obsolete Items</v>
      </c>
    </row>
    <row r="9432" spans="1:7" x14ac:dyDescent="0.25">
      <c r="A9432" s="1" t="str">
        <f t="shared" si="598"/>
        <v>998</v>
      </c>
      <c r="B9432" s="1" t="str">
        <f>TEXT(71,"00")</f>
        <v>71</v>
      </c>
      <c r="C9432" s="1" t="str">
        <f t="shared" si="599"/>
        <v>998-71</v>
      </c>
      <c r="D9432" t="s">
        <v>9400</v>
      </c>
      <c r="E9432" t="b">
        <f>IF(COUNTIF(D9432,"*"&amp;'Keyword Search'!$C$5&amp;"*"),TRUE,FALSE)</f>
        <v>1</v>
      </c>
      <c r="G9432" t="str">
        <f t="shared" si="600"/>
        <v>998-71: Metals other than Scrap, All Types, Sale of Surplus and Obsolete Items</v>
      </c>
    </row>
    <row r="9433" spans="1:7" x14ac:dyDescent="0.25">
      <c r="A9433" s="1" t="str">
        <f t="shared" si="598"/>
        <v>998</v>
      </c>
      <c r="B9433" s="1" t="str">
        <f>TEXT(72,"00")</f>
        <v>72</v>
      </c>
      <c r="C9433" s="1" t="str">
        <f t="shared" si="599"/>
        <v>998-72</v>
      </c>
      <c r="D9433" t="s">
        <v>9401</v>
      </c>
      <c r="E9433" t="b">
        <f>IF(COUNTIF(D9433,"*"&amp;'Keyword Search'!$C$5&amp;"*"),TRUE,FALSE)</f>
        <v>1</v>
      </c>
      <c r="G9433" t="str">
        <f t="shared" si="600"/>
        <v>998-72: Office Equipment, Not Copiers, Sale of Surplus and Obsolete Items</v>
      </c>
    </row>
    <row r="9434" spans="1:7" x14ac:dyDescent="0.25">
      <c r="A9434" s="1" t="str">
        <f t="shared" si="598"/>
        <v>998</v>
      </c>
      <c r="B9434" s="1" t="str">
        <f>TEXT(74,"00")</f>
        <v>74</v>
      </c>
      <c r="C9434" s="1" t="str">
        <f t="shared" si="599"/>
        <v>998-74</v>
      </c>
      <c r="D9434" t="s">
        <v>9402</v>
      </c>
      <c r="E9434" t="b">
        <f>IF(COUNTIF(D9434,"*"&amp;'Keyword Search'!$C$5&amp;"*"),TRUE,FALSE)</f>
        <v>1</v>
      </c>
      <c r="G9434" t="str">
        <f t="shared" si="600"/>
        <v>998-74: Oils and Other Petroleum Products, Waste, Sale of Surplus and Obsolete Items</v>
      </c>
    </row>
    <row r="9435" spans="1:7" x14ac:dyDescent="0.25">
      <c r="A9435" s="1" t="str">
        <f t="shared" si="598"/>
        <v>998</v>
      </c>
      <c r="B9435" s="1" t="str">
        <f>TEXT(75,"00")</f>
        <v>75</v>
      </c>
      <c r="C9435" s="1" t="str">
        <f t="shared" si="599"/>
        <v>998-75</v>
      </c>
      <c r="D9435" t="s">
        <v>9403</v>
      </c>
      <c r="E9435" t="b">
        <f>IF(COUNTIF(D9435,"*"&amp;'Keyword Search'!$C$5&amp;"*"),TRUE,FALSE)</f>
        <v>1</v>
      </c>
      <c r="G9435" t="str">
        <f t="shared" si="600"/>
        <v>998-75: Paper and Paper Products, Including Boxes, Sale of Surplus and Obsolete Items</v>
      </c>
    </row>
    <row r="9436" spans="1:7" x14ac:dyDescent="0.25">
      <c r="A9436" s="1" t="str">
        <f t="shared" si="598"/>
        <v>998</v>
      </c>
      <c r="B9436" s="1" t="str">
        <f>TEXT(76,"00")</f>
        <v>76</v>
      </c>
      <c r="C9436" s="1" t="str">
        <f t="shared" si="599"/>
        <v>998-76</v>
      </c>
      <c r="D9436" t="s">
        <v>9404</v>
      </c>
      <c r="E9436" t="b">
        <f>IF(COUNTIF(D9436,"*"&amp;'Keyword Search'!$C$5&amp;"*"),TRUE,FALSE)</f>
        <v>1</v>
      </c>
      <c r="G9436" t="str">
        <f t="shared" si="600"/>
        <v>998-76: Photographic Equipment, Sale of Surplus and Obsolete Items</v>
      </c>
    </row>
    <row r="9437" spans="1:7" x14ac:dyDescent="0.25">
      <c r="A9437" s="1" t="str">
        <f t="shared" si="598"/>
        <v>998</v>
      </c>
      <c r="B9437" s="1" t="str">
        <f>TEXT(77,"00")</f>
        <v>77</v>
      </c>
      <c r="C9437" s="1" t="str">
        <f t="shared" si="599"/>
        <v>998-77</v>
      </c>
      <c r="D9437" t="s">
        <v>9405</v>
      </c>
      <c r="E9437" t="b">
        <f>IF(COUNTIF(D9437,"*"&amp;'Keyword Search'!$C$5&amp;"*"),TRUE,FALSE)</f>
        <v>1</v>
      </c>
      <c r="G9437" t="str">
        <f t="shared" si="600"/>
        <v>998-77: Parking and Water Meters, Sale of Surplus and Obsolete Items</v>
      </c>
    </row>
    <row r="9438" spans="1:7" x14ac:dyDescent="0.25">
      <c r="A9438" s="1" t="str">
        <f t="shared" si="598"/>
        <v>998</v>
      </c>
      <c r="B9438" s="1" t="str">
        <f>TEXT(78,"00")</f>
        <v>78</v>
      </c>
      <c r="C9438" s="1" t="str">
        <f t="shared" si="599"/>
        <v>998-78</v>
      </c>
      <c r="D9438" t="s">
        <v>9406</v>
      </c>
      <c r="E9438" t="b">
        <f>IF(COUNTIF(D9438,"*"&amp;'Keyword Search'!$C$5&amp;"*"),TRUE,FALSE)</f>
        <v>1</v>
      </c>
      <c r="G9438" t="str">
        <f t="shared" si="600"/>
        <v>998-78: Plumbing Equipment and Supplies, Sale of Surplus and Obsolete Items</v>
      </c>
    </row>
    <row r="9439" spans="1:7" x14ac:dyDescent="0.25">
      <c r="A9439" s="1" t="str">
        <f t="shared" si="598"/>
        <v>998</v>
      </c>
      <c r="B9439" s="1" t="str">
        <f>TEXT(79,"00")</f>
        <v>79</v>
      </c>
      <c r="C9439" s="1" t="str">
        <f t="shared" si="599"/>
        <v>998-79</v>
      </c>
      <c r="D9439" t="s">
        <v>9407</v>
      </c>
      <c r="E9439" t="b">
        <f>IF(COUNTIF(D9439,"*"&amp;'Keyword Search'!$C$5&amp;"*"),TRUE,FALSE)</f>
        <v>1</v>
      </c>
      <c r="G9439" t="str">
        <f t="shared" si="600"/>
        <v>998-79: Pipe, Valves and Fittings, Sale of Surplus and Obsolete Items</v>
      </c>
    </row>
    <row r="9440" spans="1:7" x14ac:dyDescent="0.25">
      <c r="A9440" s="1" t="str">
        <f t="shared" si="598"/>
        <v>998</v>
      </c>
      <c r="B9440" s="1" t="str">
        <f>TEXT(80,"00")</f>
        <v>80</v>
      </c>
      <c r="C9440" s="1" t="str">
        <f t="shared" si="599"/>
        <v>998-80</v>
      </c>
      <c r="D9440" t="s">
        <v>9408</v>
      </c>
      <c r="E9440" t="b">
        <f>IF(COUNTIF(D9440,"*"&amp;'Keyword Search'!$C$5&amp;"*"),TRUE,FALSE)</f>
        <v>1</v>
      </c>
      <c r="G9440" t="str">
        <f t="shared" si="600"/>
        <v>998-80: Public Utility Equipment, Sale of Surplus and Obsolete Items</v>
      </c>
    </row>
    <row r="9441" spans="1:7" x14ac:dyDescent="0.25">
      <c r="A9441" s="1" t="str">
        <f t="shared" si="598"/>
        <v>998</v>
      </c>
      <c r="B9441" s="1" t="str">
        <f>TEXT(81,"00")</f>
        <v>81</v>
      </c>
      <c r="C9441" s="1" t="str">
        <f t="shared" si="599"/>
        <v>998-81</v>
      </c>
      <c r="D9441" t="s">
        <v>9409</v>
      </c>
      <c r="E9441" t="b">
        <f>IF(COUNTIF(D9441,"*"&amp;'Keyword Search'!$C$5&amp;"*"),TRUE,FALSE)</f>
        <v>1</v>
      </c>
      <c r="G9441" t="str">
        <f t="shared" si="600"/>
        <v>998-81: Printing Equipment, Sale of Surplus and Obsolete Items</v>
      </c>
    </row>
    <row r="9442" spans="1:7" x14ac:dyDescent="0.25">
      <c r="A9442" s="1" t="str">
        <f t="shared" si="598"/>
        <v>998</v>
      </c>
      <c r="B9442" s="1" t="str">
        <f>TEXT(82,"00")</f>
        <v>82</v>
      </c>
      <c r="C9442" s="1" t="str">
        <f t="shared" si="599"/>
        <v>998-82</v>
      </c>
      <c r="D9442" t="s">
        <v>9410</v>
      </c>
      <c r="E9442" t="b">
        <f>IF(COUNTIF(D9442,"*"&amp;'Keyword Search'!$C$5&amp;"*"),TRUE,FALSE)</f>
        <v>1</v>
      </c>
      <c r="G9442" t="str">
        <f t="shared" si="600"/>
        <v>998-82: Rags, Sale of Surplus and Obsolete Items</v>
      </c>
    </row>
    <row r="9443" spans="1:7" x14ac:dyDescent="0.25">
      <c r="A9443" s="1" t="str">
        <f t="shared" si="598"/>
        <v>998</v>
      </c>
      <c r="B9443" s="1" t="str">
        <f>TEXT(83,"00")</f>
        <v>83</v>
      </c>
      <c r="C9443" s="1" t="str">
        <f t="shared" si="599"/>
        <v>998-83</v>
      </c>
      <c r="D9443" t="s">
        <v>9411</v>
      </c>
      <c r="E9443" t="b">
        <f>IF(COUNTIF(D9443,"*"&amp;'Keyword Search'!$C$5&amp;"*"),TRUE,FALSE)</f>
        <v>1</v>
      </c>
      <c r="G9443" t="str">
        <f t="shared" si="600"/>
        <v>998-83: Rail Equipment and Accessories, Sale of Surplus and Obsolete Items</v>
      </c>
    </row>
    <row r="9444" spans="1:7" x14ac:dyDescent="0.25">
      <c r="A9444" s="1" t="str">
        <f t="shared" si="598"/>
        <v>998</v>
      </c>
      <c r="B9444" s="1" t="str">
        <f>TEXT(84,"00")</f>
        <v>84</v>
      </c>
      <c r="C9444" s="1" t="str">
        <f t="shared" si="599"/>
        <v>998-84</v>
      </c>
      <c r="D9444" t="s">
        <v>9412</v>
      </c>
      <c r="E9444" t="b">
        <f>IF(COUNTIF(D9444,"*"&amp;'Keyword Search'!$C$5&amp;"*"),TRUE,FALSE)</f>
        <v>1</v>
      </c>
      <c r="G9444" t="str">
        <f t="shared" si="600"/>
        <v>998-84: Real Estate, Including Buildings, Houses, Land, et), Sale of Surplus and Obsolete Items</v>
      </c>
    </row>
    <row r="9445" spans="1:7" x14ac:dyDescent="0.25">
      <c r="A9445" s="1" t="str">
        <f t="shared" si="598"/>
        <v>998</v>
      </c>
      <c r="B9445" s="1" t="str">
        <f>TEXT(85,"00")</f>
        <v>85</v>
      </c>
      <c r="C9445" s="1" t="str">
        <f t="shared" si="599"/>
        <v>998-85</v>
      </c>
      <c r="D9445" t="s">
        <v>9413</v>
      </c>
      <c r="E9445" t="b">
        <f>IF(COUNTIF(D9445,"*"&amp;'Keyword Search'!$C$5&amp;"*"),TRUE,FALSE)</f>
        <v>1</v>
      </c>
      <c r="G9445" t="str">
        <f t="shared" si="600"/>
        <v>998-85: Recyclable Materials: Books, Paper, Glass, Metal, etc., Sale of Surplus and Obsolete Items</v>
      </c>
    </row>
    <row r="9446" spans="1:7" x14ac:dyDescent="0.25">
      <c r="A9446" s="1" t="str">
        <f t="shared" si="598"/>
        <v>998</v>
      </c>
      <c r="B9446" s="1" t="str">
        <f>TEXT(87,"00")</f>
        <v>87</v>
      </c>
      <c r="C9446" s="1" t="str">
        <f t="shared" si="599"/>
        <v>998-87</v>
      </c>
      <c r="D9446" t="s">
        <v>9414</v>
      </c>
      <c r="E9446" t="b">
        <f>IF(COUNTIF(D9446,"*"&amp;'Keyword Search'!$C$5&amp;"*"),TRUE,FALSE)</f>
        <v>1</v>
      </c>
      <c r="G9446" t="str">
        <f t="shared" si="600"/>
        <v>998-87: Road and Highway Materials, Including Testing Equipment, Sale of Surplus and Obsolete Items</v>
      </c>
    </row>
    <row r="9447" spans="1:7" x14ac:dyDescent="0.25">
      <c r="A9447" s="1" t="str">
        <f t="shared" ref="A9447:A9455" si="601">TEXT(998,"000")</f>
        <v>998</v>
      </c>
      <c r="B9447" s="1" t="str">
        <f>TEXT(88,"00")</f>
        <v>88</v>
      </c>
      <c r="C9447" s="1" t="str">
        <f t="shared" si="599"/>
        <v>998-88</v>
      </c>
      <c r="D9447" t="s">
        <v>9415</v>
      </c>
      <c r="E9447" t="b">
        <f>IF(COUNTIF(D9447,"*"&amp;'Keyword Search'!$C$5&amp;"*"),TRUE,FALSE)</f>
        <v>1</v>
      </c>
      <c r="G9447" t="str">
        <f t="shared" si="600"/>
        <v>998-88: Scales and Weighing Apparatus, Sale of Surplus and Obsolete Items</v>
      </c>
    </row>
    <row r="9448" spans="1:7" x14ac:dyDescent="0.25">
      <c r="A9448" s="1" t="str">
        <f t="shared" si="601"/>
        <v>998</v>
      </c>
      <c r="B9448" s="1" t="str">
        <f>TEXT(89,"00")</f>
        <v>89</v>
      </c>
      <c r="C9448" s="1" t="str">
        <f t="shared" si="599"/>
        <v>998-89</v>
      </c>
      <c r="D9448" t="s">
        <v>9416</v>
      </c>
      <c r="E9448" t="b">
        <f>IF(COUNTIF(D9448,"*"&amp;'Keyword Search'!$C$5&amp;"*"),TRUE,FALSE)</f>
        <v>1</v>
      </c>
      <c r="G9448" t="str">
        <f t="shared" si="600"/>
        <v>998-89: School Equipment, Sale of Surplus and Obsolete Items</v>
      </c>
    </row>
    <row r="9449" spans="1:7" x14ac:dyDescent="0.25">
      <c r="A9449" s="1" t="str">
        <f t="shared" si="601"/>
        <v>998</v>
      </c>
      <c r="B9449" s="1" t="str">
        <f>TEXT(90,"00")</f>
        <v>90</v>
      </c>
      <c r="C9449" s="1" t="str">
        <f t="shared" si="599"/>
        <v>998-90</v>
      </c>
      <c r="D9449" t="s">
        <v>9417</v>
      </c>
      <c r="E9449" t="b">
        <f>IF(COUNTIF(D9449,"*"&amp;'Keyword Search'!$C$5&amp;"*"),TRUE,FALSE)</f>
        <v>1</v>
      </c>
      <c r="G9449" t="str">
        <f t="shared" si="600"/>
        <v>998-90: Tools, All Types, Sale of Surplus and Obsolete Items</v>
      </c>
    </row>
    <row r="9450" spans="1:7" x14ac:dyDescent="0.25">
      <c r="A9450" s="1" t="str">
        <f t="shared" si="601"/>
        <v>998</v>
      </c>
      <c r="B9450" s="1" t="str">
        <f>TEXT(91,"00")</f>
        <v>91</v>
      </c>
      <c r="C9450" s="1" t="str">
        <f t="shared" si="599"/>
        <v>998-91</v>
      </c>
      <c r="D9450" t="s">
        <v>9418</v>
      </c>
      <c r="E9450" t="b">
        <f>IF(COUNTIF(D9450,"*"&amp;'Keyword Search'!$C$5&amp;"*"),TRUE,FALSE)</f>
        <v>1</v>
      </c>
      <c r="G9450" t="str">
        <f t="shared" si="600"/>
        <v>998-91: Sporting and Athletic Equipment, Sale of Surplus and Obsolete Items</v>
      </c>
    </row>
    <row r="9451" spans="1:7" x14ac:dyDescent="0.25">
      <c r="A9451" s="1" t="str">
        <f t="shared" si="601"/>
        <v>998</v>
      </c>
      <c r="B9451" s="1" t="str">
        <f>TEXT(92,"00")</f>
        <v>92</v>
      </c>
      <c r="C9451" s="1" t="str">
        <f t="shared" si="599"/>
        <v>998-92</v>
      </c>
      <c r="D9451" t="s">
        <v>9419</v>
      </c>
      <c r="E9451" t="b">
        <f>IF(COUNTIF(D9451,"*"&amp;'Keyword Search'!$C$5&amp;"*"),TRUE,FALSE)</f>
        <v>1</v>
      </c>
      <c r="G9451" t="str">
        <f t="shared" si="600"/>
        <v>998-92: Traffic Signals and Control Equipment, Sale of Surplus and Obsolete Items</v>
      </c>
    </row>
    <row r="9452" spans="1:7" x14ac:dyDescent="0.25">
      <c r="A9452" s="1" t="str">
        <f t="shared" si="601"/>
        <v>998</v>
      </c>
      <c r="B9452" s="1" t="str">
        <f>TEXT(93,"00")</f>
        <v>93</v>
      </c>
      <c r="C9452" s="1" t="str">
        <f t="shared" si="599"/>
        <v>998-93</v>
      </c>
      <c r="D9452" t="s">
        <v>9420</v>
      </c>
      <c r="E9452" t="b">
        <f>IF(COUNTIF(D9452,"*"&amp;'Keyword Search'!$C$5&amp;"*"),TRUE,FALSE)</f>
        <v>1</v>
      </c>
      <c r="G9452" t="str">
        <f t="shared" si="600"/>
        <v>998-93: Tires and Tubes, Including Retreading Material and Equipment, Sale of Surplus and Obsolete Items</v>
      </c>
    </row>
    <row r="9453" spans="1:7" x14ac:dyDescent="0.25">
      <c r="A9453" s="1" t="str">
        <f t="shared" si="601"/>
        <v>998</v>
      </c>
      <c r="B9453" s="1" t="str">
        <f>TEXT(94,"00")</f>
        <v>94</v>
      </c>
      <c r="C9453" s="1" t="str">
        <f t="shared" si="599"/>
        <v>998-94</v>
      </c>
      <c r="D9453" t="s">
        <v>9421</v>
      </c>
      <c r="E9453" t="b">
        <f>IF(COUNTIF(D9453,"*"&amp;'Keyword Search'!$C$5&amp;"*"),TRUE,FALSE)</f>
        <v>1</v>
      </c>
      <c r="G9453" t="str">
        <f t="shared" si="600"/>
        <v>998-94: Vehicles, Including Automobiles, Trucks, Trailers, Vans, Motor Homes, Motorcycles and Scooters, etc. (See 998-20 for Buses), Sale of Surplus and Obsolete Items</v>
      </c>
    </row>
    <row r="9454" spans="1:7" x14ac:dyDescent="0.25">
      <c r="A9454" s="1" t="str">
        <f t="shared" si="601"/>
        <v>998</v>
      </c>
      <c r="B9454" s="1" t="str">
        <f>TEXT(95,"00")</f>
        <v>95</v>
      </c>
      <c r="C9454" s="1" t="str">
        <f t="shared" si="599"/>
        <v>998-95</v>
      </c>
      <c r="D9454" t="s">
        <v>9422</v>
      </c>
      <c r="E9454" t="b">
        <f>IF(COUNTIF(D9454,"*"&amp;'Keyword Search'!$C$5&amp;"*"),TRUE,FALSE)</f>
        <v>1</v>
      </c>
      <c r="G9454" t="str">
        <f t="shared" si="600"/>
        <v>998-95: Welding Equipment, Sale of Surplus and Obsolete Items</v>
      </c>
    </row>
    <row r="9455" spans="1:7" x14ac:dyDescent="0.25">
      <c r="A9455" s="1" t="str">
        <f t="shared" si="601"/>
        <v>998</v>
      </c>
      <c r="B9455" s="1" t="str">
        <f>TEXT(96,"00")</f>
        <v>96</v>
      </c>
      <c r="C9455" s="1" t="str">
        <f t="shared" si="599"/>
        <v>998-96</v>
      </c>
      <c r="D9455" t="s">
        <v>9423</v>
      </c>
      <c r="E9455" t="b">
        <f>IF(COUNTIF(D9455,"*"&amp;'Keyword Search'!$C$5&amp;"*"),TRUE,FALSE)</f>
        <v>1</v>
      </c>
      <c r="G9455" t="str">
        <f t="shared" si="600"/>
        <v>998-96: *Voting Machines and Other Election Equipment, Sale of Surplus and Obsolete Items</v>
      </c>
    </row>
  </sheetData>
  <sheetProtection algorithmName="SHA-512" hashValue="UNqlt/trDau17MGABsr5IXJmuJmREBm80m94EbEajpq6GHGlBW0UndGFVlMxoCrnt3vAaE4VljeZ99/PcnLGIQ==" saltValue="c+ugG66Z/m2/OabneggrZw==" spinCount="100000" sheet="1" objects="1" scenarios="1" selectLockedCells="1"/>
  <conditionalFormatting sqref="B1:B9455">
    <cfRule type="containsText" dxfId="1" priority="2" operator="containsText" text="00">
      <formula>NOT(ISERROR(SEARCH("00",B1)))</formula>
    </cfRule>
    <cfRule type="cellIs" dxfId="0" priority="3" operator="equal">
      <formula>0</formula>
    </cfRule>
  </conditionalFormatting>
  <pageMargins left="0.7" right="0.7" top="0.75" bottom="0.75" header="0.3" footer="0.3"/>
</worksheet>
</file>

<file path=docMetadata/LabelInfo.xml><?xml version="1.0" encoding="utf-8"?>
<clbl:labelList xmlns:clbl="http://schemas.microsoft.com/office/2020/mipLabelMetadata">
  <clbl:label id="{2bdd4540-dfa8-4f47-92e3-d421298f2c89}" enabled="1" method="Privileged" siteId="{2f5e7ebc-22b0-4fbe-934c-aabddb4e29b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Keyword Search</vt:lpstr>
      <vt:lpstr>NIGP Full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Kristen Torres</dc:creator>
  <cp:lastModifiedBy>Kristen Torres</cp:lastModifiedBy>
  <dcterms:created xsi:type="dcterms:W3CDTF">2023-06-06T18:42:31Z</dcterms:created>
  <dcterms:modified xsi:type="dcterms:W3CDTF">2023-06-13T18:34:33Z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dd4540-dfa8-4f47-92e3-d421298f2c89_Enabled">
    <vt:lpwstr>true</vt:lpwstr>
  </property>
  <property fmtid="{D5CDD505-2E9C-101B-9397-08002B2CF9AE}" pid="3" name="MSIP_Label_2bdd4540-dfa8-4f47-92e3-d421298f2c89_SetDate">
    <vt:lpwstr>2023-06-06T18:42:31Z</vt:lpwstr>
  </property>
  <property fmtid="{D5CDD505-2E9C-101B-9397-08002B2CF9AE}" pid="4" name="MSIP_Label_2bdd4540-dfa8-4f47-92e3-d421298f2c89_Method">
    <vt:lpwstr>Standard</vt:lpwstr>
  </property>
  <property fmtid="{D5CDD505-2E9C-101B-9397-08002B2CF9AE}" pid="5" name="MSIP_Label_2bdd4540-dfa8-4f47-92e3-d421298f2c89_Name">
    <vt:lpwstr>[Sensitive]</vt:lpwstr>
  </property>
  <property fmtid="{D5CDD505-2E9C-101B-9397-08002B2CF9AE}" pid="6" name="MSIP_Label_2bdd4540-dfa8-4f47-92e3-d421298f2c89_SiteId">
    <vt:lpwstr>2f5e7ebc-22b0-4fbe-934c-aabddb4e29b1</vt:lpwstr>
  </property>
  <property fmtid="{D5CDD505-2E9C-101B-9397-08002B2CF9AE}" pid="7" name="MSIP_Label_2bdd4540-dfa8-4f47-92e3-d421298f2c89_ActionId">
    <vt:lpwstr>bbd72c5e-5dec-4806-b933-6f6b871d72e1</vt:lpwstr>
  </property>
  <property fmtid="{D5CDD505-2E9C-101B-9397-08002B2CF9AE}" pid="8" name="MSIP_Label_2bdd4540-dfa8-4f47-92e3-d421298f2c89_ContentBits">
    <vt:lpwstr>0</vt:lpwstr>
  </property>
</Properties>
</file>